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S:\REAJUSTE\Permissionárias de Distribuição\2022\04- ABRIL\4-Ceripa - Érika\Estrutura\"/>
    </mc:Choice>
  </mc:AlternateContent>
  <xr:revisionPtr revIDLastSave="0" documentId="13_ncr:1_{3A707440-2463-427B-90EB-6A671F8FD07C}" xr6:coauthVersionLast="47" xr6:coauthVersionMax="47" xr10:uidLastSave="{00000000-0000-0000-0000-000000000000}"/>
  <bookViews>
    <workbookView xWindow="-120" yWindow="-120" windowWidth="25260" windowHeight="11685" firstSheet="20" activeTab="29" xr2:uid="{68037127-8822-4EA6-BC5A-551EE845A09E}"/>
  </bookViews>
  <sheets>
    <sheet name="Mercado_Receita" sheetId="1" r:id="rId1"/>
    <sheet name="EVENTOS" sheetId="2" r:id="rId2"/>
    <sheet name="TAR FIN" sheetId="36" r:id="rId3"/>
    <sheet name="MERCADO TUSD" sheetId="3" r:id="rId4"/>
    <sheet name="MERCADO TE" sheetId="4" r:id="rId5"/>
    <sheet name="CUSTOS" sheetId="5" r:id="rId6"/>
    <sheet name="TRANSICAO" sheetId="35" r:id="rId7"/>
    <sheet name="TR TUSD" sheetId="27" r:id="rId8"/>
    <sheet name="TUSD BE" sheetId="28" r:id="rId9"/>
    <sheet name="TUSD BF" sheetId="29" r:id="rId10"/>
    <sheet name="TUSD CVA" sheetId="30" r:id="rId11"/>
    <sheet name="TR TE" sheetId="31" r:id="rId12"/>
    <sheet name="TE BE" sheetId="32" r:id="rId13"/>
    <sheet name="TE BF" sheetId="33" r:id="rId14"/>
    <sheet name="TE CVA" sheetId="34" r:id="rId15"/>
    <sheet name="EFEITO" sheetId="37" r:id="rId16"/>
    <sheet name="SUBSIDIO" sheetId="38" r:id="rId17"/>
    <sheet name="TabDinEfeito" sheetId="39" r:id="rId18"/>
    <sheet name="TabDinSubsidio" sheetId="40" r:id="rId19"/>
    <sheet name="TABELAS REH" sheetId="55" r:id="rId20"/>
    <sheet name="CONSISTENCIA" sheetId="41" r:id="rId21"/>
    <sheet name="TUSD" sheetId="43" r:id="rId22"/>
    <sheet name="TE" sheetId="44" r:id="rId23"/>
    <sheet name="RESUMO TUSD" sheetId="45" r:id="rId24"/>
    <sheet name="RESUMO TE" sheetId="46" r:id="rId25"/>
    <sheet name="Descontos" sheetId="20" r:id="rId26"/>
    <sheet name="ERD" sheetId="54" r:id="rId27"/>
    <sheet name="TA - Aplicação" sheetId="56" r:id="rId28"/>
    <sheet name="TA - BE" sheetId="57" r:id="rId29"/>
    <sheet name="TA - CVA" sheetId="58" r:id="rId30"/>
  </sheets>
  <definedNames>
    <definedName name="DadosExternos_1" localSheetId="27" hidden="1">'TA - Aplicação'!$B$3:$AQ$49</definedName>
    <definedName name="DadosExternos_1" localSheetId="28" hidden="1">'TA - BE'!$B$3:$AQ$49</definedName>
    <definedName name="DadosExternos_1" localSheetId="29" hidden="1">'TA - CVA'!$B$3:$AQ$49</definedName>
  </definedNames>
  <calcPr calcId="191029"/>
  <pivotCaches>
    <pivotCache cacheId="25" r:id="rId31"/>
    <pivotCache cacheId="26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55" l="1"/>
  <c r="V32" i="55"/>
  <c r="V31" i="55"/>
  <c r="V30" i="55"/>
  <c r="V29" i="55"/>
  <c r="V28" i="55"/>
  <c r="V27" i="55"/>
  <c r="V26" i="55"/>
  <c r="V21" i="55"/>
  <c r="V16" i="55"/>
  <c r="V25" i="55"/>
  <c r="V20" i="55"/>
  <c r="V15" i="55"/>
  <c r="V24" i="55"/>
  <c r="V23" i="55"/>
  <c r="V22" i="55"/>
  <c r="V19" i="55"/>
  <c r="V18" i="55"/>
  <c r="V17" i="55"/>
  <c r="V14" i="55"/>
  <c r="V13" i="55"/>
  <c r="V12" i="55"/>
  <c r="V11" i="55"/>
  <c r="V9" i="55"/>
  <c r="V10" i="55"/>
  <c r="V8" i="55"/>
  <c r="V7" i="55"/>
  <c r="V6" i="55"/>
  <c r="V5" i="55"/>
  <c r="J11" i="55"/>
  <c r="J10" i="55"/>
  <c r="J6" i="55"/>
  <c r="J5" i="55"/>
  <c r="I3" i="54"/>
  <c r="I2" i="54" s="1"/>
  <c r="B2" i="54"/>
  <c r="C2" i="54"/>
  <c r="D2" i="54"/>
  <c r="E2" i="54"/>
  <c r="F2" i="54"/>
  <c r="G2" i="54"/>
  <c r="H2" i="54"/>
  <c r="J2" i="54"/>
  <c r="K2" i="54"/>
  <c r="L2" i="54"/>
  <c r="B11" i="54"/>
  <c r="P11" i="5" l="1"/>
  <c r="R11" i="5" s="1"/>
  <c r="P10" i="5"/>
  <c r="R10" i="5" s="1"/>
  <c r="P9" i="5"/>
  <c r="R9" i="5" s="1"/>
  <c r="F43" i="5"/>
  <c r="E43" i="5"/>
  <c r="D43" i="5"/>
  <c r="F26" i="5"/>
  <c r="E26" i="5"/>
  <c r="D26" i="5"/>
  <c r="F25" i="5"/>
  <c r="E25" i="5"/>
  <c r="D25" i="5"/>
  <c r="F24" i="5"/>
  <c r="E24" i="5"/>
  <c r="D24" i="5"/>
  <c r="D13" i="5"/>
  <c r="F38" i="5"/>
  <c r="F17" i="5"/>
  <c r="F16" i="5"/>
  <c r="F12" i="5"/>
  <c r="F11" i="5"/>
  <c r="M15" i="5"/>
  <c r="M7" i="5"/>
  <c r="D35" i="5" s="1"/>
  <c r="E35" i="5" l="1"/>
  <c r="F35" i="5"/>
  <c r="D30" i="5" s="1"/>
  <c r="K5" i="46"/>
  <c r="J5" i="46"/>
  <c r="I5" i="46"/>
  <c r="H5" i="46"/>
  <c r="G5" i="46"/>
  <c r="F5" i="46"/>
  <c r="E5" i="46"/>
  <c r="D5" i="46"/>
  <c r="C5" i="46"/>
  <c r="B5" i="46"/>
  <c r="I2" i="46"/>
  <c r="W5" i="45"/>
  <c r="V5" i="45"/>
  <c r="U5" i="45"/>
  <c r="T5" i="45"/>
  <c r="S5" i="45"/>
  <c r="R5" i="45"/>
  <c r="Q5" i="45"/>
  <c r="P5" i="45"/>
  <c r="O5" i="45"/>
  <c r="N5" i="45"/>
  <c r="M5" i="45"/>
  <c r="L5" i="45"/>
  <c r="K5" i="45"/>
  <c r="J5" i="45"/>
  <c r="I5" i="45"/>
  <c r="H5" i="45"/>
  <c r="G5" i="45"/>
  <c r="F5" i="45"/>
  <c r="E5" i="45"/>
  <c r="D5" i="45"/>
  <c r="C5" i="45"/>
  <c r="B5" i="45"/>
  <c r="I2" i="45"/>
  <c r="AE13" i="41"/>
  <c r="AD13" i="41"/>
  <c r="AC13" i="41"/>
  <c r="AB13" i="41"/>
  <c r="AA13" i="41"/>
  <c r="W13" i="41"/>
  <c r="V13" i="41"/>
  <c r="U13" i="41"/>
  <c r="AI13" i="41" s="1"/>
  <c r="T13" i="41"/>
  <c r="S13" i="41"/>
  <c r="Y13" i="41" s="1"/>
  <c r="R13" i="41"/>
  <c r="AE12" i="41"/>
  <c r="AD12" i="41"/>
  <c r="AE8" i="41"/>
  <c r="AD8" i="41"/>
  <c r="AC8" i="41"/>
  <c r="AB8" i="41"/>
  <c r="AA8" i="41"/>
  <c r="W8" i="41"/>
  <c r="V8" i="41"/>
  <c r="U8" i="41"/>
  <c r="AI8" i="41" s="1"/>
  <c r="T8" i="41"/>
  <c r="S8" i="41"/>
  <c r="R8" i="41"/>
  <c r="X8" i="41" s="1"/>
  <c r="AF8" i="41" s="1"/>
  <c r="AE6" i="41"/>
  <c r="AD6" i="41"/>
  <c r="AC6" i="41"/>
  <c r="AB6" i="41"/>
  <c r="AA6" i="41"/>
  <c r="W6" i="41"/>
  <c r="V6" i="41"/>
  <c r="U6" i="41"/>
  <c r="AI6" i="41" s="1"/>
  <c r="T6" i="41"/>
  <c r="S6" i="41"/>
  <c r="R6" i="41"/>
  <c r="AE5" i="41"/>
  <c r="AD5" i="41"/>
  <c r="AC5" i="41"/>
  <c r="AB5" i="41"/>
  <c r="AA5" i="41"/>
  <c r="W5" i="41"/>
  <c r="V5" i="41"/>
  <c r="U5" i="41"/>
  <c r="AI5" i="41" s="1"/>
  <c r="T5" i="41"/>
  <c r="S5" i="41"/>
  <c r="R5" i="41"/>
  <c r="AE4" i="41"/>
  <c r="AD4" i="41"/>
  <c r="AC4" i="41"/>
  <c r="AB4" i="41"/>
  <c r="AA4" i="41"/>
  <c r="W4" i="41"/>
  <c r="V4" i="41"/>
  <c r="U4" i="41"/>
  <c r="T4" i="41"/>
  <c r="S4" i="41"/>
  <c r="R4" i="41"/>
  <c r="AE3" i="41"/>
  <c r="AD3" i="41"/>
  <c r="AC3" i="41"/>
  <c r="AB3" i="41"/>
  <c r="AA3" i="41"/>
  <c r="W3" i="41"/>
  <c r="V3" i="41"/>
  <c r="U3" i="41"/>
  <c r="T3" i="41"/>
  <c r="S3" i="41"/>
  <c r="R3" i="41"/>
  <c r="J669" i="41"/>
  <c r="J668" i="41"/>
  <c r="M668" i="41" s="1"/>
  <c r="J667" i="41"/>
  <c r="M667" i="41" s="1"/>
  <c r="J666" i="41"/>
  <c r="M666" i="41" s="1"/>
  <c r="J665" i="41"/>
  <c r="J664" i="41"/>
  <c r="M664" i="41" s="1"/>
  <c r="J663" i="41"/>
  <c r="M663" i="41" s="1"/>
  <c r="J662" i="41"/>
  <c r="J661" i="41"/>
  <c r="J660" i="41"/>
  <c r="M660" i="41" s="1"/>
  <c r="J659" i="41"/>
  <c r="M659" i="41" s="1"/>
  <c r="J658" i="41"/>
  <c r="M658" i="41" s="1"/>
  <c r="J400" i="41"/>
  <c r="M400" i="41" s="1"/>
  <c r="J399" i="41"/>
  <c r="M399" i="41" s="1"/>
  <c r="J398" i="41"/>
  <c r="J397" i="41"/>
  <c r="J396" i="41"/>
  <c r="J395" i="41"/>
  <c r="J394" i="41"/>
  <c r="J393" i="41"/>
  <c r="J392" i="41"/>
  <c r="M392" i="41" s="1"/>
  <c r="J391" i="41"/>
  <c r="M391" i="41" s="1"/>
  <c r="J390" i="41"/>
  <c r="J389" i="41"/>
  <c r="L388" i="41"/>
  <c r="K388" i="41"/>
  <c r="L387" i="41"/>
  <c r="K387" i="41"/>
  <c r="L386" i="41"/>
  <c r="O386" i="41" s="1"/>
  <c r="K386" i="41"/>
  <c r="N386" i="41" s="1"/>
  <c r="L385" i="41"/>
  <c r="K385" i="41"/>
  <c r="L384" i="41"/>
  <c r="K384" i="41"/>
  <c r="L383" i="41"/>
  <c r="K383" i="41"/>
  <c r="L382" i="41"/>
  <c r="O382" i="41" s="1"/>
  <c r="K382" i="41"/>
  <c r="N382" i="41" s="1"/>
  <c r="L381" i="41"/>
  <c r="K381" i="41"/>
  <c r="L380" i="41"/>
  <c r="K380" i="41"/>
  <c r="L379" i="41"/>
  <c r="K379" i="41"/>
  <c r="L378" i="41"/>
  <c r="O378" i="41" s="1"/>
  <c r="K378" i="41"/>
  <c r="N378" i="41" s="1"/>
  <c r="L377" i="41"/>
  <c r="K377" i="41"/>
  <c r="J376" i="41"/>
  <c r="J375" i="41"/>
  <c r="J374" i="41"/>
  <c r="J373" i="41"/>
  <c r="J372" i="41"/>
  <c r="M372" i="41" s="1"/>
  <c r="J371" i="41"/>
  <c r="M371" i="41" s="1"/>
  <c r="J370" i="41"/>
  <c r="J369" i="41"/>
  <c r="J368" i="41"/>
  <c r="J367" i="41"/>
  <c r="J366" i="41"/>
  <c r="J365" i="41"/>
  <c r="J364" i="41"/>
  <c r="M364" i="41" s="1"/>
  <c r="J363" i="41"/>
  <c r="M363" i="41" s="1"/>
  <c r="J362" i="41"/>
  <c r="J361" i="41"/>
  <c r="J360" i="41"/>
  <c r="J359" i="41"/>
  <c r="J358" i="41"/>
  <c r="J357" i="41"/>
  <c r="J356" i="41"/>
  <c r="M356" i="41" s="1"/>
  <c r="J355" i="41"/>
  <c r="M355" i="41" s="1"/>
  <c r="J354" i="41"/>
  <c r="J353" i="41"/>
  <c r="L352" i="41"/>
  <c r="K352" i="41"/>
  <c r="L351" i="41"/>
  <c r="K351" i="41"/>
  <c r="L350" i="41"/>
  <c r="O350" i="41" s="1"/>
  <c r="K350" i="41"/>
  <c r="N350" i="41" s="1"/>
  <c r="L349" i="41"/>
  <c r="K349" i="41"/>
  <c r="L348" i="41"/>
  <c r="K348" i="41"/>
  <c r="L347" i="41"/>
  <c r="K347" i="41"/>
  <c r="L346" i="41"/>
  <c r="O346" i="41" s="1"/>
  <c r="K346" i="41"/>
  <c r="N346" i="41" s="1"/>
  <c r="L345" i="41"/>
  <c r="K345" i="41"/>
  <c r="L344" i="41"/>
  <c r="K344" i="41"/>
  <c r="L343" i="41"/>
  <c r="K343" i="41"/>
  <c r="L342" i="41"/>
  <c r="O342" i="41" s="1"/>
  <c r="K342" i="41"/>
  <c r="N342" i="41" s="1"/>
  <c r="L341" i="41"/>
  <c r="K341" i="41"/>
  <c r="J340" i="41"/>
  <c r="J339" i="41"/>
  <c r="J338" i="41"/>
  <c r="J337" i="41"/>
  <c r="J336" i="41"/>
  <c r="M336" i="41" s="1"/>
  <c r="J335" i="41"/>
  <c r="M335" i="41" s="1"/>
  <c r="J334" i="41"/>
  <c r="J333" i="41"/>
  <c r="J332" i="41"/>
  <c r="J331" i="41"/>
  <c r="J330" i="41"/>
  <c r="J329" i="41"/>
  <c r="J328" i="41"/>
  <c r="M328" i="41" s="1"/>
  <c r="J327" i="41"/>
  <c r="M327" i="41" s="1"/>
  <c r="J326" i="41"/>
  <c r="J325" i="41"/>
  <c r="J324" i="41"/>
  <c r="J323" i="41"/>
  <c r="J322" i="41"/>
  <c r="J321" i="41"/>
  <c r="J320" i="41"/>
  <c r="M320" i="41" s="1"/>
  <c r="J319" i="41"/>
  <c r="M319" i="41" s="1"/>
  <c r="J318" i="41"/>
  <c r="J317" i="41"/>
  <c r="J316" i="41"/>
  <c r="J315" i="41"/>
  <c r="J314" i="41"/>
  <c r="J313" i="41"/>
  <c r="J312" i="41"/>
  <c r="M312" i="41" s="1"/>
  <c r="J311" i="41"/>
  <c r="M311" i="41" s="1"/>
  <c r="J310" i="41"/>
  <c r="L309" i="41"/>
  <c r="K309" i="41"/>
  <c r="L308" i="41"/>
  <c r="K308" i="41"/>
  <c r="L307" i="41"/>
  <c r="K307" i="41"/>
  <c r="N307" i="41" s="1"/>
  <c r="L306" i="41"/>
  <c r="O306" i="41" s="1"/>
  <c r="K306" i="41"/>
  <c r="L305" i="41"/>
  <c r="K305" i="41"/>
  <c r="L304" i="41"/>
  <c r="K304" i="41"/>
  <c r="L303" i="41"/>
  <c r="K303" i="41"/>
  <c r="N303" i="41" s="1"/>
  <c r="L302" i="41"/>
  <c r="O302" i="41" s="1"/>
  <c r="K302" i="41"/>
  <c r="L301" i="41"/>
  <c r="K301" i="41"/>
  <c r="L300" i="41"/>
  <c r="K300" i="41"/>
  <c r="L299" i="41"/>
  <c r="K299" i="41"/>
  <c r="N299" i="41" s="1"/>
  <c r="L298" i="41"/>
  <c r="O298" i="41" s="1"/>
  <c r="K298" i="41"/>
  <c r="L297" i="41"/>
  <c r="K297" i="41"/>
  <c r="L296" i="41"/>
  <c r="K296" i="41"/>
  <c r="L295" i="41"/>
  <c r="K295" i="41"/>
  <c r="N295" i="41" s="1"/>
  <c r="L294" i="41"/>
  <c r="O294" i="41" s="1"/>
  <c r="K294" i="41"/>
  <c r="L293" i="41"/>
  <c r="K293" i="41"/>
  <c r="L292" i="41"/>
  <c r="K292" i="41"/>
  <c r="L291" i="41"/>
  <c r="K291" i="41"/>
  <c r="N291" i="41" s="1"/>
  <c r="L290" i="41"/>
  <c r="O290" i="41" s="1"/>
  <c r="K290" i="41"/>
  <c r="L289" i="41"/>
  <c r="K289" i="41"/>
  <c r="L288" i="41"/>
  <c r="K288" i="41"/>
  <c r="J287" i="41"/>
  <c r="J286" i="41"/>
  <c r="M286" i="41" s="1"/>
  <c r="J285" i="41"/>
  <c r="M285" i="41" s="1"/>
  <c r="J284" i="41"/>
  <c r="J283" i="41"/>
  <c r="J282" i="41"/>
  <c r="J281" i="41"/>
  <c r="J280" i="41"/>
  <c r="J279" i="41"/>
  <c r="J278" i="41"/>
  <c r="M278" i="41" s="1"/>
  <c r="J277" i="41"/>
  <c r="M277" i="41" s="1"/>
  <c r="J276" i="41"/>
  <c r="J275" i="41"/>
  <c r="J274" i="41"/>
  <c r="J273" i="41"/>
  <c r="J272" i="41"/>
  <c r="J271" i="41"/>
  <c r="J270" i="41"/>
  <c r="M270" i="41" s="1"/>
  <c r="J269" i="41"/>
  <c r="M269" i="41" s="1"/>
  <c r="J268" i="41"/>
  <c r="J267" i="41"/>
  <c r="J266" i="41"/>
  <c r="J265" i="41"/>
  <c r="J264" i="41"/>
  <c r="J263" i="41"/>
  <c r="J262" i="41"/>
  <c r="M262" i="41" s="1"/>
  <c r="J261" i="41"/>
  <c r="M261" i="41" s="1"/>
  <c r="J260" i="41"/>
  <c r="J259" i="41"/>
  <c r="J258" i="41"/>
  <c r="J257" i="41"/>
  <c r="J256" i="41"/>
  <c r="J255" i="41"/>
  <c r="J693" i="41"/>
  <c r="M693" i="41" s="1"/>
  <c r="J692" i="41"/>
  <c r="M692" i="41" s="1"/>
  <c r="J691" i="41"/>
  <c r="M691" i="41" s="1"/>
  <c r="J690" i="41"/>
  <c r="M690" i="41" s="1"/>
  <c r="J689" i="41"/>
  <c r="M689" i="41" s="1"/>
  <c r="J688" i="41"/>
  <c r="M688" i="41" s="1"/>
  <c r="J687" i="41"/>
  <c r="M687" i="41" s="1"/>
  <c r="J686" i="41"/>
  <c r="M686" i="41" s="1"/>
  <c r="J685" i="41"/>
  <c r="M685" i="41" s="1"/>
  <c r="M684" i="41"/>
  <c r="J684" i="41"/>
  <c r="J683" i="41"/>
  <c r="M683" i="41" s="1"/>
  <c r="J682" i="41"/>
  <c r="M682" i="41" s="1"/>
  <c r="J681" i="41"/>
  <c r="M681" i="41" s="1"/>
  <c r="J680" i="41"/>
  <c r="M680" i="41" s="1"/>
  <c r="M679" i="41"/>
  <c r="J679" i="41"/>
  <c r="J678" i="41"/>
  <c r="M678" i="41" s="1"/>
  <c r="J677" i="41"/>
  <c r="M677" i="41" s="1"/>
  <c r="J676" i="41"/>
  <c r="M676" i="41" s="1"/>
  <c r="J675" i="41"/>
  <c r="M675" i="41" s="1"/>
  <c r="J674" i="41"/>
  <c r="M674" i="41" s="1"/>
  <c r="M673" i="41"/>
  <c r="J673" i="41"/>
  <c r="J672" i="41"/>
  <c r="M672" i="41" s="1"/>
  <c r="J671" i="41"/>
  <c r="M671" i="41" s="1"/>
  <c r="J670" i="41"/>
  <c r="M669" i="41"/>
  <c r="M665" i="41"/>
  <c r="M662" i="41"/>
  <c r="M661" i="41"/>
  <c r="J657" i="41"/>
  <c r="M657" i="41" s="1"/>
  <c r="J656" i="41"/>
  <c r="M656" i="41" s="1"/>
  <c r="J655" i="41"/>
  <c r="M655" i="41" s="1"/>
  <c r="J654" i="41"/>
  <c r="M654" i="41" s="1"/>
  <c r="M653" i="41"/>
  <c r="J653" i="41"/>
  <c r="J652" i="41"/>
  <c r="M652" i="41" s="1"/>
  <c r="J651" i="41"/>
  <c r="M651" i="41" s="1"/>
  <c r="J650" i="41"/>
  <c r="M650" i="41" s="1"/>
  <c r="J649" i="41"/>
  <c r="M649" i="41" s="1"/>
  <c r="J648" i="41"/>
  <c r="M648" i="41" s="1"/>
  <c r="J647" i="41"/>
  <c r="M647" i="41" s="1"/>
  <c r="J646" i="41"/>
  <c r="M646" i="41" s="1"/>
  <c r="J645" i="41"/>
  <c r="M645" i="41" s="1"/>
  <c r="J644" i="41"/>
  <c r="M644" i="41" s="1"/>
  <c r="J643" i="41"/>
  <c r="M643" i="41" s="1"/>
  <c r="J642" i="41"/>
  <c r="M642" i="41" s="1"/>
  <c r="J641" i="41"/>
  <c r="M641" i="41" s="1"/>
  <c r="J640" i="41"/>
  <c r="M640" i="41" s="1"/>
  <c r="M639" i="41"/>
  <c r="J639" i="41"/>
  <c r="J638" i="41"/>
  <c r="M638" i="41" s="1"/>
  <c r="J637" i="41"/>
  <c r="M637" i="41" s="1"/>
  <c r="J636" i="41"/>
  <c r="M636" i="41" s="1"/>
  <c r="J635" i="41"/>
  <c r="M635" i="41" s="1"/>
  <c r="J634" i="41"/>
  <c r="M634" i="41" s="1"/>
  <c r="M633" i="41"/>
  <c r="J633" i="41"/>
  <c r="J632" i="41"/>
  <c r="M632" i="41" s="1"/>
  <c r="J631" i="41"/>
  <c r="M631" i="41" s="1"/>
  <c r="J630" i="41"/>
  <c r="M630" i="41" s="1"/>
  <c r="J629" i="41"/>
  <c r="M629" i="41" s="1"/>
  <c r="J628" i="41"/>
  <c r="M628" i="41" s="1"/>
  <c r="J627" i="41"/>
  <c r="M627" i="41" s="1"/>
  <c r="J626" i="41"/>
  <c r="M626" i="41" s="1"/>
  <c r="J625" i="41"/>
  <c r="M625" i="41" s="1"/>
  <c r="J624" i="41"/>
  <c r="M624" i="41" s="1"/>
  <c r="J623" i="41"/>
  <c r="M623" i="41" s="1"/>
  <c r="J622" i="41"/>
  <c r="M622" i="41" s="1"/>
  <c r="M621" i="41"/>
  <c r="J621" i="41"/>
  <c r="J620" i="41"/>
  <c r="M620" i="41" s="1"/>
  <c r="J619" i="41"/>
  <c r="M619" i="41" s="1"/>
  <c r="J618" i="41"/>
  <c r="M618" i="41" s="1"/>
  <c r="J617" i="41"/>
  <c r="M617" i="41" s="1"/>
  <c r="J616" i="41"/>
  <c r="M616" i="41" s="1"/>
  <c r="J615" i="41"/>
  <c r="M615" i="41" s="1"/>
  <c r="J614" i="41"/>
  <c r="M614" i="41" s="1"/>
  <c r="J613" i="41"/>
  <c r="M613" i="41" s="1"/>
  <c r="J612" i="41"/>
  <c r="M612" i="41" s="1"/>
  <c r="J611" i="41"/>
  <c r="M611" i="41" s="1"/>
  <c r="M610" i="41"/>
  <c r="J610" i="41"/>
  <c r="J609" i="41"/>
  <c r="M609" i="41" s="1"/>
  <c r="M608" i="41"/>
  <c r="J608" i="41"/>
  <c r="J607" i="41"/>
  <c r="M607" i="41" s="1"/>
  <c r="J606" i="41"/>
  <c r="M606" i="41" s="1"/>
  <c r="J605" i="41"/>
  <c r="M605" i="41" s="1"/>
  <c r="J604" i="41"/>
  <c r="M604" i="41" s="1"/>
  <c r="M603" i="41"/>
  <c r="J603" i="41"/>
  <c r="J602" i="41"/>
  <c r="M602" i="41" s="1"/>
  <c r="J601" i="41"/>
  <c r="M601" i="41" s="1"/>
  <c r="J600" i="41"/>
  <c r="J599" i="41"/>
  <c r="M599" i="41" s="1"/>
  <c r="J598" i="41"/>
  <c r="M598" i="41" s="1"/>
  <c r="J597" i="41"/>
  <c r="M597" i="41" s="1"/>
  <c r="J596" i="41"/>
  <c r="M596" i="41" s="1"/>
  <c r="J595" i="41"/>
  <c r="M595" i="41" s="1"/>
  <c r="M594" i="41"/>
  <c r="J594" i="41"/>
  <c r="J593" i="41"/>
  <c r="M593" i="41" s="1"/>
  <c r="J592" i="41"/>
  <c r="M592" i="41" s="1"/>
  <c r="M591" i="41"/>
  <c r="J591" i="41"/>
  <c r="J590" i="41"/>
  <c r="M590" i="41" s="1"/>
  <c r="J589" i="41"/>
  <c r="M589" i="41" s="1"/>
  <c r="J588" i="41"/>
  <c r="M588" i="41" s="1"/>
  <c r="J587" i="41"/>
  <c r="M587" i="41" s="1"/>
  <c r="J586" i="41"/>
  <c r="M586" i="41" s="1"/>
  <c r="J585" i="41"/>
  <c r="M585" i="41" s="1"/>
  <c r="J584" i="41"/>
  <c r="M584" i="41" s="1"/>
  <c r="J583" i="41"/>
  <c r="M583" i="41" s="1"/>
  <c r="J582" i="41"/>
  <c r="M582" i="41" s="1"/>
  <c r="J581" i="41"/>
  <c r="M581" i="41" s="1"/>
  <c r="J580" i="41"/>
  <c r="M580" i="41" s="1"/>
  <c r="J579" i="41"/>
  <c r="M579" i="41" s="1"/>
  <c r="M578" i="41"/>
  <c r="J578" i="41"/>
  <c r="J577" i="41"/>
  <c r="M577" i="41" s="1"/>
  <c r="J576" i="41"/>
  <c r="M576" i="41" s="1"/>
  <c r="M575" i="41"/>
  <c r="J575" i="41"/>
  <c r="J574" i="41"/>
  <c r="M574" i="41" s="1"/>
  <c r="J573" i="41"/>
  <c r="M573" i="41" s="1"/>
  <c r="J572" i="41"/>
  <c r="M572" i="41" s="1"/>
  <c r="J571" i="41"/>
  <c r="M571" i="41" s="1"/>
  <c r="J570" i="41"/>
  <c r="M570" i="41" s="1"/>
  <c r="M569" i="41"/>
  <c r="J569" i="41"/>
  <c r="J568" i="41"/>
  <c r="M568" i="41" s="1"/>
  <c r="J567" i="41"/>
  <c r="M567" i="41" s="1"/>
  <c r="M566" i="41"/>
  <c r="J566" i="41"/>
  <c r="J565" i="41"/>
  <c r="M565" i="41" s="1"/>
  <c r="J564" i="41"/>
  <c r="M564" i="41" s="1"/>
  <c r="M563" i="41"/>
  <c r="J563" i="41"/>
  <c r="J562" i="41"/>
  <c r="M562" i="41" s="1"/>
  <c r="J561" i="41"/>
  <c r="M561" i="41" s="1"/>
  <c r="M560" i="41"/>
  <c r="J560" i="41"/>
  <c r="J559" i="41"/>
  <c r="M559" i="41" s="1"/>
  <c r="J558" i="41"/>
  <c r="M558" i="41" s="1"/>
  <c r="J557" i="41"/>
  <c r="M557" i="41" s="1"/>
  <c r="J556" i="41"/>
  <c r="M556" i="41" s="1"/>
  <c r="J555" i="41"/>
  <c r="M555" i="41" s="1"/>
  <c r="J554" i="41"/>
  <c r="M554" i="41" s="1"/>
  <c r="J553" i="41"/>
  <c r="M553" i="41" s="1"/>
  <c r="M552" i="41"/>
  <c r="J552" i="41"/>
  <c r="J551" i="41"/>
  <c r="M551" i="41" s="1"/>
  <c r="J550" i="41"/>
  <c r="M550" i="41" s="1"/>
  <c r="J549" i="41"/>
  <c r="M549" i="41" s="1"/>
  <c r="J548" i="41"/>
  <c r="M548" i="41" s="1"/>
  <c r="M547" i="41"/>
  <c r="J547" i="41"/>
  <c r="J546" i="41"/>
  <c r="M546" i="41" s="1"/>
  <c r="J545" i="41"/>
  <c r="M545" i="41" s="1"/>
  <c r="M544" i="41"/>
  <c r="J544" i="41"/>
  <c r="J543" i="41"/>
  <c r="M543" i="41" s="1"/>
  <c r="J542" i="41"/>
  <c r="M542" i="41" s="1"/>
  <c r="J541" i="41"/>
  <c r="M541" i="41" s="1"/>
  <c r="J540" i="41"/>
  <c r="M540" i="41" s="1"/>
  <c r="M539" i="41"/>
  <c r="J539" i="41"/>
  <c r="J538" i="41"/>
  <c r="M538" i="41" s="1"/>
  <c r="J537" i="41"/>
  <c r="M537" i="41" s="1"/>
  <c r="J536" i="41"/>
  <c r="M536" i="41" s="1"/>
  <c r="J535" i="41"/>
  <c r="M535" i="41" s="1"/>
  <c r="J534" i="41"/>
  <c r="M534" i="41" s="1"/>
  <c r="J533" i="41"/>
  <c r="M533" i="41" s="1"/>
  <c r="J532" i="41"/>
  <c r="M532" i="41" s="1"/>
  <c r="M531" i="41"/>
  <c r="J531" i="41"/>
  <c r="J530" i="41"/>
  <c r="M530" i="41" s="1"/>
  <c r="J529" i="41"/>
  <c r="M529" i="41" s="1"/>
  <c r="J528" i="41"/>
  <c r="M528" i="41" s="1"/>
  <c r="J527" i="41"/>
  <c r="M527" i="41" s="1"/>
  <c r="J526" i="41"/>
  <c r="M526" i="41" s="1"/>
  <c r="J525" i="41"/>
  <c r="M525" i="41" s="1"/>
  <c r="J524" i="41"/>
  <c r="M524" i="41" s="1"/>
  <c r="J523" i="41"/>
  <c r="M523" i="41" s="1"/>
  <c r="J522" i="41"/>
  <c r="M522" i="41" s="1"/>
  <c r="J521" i="41"/>
  <c r="M521" i="41" s="1"/>
  <c r="J520" i="41"/>
  <c r="M520" i="41" s="1"/>
  <c r="J519" i="41"/>
  <c r="M519" i="41" s="1"/>
  <c r="J518" i="41"/>
  <c r="M518" i="41" s="1"/>
  <c r="J517" i="41"/>
  <c r="M517" i="41" s="1"/>
  <c r="J516" i="41"/>
  <c r="M516" i="41" s="1"/>
  <c r="J515" i="41"/>
  <c r="M515" i="41" s="1"/>
  <c r="J514" i="41"/>
  <c r="M514" i="41" s="1"/>
  <c r="J513" i="41"/>
  <c r="M513" i="41" s="1"/>
  <c r="J512" i="41"/>
  <c r="M512" i="41" s="1"/>
  <c r="M511" i="41"/>
  <c r="J511" i="41"/>
  <c r="J510" i="41"/>
  <c r="M510" i="41" s="1"/>
  <c r="J509" i="41"/>
  <c r="M509" i="41" s="1"/>
  <c r="J508" i="41"/>
  <c r="M508" i="41" s="1"/>
  <c r="J507" i="41"/>
  <c r="M507" i="41" s="1"/>
  <c r="J506" i="41"/>
  <c r="M506" i="41" s="1"/>
  <c r="M505" i="41"/>
  <c r="J505" i="41"/>
  <c r="J504" i="41"/>
  <c r="M504" i="41" s="1"/>
  <c r="J503" i="41"/>
  <c r="M503" i="41" s="1"/>
  <c r="J502" i="41"/>
  <c r="M502" i="41" s="1"/>
  <c r="J501" i="41"/>
  <c r="M501" i="41" s="1"/>
  <c r="J500" i="41"/>
  <c r="M500" i="41" s="1"/>
  <c r="J499" i="41"/>
  <c r="M499" i="41" s="1"/>
  <c r="J498" i="41"/>
  <c r="M498" i="41" s="1"/>
  <c r="J497" i="41"/>
  <c r="M497" i="41" s="1"/>
  <c r="J496" i="41"/>
  <c r="M496" i="41" s="1"/>
  <c r="M495" i="41"/>
  <c r="J495" i="41"/>
  <c r="J494" i="41"/>
  <c r="M494" i="41" s="1"/>
  <c r="J493" i="41"/>
  <c r="M493" i="41" s="1"/>
  <c r="M492" i="41"/>
  <c r="J492" i="41"/>
  <c r="J491" i="41"/>
  <c r="M491" i="41" s="1"/>
  <c r="J490" i="41"/>
  <c r="M490" i="41" s="1"/>
  <c r="M489" i="41"/>
  <c r="J489" i="41"/>
  <c r="J488" i="41"/>
  <c r="M488" i="41" s="1"/>
  <c r="M487" i="41"/>
  <c r="J487" i="41"/>
  <c r="J486" i="41"/>
  <c r="M486" i="41" s="1"/>
  <c r="J485" i="41"/>
  <c r="M485" i="41" s="1"/>
  <c r="J484" i="41"/>
  <c r="M484" i="41" s="1"/>
  <c r="J483" i="41"/>
  <c r="M483" i="41" s="1"/>
  <c r="J482" i="41"/>
  <c r="M482" i="41" s="1"/>
  <c r="J481" i="41"/>
  <c r="M481" i="41" s="1"/>
  <c r="J480" i="41"/>
  <c r="M480" i="41" s="1"/>
  <c r="J479" i="41"/>
  <c r="M479" i="41" s="1"/>
  <c r="J478" i="41"/>
  <c r="M478" i="41" s="1"/>
  <c r="J477" i="41"/>
  <c r="M477" i="41" s="1"/>
  <c r="J476" i="41"/>
  <c r="M476" i="41" s="1"/>
  <c r="J475" i="41"/>
  <c r="M475" i="41" s="1"/>
  <c r="J474" i="41"/>
  <c r="M474" i="41" s="1"/>
  <c r="J473" i="41"/>
  <c r="M473" i="41" s="1"/>
  <c r="J472" i="41"/>
  <c r="M472" i="41" s="1"/>
  <c r="J471" i="41"/>
  <c r="M471" i="41" s="1"/>
  <c r="J470" i="41"/>
  <c r="M470" i="41" s="1"/>
  <c r="J469" i="41"/>
  <c r="M469" i="41" s="1"/>
  <c r="J468" i="41"/>
  <c r="M468" i="41" s="1"/>
  <c r="J467" i="41"/>
  <c r="M467" i="41" s="1"/>
  <c r="J466" i="41"/>
  <c r="M466" i="41" s="1"/>
  <c r="J465" i="41"/>
  <c r="M465" i="41" s="1"/>
  <c r="J464" i="41"/>
  <c r="M464" i="41" s="1"/>
  <c r="J463" i="41"/>
  <c r="M463" i="41" s="1"/>
  <c r="J462" i="41"/>
  <c r="M462" i="41" s="1"/>
  <c r="J461" i="41"/>
  <c r="M461" i="41" s="1"/>
  <c r="J460" i="41"/>
  <c r="M460" i="41" s="1"/>
  <c r="J459" i="41"/>
  <c r="M459" i="41" s="1"/>
  <c r="J458" i="41"/>
  <c r="M458" i="41" s="1"/>
  <c r="J457" i="41"/>
  <c r="M457" i="41" s="1"/>
  <c r="J456" i="41"/>
  <c r="M456" i="41" s="1"/>
  <c r="J455" i="41"/>
  <c r="M455" i="41" s="1"/>
  <c r="J454" i="41"/>
  <c r="M454" i="41" s="1"/>
  <c r="J453" i="41"/>
  <c r="M453" i="41" s="1"/>
  <c r="J452" i="41"/>
  <c r="M452" i="41" s="1"/>
  <c r="J451" i="41"/>
  <c r="M451" i="41" s="1"/>
  <c r="J450" i="41"/>
  <c r="M450" i="41" s="1"/>
  <c r="J449" i="41"/>
  <c r="M449" i="41" s="1"/>
  <c r="J448" i="41"/>
  <c r="M448" i="41" s="1"/>
  <c r="J447" i="41"/>
  <c r="M447" i="41" s="1"/>
  <c r="J446" i="41"/>
  <c r="M446" i="41" s="1"/>
  <c r="J445" i="41"/>
  <c r="M445" i="41" s="1"/>
  <c r="J444" i="41"/>
  <c r="M444" i="41" s="1"/>
  <c r="J443" i="41"/>
  <c r="M443" i="41" s="1"/>
  <c r="J442" i="41"/>
  <c r="M442" i="41" s="1"/>
  <c r="J441" i="41"/>
  <c r="M441" i="41" s="1"/>
  <c r="J440" i="41"/>
  <c r="M440" i="41" s="1"/>
  <c r="J439" i="41"/>
  <c r="M439" i="41" s="1"/>
  <c r="J438" i="41"/>
  <c r="M438" i="41" s="1"/>
  <c r="J437" i="41"/>
  <c r="M437" i="41" s="1"/>
  <c r="J436" i="41"/>
  <c r="M436" i="41" s="1"/>
  <c r="J435" i="41"/>
  <c r="M435" i="41" s="1"/>
  <c r="J434" i="41"/>
  <c r="M434" i="41" s="1"/>
  <c r="J433" i="41"/>
  <c r="M433" i="41" s="1"/>
  <c r="J432" i="41"/>
  <c r="M432" i="41" s="1"/>
  <c r="J431" i="41"/>
  <c r="M431" i="41" s="1"/>
  <c r="J430" i="41"/>
  <c r="M430" i="41" s="1"/>
  <c r="J429" i="41"/>
  <c r="M429" i="41" s="1"/>
  <c r="J428" i="41"/>
  <c r="M428" i="41" s="1"/>
  <c r="J427" i="41"/>
  <c r="M427" i="41" s="1"/>
  <c r="J426" i="41"/>
  <c r="M426" i="41" s="1"/>
  <c r="J425" i="41"/>
  <c r="M425" i="41" s="1"/>
  <c r="J424" i="41"/>
  <c r="M424" i="41" s="1"/>
  <c r="J423" i="41"/>
  <c r="M423" i="41" s="1"/>
  <c r="J422" i="41"/>
  <c r="M422" i="41" s="1"/>
  <c r="J421" i="41"/>
  <c r="M421" i="41" s="1"/>
  <c r="J420" i="41"/>
  <c r="M420" i="41" s="1"/>
  <c r="J419" i="41"/>
  <c r="M419" i="41" s="1"/>
  <c r="J418" i="41"/>
  <c r="M418" i="41" s="1"/>
  <c r="J417" i="41"/>
  <c r="M417" i="41" s="1"/>
  <c r="J416" i="41"/>
  <c r="M416" i="41" s="1"/>
  <c r="J415" i="41"/>
  <c r="M415" i="41" s="1"/>
  <c r="J414" i="41"/>
  <c r="M414" i="41" s="1"/>
  <c r="J413" i="41"/>
  <c r="M413" i="41" s="1"/>
  <c r="J412" i="41"/>
  <c r="M412" i="41" s="1"/>
  <c r="J411" i="41"/>
  <c r="M411" i="41" s="1"/>
  <c r="J410" i="41"/>
  <c r="M410" i="41" s="1"/>
  <c r="J409" i="41"/>
  <c r="M409" i="41" s="1"/>
  <c r="J408" i="41"/>
  <c r="M408" i="41" s="1"/>
  <c r="J407" i="41"/>
  <c r="M407" i="41" s="1"/>
  <c r="J406" i="41"/>
  <c r="M406" i="41" s="1"/>
  <c r="J405" i="41"/>
  <c r="M405" i="41" s="1"/>
  <c r="J404" i="41"/>
  <c r="M404" i="41" s="1"/>
  <c r="J403" i="41"/>
  <c r="M403" i="41" s="1"/>
  <c r="J402" i="41"/>
  <c r="M402" i="41" s="1"/>
  <c r="J401" i="41"/>
  <c r="M398" i="41"/>
  <c r="M397" i="41"/>
  <c r="M396" i="41"/>
  <c r="M395" i="41"/>
  <c r="M394" i="41"/>
  <c r="M393" i="41"/>
  <c r="M390" i="41"/>
  <c r="M389" i="41"/>
  <c r="O388" i="41"/>
  <c r="N388" i="41"/>
  <c r="O387" i="41"/>
  <c r="N387" i="41"/>
  <c r="O385" i="41"/>
  <c r="N385" i="41"/>
  <c r="O384" i="41"/>
  <c r="N384" i="41"/>
  <c r="O383" i="41"/>
  <c r="N383" i="41"/>
  <c r="O381" i="41"/>
  <c r="N381" i="41"/>
  <c r="O380" i="41"/>
  <c r="N380" i="41"/>
  <c r="O379" i="41"/>
  <c r="N379" i="41"/>
  <c r="O377" i="41"/>
  <c r="N377" i="41"/>
  <c r="M376" i="41"/>
  <c r="M375" i="41"/>
  <c r="M374" i="41"/>
  <c r="M373" i="41"/>
  <c r="M370" i="41"/>
  <c r="M369" i="41"/>
  <c r="M368" i="41"/>
  <c r="M367" i="41"/>
  <c r="M366" i="41"/>
  <c r="M365" i="41"/>
  <c r="M362" i="41"/>
  <c r="M361" i="41"/>
  <c r="M360" i="41"/>
  <c r="M359" i="41"/>
  <c r="M358" i="41"/>
  <c r="M357" i="41"/>
  <c r="M354" i="41"/>
  <c r="M353" i="41"/>
  <c r="O352" i="41"/>
  <c r="N352" i="41"/>
  <c r="O351" i="41"/>
  <c r="N351" i="41"/>
  <c r="O349" i="41"/>
  <c r="N349" i="41"/>
  <c r="O348" i="41"/>
  <c r="N348" i="41"/>
  <c r="O347" i="41"/>
  <c r="N347" i="41"/>
  <c r="O345" i="41"/>
  <c r="N345" i="41"/>
  <c r="O344" i="41"/>
  <c r="N344" i="41"/>
  <c r="O343" i="41"/>
  <c r="N343" i="41"/>
  <c r="O341" i="41"/>
  <c r="N341" i="41"/>
  <c r="M340" i="41"/>
  <c r="M339" i="41"/>
  <c r="M338" i="41"/>
  <c r="M337" i="41"/>
  <c r="M334" i="41"/>
  <c r="M333" i="41"/>
  <c r="M332" i="41"/>
  <c r="M331" i="41"/>
  <c r="M330" i="41"/>
  <c r="M329" i="41"/>
  <c r="M326" i="41"/>
  <c r="M325" i="41"/>
  <c r="M324" i="41"/>
  <c r="M323" i="41"/>
  <c r="M322" i="41"/>
  <c r="M321" i="41"/>
  <c r="M318" i="41"/>
  <c r="M317" i="41"/>
  <c r="M316" i="41"/>
  <c r="M315" i="41"/>
  <c r="M314" i="41"/>
  <c r="M313" i="41"/>
  <c r="M310" i="41"/>
  <c r="O309" i="41"/>
  <c r="N309" i="41"/>
  <c r="O308" i="41"/>
  <c r="N308" i="41"/>
  <c r="O307" i="41"/>
  <c r="N306" i="41"/>
  <c r="O305" i="41"/>
  <c r="N305" i="41"/>
  <c r="O304" i="41"/>
  <c r="N304" i="41"/>
  <c r="O303" i="41"/>
  <c r="N302" i="41"/>
  <c r="O301" i="41"/>
  <c r="N301" i="41"/>
  <c r="O300" i="41"/>
  <c r="N300" i="41"/>
  <c r="O299" i="41"/>
  <c r="N298" i="41"/>
  <c r="O297" i="41"/>
  <c r="N297" i="41"/>
  <c r="O296" i="41"/>
  <c r="N296" i="41"/>
  <c r="O295" i="41"/>
  <c r="N294" i="41"/>
  <c r="O293" i="41"/>
  <c r="N293" i="41"/>
  <c r="O292" i="41"/>
  <c r="N292" i="41"/>
  <c r="O291" i="41"/>
  <c r="N290" i="41"/>
  <c r="O289" i="41"/>
  <c r="N289" i="41"/>
  <c r="O288" i="41"/>
  <c r="N288" i="41"/>
  <c r="M287" i="41"/>
  <c r="M284" i="41"/>
  <c r="M283" i="41"/>
  <c r="M282" i="41"/>
  <c r="M281" i="41"/>
  <c r="M280" i="41"/>
  <c r="M279" i="41"/>
  <c r="M276" i="41"/>
  <c r="M275" i="41"/>
  <c r="M274" i="41"/>
  <c r="M273" i="41"/>
  <c r="M272" i="41"/>
  <c r="M271" i="41"/>
  <c r="M268" i="41"/>
  <c r="M267" i="41"/>
  <c r="M266" i="41"/>
  <c r="M265" i="41"/>
  <c r="M264" i="41"/>
  <c r="M263" i="41"/>
  <c r="M260" i="41"/>
  <c r="M259" i="41"/>
  <c r="M258" i="41"/>
  <c r="M257" i="41"/>
  <c r="M256" i="41"/>
  <c r="M255" i="41"/>
  <c r="J254" i="41"/>
  <c r="M254" i="41" s="1"/>
  <c r="J253" i="41"/>
  <c r="M253" i="41" s="1"/>
  <c r="J252" i="41"/>
  <c r="M252" i="41" s="1"/>
  <c r="J251" i="41"/>
  <c r="M251" i="41" s="1"/>
  <c r="J250" i="41"/>
  <c r="M250" i="41" s="1"/>
  <c r="J249" i="41"/>
  <c r="M249" i="41" s="1"/>
  <c r="J248" i="41"/>
  <c r="M248" i="41" s="1"/>
  <c r="M247" i="41"/>
  <c r="J247" i="41"/>
  <c r="J246" i="41"/>
  <c r="M246" i="41" s="1"/>
  <c r="J245" i="41"/>
  <c r="M245" i="41" s="1"/>
  <c r="J244" i="41"/>
  <c r="M244" i="41" s="1"/>
  <c r="J243" i="41"/>
  <c r="M243" i="41" s="1"/>
  <c r="L242" i="41"/>
  <c r="O242" i="41" s="1"/>
  <c r="K242" i="41"/>
  <c r="N242" i="41" s="1"/>
  <c r="N241" i="41"/>
  <c r="L241" i="41"/>
  <c r="O241" i="41" s="1"/>
  <c r="K241" i="41"/>
  <c r="L240" i="41"/>
  <c r="O240" i="41" s="1"/>
  <c r="K240" i="41"/>
  <c r="N240" i="41" s="1"/>
  <c r="N239" i="41"/>
  <c r="L239" i="41"/>
  <c r="O239" i="41" s="1"/>
  <c r="K239" i="41"/>
  <c r="L238" i="41"/>
  <c r="O238" i="41" s="1"/>
  <c r="K238" i="41"/>
  <c r="N238" i="41" s="1"/>
  <c r="L237" i="41"/>
  <c r="O237" i="41" s="1"/>
  <c r="K237" i="41"/>
  <c r="N237" i="41" s="1"/>
  <c r="O236" i="41"/>
  <c r="N236" i="41"/>
  <c r="L236" i="41"/>
  <c r="K236" i="41"/>
  <c r="L235" i="41"/>
  <c r="O235" i="41" s="1"/>
  <c r="K235" i="41"/>
  <c r="N235" i="41" s="1"/>
  <c r="L234" i="41"/>
  <c r="O234" i="41" s="1"/>
  <c r="K234" i="41"/>
  <c r="N234" i="41" s="1"/>
  <c r="N233" i="41"/>
  <c r="L233" i="41"/>
  <c r="O233" i="41" s="1"/>
  <c r="K233" i="41"/>
  <c r="L232" i="41"/>
  <c r="O232" i="41" s="1"/>
  <c r="K232" i="41"/>
  <c r="N232" i="41" s="1"/>
  <c r="N231" i="41"/>
  <c r="L231" i="41"/>
  <c r="O231" i="41" s="1"/>
  <c r="K231" i="41"/>
  <c r="J230" i="41"/>
  <c r="M230" i="41" s="1"/>
  <c r="J229" i="41"/>
  <c r="M229" i="41" s="1"/>
  <c r="J228" i="41"/>
  <c r="M228" i="41" s="1"/>
  <c r="J227" i="41"/>
  <c r="M227" i="41" s="1"/>
  <c r="J226" i="41"/>
  <c r="M226" i="41" s="1"/>
  <c r="J225" i="41"/>
  <c r="M225" i="41" s="1"/>
  <c r="J224" i="41"/>
  <c r="M224" i="41" s="1"/>
  <c r="J223" i="41"/>
  <c r="M223" i="41" s="1"/>
  <c r="J222" i="41"/>
  <c r="M222" i="41" s="1"/>
  <c r="J221" i="41"/>
  <c r="M221" i="41" s="1"/>
  <c r="J220" i="41"/>
  <c r="M220" i="41" s="1"/>
  <c r="M219" i="41"/>
  <c r="J219" i="41"/>
  <c r="J218" i="41"/>
  <c r="M218" i="41" s="1"/>
  <c r="J217" i="41"/>
  <c r="M217" i="41" s="1"/>
  <c r="J216" i="41"/>
  <c r="M216" i="41" s="1"/>
  <c r="J215" i="41"/>
  <c r="M215" i="41" s="1"/>
  <c r="J214" i="41"/>
  <c r="M214" i="41" s="1"/>
  <c r="J213" i="41"/>
  <c r="M213" i="41" s="1"/>
  <c r="J212" i="41"/>
  <c r="M212" i="41" s="1"/>
  <c r="J211" i="41"/>
  <c r="M211" i="41" s="1"/>
  <c r="J210" i="41"/>
  <c r="M210" i="41" s="1"/>
  <c r="J209" i="41"/>
  <c r="M209" i="41" s="1"/>
  <c r="J208" i="41"/>
  <c r="M208" i="41" s="1"/>
  <c r="J207" i="41"/>
  <c r="M207" i="41" s="1"/>
  <c r="L206" i="41"/>
  <c r="O206" i="41" s="1"/>
  <c r="K206" i="41"/>
  <c r="N206" i="41" s="1"/>
  <c r="N205" i="41"/>
  <c r="L205" i="41"/>
  <c r="O205" i="41" s="1"/>
  <c r="K205" i="41"/>
  <c r="L204" i="41"/>
  <c r="O204" i="41" s="1"/>
  <c r="K204" i="41"/>
  <c r="N204" i="41" s="1"/>
  <c r="L203" i="41"/>
  <c r="O203" i="41" s="1"/>
  <c r="K203" i="41"/>
  <c r="N203" i="41" s="1"/>
  <c r="L202" i="41"/>
  <c r="O202" i="41" s="1"/>
  <c r="K202" i="41"/>
  <c r="N202" i="41" s="1"/>
  <c r="N201" i="41"/>
  <c r="L201" i="41"/>
  <c r="O201" i="41" s="1"/>
  <c r="K201" i="41"/>
  <c r="L200" i="41"/>
  <c r="O200" i="41" s="1"/>
  <c r="K200" i="41"/>
  <c r="N200" i="41" s="1"/>
  <c r="N199" i="41"/>
  <c r="L199" i="41"/>
  <c r="O199" i="41" s="1"/>
  <c r="K199" i="41"/>
  <c r="L198" i="41"/>
  <c r="O198" i="41" s="1"/>
  <c r="K198" i="41"/>
  <c r="N198" i="41" s="1"/>
  <c r="L197" i="41"/>
  <c r="O197" i="41" s="1"/>
  <c r="K197" i="41"/>
  <c r="N197" i="41" s="1"/>
  <c r="N196" i="41"/>
  <c r="L196" i="41"/>
  <c r="O196" i="41" s="1"/>
  <c r="K196" i="41"/>
  <c r="L195" i="41"/>
  <c r="O195" i="41" s="1"/>
  <c r="K195" i="41"/>
  <c r="N195" i="41" s="1"/>
  <c r="J194" i="41"/>
  <c r="M194" i="41" s="1"/>
  <c r="J193" i="41"/>
  <c r="M193" i="41" s="1"/>
  <c r="J192" i="41"/>
  <c r="M192" i="41" s="1"/>
  <c r="M191" i="41"/>
  <c r="J191" i="41"/>
  <c r="J190" i="41"/>
  <c r="M190" i="41" s="1"/>
  <c r="J189" i="41"/>
  <c r="M189" i="41" s="1"/>
  <c r="J188" i="41"/>
  <c r="M188" i="41" s="1"/>
  <c r="J187" i="41"/>
  <c r="M187" i="41" s="1"/>
  <c r="J186" i="41"/>
  <c r="M186" i="41" s="1"/>
  <c r="J185" i="41"/>
  <c r="M185" i="41" s="1"/>
  <c r="J184" i="41"/>
  <c r="M184" i="41" s="1"/>
  <c r="M183" i="41"/>
  <c r="J183" i="41"/>
  <c r="J182" i="41"/>
  <c r="M182" i="41" s="1"/>
  <c r="J181" i="41"/>
  <c r="M181" i="41" s="1"/>
  <c r="J180" i="41"/>
  <c r="M180" i="41" s="1"/>
  <c r="M179" i="41"/>
  <c r="J179" i="41"/>
  <c r="J178" i="41"/>
  <c r="M178" i="41" s="1"/>
  <c r="J177" i="41"/>
  <c r="M177" i="41" s="1"/>
  <c r="J176" i="41"/>
  <c r="M176" i="41" s="1"/>
  <c r="J175" i="41"/>
  <c r="M175" i="41" s="1"/>
  <c r="J174" i="41"/>
  <c r="M174" i="41" s="1"/>
  <c r="J173" i="41"/>
  <c r="M173" i="41" s="1"/>
  <c r="M172" i="41"/>
  <c r="J172" i="41"/>
  <c r="J171" i="41"/>
  <c r="M171" i="41" s="1"/>
  <c r="J170" i="41"/>
  <c r="M170" i="41" s="1"/>
  <c r="J169" i="41"/>
  <c r="M169" i="41" s="1"/>
  <c r="J168" i="41"/>
  <c r="M168" i="41" s="1"/>
  <c r="M167" i="41"/>
  <c r="J167" i="41"/>
  <c r="J166" i="41"/>
  <c r="M166" i="41" s="1"/>
  <c r="J165" i="41"/>
  <c r="M165" i="41" s="1"/>
  <c r="J164" i="41"/>
  <c r="M164" i="41" s="1"/>
  <c r="J163" i="41"/>
  <c r="M163" i="41" s="1"/>
  <c r="L162" i="41"/>
  <c r="O162" i="41" s="1"/>
  <c r="K162" i="41"/>
  <c r="N162" i="41" s="1"/>
  <c r="O161" i="41"/>
  <c r="L161" i="41"/>
  <c r="K161" i="41"/>
  <c r="N161" i="41" s="1"/>
  <c r="L160" i="41"/>
  <c r="O160" i="41" s="1"/>
  <c r="K160" i="41"/>
  <c r="N160" i="41" s="1"/>
  <c r="L159" i="41"/>
  <c r="O159" i="41" s="1"/>
  <c r="K159" i="41"/>
  <c r="N159" i="41" s="1"/>
  <c r="L158" i="41"/>
  <c r="O158" i="41" s="1"/>
  <c r="K158" i="41"/>
  <c r="N158" i="41" s="1"/>
  <c r="L157" i="41"/>
  <c r="O157" i="41" s="1"/>
  <c r="K157" i="41"/>
  <c r="N157" i="41" s="1"/>
  <c r="O156" i="41"/>
  <c r="N156" i="41"/>
  <c r="L156" i="41"/>
  <c r="K156" i="41"/>
  <c r="L155" i="41"/>
  <c r="O155" i="41" s="1"/>
  <c r="K155" i="41"/>
  <c r="N155" i="41" s="1"/>
  <c r="L154" i="41"/>
  <c r="O154" i="41" s="1"/>
  <c r="K154" i="41"/>
  <c r="N154" i="41" s="1"/>
  <c r="L153" i="41"/>
  <c r="O153" i="41" s="1"/>
  <c r="K153" i="41"/>
  <c r="N153" i="41" s="1"/>
  <c r="L152" i="41"/>
  <c r="O152" i="41" s="1"/>
  <c r="K152" i="41"/>
  <c r="N152" i="41" s="1"/>
  <c r="L151" i="41"/>
  <c r="O151" i="41" s="1"/>
  <c r="K151" i="41"/>
  <c r="N151" i="41" s="1"/>
  <c r="L150" i="41"/>
  <c r="O150" i="41" s="1"/>
  <c r="K150" i="41"/>
  <c r="N150" i="41" s="1"/>
  <c r="L149" i="41"/>
  <c r="O149" i="41" s="1"/>
  <c r="K149" i="41"/>
  <c r="N149" i="41" s="1"/>
  <c r="N148" i="41"/>
  <c r="L148" i="41"/>
  <c r="O148" i="41" s="1"/>
  <c r="K148" i="41"/>
  <c r="L147" i="41"/>
  <c r="O147" i="41" s="1"/>
  <c r="K147" i="41"/>
  <c r="N147" i="41" s="1"/>
  <c r="L146" i="41"/>
  <c r="O146" i="41" s="1"/>
  <c r="K146" i="41"/>
  <c r="N146" i="41" s="1"/>
  <c r="L145" i="41"/>
  <c r="O145" i="41" s="1"/>
  <c r="K145" i="41"/>
  <c r="N145" i="41" s="1"/>
  <c r="O144" i="41"/>
  <c r="N144" i="41"/>
  <c r="L144" i="41"/>
  <c r="K144" i="41"/>
  <c r="L143" i="41"/>
  <c r="O143" i="41" s="1"/>
  <c r="K143" i="41"/>
  <c r="N143" i="41" s="1"/>
  <c r="J142" i="41"/>
  <c r="M142" i="41" s="1"/>
  <c r="J141" i="41"/>
  <c r="M141" i="41" s="1"/>
  <c r="M140" i="41"/>
  <c r="J140" i="41"/>
  <c r="J139" i="41"/>
  <c r="M139" i="41" s="1"/>
  <c r="J138" i="41"/>
  <c r="M138" i="41" s="1"/>
  <c r="J137" i="41"/>
  <c r="M137" i="41" s="1"/>
  <c r="J136" i="41"/>
  <c r="M136" i="41" s="1"/>
  <c r="J135" i="41"/>
  <c r="M135" i="41" s="1"/>
  <c r="J134" i="41"/>
  <c r="M134" i="41" s="1"/>
  <c r="M133" i="41"/>
  <c r="J133" i="41"/>
  <c r="J132" i="41"/>
  <c r="M132" i="41" s="1"/>
  <c r="J131" i="41"/>
  <c r="M131" i="41" s="1"/>
  <c r="J130" i="41"/>
  <c r="M130" i="41" s="1"/>
  <c r="M129" i="41"/>
  <c r="J129" i="41"/>
  <c r="J128" i="41"/>
  <c r="M128" i="41" s="1"/>
  <c r="J127" i="41"/>
  <c r="M127" i="41" s="1"/>
  <c r="J126" i="41"/>
  <c r="M126" i="41" s="1"/>
  <c r="J125" i="41"/>
  <c r="M125" i="41" s="1"/>
  <c r="J124" i="41"/>
  <c r="M124" i="41" s="1"/>
  <c r="J123" i="41"/>
  <c r="M123" i="41" s="1"/>
  <c r="L122" i="41"/>
  <c r="O122" i="41" s="1"/>
  <c r="J122" i="41"/>
  <c r="M122" i="41" s="1"/>
  <c r="L121" i="41"/>
  <c r="O121" i="41" s="1"/>
  <c r="J121" i="41"/>
  <c r="M121" i="41" s="1"/>
  <c r="O120" i="41"/>
  <c r="M120" i="41"/>
  <c r="L120" i="41"/>
  <c r="J120" i="41"/>
  <c r="L119" i="41"/>
  <c r="O119" i="41" s="1"/>
  <c r="J119" i="41"/>
  <c r="M119" i="41" s="1"/>
  <c r="L118" i="41"/>
  <c r="O118" i="41" s="1"/>
  <c r="J118" i="41"/>
  <c r="M118" i="41" s="1"/>
  <c r="L117" i="41"/>
  <c r="O117" i="41" s="1"/>
  <c r="J117" i="41"/>
  <c r="M117" i="41" s="1"/>
  <c r="L116" i="41"/>
  <c r="O116" i="41" s="1"/>
  <c r="J116" i="41"/>
  <c r="M116" i="41" s="1"/>
  <c r="L115" i="41"/>
  <c r="O115" i="41" s="1"/>
  <c r="J115" i="41"/>
  <c r="M115" i="41" s="1"/>
  <c r="L114" i="41"/>
  <c r="O114" i="41" s="1"/>
  <c r="J114" i="41"/>
  <c r="M114" i="41" s="1"/>
  <c r="O113" i="41"/>
  <c r="M113" i="41"/>
  <c r="L113" i="41"/>
  <c r="J113" i="41"/>
  <c r="L112" i="41"/>
  <c r="O112" i="41" s="1"/>
  <c r="J112" i="41"/>
  <c r="M112" i="41" s="1"/>
  <c r="M111" i="41"/>
  <c r="L111" i="41"/>
  <c r="O111" i="41" s="1"/>
  <c r="J111" i="41"/>
  <c r="L110" i="41"/>
  <c r="O110" i="41" s="1"/>
  <c r="K110" i="41"/>
  <c r="N110" i="41" s="1"/>
  <c r="L109" i="41"/>
  <c r="O109" i="41" s="1"/>
  <c r="K109" i="41"/>
  <c r="N109" i="41" s="1"/>
  <c r="L108" i="41"/>
  <c r="O108" i="41" s="1"/>
  <c r="K108" i="41"/>
  <c r="N108" i="41" s="1"/>
  <c r="L107" i="41"/>
  <c r="O107" i="41" s="1"/>
  <c r="K107" i="41"/>
  <c r="N107" i="41" s="1"/>
  <c r="L106" i="41"/>
  <c r="O106" i="41" s="1"/>
  <c r="K106" i="41"/>
  <c r="N106" i="41" s="1"/>
  <c r="L105" i="41"/>
  <c r="O105" i="41" s="1"/>
  <c r="K105" i="41"/>
  <c r="N105" i="41" s="1"/>
  <c r="L104" i="41"/>
  <c r="O104" i="41" s="1"/>
  <c r="K104" i="41"/>
  <c r="N104" i="41" s="1"/>
  <c r="L103" i="41"/>
  <c r="O103" i="41" s="1"/>
  <c r="K103" i="41"/>
  <c r="N103" i="41" s="1"/>
  <c r="L102" i="41"/>
  <c r="O102" i="41" s="1"/>
  <c r="K102" i="41"/>
  <c r="N102" i="41" s="1"/>
  <c r="N101" i="41"/>
  <c r="L101" i="41"/>
  <c r="O101" i="41" s="1"/>
  <c r="K101" i="41"/>
  <c r="N100" i="41"/>
  <c r="L100" i="41"/>
  <c r="O100" i="41" s="1"/>
  <c r="K100" i="41"/>
  <c r="L99" i="41"/>
  <c r="O99" i="41" s="1"/>
  <c r="K99" i="41"/>
  <c r="N99" i="41" s="1"/>
  <c r="O98" i="41"/>
  <c r="L98" i="41"/>
  <c r="J98" i="41"/>
  <c r="M98" i="41" s="1"/>
  <c r="O97" i="41"/>
  <c r="L97" i="41"/>
  <c r="J97" i="41"/>
  <c r="M97" i="41" s="1"/>
  <c r="M96" i="41"/>
  <c r="L96" i="41"/>
  <c r="O96" i="41" s="1"/>
  <c r="J96" i="41"/>
  <c r="M95" i="41"/>
  <c r="L95" i="41"/>
  <c r="O95" i="41" s="1"/>
  <c r="J95" i="41"/>
  <c r="L94" i="41"/>
  <c r="O94" i="41" s="1"/>
  <c r="J94" i="41"/>
  <c r="M94" i="41" s="1"/>
  <c r="L93" i="41"/>
  <c r="O93" i="41" s="1"/>
  <c r="J93" i="41"/>
  <c r="M93" i="41" s="1"/>
  <c r="L92" i="41"/>
  <c r="O92" i="41" s="1"/>
  <c r="J92" i="41"/>
  <c r="M92" i="41" s="1"/>
  <c r="L91" i="41"/>
  <c r="O91" i="41" s="1"/>
  <c r="J91" i="41"/>
  <c r="M91" i="41" s="1"/>
  <c r="L90" i="41"/>
  <c r="O90" i="41" s="1"/>
  <c r="J90" i="41"/>
  <c r="M90" i="41" s="1"/>
  <c r="O89" i="41"/>
  <c r="M89" i="41"/>
  <c r="L89" i="41"/>
  <c r="J89" i="41"/>
  <c r="L88" i="41"/>
  <c r="O88" i="41" s="1"/>
  <c r="J88" i="41"/>
  <c r="M88" i="41" s="1"/>
  <c r="M87" i="41"/>
  <c r="L87" i="41"/>
  <c r="O87" i="41" s="1"/>
  <c r="J87" i="41"/>
  <c r="J86" i="41"/>
  <c r="M86" i="41" s="1"/>
  <c r="J85" i="41"/>
  <c r="M85" i="41" s="1"/>
  <c r="J84" i="41"/>
  <c r="M84" i="41" s="1"/>
  <c r="J83" i="41"/>
  <c r="M83" i="41" s="1"/>
  <c r="J82" i="41"/>
  <c r="M82" i="41" s="1"/>
  <c r="J81" i="41"/>
  <c r="M81" i="41" s="1"/>
  <c r="M80" i="41"/>
  <c r="J80" i="41"/>
  <c r="J79" i="41"/>
  <c r="M79" i="41" s="1"/>
  <c r="J78" i="41"/>
  <c r="M78" i="41" s="1"/>
  <c r="J77" i="41"/>
  <c r="M77" i="41" s="1"/>
  <c r="J76" i="41"/>
  <c r="M76" i="41" s="1"/>
  <c r="J75" i="41"/>
  <c r="M75" i="41" s="1"/>
  <c r="J74" i="41"/>
  <c r="M74" i="41" s="1"/>
  <c r="M73" i="41"/>
  <c r="J73" i="41"/>
  <c r="J72" i="41"/>
  <c r="M72" i="41" s="1"/>
  <c r="J71" i="41"/>
  <c r="M71" i="41" s="1"/>
  <c r="J70" i="41"/>
  <c r="M70" i="41" s="1"/>
  <c r="M69" i="41"/>
  <c r="J69" i="41"/>
  <c r="J68" i="41"/>
  <c r="M68" i="41" s="1"/>
  <c r="L67" i="41"/>
  <c r="O67" i="41" s="1"/>
  <c r="K67" i="41"/>
  <c r="N67" i="41" s="1"/>
  <c r="L66" i="41"/>
  <c r="O66" i="41" s="1"/>
  <c r="K66" i="41"/>
  <c r="N66" i="41" s="1"/>
  <c r="L65" i="41"/>
  <c r="O65" i="41" s="1"/>
  <c r="K65" i="41"/>
  <c r="N65" i="41" s="1"/>
  <c r="L64" i="41"/>
  <c r="O64" i="41" s="1"/>
  <c r="K64" i="41"/>
  <c r="N64" i="41" s="1"/>
  <c r="L63" i="41"/>
  <c r="O63" i="41" s="1"/>
  <c r="K63" i="41"/>
  <c r="N63" i="41" s="1"/>
  <c r="L62" i="41"/>
  <c r="O62" i="41" s="1"/>
  <c r="K62" i="41"/>
  <c r="N62" i="41" s="1"/>
  <c r="O61" i="41"/>
  <c r="L61" i="41"/>
  <c r="K61" i="41"/>
  <c r="N61" i="41" s="1"/>
  <c r="O60" i="41"/>
  <c r="L60" i="41"/>
  <c r="K60" i="41"/>
  <c r="N60" i="41" s="1"/>
  <c r="L59" i="41"/>
  <c r="O59" i="41" s="1"/>
  <c r="K59" i="41"/>
  <c r="N59" i="41" s="1"/>
  <c r="L58" i="41"/>
  <c r="O58" i="41" s="1"/>
  <c r="K58" i="41"/>
  <c r="N58" i="41" s="1"/>
  <c r="N57" i="41"/>
  <c r="L57" i="41"/>
  <c r="O57" i="41" s="1"/>
  <c r="K57" i="41"/>
  <c r="L56" i="41"/>
  <c r="O56" i="41" s="1"/>
  <c r="K56" i="41"/>
  <c r="N56" i="41" s="1"/>
  <c r="L55" i="41"/>
  <c r="O55" i="41" s="1"/>
  <c r="K55" i="41"/>
  <c r="N55" i="41" s="1"/>
  <c r="O54" i="41"/>
  <c r="L54" i="41"/>
  <c r="K54" i="41"/>
  <c r="N54" i="41" s="1"/>
  <c r="L53" i="41"/>
  <c r="O53" i="41" s="1"/>
  <c r="K53" i="41"/>
  <c r="N53" i="41" s="1"/>
  <c r="O52" i="41"/>
  <c r="L52" i="41"/>
  <c r="K52" i="41"/>
  <c r="N52" i="41" s="1"/>
  <c r="L51" i="41"/>
  <c r="O51" i="41" s="1"/>
  <c r="K51" i="41"/>
  <c r="N51" i="41" s="1"/>
  <c r="L50" i="41"/>
  <c r="O50" i="41" s="1"/>
  <c r="K50" i="41"/>
  <c r="N50" i="41" s="1"/>
  <c r="L49" i="41"/>
  <c r="O49" i="41" s="1"/>
  <c r="K49" i="41"/>
  <c r="N49" i="41" s="1"/>
  <c r="L48" i="41"/>
  <c r="O48" i="41" s="1"/>
  <c r="K48" i="41"/>
  <c r="N48" i="41" s="1"/>
  <c r="L47" i="41"/>
  <c r="O47" i="41" s="1"/>
  <c r="K47" i="41"/>
  <c r="N47" i="41" s="1"/>
  <c r="L46" i="41"/>
  <c r="O46" i="41" s="1"/>
  <c r="K46" i="41"/>
  <c r="N46" i="41" s="1"/>
  <c r="L45" i="41"/>
  <c r="O45" i="41" s="1"/>
  <c r="K45" i="41"/>
  <c r="N45" i="41" s="1"/>
  <c r="L44" i="41"/>
  <c r="O44" i="41" s="1"/>
  <c r="K44" i="41"/>
  <c r="N44" i="41" s="1"/>
  <c r="J43" i="41"/>
  <c r="M43" i="41" s="1"/>
  <c r="J42" i="41"/>
  <c r="M42" i="41" s="1"/>
  <c r="J41" i="41"/>
  <c r="M41" i="41" s="1"/>
  <c r="J40" i="41"/>
  <c r="M40" i="41" s="1"/>
  <c r="J39" i="41"/>
  <c r="M39" i="41" s="1"/>
  <c r="J38" i="41"/>
  <c r="M38" i="41" s="1"/>
  <c r="J37" i="41"/>
  <c r="M37" i="41" s="1"/>
  <c r="J36" i="41"/>
  <c r="M36" i="41" s="1"/>
  <c r="J35" i="41"/>
  <c r="M35" i="41" s="1"/>
  <c r="J34" i="41"/>
  <c r="M34" i="41" s="1"/>
  <c r="J33" i="41"/>
  <c r="M33" i="41" s="1"/>
  <c r="J32" i="41"/>
  <c r="M32" i="41" s="1"/>
  <c r="J31" i="41"/>
  <c r="M31" i="41" s="1"/>
  <c r="J30" i="41"/>
  <c r="M30" i="41" s="1"/>
  <c r="J29" i="41"/>
  <c r="M29" i="41" s="1"/>
  <c r="J28" i="41"/>
  <c r="M28" i="41" s="1"/>
  <c r="J27" i="41"/>
  <c r="M27" i="41" s="1"/>
  <c r="J26" i="41"/>
  <c r="M26" i="41" s="1"/>
  <c r="X669" i="37"/>
  <c r="W669" i="37"/>
  <c r="X668" i="37"/>
  <c r="W668" i="37"/>
  <c r="X667" i="37"/>
  <c r="W667" i="37"/>
  <c r="X666" i="37"/>
  <c r="W666" i="37"/>
  <c r="X665" i="37"/>
  <c r="W665" i="37"/>
  <c r="X664" i="37"/>
  <c r="W664" i="37"/>
  <c r="X663" i="37"/>
  <c r="W663" i="37"/>
  <c r="X662" i="37"/>
  <c r="W662" i="37"/>
  <c r="X661" i="37"/>
  <c r="W661" i="37"/>
  <c r="X660" i="37"/>
  <c r="W660" i="37"/>
  <c r="X659" i="37"/>
  <c r="W659" i="37"/>
  <c r="X658" i="37"/>
  <c r="W658" i="37"/>
  <c r="X400" i="37"/>
  <c r="W400" i="37"/>
  <c r="X399" i="37"/>
  <c r="W399" i="37"/>
  <c r="X398" i="37"/>
  <c r="W398" i="37"/>
  <c r="X397" i="37"/>
  <c r="W397" i="37"/>
  <c r="X396" i="37"/>
  <c r="W396" i="37"/>
  <c r="X395" i="37"/>
  <c r="W395" i="37"/>
  <c r="X394" i="37"/>
  <c r="W394" i="37"/>
  <c r="X393" i="37"/>
  <c r="W393" i="37"/>
  <c r="X392" i="37"/>
  <c r="W392" i="37"/>
  <c r="X391" i="37"/>
  <c r="W391" i="37"/>
  <c r="X390" i="37"/>
  <c r="W390" i="37"/>
  <c r="X389" i="37"/>
  <c r="W389" i="37"/>
  <c r="V388" i="37"/>
  <c r="V387" i="37"/>
  <c r="V386" i="37"/>
  <c r="V385" i="37"/>
  <c r="V384" i="37"/>
  <c r="V383" i="37"/>
  <c r="V382" i="37"/>
  <c r="V381" i="37"/>
  <c r="V380" i="37"/>
  <c r="V379" i="37"/>
  <c r="V378" i="37"/>
  <c r="V377" i="37"/>
  <c r="X376" i="37"/>
  <c r="W376" i="37"/>
  <c r="X375" i="37"/>
  <c r="W375" i="37"/>
  <c r="X374" i="37"/>
  <c r="W374" i="37"/>
  <c r="AC374" i="37" s="1"/>
  <c r="X373" i="37"/>
  <c r="W373" i="37"/>
  <c r="X372" i="37"/>
  <c r="W372" i="37"/>
  <c r="X371" i="37"/>
  <c r="W371" i="37"/>
  <c r="X370" i="37"/>
  <c r="W370" i="37"/>
  <c r="X369" i="37"/>
  <c r="W369" i="37"/>
  <c r="X368" i="37"/>
  <c r="W368" i="37"/>
  <c r="X367" i="37"/>
  <c r="W367" i="37"/>
  <c r="X366" i="37"/>
  <c r="W366" i="37"/>
  <c r="X365" i="37"/>
  <c r="W365" i="37"/>
  <c r="X364" i="37"/>
  <c r="W364" i="37"/>
  <c r="X363" i="37"/>
  <c r="W363" i="37"/>
  <c r="X362" i="37"/>
  <c r="W362" i="37"/>
  <c r="X361" i="37"/>
  <c r="W361" i="37"/>
  <c r="X360" i="37"/>
  <c r="W360" i="37"/>
  <c r="X359" i="37"/>
  <c r="W359" i="37"/>
  <c r="X358" i="37"/>
  <c r="W358" i="37"/>
  <c r="X357" i="37"/>
  <c r="W357" i="37"/>
  <c r="AD356" i="38"/>
  <c r="X356" i="38"/>
  <c r="W356" i="38"/>
  <c r="X356" i="37"/>
  <c r="W356" i="37"/>
  <c r="AD355" i="38"/>
  <c r="X355" i="38"/>
  <c r="W355" i="38"/>
  <c r="AC355" i="38" s="1"/>
  <c r="X355" i="37"/>
  <c r="W355" i="37"/>
  <c r="AD354" i="38"/>
  <c r="X354" i="38"/>
  <c r="W354" i="38"/>
  <c r="X354" i="37"/>
  <c r="W354" i="37"/>
  <c r="AD353" i="38"/>
  <c r="X353" i="38"/>
  <c r="W353" i="38"/>
  <c r="X353" i="37"/>
  <c r="W353" i="37"/>
  <c r="AD352" i="38"/>
  <c r="X352" i="38"/>
  <c r="W352" i="38"/>
  <c r="V352" i="37"/>
  <c r="AD351" i="38"/>
  <c r="X351" i="38"/>
  <c r="W351" i="38"/>
  <c r="V351" i="37"/>
  <c r="AD350" i="38"/>
  <c r="X350" i="38"/>
  <c r="W350" i="38"/>
  <c r="V350" i="37"/>
  <c r="AD349" i="38"/>
  <c r="X349" i="38"/>
  <c r="W349" i="38"/>
  <c r="V349" i="37"/>
  <c r="AD348" i="38"/>
  <c r="X348" i="38"/>
  <c r="AC348" i="38" s="1"/>
  <c r="W348" i="38"/>
  <c r="V348" i="37"/>
  <c r="AD347" i="38"/>
  <c r="X347" i="38"/>
  <c r="AC347" i="38" s="1"/>
  <c r="W347" i="38"/>
  <c r="V347" i="37"/>
  <c r="AD346" i="38"/>
  <c r="X346" i="38"/>
  <c r="W346" i="38"/>
  <c r="AC346" i="38" s="1"/>
  <c r="V346" i="37"/>
  <c r="AD345" i="38"/>
  <c r="AD11" i="41" s="1"/>
  <c r="X345" i="38"/>
  <c r="W345" i="38"/>
  <c r="AC345" i="38" s="1"/>
  <c r="V345" i="37"/>
  <c r="V344" i="37"/>
  <c r="V343" i="37"/>
  <c r="V342" i="37"/>
  <c r="V341" i="37"/>
  <c r="X340" i="37"/>
  <c r="W340" i="37"/>
  <c r="X339" i="37"/>
  <c r="W339" i="37"/>
  <c r="X338" i="37"/>
  <c r="W338" i="37"/>
  <c r="X337" i="37"/>
  <c r="W337" i="37"/>
  <c r="X336" i="37"/>
  <c r="W336" i="37"/>
  <c r="X335" i="37"/>
  <c r="W335" i="37"/>
  <c r="X334" i="37"/>
  <c r="W334" i="37"/>
  <c r="X333" i="37"/>
  <c r="W333" i="37"/>
  <c r="X332" i="37"/>
  <c r="W332" i="37"/>
  <c r="X331" i="37"/>
  <c r="W331" i="37"/>
  <c r="X330" i="37"/>
  <c r="W330" i="37"/>
  <c r="X329" i="37"/>
  <c r="W329" i="37"/>
  <c r="X328" i="37"/>
  <c r="W328" i="37"/>
  <c r="X327" i="37"/>
  <c r="W327" i="37"/>
  <c r="X326" i="37"/>
  <c r="W326" i="37"/>
  <c r="X325" i="37"/>
  <c r="W325" i="37"/>
  <c r="X324" i="37"/>
  <c r="W324" i="37"/>
  <c r="X323" i="37"/>
  <c r="W323" i="37"/>
  <c r="X322" i="37"/>
  <c r="W322" i="37"/>
  <c r="X321" i="37"/>
  <c r="W321" i="37"/>
  <c r="X320" i="37"/>
  <c r="W320" i="37"/>
  <c r="X319" i="37"/>
  <c r="W319" i="37"/>
  <c r="X318" i="37"/>
  <c r="W318" i="37"/>
  <c r="X317" i="37"/>
  <c r="W317" i="37"/>
  <c r="X316" i="37"/>
  <c r="W316" i="37"/>
  <c r="X315" i="37"/>
  <c r="W315" i="37"/>
  <c r="X314" i="37"/>
  <c r="W314" i="37"/>
  <c r="X313" i="37"/>
  <c r="W313" i="37"/>
  <c r="X312" i="37"/>
  <c r="W312" i="37"/>
  <c r="X311" i="37"/>
  <c r="W311" i="37"/>
  <c r="X310" i="37"/>
  <c r="W310" i="37"/>
  <c r="V309" i="37"/>
  <c r="V308" i="37"/>
  <c r="V307" i="37"/>
  <c r="V306" i="37"/>
  <c r="V305" i="37"/>
  <c r="V304" i="37"/>
  <c r="V303" i="37"/>
  <c r="V302" i="37"/>
  <c r="AB302" i="37" s="1"/>
  <c r="V301" i="37"/>
  <c r="V300" i="37"/>
  <c r="V299" i="37"/>
  <c r="V298" i="37"/>
  <c r="V297" i="37"/>
  <c r="V296" i="37"/>
  <c r="V295" i="37"/>
  <c r="V294" i="37"/>
  <c r="V293" i="37"/>
  <c r="V292" i="37"/>
  <c r="V291" i="37"/>
  <c r="V290" i="37"/>
  <c r="AB290" i="37" s="1"/>
  <c r="V289" i="37"/>
  <c r="V288" i="37"/>
  <c r="X287" i="37"/>
  <c r="W287" i="37"/>
  <c r="X286" i="37"/>
  <c r="W286" i="37"/>
  <c r="X285" i="37"/>
  <c r="W285" i="37"/>
  <c r="X284" i="37"/>
  <c r="W284" i="37"/>
  <c r="X283" i="37"/>
  <c r="W283" i="37"/>
  <c r="X282" i="37"/>
  <c r="W282" i="37"/>
  <c r="X281" i="37"/>
  <c r="W281" i="37"/>
  <c r="X280" i="37"/>
  <c r="W280" i="37"/>
  <c r="X279" i="37"/>
  <c r="W279" i="37"/>
  <c r="X278" i="37"/>
  <c r="W278" i="37"/>
  <c r="X277" i="37"/>
  <c r="W277" i="37"/>
  <c r="X276" i="37"/>
  <c r="W276" i="37"/>
  <c r="X275" i="37"/>
  <c r="W275" i="37"/>
  <c r="X274" i="37"/>
  <c r="W274" i="37"/>
  <c r="X273" i="37"/>
  <c r="W273" i="37"/>
  <c r="X272" i="37"/>
  <c r="W272" i="37"/>
  <c r="X271" i="37"/>
  <c r="W271" i="37"/>
  <c r="X270" i="37"/>
  <c r="AD270" i="37" s="1"/>
  <c r="W270" i="37"/>
  <c r="X269" i="37"/>
  <c r="W269" i="37"/>
  <c r="X268" i="37"/>
  <c r="W268" i="37"/>
  <c r="X267" i="37"/>
  <c r="W267" i="37"/>
  <c r="AD183" i="38"/>
  <c r="X183" i="38"/>
  <c r="W183" i="38"/>
  <c r="AD182" i="38"/>
  <c r="X182" i="38"/>
  <c r="W182" i="38"/>
  <c r="AD181" i="38"/>
  <c r="X181" i="38"/>
  <c r="W181" i="38"/>
  <c r="AC181" i="38" s="1"/>
  <c r="AD180" i="38"/>
  <c r="X180" i="38"/>
  <c r="W180" i="38"/>
  <c r="AD179" i="38"/>
  <c r="X179" i="38"/>
  <c r="W179" i="38"/>
  <c r="AD178" i="38"/>
  <c r="X178" i="38"/>
  <c r="W178" i="38"/>
  <c r="AD177" i="38"/>
  <c r="X177" i="38"/>
  <c r="W177" i="38"/>
  <c r="AD176" i="38"/>
  <c r="X176" i="38"/>
  <c r="W176" i="38"/>
  <c r="AD175" i="38"/>
  <c r="X175" i="38"/>
  <c r="AC175" i="38" s="1"/>
  <c r="W175" i="38"/>
  <c r="AD174" i="38"/>
  <c r="X174" i="38"/>
  <c r="W174" i="38"/>
  <c r="AD173" i="38"/>
  <c r="X173" i="38"/>
  <c r="W173" i="38"/>
  <c r="AD172" i="38"/>
  <c r="X172" i="38"/>
  <c r="W172" i="38"/>
  <c r="AE171" i="38"/>
  <c r="V171" i="38"/>
  <c r="AB171" i="38" s="1"/>
  <c r="AE170" i="38"/>
  <c r="V170" i="38"/>
  <c r="AB170" i="38" s="1"/>
  <c r="AE169" i="38"/>
  <c r="V169" i="38"/>
  <c r="AB169" i="38" s="1"/>
  <c r="AE168" i="38"/>
  <c r="V168" i="38"/>
  <c r="AB168" i="38" s="1"/>
  <c r="AE167" i="38"/>
  <c r="V167" i="38"/>
  <c r="AB167" i="38" s="1"/>
  <c r="AE166" i="38"/>
  <c r="V166" i="38"/>
  <c r="AB166" i="38" s="1"/>
  <c r="AE165" i="38"/>
  <c r="V165" i="38"/>
  <c r="AB165" i="38" s="1"/>
  <c r="AE164" i="38"/>
  <c r="V164" i="38"/>
  <c r="AB164" i="38" s="1"/>
  <c r="AE163" i="38"/>
  <c r="V163" i="38"/>
  <c r="AB163" i="38" s="1"/>
  <c r="AE162" i="38"/>
  <c r="V162" i="38"/>
  <c r="AB162" i="38" s="1"/>
  <c r="AE161" i="38"/>
  <c r="V161" i="38"/>
  <c r="AB161" i="38" s="1"/>
  <c r="AE160" i="38"/>
  <c r="V160" i="38"/>
  <c r="AB160" i="38" s="1"/>
  <c r="AD159" i="38"/>
  <c r="X159" i="38"/>
  <c r="W159" i="38"/>
  <c r="AD158" i="38"/>
  <c r="X158" i="38"/>
  <c r="W158" i="38"/>
  <c r="AC158" i="38" s="1"/>
  <c r="AD157" i="38"/>
  <c r="X157" i="38"/>
  <c r="W157" i="38"/>
  <c r="AD156" i="38"/>
  <c r="X156" i="38"/>
  <c r="W156" i="38"/>
  <c r="AC156" i="38" s="1"/>
  <c r="AD155" i="38"/>
  <c r="X155" i="38"/>
  <c r="W155" i="38"/>
  <c r="AD154" i="38"/>
  <c r="X154" i="38"/>
  <c r="W154" i="38"/>
  <c r="AD153" i="38"/>
  <c r="X153" i="38"/>
  <c r="W153" i="38"/>
  <c r="AC153" i="38" s="1"/>
  <c r="AD152" i="38"/>
  <c r="X152" i="38"/>
  <c r="AC152" i="38" s="1"/>
  <c r="W152" i="38"/>
  <c r="AD151" i="38"/>
  <c r="X151" i="38"/>
  <c r="W151" i="38"/>
  <c r="AC151" i="38" s="1"/>
  <c r="AD150" i="38"/>
  <c r="X150" i="38"/>
  <c r="W150" i="38"/>
  <c r="AD149" i="38"/>
  <c r="X149" i="38"/>
  <c r="W149" i="38"/>
  <c r="AC149" i="38" s="1"/>
  <c r="AD148" i="38"/>
  <c r="X148" i="38"/>
  <c r="W148" i="38"/>
  <c r="AC148" i="38" s="1"/>
  <c r="AD147" i="38"/>
  <c r="X147" i="38"/>
  <c r="W147" i="38"/>
  <c r="AC147" i="38" s="1"/>
  <c r="AD146" i="38"/>
  <c r="X146" i="38"/>
  <c r="W146" i="38"/>
  <c r="AD145" i="38"/>
  <c r="X145" i="38"/>
  <c r="W145" i="38"/>
  <c r="AC145" i="38" s="1"/>
  <c r="AD144" i="38"/>
  <c r="AC144" i="38"/>
  <c r="X144" i="38"/>
  <c r="W144" i="38"/>
  <c r="AD143" i="38"/>
  <c r="X143" i="38"/>
  <c r="W143" i="38"/>
  <c r="AC143" i="38" s="1"/>
  <c r="AD142" i="38"/>
  <c r="X142" i="38"/>
  <c r="W142" i="38"/>
  <c r="AD141" i="38"/>
  <c r="X141" i="38"/>
  <c r="W141" i="38"/>
  <c r="AC141" i="38" s="1"/>
  <c r="AD140" i="38"/>
  <c r="X140" i="38"/>
  <c r="W140" i="38"/>
  <c r="AD139" i="38"/>
  <c r="X139" i="38"/>
  <c r="W139" i="38"/>
  <c r="AC139" i="38" s="1"/>
  <c r="AD138" i="38"/>
  <c r="X138" i="38"/>
  <c r="W138" i="38"/>
  <c r="AC138" i="38" s="1"/>
  <c r="AD137" i="38"/>
  <c r="X137" i="38"/>
  <c r="W137" i="38"/>
  <c r="AD136" i="38"/>
  <c r="X136" i="38"/>
  <c r="W136" i="38"/>
  <c r="AC136" i="38" s="1"/>
  <c r="AE135" i="38"/>
  <c r="V135" i="38"/>
  <c r="AB135" i="38" s="1"/>
  <c r="AE134" i="38"/>
  <c r="V134" i="38"/>
  <c r="AB134" i="38" s="1"/>
  <c r="AE133" i="38"/>
  <c r="V133" i="38"/>
  <c r="AB133" i="38" s="1"/>
  <c r="AE132" i="38"/>
  <c r="V132" i="38"/>
  <c r="AB132" i="38" s="1"/>
  <c r="AE131" i="38"/>
  <c r="V131" i="38"/>
  <c r="AB131" i="38" s="1"/>
  <c r="AE130" i="38"/>
  <c r="V130" i="38"/>
  <c r="AB130" i="38" s="1"/>
  <c r="AE129" i="38"/>
  <c r="V129" i="38"/>
  <c r="AB129" i="38" s="1"/>
  <c r="AE128" i="38"/>
  <c r="V128" i="38"/>
  <c r="AB128" i="38" s="1"/>
  <c r="AE127" i="38"/>
  <c r="V127" i="38"/>
  <c r="AB127" i="38" s="1"/>
  <c r="AE126" i="38"/>
  <c r="V126" i="38"/>
  <c r="AB126" i="38" s="1"/>
  <c r="AE125" i="38"/>
  <c r="V125" i="38"/>
  <c r="AB125" i="38" s="1"/>
  <c r="AE124" i="38"/>
  <c r="V124" i="38"/>
  <c r="AB124" i="38" s="1"/>
  <c r="AD123" i="38"/>
  <c r="X123" i="38"/>
  <c r="W123" i="38"/>
  <c r="AD122" i="38"/>
  <c r="X122" i="38"/>
  <c r="W122" i="38"/>
  <c r="AD121" i="38"/>
  <c r="X121" i="38"/>
  <c r="W121" i="38"/>
  <c r="AD120" i="38"/>
  <c r="AC120" i="38"/>
  <c r="X120" i="38"/>
  <c r="W120" i="38"/>
  <c r="AD119" i="38"/>
  <c r="X119" i="38"/>
  <c r="W119" i="38"/>
  <c r="AC119" i="38" s="1"/>
  <c r="AD118" i="38"/>
  <c r="X118" i="38"/>
  <c r="W118" i="38"/>
  <c r="AD117" i="38"/>
  <c r="X117" i="38"/>
  <c r="W117" i="38"/>
  <c r="AC117" i="38" s="1"/>
  <c r="AD116" i="38"/>
  <c r="X116" i="38"/>
  <c r="W116" i="38"/>
  <c r="AD115" i="38"/>
  <c r="X115" i="38"/>
  <c r="W115" i="38"/>
  <c r="AD114" i="38"/>
  <c r="X114" i="38"/>
  <c r="W114" i="38"/>
  <c r="AD113" i="38"/>
  <c r="X113" i="38"/>
  <c r="W113" i="38"/>
  <c r="AD112" i="38"/>
  <c r="X112" i="38"/>
  <c r="W112" i="38"/>
  <c r="AC112" i="38" s="1"/>
  <c r="AD111" i="38"/>
  <c r="AC111" i="38"/>
  <c r="X111" i="38"/>
  <c r="W111" i="38"/>
  <c r="AD110" i="38"/>
  <c r="X110" i="38"/>
  <c r="W110" i="38"/>
  <c r="AD109" i="38"/>
  <c r="X109" i="38"/>
  <c r="W109" i="38"/>
  <c r="AC109" i="38" s="1"/>
  <c r="AD108" i="38"/>
  <c r="X108" i="38"/>
  <c r="W108" i="38"/>
  <c r="AD107" i="38"/>
  <c r="X107" i="38"/>
  <c r="W107" i="38"/>
  <c r="AD106" i="38"/>
  <c r="X106" i="38"/>
  <c r="W106" i="38"/>
  <c r="AD105" i="38"/>
  <c r="X105" i="38"/>
  <c r="W105" i="38"/>
  <c r="AD104" i="38"/>
  <c r="X104" i="38"/>
  <c r="W104" i="38"/>
  <c r="AC104" i="38" s="1"/>
  <c r="AD103" i="38"/>
  <c r="AC103" i="38"/>
  <c r="X103" i="38"/>
  <c r="W103" i="38"/>
  <c r="AD102" i="38"/>
  <c r="X102" i="38"/>
  <c r="W102" i="38"/>
  <c r="AC102" i="38" s="1"/>
  <c r="AD101" i="38"/>
  <c r="X101" i="38"/>
  <c r="W101" i="38"/>
  <c r="AC101" i="38" s="1"/>
  <c r="AD100" i="38"/>
  <c r="X100" i="38"/>
  <c r="W100" i="38"/>
  <c r="AD99" i="38"/>
  <c r="X99" i="38"/>
  <c r="W99" i="38"/>
  <c r="AD98" i="38"/>
  <c r="X98" i="38"/>
  <c r="W98" i="38"/>
  <c r="AD97" i="38"/>
  <c r="X97" i="38"/>
  <c r="W97" i="38"/>
  <c r="AD96" i="38"/>
  <c r="X96" i="38"/>
  <c r="AC96" i="38" s="1"/>
  <c r="W96" i="38"/>
  <c r="AD95" i="38"/>
  <c r="X95" i="38"/>
  <c r="W95" i="38"/>
  <c r="AC95" i="38" s="1"/>
  <c r="AD94" i="38"/>
  <c r="X94" i="38"/>
  <c r="W94" i="38"/>
  <c r="AC94" i="38" s="1"/>
  <c r="AD93" i="38"/>
  <c r="X93" i="38"/>
  <c r="W93" i="38"/>
  <c r="AE92" i="38"/>
  <c r="V92" i="38"/>
  <c r="AB92" i="38" s="1"/>
  <c r="AE91" i="38"/>
  <c r="AB91" i="38"/>
  <c r="V91" i="38"/>
  <c r="AE90" i="38"/>
  <c r="V90" i="38"/>
  <c r="AB90" i="38" s="1"/>
  <c r="AE89" i="38"/>
  <c r="V89" i="38"/>
  <c r="AB89" i="38" s="1"/>
  <c r="AE88" i="38"/>
  <c r="V88" i="38"/>
  <c r="AB88" i="38" s="1"/>
  <c r="AE87" i="38"/>
  <c r="V87" i="38"/>
  <c r="AB87" i="38" s="1"/>
  <c r="AE86" i="38"/>
  <c r="V86" i="38"/>
  <c r="AB86" i="38" s="1"/>
  <c r="AE85" i="38"/>
  <c r="V85" i="38"/>
  <c r="AB85" i="38" s="1"/>
  <c r="AE84" i="38"/>
  <c r="V84" i="38"/>
  <c r="AB84" i="38" s="1"/>
  <c r="AE83" i="38"/>
  <c r="V83" i="38"/>
  <c r="AB83" i="38" s="1"/>
  <c r="AE82" i="38"/>
  <c r="V82" i="38"/>
  <c r="AB82" i="38" s="1"/>
  <c r="AE81" i="38"/>
  <c r="V81" i="38"/>
  <c r="AB81" i="38" s="1"/>
  <c r="AE80" i="38"/>
  <c r="V80" i="38"/>
  <c r="AB80" i="38" s="1"/>
  <c r="AE79" i="38"/>
  <c r="V79" i="38"/>
  <c r="AB79" i="38" s="1"/>
  <c r="AE78" i="38"/>
  <c r="V78" i="38"/>
  <c r="AB78" i="38" s="1"/>
  <c r="AE77" i="38"/>
  <c r="V77" i="38"/>
  <c r="AB77" i="38" s="1"/>
  <c r="AE76" i="38"/>
  <c r="AB76" i="38"/>
  <c r="V76" i="38"/>
  <c r="AE75" i="38"/>
  <c r="V75" i="38"/>
  <c r="AB75" i="38" s="1"/>
  <c r="AE74" i="38"/>
  <c r="V74" i="38"/>
  <c r="AB74" i="38" s="1"/>
  <c r="AE73" i="38"/>
  <c r="V73" i="38"/>
  <c r="AB73" i="38" s="1"/>
  <c r="AE72" i="38"/>
  <c r="V72" i="38"/>
  <c r="AB72" i="38" s="1"/>
  <c r="AE71" i="38"/>
  <c r="V71" i="38"/>
  <c r="AB71" i="38" s="1"/>
  <c r="AD70" i="38"/>
  <c r="X70" i="38"/>
  <c r="W70" i="38"/>
  <c r="AD69" i="38"/>
  <c r="X69" i="38"/>
  <c r="W69" i="38"/>
  <c r="AD68" i="38"/>
  <c r="X68" i="38"/>
  <c r="W68" i="38"/>
  <c r="AD67" i="38"/>
  <c r="X67" i="38"/>
  <c r="W67" i="38"/>
  <c r="AD66" i="38"/>
  <c r="X66" i="38"/>
  <c r="W66" i="38"/>
  <c r="AD65" i="38"/>
  <c r="X65" i="38"/>
  <c r="W65" i="38"/>
  <c r="AD64" i="38"/>
  <c r="X64" i="38"/>
  <c r="W64" i="38"/>
  <c r="AD63" i="38"/>
  <c r="X63" i="38"/>
  <c r="W63" i="38"/>
  <c r="AD62" i="38"/>
  <c r="X62" i="38"/>
  <c r="W62" i="38"/>
  <c r="AD61" i="38"/>
  <c r="X61" i="38"/>
  <c r="W61" i="38"/>
  <c r="AD60" i="38"/>
  <c r="X60" i="38"/>
  <c r="W60" i="38"/>
  <c r="AD59" i="38"/>
  <c r="X59" i="38"/>
  <c r="W59" i="38"/>
  <c r="AD58" i="38"/>
  <c r="X58" i="38"/>
  <c r="W58" i="38"/>
  <c r="AD57" i="38"/>
  <c r="X57" i="38"/>
  <c r="W57" i="38"/>
  <c r="AD56" i="38"/>
  <c r="X56" i="38"/>
  <c r="W56" i="38"/>
  <c r="AD55" i="38"/>
  <c r="X55" i="38"/>
  <c r="W55" i="38"/>
  <c r="AD54" i="38"/>
  <c r="X54" i="38"/>
  <c r="W54" i="38"/>
  <c r="AD53" i="38"/>
  <c r="X53" i="38"/>
  <c r="W53" i="38"/>
  <c r="AD52" i="38"/>
  <c r="X52" i="38"/>
  <c r="W52" i="38"/>
  <c r="AD51" i="38"/>
  <c r="X51" i="38"/>
  <c r="W51" i="38"/>
  <c r="AD50" i="38"/>
  <c r="X50" i="38"/>
  <c r="W50" i="38"/>
  <c r="M40" i="5"/>
  <c r="M39" i="5"/>
  <c r="M38" i="5"/>
  <c r="AJ9" i="38"/>
  <c r="AI9" i="38"/>
  <c r="AJ4" i="38"/>
  <c r="AI4" i="38"/>
  <c r="AJ3" i="38"/>
  <c r="AI3" i="38"/>
  <c r="AD344" i="38"/>
  <c r="AD343" i="38"/>
  <c r="AD342" i="38"/>
  <c r="AD341" i="38"/>
  <c r="AD340" i="38"/>
  <c r="AD339" i="38"/>
  <c r="AD338" i="38"/>
  <c r="AD337" i="38"/>
  <c r="AD336" i="38"/>
  <c r="AD335" i="38"/>
  <c r="AD334" i="38"/>
  <c r="AD333" i="38"/>
  <c r="AD332" i="38"/>
  <c r="AD331" i="38"/>
  <c r="AD330" i="38"/>
  <c r="AD329" i="38"/>
  <c r="AD328" i="38"/>
  <c r="AD327" i="38"/>
  <c r="AD326" i="38"/>
  <c r="AD325" i="38"/>
  <c r="AD324" i="38"/>
  <c r="AD323" i="38"/>
  <c r="AD322" i="38"/>
  <c r="AD321" i="38"/>
  <c r="AD320" i="38"/>
  <c r="AD319" i="38"/>
  <c r="AD318" i="38"/>
  <c r="AD317" i="38"/>
  <c r="AD316" i="38"/>
  <c r="AD315" i="38"/>
  <c r="AD314" i="38"/>
  <c r="AD313" i="38"/>
  <c r="AD312" i="38"/>
  <c r="AD311" i="38"/>
  <c r="AD310" i="38"/>
  <c r="AD309" i="38"/>
  <c r="AD308" i="38"/>
  <c r="AD307" i="38"/>
  <c r="AD306" i="38"/>
  <c r="AD305" i="38"/>
  <c r="AD304" i="38"/>
  <c r="AD303" i="38"/>
  <c r="AD302" i="38"/>
  <c r="AD301" i="38"/>
  <c r="AD300" i="38"/>
  <c r="AD299" i="38"/>
  <c r="AD298" i="38"/>
  <c r="AD297" i="38"/>
  <c r="AD296" i="38"/>
  <c r="AD295" i="38"/>
  <c r="AD294" i="38"/>
  <c r="AD293" i="38"/>
  <c r="AD292" i="38"/>
  <c r="AD291" i="38"/>
  <c r="AD290" i="38"/>
  <c r="AD289" i="38"/>
  <c r="AD288" i="38"/>
  <c r="AD287" i="38"/>
  <c r="AD286" i="38"/>
  <c r="AD285" i="38"/>
  <c r="AD284" i="38"/>
  <c r="AD283" i="38"/>
  <c r="AD282" i="38"/>
  <c r="AD281" i="38"/>
  <c r="AD280" i="38"/>
  <c r="AD279" i="38"/>
  <c r="AD278" i="38"/>
  <c r="AD277" i="38"/>
  <c r="AD276" i="38"/>
  <c r="AD275" i="38"/>
  <c r="AD274" i="38"/>
  <c r="AD273" i="38"/>
  <c r="AD272" i="38"/>
  <c r="AD271" i="38"/>
  <c r="AD270" i="38"/>
  <c r="AD269" i="38"/>
  <c r="AD268" i="38"/>
  <c r="AD267" i="38"/>
  <c r="AD266" i="38"/>
  <c r="AD265" i="38"/>
  <c r="AD264" i="38"/>
  <c r="AD263" i="38"/>
  <c r="AD262" i="38"/>
  <c r="AD261" i="38"/>
  <c r="AD260" i="38"/>
  <c r="AD259" i="38"/>
  <c r="AD258" i="38"/>
  <c r="AD257" i="38"/>
  <c r="AD256" i="38"/>
  <c r="AD255" i="38"/>
  <c r="AD254" i="38"/>
  <c r="AD253" i="38"/>
  <c r="AD252" i="38"/>
  <c r="AD251" i="38"/>
  <c r="AD250" i="38"/>
  <c r="AD249" i="38"/>
  <c r="AD248" i="38"/>
  <c r="AD247" i="38"/>
  <c r="AD246" i="38"/>
  <c r="AD245" i="38"/>
  <c r="AD244" i="38"/>
  <c r="AD243" i="38"/>
  <c r="AD242" i="38"/>
  <c r="AD241" i="38"/>
  <c r="AD240" i="38"/>
  <c r="AD239" i="38"/>
  <c r="AD238" i="38"/>
  <c r="AD237" i="38"/>
  <c r="AD236" i="38"/>
  <c r="AD235" i="38"/>
  <c r="AD234" i="38"/>
  <c r="AD233" i="38"/>
  <c r="AD232" i="38"/>
  <c r="AD231" i="38"/>
  <c r="AD230" i="38"/>
  <c r="AD229" i="38"/>
  <c r="AD228" i="38"/>
  <c r="AD227" i="38"/>
  <c r="AD226" i="38"/>
  <c r="AD225" i="38"/>
  <c r="AD224" i="38"/>
  <c r="AD223" i="38"/>
  <c r="AD222" i="38"/>
  <c r="AD221" i="38"/>
  <c r="AD220" i="38"/>
  <c r="AD219" i="38"/>
  <c r="AD218" i="38"/>
  <c r="AD217" i="38"/>
  <c r="AD216" i="38"/>
  <c r="AD215" i="38"/>
  <c r="AD214" i="38"/>
  <c r="AD213" i="38"/>
  <c r="AD212" i="38"/>
  <c r="AD211" i="38"/>
  <c r="AD210" i="38"/>
  <c r="AD209" i="38"/>
  <c r="AD208" i="38"/>
  <c r="AD207" i="38"/>
  <c r="AD206" i="38"/>
  <c r="AD205" i="38"/>
  <c r="AD204" i="38"/>
  <c r="AD203" i="38"/>
  <c r="AD202" i="38"/>
  <c r="AD201" i="38"/>
  <c r="AD200" i="38"/>
  <c r="AD199" i="38"/>
  <c r="AD198" i="38"/>
  <c r="AD197" i="38"/>
  <c r="AD196" i="38"/>
  <c r="AD195" i="38"/>
  <c r="AD194" i="38"/>
  <c r="AD193" i="38"/>
  <c r="AD192" i="38"/>
  <c r="AD191" i="38"/>
  <c r="AD190" i="38"/>
  <c r="AD189" i="38"/>
  <c r="AD188" i="38"/>
  <c r="AD187" i="38"/>
  <c r="AD186" i="38"/>
  <c r="AD185" i="38"/>
  <c r="AD184" i="38"/>
  <c r="AD49" i="38"/>
  <c r="AD48" i="38"/>
  <c r="AD47" i="38"/>
  <c r="AD46" i="38"/>
  <c r="AD45" i="38"/>
  <c r="AD44" i="38"/>
  <c r="AD43" i="38"/>
  <c r="AD42" i="38"/>
  <c r="AD41" i="38"/>
  <c r="AD40" i="38"/>
  <c r="AD39" i="38"/>
  <c r="AD38" i="38"/>
  <c r="AD37" i="38"/>
  <c r="AD36" i="38"/>
  <c r="AD35" i="38"/>
  <c r="AD34" i="38"/>
  <c r="AD33" i="38"/>
  <c r="AD32" i="38"/>
  <c r="AD31" i="38"/>
  <c r="AD30" i="38"/>
  <c r="AD29" i="38"/>
  <c r="AD28" i="38"/>
  <c r="AD27" i="38"/>
  <c r="AD26" i="38"/>
  <c r="AE25" i="38"/>
  <c r="AE24" i="38"/>
  <c r="AE23" i="38"/>
  <c r="AE22" i="38"/>
  <c r="AE21" i="38"/>
  <c r="AE20" i="38"/>
  <c r="AE19" i="38"/>
  <c r="AE18" i="38"/>
  <c r="AE17" i="38"/>
  <c r="AE16" i="38"/>
  <c r="AE15" i="38"/>
  <c r="AE14" i="38"/>
  <c r="AD13" i="38"/>
  <c r="AD12" i="38"/>
  <c r="AD11" i="38"/>
  <c r="AD10" i="38"/>
  <c r="AD9" i="38"/>
  <c r="AD8" i="38"/>
  <c r="AD7" i="38"/>
  <c r="AD6" i="38"/>
  <c r="AD5" i="38"/>
  <c r="AD4" i="38"/>
  <c r="AD3" i="38"/>
  <c r="AD2" i="38"/>
  <c r="V356" i="38"/>
  <c r="AB356" i="38" s="1"/>
  <c r="V355" i="38"/>
  <c r="AB355" i="38" s="1"/>
  <c r="V354" i="38"/>
  <c r="AB354" i="38" s="1"/>
  <c r="V353" i="38"/>
  <c r="AB353" i="38" s="1"/>
  <c r="V352" i="38"/>
  <c r="AB352" i="38" s="1"/>
  <c r="V351" i="38"/>
  <c r="AB351" i="38" s="1"/>
  <c r="V350" i="38"/>
  <c r="AB350" i="38" s="1"/>
  <c r="V349" i="38"/>
  <c r="AB349" i="38" s="1"/>
  <c r="V348" i="38"/>
  <c r="AB348" i="38" s="1"/>
  <c r="V347" i="38"/>
  <c r="AB347" i="38" s="1"/>
  <c r="V346" i="38"/>
  <c r="AB346" i="38" s="1"/>
  <c r="V345" i="38"/>
  <c r="AB345" i="38" s="1"/>
  <c r="X344" i="38"/>
  <c r="W344" i="38"/>
  <c r="V344" i="38"/>
  <c r="AB344" i="38" s="1"/>
  <c r="X343" i="38"/>
  <c r="W343" i="38"/>
  <c r="V343" i="38"/>
  <c r="AB343" i="38" s="1"/>
  <c r="X342" i="38"/>
  <c r="W342" i="38"/>
  <c r="V342" i="38"/>
  <c r="AB342" i="38" s="1"/>
  <c r="X341" i="38"/>
  <c r="W341" i="38"/>
  <c r="V341" i="38"/>
  <c r="AB341" i="38" s="1"/>
  <c r="X340" i="38"/>
  <c r="W340" i="38"/>
  <c r="V340" i="38"/>
  <c r="AB340" i="38" s="1"/>
  <c r="X339" i="38"/>
  <c r="W339" i="38"/>
  <c r="V339" i="38"/>
  <c r="AB339" i="38" s="1"/>
  <c r="X338" i="38"/>
  <c r="W338" i="38"/>
  <c r="V338" i="38"/>
  <c r="AB338" i="38" s="1"/>
  <c r="X337" i="38"/>
  <c r="W337" i="38"/>
  <c r="V337" i="38"/>
  <c r="AB337" i="38" s="1"/>
  <c r="X336" i="38"/>
  <c r="W336" i="38"/>
  <c r="V336" i="38"/>
  <c r="AB336" i="38" s="1"/>
  <c r="X335" i="38"/>
  <c r="W335" i="38"/>
  <c r="V335" i="38"/>
  <c r="AB335" i="38" s="1"/>
  <c r="X334" i="38"/>
  <c r="W334" i="38"/>
  <c r="V334" i="38"/>
  <c r="AB334" i="38" s="1"/>
  <c r="X333" i="38"/>
  <c r="W333" i="38"/>
  <c r="V333" i="38"/>
  <c r="AB333" i="38" s="1"/>
  <c r="X332" i="38"/>
  <c r="W332" i="38"/>
  <c r="V332" i="38"/>
  <c r="AB332" i="38" s="1"/>
  <c r="X331" i="38"/>
  <c r="W331" i="38"/>
  <c r="V331" i="38"/>
  <c r="AB331" i="38" s="1"/>
  <c r="X330" i="38"/>
  <c r="W330" i="38"/>
  <c r="V330" i="38"/>
  <c r="AB330" i="38" s="1"/>
  <c r="X329" i="38"/>
  <c r="W329" i="38"/>
  <c r="V329" i="38"/>
  <c r="AB329" i="38" s="1"/>
  <c r="X328" i="38"/>
  <c r="W328" i="38"/>
  <c r="V328" i="38"/>
  <c r="AB328" i="38" s="1"/>
  <c r="X327" i="38"/>
  <c r="W327" i="38"/>
  <c r="V327" i="38"/>
  <c r="AB327" i="38" s="1"/>
  <c r="X326" i="38"/>
  <c r="W326" i="38"/>
  <c r="V326" i="38"/>
  <c r="AB326" i="38" s="1"/>
  <c r="X325" i="38"/>
  <c r="W325" i="38"/>
  <c r="V325" i="38"/>
  <c r="AB325" i="38" s="1"/>
  <c r="X324" i="38"/>
  <c r="W324" i="38"/>
  <c r="V324" i="38"/>
  <c r="AB324" i="38" s="1"/>
  <c r="X323" i="38"/>
  <c r="W323" i="38"/>
  <c r="V323" i="38"/>
  <c r="AB323" i="38" s="1"/>
  <c r="X322" i="38"/>
  <c r="W322" i="38"/>
  <c r="V322" i="38"/>
  <c r="AB322" i="38" s="1"/>
  <c r="X321" i="38"/>
  <c r="W321" i="38"/>
  <c r="V321" i="38"/>
  <c r="AB321" i="38" s="1"/>
  <c r="X320" i="38"/>
  <c r="W320" i="38"/>
  <c r="V320" i="38"/>
  <c r="AB320" i="38" s="1"/>
  <c r="X319" i="38"/>
  <c r="W319" i="38"/>
  <c r="V319" i="38"/>
  <c r="AB319" i="38" s="1"/>
  <c r="X318" i="38"/>
  <c r="W318" i="38"/>
  <c r="V318" i="38"/>
  <c r="AB318" i="38" s="1"/>
  <c r="X317" i="38"/>
  <c r="W317" i="38"/>
  <c r="V317" i="38"/>
  <c r="AB317" i="38" s="1"/>
  <c r="X316" i="38"/>
  <c r="W316" i="38"/>
  <c r="V316" i="38"/>
  <c r="AB316" i="38" s="1"/>
  <c r="X315" i="38"/>
  <c r="W315" i="38"/>
  <c r="V315" i="38"/>
  <c r="AB315" i="38" s="1"/>
  <c r="X314" i="38"/>
  <c r="W314" i="38"/>
  <c r="V314" i="38"/>
  <c r="AB314" i="38" s="1"/>
  <c r="X313" i="38"/>
  <c r="W313" i="38"/>
  <c r="V313" i="38"/>
  <c r="AB313" i="38" s="1"/>
  <c r="X312" i="38"/>
  <c r="W312" i="38"/>
  <c r="V312" i="38"/>
  <c r="AB312" i="38" s="1"/>
  <c r="X311" i="38"/>
  <c r="W311" i="38"/>
  <c r="V311" i="38"/>
  <c r="AB311" i="38" s="1"/>
  <c r="X310" i="38"/>
  <c r="W310" i="38"/>
  <c r="V310" i="38"/>
  <c r="AB310" i="38" s="1"/>
  <c r="X309" i="38"/>
  <c r="W309" i="38"/>
  <c r="V309" i="38"/>
  <c r="AB309" i="38" s="1"/>
  <c r="X308" i="38"/>
  <c r="W308" i="38"/>
  <c r="V308" i="38"/>
  <c r="AB308" i="38" s="1"/>
  <c r="X307" i="38"/>
  <c r="W307" i="38"/>
  <c r="V307" i="38"/>
  <c r="AB307" i="38" s="1"/>
  <c r="X306" i="38"/>
  <c r="W306" i="38"/>
  <c r="V306" i="38"/>
  <c r="AB306" i="38" s="1"/>
  <c r="X305" i="38"/>
  <c r="W305" i="38"/>
  <c r="V305" i="38"/>
  <c r="AB305" i="38" s="1"/>
  <c r="X304" i="38"/>
  <c r="W304" i="38"/>
  <c r="V304" i="38"/>
  <c r="AB304" i="38" s="1"/>
  <c r="X303" i="38"/>
  <c r="W303" i="38"/>
  <c r="V303" i="38"/>
  <c r="AB303" i="38" s="1"/>
  <c r="X302" i="38"/>
  <c r="W302" i="38"/>
  <c r="V302" i="38"/>
  <c r="AB302" i="38" s="1"/>
  <c r="X301" i="38"/>
  <c r="W301" i="38"/>
  <c r="V301" i="38"/>
  <c r="AB301" i="38" s="1"/>
  <c r="X300" i="38"/>
  <c r="W300" i="38"/>
  <c r="V300" i="38"/>
  <c r="AB300" i="38" s="1"/>
  <c r="X299" i="38"/>
  <c r="W299" i="38"/>
  <c r="V299" i="38"/>
  <c r="AB299" i="38" s="1"/>
  <c r="X298" i="38"/>
  <c r="W298" i="38"/>
  <c r="V298" i="38"/>
  <c r="AB298" i="38" s="1"/>
  <c r="X297" i="38"/>
  <c r="W297" i="38"/>
  <c r="V297" i="38"/>
  <c r="AB297" i="38" s="1"/>
  <c r="X296" i="38"/>
  <c r="W296" i="38"/>
  <c r="V296" i="38"/>
  <c r="AB296" i="38" s="1"/>
  <c r="X295" i="38"/>
  <c r="W295" i="38"/>
  <c r="V295" i="38"/>
  <c r="AB295" i="38" s="1"/>
  <c r="X294" i="38"/>
  <c r="W294" i="38"/>
  <c r="V294" i="38"/>
  <c r="AB294" i="38" s="1"/>
  <c r="X293" i="38"/>
  <c r="W293" i="38"/>
  <c r="V293" i="38"/>
  <c r="AB293" i="38" s="1"/>
  <c r="X292" i="38"/>
  <c r="W292" i="38"/>
  <c r="V292" i="38"/>
  <c r="AB292" i="38" s="1"/>
  <c r="X291" i="38"/>
  <c r="W291" i="38"/>
  <c r="V291" i="38"/>
  <c r="AB291" i="38" s="1"/>
  <c r="X290" i="38"/>
  <c r="W290" i="38"/>
  <c r="V290" i="38"/>
  <c r="AB290" i="38" s="1"/>
  <c r="X289" i="38"/>
  <c r="W289" i="38"/>
  <c r="V289" i="38"/>
  <c r="AB289" i="38" s="1"/>
  <c r="X288" i="38"/>
  <c r="W288" i="38"/>
  <c r="V288" i="38"/>
  <c r="AB288" i="38" s="1"/>
  <c r="X287" i="38"/>
  <c r="W287" i="38"/>
  <c r="V287" i="38"/>
  <c r="AB287" i="38" s="1"/>
  <c r="X286" i="38"/>
  <c r="W286" i="38"/>
  <c r="V286" i="38"/>
  <c r="AB286" i="38" s="1"/>
  <c r="X285" i="38"/>
  <c r="W285" i="38"/>
  <c r="V285" i="38"/>
  <c r="AB285" i="38" s="1"/>
  <c r="X284" i="38"/>
  <c r="W284" i="38"/>
  <c r="V284" i="38"/>
  <c r="AB284" i="38" s="1"/>
  <c r="X283" i="38"/>
  <c r="W283" i="38"/>
  <c r="V283" i="38"/>
  <c r="AB283" i="38" s="1"/>
  <c r="X282" i="38"/>
  <c r="W282" i="38"/>
  <c r="V282" i="38"/>
  <c r="AB282" i="38" s="1"/>
  <c r="X281" i="38"/>
  <c r="W281" i="38"/>
  <c r="V281" i="38"/>
  <c r="AB281" i="38" s="1"/>
  <c r="X280" i="38"/>
  <c r="W280" i="38"/>
  <c r="V280" i="38"/>
  <c r="AB280" i="38" s="1"/>
  <c r="X279" i="38"/>
  <c r="W279" i="38"/>
  <c r="V279" i="38"/>
  <c r="AB279" i="38" s="1"/>
  <c r="X278" i="38"/>
  <c r="W278" i="38"/>
  <c r="V278" i="38"/>
  <c r="AB278" i="38" s="1"/>
  <c r="X277" i="38"/>
  <c r="W277" i="38"/>
  <c r="V277" i="38"/>
  <c r="AB277" i="38" s="1"/>
  <c r="X276" i="38"/>
  <c r="W276" i="38"/>
  <c r="V276" i="38"/>
  <c r="AB276" i="38" s="1"/>
  <c r="X275" i="38"/>
  <c r="W275" i="38"/>
  <c r="V275" i="38"/>
  <c r="AB275" i="38" s="1"/>
  <c r="X274" i="38"/>
  <c r="W274" i="38"/>
  <c r="V274" i="38"/>
  <c r="AB274" i="38" s="1"/>
  <c r="X273" i="38"/>
  <c r="W273" i="38"/>
  <c r="V273" i="38"/>
  <c r="AB273" i="38" s="1"/>
  <c r="X272" i="38"/>
  <c r="W272" i="38"/>
  <c r="V272" i="38"/>
  <c r="AB272" i="38" s="1"/>
  <c r="X271" i="38"/>
  <c r="W271" i="38"/>
  <c r="V271" i="38"/>
  <c r="AB271" i="38" s="1"/>
  <c r="X270" i="38"/>
  <c r="W270" i="38"/>
  <c r="V270" i="38"/>
  <c r="AB270" i="38" s="1"/>
  <c r="X269" i="38"/>
  <c r="W269" i="38"/>
  <c r="V269" i="38"/>
  <c r="AB269" i="38" s="1"/>
  <c r="X268" i="38"/>
  <c r="W268" i="38"/>
  <c r="V268" i="38"/>
  <c r="AB268" i="38" s="1"/>
  <c r="X267" i="38"/>
  <c r="W267" i="38"/>
  <c r="V267" i="38"/>
  <c r="AB267" i="38" s="1"/>
  <c r="X266" i="38"/>
  <c r="W266" i="38"/>
  <c r="V266" i="38"/>
  <c r="AB266" i="38" s="1"/>
  <c r="X265" i="38"/>
  <c r="W265" i="38"/>
  <c r="V265" i="38"/>
  <c r="AB265" i="38" s="1"/>
  <c r="X264" i="38"/>
  <c r="W264" i="38"/>
  <c r="V264" i="38"/>
  <c r="AB264" i="38" s="1"/>
  <c r="X263" i="38"/>
  <c r="W263" i="38"/>
  <c r="V263" i="38"/>
  <c r="AB263" i="38" s="1"/>
  <c r="X262" i="38"/>
  <c r="W262" i="38"/>
  <c r="V262" i="38"/>
  <c r="AB262" i="38" s="1"/>
  <c r="X261" i="38"/>
  <c r="W261" i="38"/>
  <c r="V261" i="38"/>
  <c r="AB261" i="38" s="1"/>
  <c r="X260" i="38"/>
  <c r="W260" i="38"/>
  <c r="V260" i="38"/>
  <c r="AB260" i="38" s="1"/>
  <c r="X259" i="38"/>
  <c r="W259" i="38"/>
  <c r="V259" i="38"/>
  <c r="AB259" i="38" s="1"/>
  <c r="X258" i="38"/>
  <c r="W258" i="38"/>
  <c r="V258" i="38"/>
  <c r="AB258" i="38" s="1"/>
  <c r="X257" i="38"/>
  <c r="W257" i="38"/>
  <c r="V257" i="38"/>
  <c r="AB257" i="38" s="1"/>
  <c r="X256" i="38"/>
  <c r="W256" i="38"/>
  <c r="V256" i="38"/>
  <c r="AB256" i="38" s="1"/>
  <c r="X255" i="38"/>
  <c r="W255" i="38"/>
  <c r="V255" i="38"/>
  <c r="AB255" i="38" s="1"/>
  <c r="X254" i="38"/>
  <c r="W254" i="38"/>
  <c r="V254" i="38"/>
  <c r="AB254" i="38" s="1"/>
  <c r="X253" i="38"/>
  <c r="W253" i="38"/>
  <c r="V253" i="38"/>
  <c r="AB253" i="38" s="1"/>
  <c r="X252" i="38"/>
  <c r="W252" i="38"/>
  <c r="V252" i="38"/>
  <c r="AB252" i="38" s="1"/>
  <c r="X251" i="38"/>
  <c r="W251" i="38"/>
  <c r="V251" i="38"/>
  <c r="AB251" i="38" s="1"/>
  <c r="X250" i="38"/>
  <c r="W250" i="38"/>
  <c r="V250" i="38"/>
  <c r="AB250" i="38" s="1"/>
  <c r="X249" i="38"/>
  <c r="W249" i="38"/>
  <c r="V249" i="38"/>
  <c r="AB249" i="38" s="1"/>
  <c r="X248" i="38"/>
  <c r="W248" i="38"/>
  <c r="V248" i="38"/>
  <c r="AB248" i="38" s="1"/>
  <c r="X247" i="38"/>
  <c r="W247" i="38"/>
  <c r="V247" i="38"/>
  <c r="AB247" i="38" s="1"/>
  <c r="X246" i="38"/>
  <c r="W246" i="38"/>
  <c r="V246" i="38"/>
  <c r="AB246" i="38" s="1"/>
  <c r="X245" i="38"/>
  <c r="W245" i="38"/>
  <c r="V245" i="38"/>
  <c r="AB245" i="38" s="1"/>
  <c r="X244" i="38"/>
  <c r="W244" i="38"/>
  <c r="V244" i="38"/>
  <c r="AB244" i="38" s="1"/>
  <c r="X243" i="38"/>
  <c r="W243" i="38"/>
  <c r="V243" i="38"/>
  <c r="AB243" i="38" s="1"/>
  <c r="X242" i="38"/>
  <c r="W242" i="38"/>
  <c r="V242" i="38"/>
  <c r="AB242" i="38" s="1"/>
  <c r="X241" i="38"/>
  <c r="W241" i="38"/>
  <c r="V241" i="38"/>
  <c r="AB241" i="38" s="1"/>
  <c r="X240" i="38"/>
  <c r="W240" i="38"/>
  <c r="V240" i="38"/>
  <c r="AB240" i="38" s="1"/>
  <c r="X239" i="38"/>
  <c r="W239" i="38"/>
  <c r="V239" i="38"/>
  <c r="AB239" i="38" s="1"/>
  <c r="X238" i="38"/>
  <c r="W238" i="38"/>
  <c r="V238" i="38"/>
  <c r="AB238" i="38" s="1"/>
  <c r="X237" i="38"/>
  <c r="W237" i="38"/>
  <c r="V237" i="38"/>
  <c r="AB237" i="38" s="1"/>
  <c r="X236" i="38"/>
  <c r="W236" i="38"/>
  <c r="V236" i="38"/>
  <c r="AB236" i="38" s="1"/>
  <c r="X235" i="38"/>
  <c r="W235" i="38"/>
  <c r="V235" i="38"/>
  <c r="AB235" i="38" s="1"/>
  <c r="X234" i="38"/>
  <c r="W234" i="38"/>
  <c r="V234" i="38"/>
  <c r="AB234" i="38" s="1"/>
  <c r="X233" i="38"/>
  <c r="W233" i="38"/>
  <c r="V233" i="38"/>
  <c r="AB233" i="38" s="1"/>
  <c r="X232" i="38"/>
  <c r="W232" i="38"/>
  <c r="V232" i="38"/>
  <c r="AB232" i="38" s="1"/>
  <c r="X231" i="38"/>
  <c r="W231" i="38"/>
  <c r="V231" i="38"/>
  <c r="AB231" i="38" s="1"/>
  <c r="X230" i="38"/>
  <c r="W230" i="38"/>
  <c r="V230" i="38"/>
  <c r="AB230" i="38" s="1"/>
  <c r="X229" i="38"/>
  <c r="W229" i="38"/>
  <c r="V229" i="38"/>
  <c r="AB229" i="38" s="1"/>
  <c r="X228" i="38"/>
  <c r="W228" i="38"/>
  <c r="V228" i="38"/>
  <c r="AB228" i="38" s="1"/>
  <c r="X227" i="38"/>
  <c r="W227" i="38"/>
  <c r="V227" i="38"/>
  <c r="AB227" i="38" s="1"/>
  <c r="X226" i="38"/>
  <c r="W226" i="38"/>
  <c r="V226" i="38"/>
  <c r="AB226" i="38" s="1"/>
  <c r="X225" i="38"/>
  <c r="W225" i="38"/>
  <c r="V225" i="38"/>
  <c r="AB225" i="38" s="1"/>
  <c r="X224" i="38"/>
  <c r="W224" i="38"/>
  <c r="V224" i="38"/>
  <c r="AB224" i="38" s="1"/>
  <c r="X223" i="38"/>
  <c r="W223" i="38"/>
  <c r="V223" i="38"/>
  <c r="AB223" i="38" s="1"/>
  <c r="X222" i="38"/>
  <c r="W222" i="38"/>
  <c r="V222" i="38"/>
  <c r="AB222" i="38" s="1"/>
  <c r="X221" i="38"/>
  <c r="W221" i="38"/>
  <c r="V221" i="38"/>
  <c r="AB221" i="38" s="1"/>
  <c r="X220" i="38"/>
  <c r="W220" i="38"/>
  <c r="V220" i="38"/>
  <c r="AB220" i="38" s="1"/>
  <c r="X219" i="38"/>
  <c r="W219" i="38"/>
  <c r="V219" i="38"/>
  <c r="AB219" i="38" s="1"/>
  <c r="X218" i="38"/>
  <c r="W218" i="38"/>
  <c r="V218" i="38"/>
  <c r="AB218" i="38" s="1"/>
  <c r="X217" i="38"/>
  <c r="W217" i="38"/>
  <c r="V217" i="38"/>
  <c r="AB217" i="38" s="1"/>
  <c r="X216" i="38"/>
  <c r="W216" i="38"/>
  <c r="V216" i="38"/>
  <c r="AB216" i="38" s="1"/>
  <c r="X215" i="38"/>
  <c r="W215" i="38"/>
  <c r="V215" i="38"/>
  <c r="AB215" i="38" s="1"/>
  <c r="X214" i="38"/>
  <c r="W214" i="38"/>
  <c r="V214" i="38"/>
  <c r="AB214" i="38" s="1"/>
  <c r="X213" i="38"/>
  <c r="W213" i="38"/>
  <c r="V213" i="38"/>
  <c r="AB213" i="38" s="1"/>
  <c r="X212" i="38"/>
  <c r="W212" i="38"/>
  <c r="V212" i="38"/>
  <c r="AB212" i="38" s="1"/>
  <c r="X211" i="38"/>
  <c r="W211" i="38"/>
  <c r="V211" i="38"/>
  <c r="AB211" i="38" s="1"/>
  <c r="X210" i="38"/>
  <c r="W210" i="38"/>
  <c r="V210" i="38"/>
  <c r="AB210" i="38" s="1"/>
  <c r="X209" i="38"/>
  <c r="W209" i="38"/>
  <c r="V209" i="38"/>
  <c r="AB209" i="38" s="1"/>
  <c r="X208" i="38"/>
  <c r="W208" i="38"/>
  <c r="V208" i="38"/>
  <c r="AB208" i="38" s="1"/>
  <c r="X207" i="38"/>
  <c r="W207" i="38"/>
  <c r="V207" i="38"/>
  <c r="AB207" i="38" s="1"/>
  <c r="X206" i="38"/>
  <c r="W206" i="38"/>
  <c r="V206" i="38"/>
  <c r="AB206" i="38" s="1"/>
  <c r="X205" i="38"/>
  <c r="W205" i="38"/>
  <c r="V205" i="38"/>
  <c r="AB205" i="38" s="1"/>
  <c r="X204" i="38"/>
  <c r="W204" i="38"/>
  <c r="V204" i="38"/>
  <c r="AB204" i="38" s="1"/>
  <c r="X203" i="38"/>
  <c r="W203" i="38"/>
  <c r="V203" i="38"/>
  <c r="AB203" i="38" s="1"/>
  <c r="X202" i="38"/>
  <c r="W202" i="38"/>
  <c r="V202" i="38"/>
  <c r="AB202" i="38" s="1"/>
  <c r="X201" i="38"/>
  <c r="W201" i="38"/>
  <c r="V201" i="38"/>
  <c r="AB201" i="38" s="1"/>
  <c r="X200" i="38"/>
  <c r="W200" i="38"/>
  <c r="V200" i="38"/>
  <c r="AB200" i="38" s="1"/>
  <c r="X199" i="38"/>
  <c r="W199" i="38"/>
  <c r="V199" i="38"/>
  <c r="AB199" i="38" s="1"/>
  <c r="X198" i="38"/>
  <c r="W198" i="38"/>
  <c r="V198" i="38"/>
  <c r="AB198" i="38" s="1"/>
  <c r="X197" i="38"/>
  <c r="W197" i="38"/>
  <c r="V197" i="38"/>
  <c r="AB197" i="38" s="1"/>
  <c r="X196" i="38"/>
  <c r="W196" i="38"/>
  <c r="V196" i="38"/>
  <c r="AB196" i="38" s="1"/>
  <c r="X195" i="38"/>
  <c r="W195" i="38"/>
  <c r="V195" i="38"/>
  <c r="AB195" i="38" s="1"/>
  <c r="X194" i="38"/>
  <c r="W194" i="38"/>
  <c r="V194" i="38"/>
  <c r="AB194" i="38" s="1"/>
  <c r="X193" i="38"/>
  <c r="W193" i="38"/>
  <c r="V193" i="38"/>
  <c r="AB193" i="38" s="1"/>
  <c r="X192" i="38"/>
  <c r="W192" i="38"/>
  <c r="V192" i="38"/>
  <c r="AB192" i="38" s="1"/>
  <c r="X191" i="38"/>
  <c r="W191" i="38"/>
  <c r="V191" i="38"/>
  <c r="AB191" i="38" s="1"/>
  <c r="X190" i="38"/>
  <c r="W190" i="38"/>
  <c r="V190" i="38"/>
  <c r="AB190" i="38" s="1"/>
  <c r="X189" i="38"/>
  <c r="W189" i="38"/>
  <c r="V189" i="38"/>
  <c r="AB189" i="38" s="1"/>
  <c r="X188" i="38"/>
  <c r="W188" i="38"/>
  <c r="V188" i="38"/>
  <c r="AB188" i="38" s="1"/>
  <c r="X187" i="38"/>
  <c r="W187" i="38"/>
  <c r="V187" i="38"/>
  <c r="AB187" i="38" s="1"/>
  <c r="X186" i="38"/>
  <c r="W186" i="38"/>
  <c r="V186" i="38"/>
  <c r="AB186" i="38" s="1"/>
  <c r="X185" i="38"/>
  <c r="W185" i="38"/>
  <c r="V185" i="38"/>
  <c r="AB185" i="38" s="1"/>
  <c r="X184" i="38"/>
  <c r="W184" i="38"/>
  <c r="V184" i="38"/>
  <c r="AB184" i="38" s="1"/>
  <c r="V183" i="38"/>
  <c r="AB183" i="38" s="1"/>
  <c r="V182" i="38"/>
  <c r="AB182" i="38" s="1"/>
  <c r="V181" i="38"/>
  <c r="AB181" i="38" s="1"/>
  <c r="V180" i="38"/>
  <c r="AB180" i="38" s="1"/>
  <c r="V179" i="38"/>
  <c r="AB179" i="38" s="1"/>
  <c r="V178" i="38"/>
  <c r="AB178" i="38" s="1"/>
  <c r="V177" i="38"/>
  <c r="AB177" i="38" s="1"/>
  <c r="V176" i="38"/>
  <c r="AB176" i="38" s="1"/>
  <c r="V175" i="38"/>
  <c r="AB175" i="38" s="1"/>
  <c r="V174" i="38"/>
  <c r="AB174" i="38" s="1"/>
  <c r="V173" i="38"/>
  <c r="AB173" i="38" s="1"/>
  <c r="V172" i="38"/>
  <c r="AB172" i="38" s="1"/>
  <c r="X171" i="38"/>
  <c r="W171" i="38"/>
  <c r="X170" i="38"/>
  <c r="W170" i="38"/>
  <c r="X169" i="38"/>
  <c r="W169" i="38"/>
  <c r="X168" i="38"/>
  <c r="W168" i="38"/>
  <c r="AC168" i="38" s="1"/>
  <c r="X167" i="38"/>
  <c r="W167" i="38"/>
  <c r="X166" i="38"/>
  <c r="W166" i="38"/>
  <c r="X165" i="38"/>
  <c r="W165" i="38"/>
  <c r="X164" i="38"/>
  <c r="W164" i="38"/>
  <c r="AC164" i="38" s="1"/>
  <c r="X163" i="38"/>
  <c r="W163" i="38"/>
  <c r="X162" i="38"/>
  <c r="W162" i="38"/>
  <c r="X161" i="38"/>
  <c r="W161" i="38"/>
  <c r="X160" i="38"/>
  <c r="W160" i="38"/>
  <c r="AC160" i="38" s="1"/>
  <c r="V159" i="38"/>
  <c r="AB159" i="38" s="1"/>
  <c r="V158" i="38"/>
  <c r="AB158" i="38" s="1"/>
  <c r="V157" i="38"/>
  <c r="AB157" i="38" s="1"/>
  <c r="V156" i="38"/>
  <c r="AB156" i="38" s="1"/>
  <c r="V155" i="38"/>
  <c r="AB155" i="38" s="1"/>
  <c r="V154" i="38"/>
  <c r="AB154" i="38" s="1"/>
  <c r="V153" i="38"/>
  <c r="AB153" i="38" s="1"/>
  <c r="V152" i="38"/>
  <c r="AB152" i="38" s="1"/>
  <c r="V151" i="38"/>
  <c r="AB151" i="38" s="1"/>
  <c r="V150" i="38"/>
  <c r="AB150" i="38" s="1"/>
  <c r="V149" i="38"/>
  <c r="AB149" i="38" s="1"/>
  <c r="V148" i="38"/>
  <c r="AB148" i="38" s="1"/>
  <c r="V147" i="38"/>
  <c r="AB147" i="38" s="1"/>
  <c r="V146" i="38"/>
  <c r="AB146" i="38" s="1"/>
  <c r="V145" i="38"/>
  <c r="AB145" i="38" s="1"/>
  <c r="V144" i="38"/>
  <c r="AB144" i="38" s="1"/>
  <c r="V143" i="38"/>
  <c r="AB143" i="38" s="1"/>
  <c r="V142" i="38"/>
  <c r="AB142" i="38" s="1"/>
  <c r="V141" i="38"/>
  <c r="AB141" i="38" s="1"/>
  <c r="V140" i="38"/>
  <c r="AB140" i="38" s="1"/>
  <c r="V139" i="38"/>
  <c r="AB139" i="38" s="1"/>
  <c r="V138" i="38"/>
  <c r="AB138" i="38" s="1"/>
  <c r="V137" i="38"/>
  <c r="AB137" i="38" s="1"/>
  <c r="V136" i="38"/>
  <c r="AB136" i="38" s="1"/>
  <c r="X135" i="38"/>
  <c r="W135" i="38"/>
  <c r="X134" i="38"/>
  <c r="W134" i="38"/>
  <c r="X133" i="38"/>
  <c r="W133" i="38"/>
  <c r="X132" i="38"/>
  <c r="W132" i="38"/>
  <c r="AC132" i="38" s="1"/>
  <c r="X131" i="38"/>
  <c r="W131" i="38"/>
  <c r="X130" i="38"/>
  <c r="W130" i="38"/>
  <c r="X129" i="38"/>
  <c r="W129" i="38"/>
  <c r="X128" i="38"/>
  <c r="W128" i="38"/>
  <c r="AC128" i="38" s="1"/>
  <c r="X127" i="38"/>
  <c r="W127" i="38"/>
  <c r="X126" i="38"/>
  <c r="W126" i="38"/>
  <c r="X125" i="38"/>
  <c r="W125" i="38"/>
  <c r="AC125" i="38" s="1"/>
  <c r="X124" i="38"/>
  <c r="W124" i="38"/>
  <c r="AC124" i="38" s="1"/>
  <c r="V123" i="38"/>
  <c r="AB123" i="38" s="1"/>
  <c r="V122" i="38"/>
  <c r="AB122" i="38" s="1"/>
  <c r="V121" i="38"/>
  <c r="AB121" i="38" s="1"/>
  <c r="V120" i="38"/>
  <c r="AB120" i="38" s="1"/>
  <c r="V119" i="38"/>
  <c r="AB119" i="38" s="1"/>
  <c r="V118" i="38"/>
  <c r="AB118" i="38" s="1"/>
  <c r="V117" i="38"/>
  <c r="AB117" i="38" s="1"/>
  <c r="V116" i="38"/>
  <c r="AB116" i="38" s="1"/>
  <c r="V115" i="38"/>
  <c r="AB115" i="38" s="1"/>
  <c r="V114" i="38"/>
  <c r="AB114" i="38" s="1"/>
  <c r="V113" i="38"/>
  <c r="AB113" i="38" s="1"/>
  <c r="V112" i="38"/>
  <c r="AB112" i="38" s="1"/>
  <c r="V111" i="38"/>
  <c r="AB111" i="38" s="1"/>
  <c r="V110" i="38"/>
  <c r="AB110" i="38" s="1"/>
  <c r="V109" i="38"/>
  <c r="AB109" i="38" s="1"/>
  <c r="V108" i="38"/>
  <c r="AB108" i="38" s="1"/>
  <c r="V107" i="38"/>
  <c r="AB107" i="38" s="1"/>
  <c r="V106" i="38"/>
  <c r="AB106" i="38" s="1"/>
  <c r="V105" i="38"/>
  <c r="AB105" i="38" s="1"/>
  <c r="V104" i="38"/>
  <c r="AB104" i="38" s="1"/>
  <c r="V103" i="38"/>
  <c r="AB103" i="38" s="1"/>
  <c r="V102" i="38"/>
  <c r="AB102" i="38" s="1"/>
  <c r="V101" i="38"/>
  <c r="AB101" i="38" s="1"/>
  <c r="V100" i="38"/>
  <c r="AB100" i="38" s="1"/>
  <c r="V99" i="38"/>
  <c r="AB99" i="38" s="1"/>
  <c r="V98" i="38"/>
  <c r="AB98" i="38" s="1"/>
  <c r="V97" i="38"/>
  <c r="AB97" i="38" s="1"/>
  <c r="V96" i="38"/>
  <c r="AB96" i="38" s="1"/>
  <c r="V95" i="38"/>
  <c r="AB95" i="38" s="1"/>
  <c r="V94" i="38"/>
  <c r="AB94" i="38" s="1"/>
  <c r="V93" i="38"/>
  <c r="AB93" i="38" s="1"/>
  <c r="X92" i="38"/>
  <c r="W92" i="38"/>
  <c r="X91" i="38"/>
  <c r="W91" i="38"/>
  <c r="X90" i="38"/>
  <c r="W90" i="38"/>
  <c r="X89" i="38"/>
  <c r="W89" i="38"/>
  <c r="X88" i="38"/>
  <c r="W88" i="38"/>
  <c r="X87" i="38"/>
  <c r="W87" i="38"/>
  <c r="X86" i="38"/>
  <c r="W86" i="38"/>
  <c r="X85" i="38"/>
  <c r="W85" i="38"/>
  <c r="X84" i="38"/>
  <c r="W84" i="38"/>
  <c r="X83" i="38"/>
  <c r="W83" i="38"/>
  <c r="X82" i="38"/>
  <c r="W82" i="38"/>
  <c r="X81" i="38"/>
  <c r="W81" i="38"/>
  <c r="X80" i="38"/>
  <c r="W80" i="38"/>
  <c r="X79" i="38"/>
  <c r="W79" i="38"/>
  <c r="X78" i="38"/>
  <c r="W78" i="38"/>
  <c r="X77" i="38"/>
  <c r="W77" i="38"/>
  <c r="X76" i="38"/>
  <c r="W76" i="38"/>
  <c r="X75" i="38"/>
  <c r="W75" i="38"/>
  <c r="X74" i="38"/>
  <c r="W74" i="38"/>
  <c r="X73" i="38"/>
  <c r="W73" i="38"/>
  <c r="X72" i="38"/>
  <c r="W72" i="38"/>
  <c r="X71" i="38"/>
  <c r="W71" i="38"/>
  <c r="V70" i="38"/>
  <c r="AB70" i="38" s="1"/>
  <c r="V69" i="38"/>
  <c r="AB69" i="38" s="1"/>
  <c r="V68" i="38"/>
  <c r="AB68" i="38" s="1"/>
  <c r="V67" i="38"/>
  <c r="AB67" i="38" s="1"/>
  <c r="V66" i="38"/>
  <c r="AB66" i="38" s="1"/>
  <c r="V65" i="38"/>
  <c r="AB65" i="38" s="1"/>
  <c r="V64" i="38"/>
  <c r="AB64" i="38" s="1"/>
  <c r="V63" i="38"/>
  <c r="AB63" i="38" s="1"/>
  <c r="V62" i="38"/>
  <c r="AB62" i="38" s="1"/>
  <c r="V61" i="38"/>
  <c r="AB61" i="38" s="1"/>
  <c r="V60" i="38"/>
  <c r="AB60" i="38" s="1"/>
  <c r="V59" i="38"/>
  <c r="AB59" i="38" s="1"/>
  <c r="V58" i="38"/>
  <c r="AB58" i="38" s="1"/>
  <c r="V57" i="38"/>
  <c r="AB57" i="38" s="1"/>
  <c r="V56" i="38"/>
  <c r="AB56" i="38" s="1"/>
  <c r="V55" i="38"/>
  <c r="AB55" i="38" s="1"/>
  <c r="V54" i="38"/>
  <c r="AB54" i="38" s="1"/>
  <c r="V53" i="38"/>
  <c r="AB53" i="38" s="1"/>
  <c r="V52" i="38"/>
  <c r="AB52" i="38" s="1"/>
  <c r="V51" i="38"/>
  <c r="AB51" i="38" s="1"/>
  <c r="V50" i="38"/>
  <c r="AB50" i="38" s="1"/>
  <c r="X49" i="38"/>
  <c r="W49" i="38"/>
  <c r="V49" i="38"/>
  <c r="AB49" i="38" s="1"/>
  <c r="X48" i="38"/>
  <c r="W48" i="38"/>
  <c r="V48" i="38"/>
  <c r="AB48" i="38" s="1"/>
  <c r="X47" i="38"/>
  <c r="W47" i="38"/>
  <c r="AC47" i="38" s="1"/>
  <c r="V47" i="38"/>
  <c r="AB47" i="38" s="1"/>
  <c r="X46" i="38"/>
  <c r="W46" i="38"/>
  <c r="V46" i="38"/>
  <c r="AB46" i="38" s="1"/>
  <c r="X45" i="38"/>
  <c r="W45" i="38"/>
  <c r="AC45" i="38" s="1"/>
  <c r="V45" i="38"/>
  <c r="AB45" i="38" s="1"/>
  <c r="X44" i="38"/>
  <c r="W44" i="38"/>
  <c r="V44" i="38"/>
  <c r="AB44" i="38" s="1"/>
  <c r="X43" i="38"/>
  <c r="W43" i="38"/>
  <c r="V43" i="38"/>
  <c r="AB43" i="38" s="1"/>
  <c r="X42" i="38"/>
  <c r="W42" i="38"/>
  <c r="V42" i="38"/>
  <c r="AB42" i="38" s="1"/>
  <c r="X41" i="38"/>
  <c r="W41" i="38"/>
  <c r="V41" i="38"/>
  <c r="AB41" i="38" s="1"/>
  <c r="X40" i="38"/>
  <c r="W40" i="38"/>
  <c r="V40" i="38"/>
  <c r="AB40" i="38" s="1"/>
  <c r="X39" i="38"/>
  <c r="W39" i="38"/>
  <c r="AC39" i="38" s="1"/>
  <c r="V39" i="38"/>
  <c r="AB39" i="38" s="1"/>
  <c r="X38" i="38"/>
  <c r="W38" i="38"/>
  <c r="V38" i="38"/>
  <c r="AB38" i="38" s="1"/>
  <c r="X37" i="38"/>
  <c r="W37" i="38"/>
  <c r="V37" i="38"/>
  <c r="AB37" i="38" s="1"/>
  <c r="X36" i="38"/>
  <c r="W36" i="38"/>
  <c r="V36" i="38"/>
  <c r="AB36" i="38" s="1"/>
  <c r="X35" i="38"/>
  <c r="W35" i="38"/>
  <c r="V35" i="38"/>
  <c r="AB35" i="38" s="1"/>
  <c r="X34" i="38"/>
  <c r="W34" i="38"/>
  <c r="V34" i="38"/>
  <c r="AB34" i="38" s="1"/>
  <c r="X33" i="38"/>
  <c r="W33" i="38"/>
  <c r="V33" i="38"/>
  <c r="AB33" i="38" s="1"/>
  <c r="X32" i="38"/>
  <c r="W32" i="38"/>
  <c r="V32" i="38"/>
  <c r="AB32" i="38" s="1"/>
  <c r="X31" i="38"/>
  <c r="W31" i="38"/>
  <c r="V31" i="38"/>
  <c r="AB31" i="38" s="1"/>
  <c r="X30" i="38"/>
  <c r="W30" i="38"/>
  <c r="V30" i="38"/>
  <c r="AB30" i="38" s="1"/>
  <c r="X29" i="38"/>
  <c r="W29" i="38"/>
  <c r="V29" i="38"/>
  <c r="AB29" i="38" s="1"/>
  <c r="X28" i="38"/>
  <c r="W28" i="38"/>
  <c r="V28" i="38"/>
  <c r="AB28" i="38" s="1"/>
  <c r="X27" i="38"/>
  <c r="W27" i="38"/>
  <c r="V27" i="38"/>
  <c r="AB27" i="38" s="1"/>
  <c r="X26" i="38"/>
  <c r="W26" i="38"/>
  <c r="V26" i="38"/>
  <c r="AB26" i="38" s="1"/>
  <c r="X25" i="38"/>
  <c r="W25" i="38"/>
  <c r="V25" i="38"/>
  <c r="AB25" i="38" s="1"/>
  <c r="X24" i="38"/>
  <c r="W24" i="38"/>
  <c r="V24" i="38"/>
  <c r="AB24" i="38" s="1"/>
  <c r="X23" i="38"/>
  <c r="W23" i="38"/>
  <c r="V23" i="38"/>
  <c r="AB23" i="38" s="1"/>
  <c r="X22" i="38"/>
  <c r="W22" i="38"/>
  <c r="V22" i="38"/>
  <c r="AB22" i="38" s="1"/>
  <c r="X21" i="38"/>
  <c r="W21" i="38"/>
  <c r="V21" i="38"/>
  <c r="AB21" i="38" s="1"/>
  <c r="X20" i="38"/>
  <c r="W20" i="38"/>
  <c r="V20" i="38"/>
  <c r="AB20" i="38" s="1"/>
  <c r="X19" i="38"/>
  <c r="W19" i="38"/>
  <c r="V19" i="38"/>
  <c r="AB19" i="38" s="1"/>
  <c r="X18" i="38"/>
  <c r="W18" i="38"/>
  <c r="V18" i="38"/>
  <c r="AB18" i="38" s="1"/>
  <c r="X17" i="38"/>
  <c r="W17" i="38"/>
  <c r="V17" i="38"/>
  <c r="AB17" i="38" s="1"/>
  <c r="X16" i="38"/>
  <c r="W16" i="38"/>
  <c r="V16" i="38"/>
  <c r="AB16" i="38" s="1"/>
  <c r="X15" i="38"/>
  <c r="W15" i="38"/>
  <c r="V15" i="38"/>
  <c r="AB15" i="38" s="1"/>
  <c r="X14" i="38"/>
  <c r="W14" i="38"/>
  <c r="V14" i="38"/>
  <c r="AB14" i="38" s="1"/>
  <c r="X13" i="38"/>
  <c r="W13" i="38"/>
  <c r="V13" i="38"/>
  <c r="AB13" i="38" s="1"/>
  <c r="X12" i="38"/>
  <c r="W12" i="38"/>
  <c r="V12" i="38"/>
  <c r="AB12" i="38" s="1"/>
  <c r="X11" i="38"/>
  <c r="W11" i="38"/>
  <c r="V11" i="38"/>
  <c r="AB11" i="38" s="1"/>
  <c r="X10" i="38"/>
  <c r="W10" i="38"/>
  <c r="V10" i="38"/>
  <c r="AB10" i="38" s="1"/>
  <c r="X9" i="38"/>
  <c r="W9" i="38"/>
  <c r="V9" i="38"/>
  <c r="AB9" i="38" s="1"/>
  <c r="X8" i="38"/>
  <c r="W8" i="38"/>
  <c r="V8" i="38"/>
  <c r="AB8" i="38" s="1"/>
  <c r="X7" i="38"/>
  <c r="W7" i="38"/>
  <c r="V7" i="38"/>
  <c r="AB7" i="38" s="1"/>
  <c r="X6" i="38"/>
  <c r="W6" i="38"/>
  <c r="V6" i="38"/>
  <c r="AB6" i="38" s="1"/>
  <c r="X5" i="38"/>
  <c r="W5" i="38"/>
  <c r="V5" i="38"/>
  <c r="AB5" i="38" s="1"/>
  <c r="X4" i="38"/>
  <c r="W4" i="38"/>
  <c r="V4" i="38"/>
  <c r="AB4" i="38" s="1"/>
  <c r="X3" i="38"/>
  <c r="W3" i="38"/>
  <c r="V3" i="38"/>
  <c r="AB3" i="38" s="1"/>
  <c r="X2" i="38"/>
  <c r="W2" i="38"/>
  <c r="V2" i="38"/>
  <c r="AB2" i="38" s="1"/>
  <c r="AE693" i="37"/>
  <c r="AE692" i="37"/>
  <c r="AE691" i="37"/>
  <c r="AE690" i="37"/>
  <c r="AE689" i="37"/>
  <c r="AE688" i="37"/>
  <c r="AE687" i="37"/>
  <c r="AE686" i="37"/>
  <c r="AE685" i="37"/>
  <c r="AE684" i="37"/>
  <c r="AE683" i="37"/>
  <c r="AE682" i="37"/>
  <c r="AE681" i="37"/>
  <c r="AE680" i="37"/>
  <c r="AE679" i="37"/>
  <c r="AE678" i="37"/>
  <c r="AE677" i="37"/>
  <c r="AE676" i="37"/>
  <c r="AE675" i="37"/>
  <c r="AE674" i="37"/>
  <c r="AE673" i="37"/>
  <c r="AE672" i="37"/>
  <c r="AE671" i="37"/>
  <c r="AE670" i="37"/>
  <c r="AE669" i="37"/>
  <c r="AD669" i="37"/>
  <c r="AC669" i="37"/>
  <c r="AE668" i="37"/>
  <c r="AD668" i="37"/>
  <c r="AC668" i="37"/>
  <c r="AE667" i="37"/>
  <c r="AD667" i="37"/>
  <c r="AC667" i="37"/>
  <c r="AE666" i="37"/>
  <c r="AD666" i="37"/>
  <c r="AC666" i="37"/>
  <c r="AE665" i="37"/>
  <c r="AD665" i="37"/>
  <c r="AC665" i="37"/>
  <c r="AE664" i="37"/>
  <c r="AD664" i="37"/>
  <c r="AC664" i="37"/>
  <c r="AE663" i="37"/>
  <c r="AD663" i="37"/>
  <c r="AC663" i="37"/>
  <c r="AE662" i="37"/>
  <c r="AD662" i="37"/>
  <c r="AC662" i="37"/>
  <c r="AE661" i="37"/>
  <c r="AD661" i="37"/>
  <c r="AC661" i="37"/>
  <c r="AE660" i="37"/>
  <c r="AD660" i="37"/>
  <c r="AC660" i="37"/>
  <c r="AE659" i="37"/>
  <c r="AD659" i="37"/>
  <c r="AC659" i="37"/>
  <c r="AE658" i="37"/>
  <c r="AD658" i="37"/>
  <c r="AC658" i="37"/>
  <c r="AE657" i="37"/>
  <c r="AE656" i="37"/>
  <c r="AE655" i="37"/>
  <c r="AE654" i="37"/>
  <c r="AE653" i="37"/>
  <c r="AE652" i="37"/>
  <c r="AE651" i="37"/>
  <c r="AE650" i="37"/>
  <c r="AE649" i="37"/>
  <c r="AE648" i="37"/>
  <c r="AE647" i="37"/>
  <c r="AE646" i="37"/>
  <c r="AE645" i="37"/>
  <c r="AE644" i="37"/>
  <c r="AE643" i="37"/>
  <c r="AE642" i="37"/>
  <c r="AE641" i="37"/>
  <c r="AE640" i="37"/>
  <c r="AE639" i="37"/>
  <c r="AE638" i="37"/>
  <c r="AE637" i="37"/>
  <c r="AE636" i="37"/>
  <c r="AE635" i="37"/>
  <c r="AE634" i="37"/>
  <c r="AE633" i="37"/>
  <c r="AE632" i="37"/>
  <c r="AE631" i="37"/>
  <c r="AE630" i="37"/>
  <c r="AE629" i="37"/>
  <c r="AE628" i="37"/>
  <c r="AE627" i="37"/>
  <c r="AE626" i="37"/>
  <c r="AE625" i="37"/>
  <c r="AE624" i="37"/>
  <c r="AE623" i="37"/>
  <c r="AE622" i="37"/>
  <c r="AE621" i="37"/>
  <c r="AE620" i="37"/>
  <c r="AE619" i="37"/>
  <c r="AE618" i="37"/>
  <c r="AE617" i="37"/>
  <c r="AE616" i="37"/>
  <c r="AE615" i="37"/>
  <c r="AE614" i="37"/>
  <c r="AE613" i="37"/>
  <c r="AE612" i="37"/>
  <c r="AE611" i="37"/>
  <c r="AE610" i="37"/>
  <c r="AE609" i="37"/>
  <c r="AE608" i="37"/>
  <c r="AE607" i="37"/>
  <c r="AE606" i="37"/>
  <c r="AE605" i="37"/>
  <c r="AE604" i="37"/>
  <c r="AE603" i="37"/>
  <c r="AE602" i="37"/>
  <c r="AE601" i="37"/>
  <c r="AE600" i="37"/>
  <c r="AE599" i="37"/>
  <c r="AE598" i="37"/>
  <c r="AE597" i="37"/>
  <c r="AE596" i="37"/>
  <c r="AE595" i="37"/>
  <c r="AE594" i="37"/>
  <c r="AE593" i="37"/>
  <c r="AE592" i="37"/>
  <c r="AE591" i="37"/>
  <c r="AE590" i="37"/>
  <c r="AE589" i="37"/>
  <c r="AE588" i="37"/>
  <c r="AE587" i="37"/>
  <c r="AE586" i="37"/>
  <c r="AE585" i="37"/>
  <c r="AE584" i="37"/>
  <c r="AE583" i="37"/>
  <c r="AE582" i="37"/>
  <c r="AE581" i="37"/>
  <c r="AE580" i="37"/>
  <c r="AE579" i="37"/>
  <c r="AE578" i="37"/>
  <c r="AE577" i="37"/>
  <c r="AE576" i="37"/>
  <c r="AE575" i="37"/>
  <c r="AE574" i="37"/>
  <c r="AE573" i="37"/>
  <c r="AE572" i="37"/>
  <c r="AE571" i="37"/>
  <c r="AE570" i="37"/>
  <c r="AE569" i="37"/>
  <c r="AE568" i="37"/>
  <c r="AE567" i="37"/>
  <c r="AE566" i="37"/>
  <c r="AE565" i="37"/>
  <c r="AE564" i="37"/>
  <c r="AE563" i="37"/>
  <c r="AE562" i="37"/>
  <c r="AE561" i="37"/>
  <c r="AE560" i="37"/>
  <c r="AE559" i="37"/>
  <c r="AE558" i="37"/>
  <c r="AE557" i="37"/>
  <c r="AE556" i="37"/>
  <c r="AE555" i="37"/>
  <c r="AE554" i="37"/>
  <c r="AE553" i="37"/>
  <c r="AE552" i="37"/>
  <c r="AE551" i="37"/>
  <c r="AE550" i="37"/>
  <c r="AE549" i="37"/>
  <c r="AE548" i="37"/>
  <c r="AE547" i="37"/>
  <c r="AE546" i="37"/>
  <c r="AE545" i="37"/>
  <c r="AE544" i="37"/>
  <c r="AE543" i="37"/>
  <c r="AE542" i="37"/>
  <c r="AE541" i="37"/>
  <c r="AE540" i="37"/>
  <c r="AE539" i="37"/>
  <c r="AE538" i="37"/>
  <c r="AE537" i="37"/>
  <c r="AE536" i="37"/>
  <c r="AE535" i="37"/>
  <c r="AE534" i="37"/>
  <c r="AE533" i="37"/>
  <c r="AE532" i="37"/>
  <c r="AE531" i="37"/>
  <c r="AE530" i="37"/>
  <c r="AE529" i="37"/>
  <c r="AE528" i="37"/>
  <c r="AE527" i="37"/>
  <c r="AE526" i="37"/>
  <c r="AE525" i="37"/>
  <c r="AE524" i="37"/>
  <c r="AE523" i="37"/>
  <c r="AE522" i="37"/>
  <c r="AE521" i="37"/>
  <c r="AE520" i="37"/>
  <c r="AE519" i="37"/>
  <c r="AE518" i="37"/>
  <c r="AE517" i="37"/>
  <c r="AE516" i="37"/>
  <c r="AE515" i="37"/>
  <c r="AE514" i="37"/>
  <c r="AE513" i="37"/>
  <c r="AE512" i="37"/>
  <c r="AE511" i="37"/>
  <c r="AE510" i="37"/>
  <c r="AE509" i="37"/>
  <c r="AE508" i="37"/>
  <c r="AE507" i="37"/>
  <c r="AE506" i="37"/>
  <c r="AE505" i="37"/>
  <c r="AE504" i="37"/>
  <c r="AE503" i="37"/>
  <c r="AE502" i="37"/>
  <c r="AE501" i="37"/>
  <c r="AE500" i="37"/>
  <c r="AE499" i="37"/>
  <c r="AE498" i="37"/>
  <c r="AE497" i="37"/>
  <c r="AE496" i="37"/>
  <c r="AE495" i="37"/>
  <c r="AE494" i="37"/>
  <c r="AE493" i="37"/>
  <c r="AE492" i="37"/>
  <c r="AE491" i="37"/>
  <c r="AE490" i="37"/>
  <c r="AE489" i="37"/>
  <c r="AE488" i="37"/>
  <c r="AE487" i="37"/>
  <c r="AE486" i="37"/>
  <c r="AE485" i="37"/>
  <c r="AE484" i="37"/>
  <c r="AE483" i="37"/>
  <c r="AE482" i="37"/>
  <c r="AE481" i="37"/>
  <c r="AE480" i="37"/>
  <c r="AE479" i="37"/>
  <c r="AE478" i="37"/>
  <c r="AE477" i="37"/>
  <c r="AE476" i="37"/>
  <c r="AE475" i="37"/>
  <c r="AE474" i="37"/>
  <c r="AE473" i="37"/>
  <c r="AE472" i="37"/>
  <c r="AE471" i="37"/>
  <c r="AE470" i="37"/>
  <c r="AE469" i="37"/>
  <c r="AE468" i="37"/>
  <c r="AE467" i="37"/>
  <c r="AE466" i="37"/>
  <c r="AE465" i="37"/>
  <c r="AE464" i="37"/>
  <c r="AE463" i="37"/>
  <c r="AE462" i="37"/>
  <c r="AE461" i="37"/>
  <c r="AE460" i="37"/>
  <c r="AE459" i="37"/>
  <c r="AE458" i="37"/>
  <c r="AE457" i="37"/>
  <c r="AE456" i="37"/>
  <c r="AE455" i="37"/>
  <c r="AE454" i="37"/>
  <c r="AE453" i="37"/>
  <c r="AE452" i="37"/>
  <c r="AE451" i="37"/>
  <c r="AE450" i="37"/>
  <c r="AE449" i="37"/>
  <c r="AE448" i="37"/>
  <c r="AE447" i="37"/>
  <c r="AE446" i="37"/>
  <c r="AE445" i="37"/>
  <c r="AE444" i="37"/>
  <c r="AE443" i="37"/>
  <c r="AE442" i="37"/>
  <c r="AE441" i="37"/>
  <c r="AE440" i="37"/>
  <c r="AE439" i="37"/>
  <c r="AE438" i="37"/>
  <c r="AE437" i="37"/>
  <c r="AE436" i="37"/>
  <c r="AE435" i="37"/>
  <c r="AE434" i="37"/>
  <c r="AE433" i="37"/>
  <c r="AE432" i="37"/>
  <c r="AE431" i="37"/>
  <c r="AE430" i="37"/>
  <c r="AE429" i="37"/>
  <c r="AE428" i="37"/>
  <c r="AE427" i="37"/>
  <c r="AE426" i="37"/>
  <c r="AE425" i="37"/>
  <c r="AE424" i="37"/>
  <c r="AE423" i="37"/>
  <c r="AE422" i="37"/>
  <c r="AE421" i="37"/>
  <c r="AE420" i="37"/>
  <c r="AE419" i="37"/>
  <c r="AE418" i="37"/>
  <c r="AE417" i="37"/>
  <c r="AE416" i="37"/>
  <c r="AE415" i="37"/>
  <c r="AE414" i="37"/>
  <c r="AE413" i="37"/>
  <c r="AE412" i="37"/>
  <c r="AE411" i="37"/>
  <c r="AE410" i="37"/>
  <c r="AE409" i="37"/>
  <c r="AE408" i="37"/>
  <c r="AE407" i="37"/>
  <c r="AE406" i="37"/>
  <c r="AE405" i="37"/>
  <c r="AE404" i="37"/>
  <c r="AE403" i="37"/>
  <c r="AE402" i="37"/>
  <c r="AE401" i="37"/>
  <c r="AE400" i="37"/>
  <c r="AD400" i="37"/>
  <c r="AC400" i="37"/>
  <c r="AE399" i="37"/>
  <c r="AD399" i="37"/>
  <c r="AC399" i="37"/>
  <c r="AE398" i="37"/>
  <c r="AD398" i="37"/>
  <c r="AC398" i="37"/>
  <c r="AE397" i="37"/>
  <c r="AD397" i="37"/>
  <c r="AC397" i="37"/>
  <c r="AE396" i="37"/>
  <c r="AD396" i="37"/>
  <c r="AC396" i="37"/>
  <c r="AE395" i="37"/>
  <c r="AD395" i="37"/>
  <c r="AC395" i="37"/>
  <c r="AE394" i="37"/>
  <c r="AD394" i="37"/>
  <c r="AC394" i="37"/>
  <c r="AE393" i="37"/>
  <c r="AD393" i="37"/>
  <c r="AC393" i="37"/>
  <c r="AE392" i="37"/>
  <c r="AD392" i="37"/>
  <c r="AC392" i="37"/>
  <c r="AE391" i="37"/>
  <c r="AD391" i="37"/>
  <c r="AC391" i="37"/>
  <c r="AE390" i="37"/>
  <c r="AD390" i="37"/>
  <c r="AC390" i="37"/>
  <c r="AE389" i="37"/>
  <c r="AD389" i="37"/>
  <c r="AC389" i="37"/>
  <c r="AG388" i="37"/>
  <c r="AF388" i="37"/>
  <c r="AB388" i="37"/>
  <c r="AG387" i="37"/>
  <c r="AF387" i="37"/>
  <c r="AB387" i="37"/>
  <c r="AG386" i="37"/>
  <c r="AF386" i="37"/>
  <c r="AB386" i="37"/>
  <c r="AG385" i="37"/>
  <c r="AF385" i="37"/>
  <c r="AB385" i="37"/>
  <c r="AG384" i="37"/>
  <c r="AF384" i="37"/>
  <c r="AB384" i="37"/>
  <c r="AG383" i="37"/>
  <c r="AF383" i="37"/>
  <c r="AB383" i="37"/>
  <c r="AG382" i="37"/>
  <c r="AF382" i="37"/>
  <c r="AB382" i="37"/>
  <c r="AG381" i="37"/>
  <c r="AF381" i="37"/>
  <c r="AB381" i="37"/>
  <c r="AG380" i="37"/>
  <c r="AF380" i="37"/>
  <c r="AB380" i="37"/>
  <c r="AG379" i="37"/>
  <c r="AF379" i="37"/>
  <c r="AB379" i="37"/>
  <c r="AG378" i="37"/>
  <c r="AF378" i="37"/>
  <c r="AB378" i="37"/>
  <c r="AG377" i="37"/>
  <c r="AF377" i="37"/>
  <c r="AB377" i="37"/>
  <c r="AE376" i="37"/>
  <c r="AD376" i="37"/>
  <c r="AC376" i="37"/>
  <c r="AE375" i="37"/>
  <c r="AD375" i="37"/>
  <c r="AC375" i="37"/>
  <c r="AE374" i="37"/>
  <c r="AD374" i="37"/>
  <c r="AE373" i="37"/>
  <c r="AD373" i="37"/>
  <c r="AC373" i="37"/>
  <c r="AE372" i="37"/>
  <c r="AD372" i="37"/>
  <c r="AC372" i="37"/>
  <c r="AE371" i="37"/>
  <c r="AD371" i="37"/>
  <c r="AC371" i="37"/>
  <c r="AE370" i="37"/>
  <c r="AD370" i="37"/>
  <c r="AC370" i="37"/>
  <c r="AE369" i="37"/>
  <c r="AD369" i="37"/>
  <c r="AC369" i="37"/>
  <c r="AE368" i="37"/>
  <c r="AD368" i="37"/>
  <c r="AC368" i="37"/>
  <c r="AE367" i="37"/>
  <c r="AD367" i="37"/>
  <c r="AC367" i="37"/>
  <c r="AE366" i="37"/>
  <c r="AD366" i="37"/>
  <c r="AC366" i="37"/>
  <c r="AE365" i="37"/>
  <c r="AD365" i="37"/>
  <c r="AC365" i="37"/>
  <c r="AE364" i="37"/>
  <c r="AD364" i="37"/>
  <c r="AC364" i="37"/>
  <c r="AE363" i="37"/>
  <c r="AD363" i="37"/>
  <c r="AC363" i="37"/>
  <c r="AE362" i="37"/>
  <c r="AD362" i="37"/>
  <c r="AC362" i="37"/>
  <c r="AE361" i="37"/>
  <c r="AD361" i="37"/>
  <c r="AC361" i="37"/>
  <c r="AE360" i="37"/>
  <c r="AD360" i="37"/>
  <c r="AC360" i="37"/>
  <c r="AE359" i="37"/>
  <c r="AD359" i="37"/>
  <c r="AC359" i="37"/>
  <c r="AE358" i="37"/>
  <c r="AD358" i="37"/>
  <c r="AC358" i="37"/>
  <c r="AE357" i="37"/>
  <c r="AD357" i="37"/>
  <c r="AC357" i="37"/>
  <c r="AE356" i="37"/>
  <c r="AD356" i="37"/>
  <c r="AC356" i="37"/>
  <c r="AE355" i="37"/>
  <c r="AD355" i="37"/>
  <c r="AC355" i="37"/>
  <c r="AE354" i="37"/>
  <c r="AD354" i="37"/>
  <c r="AC354" i="37"/>
  <c r="AE353" i="37"/>
  <c r="AD353" i="37"/>
  <c r="AC353" i="37"/>
  <c r="AG352" i="37"/>
  <c r="AF352" i="37"/>
  <c r="AB352" i="37"/>
  <c r="AG351" i="37"/>
  <c r="AF351" i="37"/>
  <c r="AB351" i="37"/>
  <c r="AG350" i="37"/>
  <c r="AF350" i="37"/>
  <c r="AB350" i="37"/>
  <c r="AG349" i="37"/>
  <c r="AF349" i="37"/>
  <c r="AB349" i="37"/>
  <c r="AG348" i="37"/>
  <c r="AF348" i="37"/>
  <c r="AB348" i="37"/>
  <c r="AG347" i="37"/>
  <c r="AF347" i="37"/>
  <c r="AB347" i="37"/>
  <c r="AG346" i="37"/>
  <c r="AF346" i="37"/>
  <c r="AB346" i="37"/>
  <c r="AG345" i="37"/>
  <c r="AF345" i="37"/>
  <c r="AB345" i="37"/>
  <c r="AG344" i="37"/>
  <c r="AF344" i="37"/>
  <c r="AB344" i="37"/>
  <c r="AG343" i="37"/>
  <c r="AF343" i="37"/>
  <c r="AB343" i="37"/>
  <c r="AG342" i="37"/>
  <c r="AF342" i="37"/>
  <c r="AB342" i="37"/>
  <c r="AG341" i="37"/>
  <c r="AF341" i="37"/>
  <c r="AB341" i="37"/>
  <c r="AE340" i="37"/>
  <c r="AD340" i="37"/>
  <c r="AC340" i="37"/>
  <c r="AE339" i="37"/>
  <c r="AD339" i="37"/>
  <c r="AC339" i="37"/>
  <c r="AE338" i="37"/>
  <c r="AD338" i="37"/>
  <c r="AC338" i="37"/>
  <c r="AE337" i="37"/>
  <c r="AD337" i="37"/>
  <c r="AC337" i="37"/>
  <c r="AE336" i="37"/>
  <c r="AD336" i="37"/>
  <c r="AC336" i="37"/>
  <c r="AE335" i="37"/>
  <c r="AD335" i="37"/>
  <c r="AC335" i="37"/>
  <c r="AE334" i="37"/>
  <c r="AD334" i="37"/>
  <c r="AC334" i="37"/>
  <c r="AE333" i="37"/>
  <c r="AD333" i="37"/>
  <c r="AC333" i="37"/>
  <c r="AE332" i="37"/>
  <c r="AD332" i="37"/>
  <c r="AC332" i="37"/>
  <c r="AE331" i="37"/>
  <c r="AD331" i="37"/>
  <c r="AC331" i="37"/>
  <c r="AE330" i="37"/>
  <c r="AD330" i="37"/>
  <c r="AC330" i="37"/>
  <c r="AE329" i="37"/>
  <c r="AD329" i="37"/>
  <c r="AC329" i="37"/>
  <c r="AE328" i="37"/>
  <c r="AD328" i="37"/>
  <c r="AC328" i="37"/>
  <c r="AE327" i="37"/>
  <c r="AD327" i="37"/>
  <c r="AC327" i="37"/>
  <c r="AE326" i="37"/>
  <c r="AD326" i="37"/>
  <c r="AC326" i="37"/>
  <c r="AE325" i="37"/>
  <c r="AD325" i="37"/>
  <c r="AC325" i="37"/>
  <c r="AE324" i="37"/>
  <c r="AD324" i="37"/>
  <c r="AC324" i="37"/>
  <c r="AE323" i="37"/>
  <c r="AD323" i="37"/>
  <c r="AC323" i="37"/>
  <c r="AE322" i="37"/>
  <c r="AD322" i="37"/>
  <c r="AC322" i="37"/>
  <c r="AE321" i="37"/>
  <c r="AD321" i="37"/>
  <c r="AC321" i="37"/>
  <c r="AE320" i="37"/>
  <c r="AD320" i="37"/>
  <c r="AC320" i="37"/>
  <c r="AE319" i="37"/>
  <c r="AD319" i="37"/>
  <c r="AC319" i="37"/>
  <c r="AE318" i="37"/>
  <c r="AD318" i="37"/>
  <c r="AC318" i="37"/>
  <c r="AE317" i="37"/>
  <c r="AD317" i="37"/>
  <c r="AC317" i="37"/>
  <c r="AE316" i="37"/>
  <c r="AD316" i="37"/>
  <c r="AC316" i="37"/>
  <c r="AE315" i="37"/>
  <c r="AD315" i="37"/>
  <c r="AC315" i="37"/>
  <c r="AE314" i="37"/>
  <c r="AD314" i="37"/>
  <c r="AC314" i="37"/>
  <c r="AE313" i="37"/>
  <c r="AD313" i="37"/>
  <c r="AC313" i="37"/>
  <c r="AE312" i="37"/>
  <c r="AD312" i="37"/>
  <c r="AC312" i="37"/>
  <c r="AE311" i="37"/>
  <c r="AD311" i="37"/>
  <c r="AC311" i="37"/>
  <c r="AE310" i="37"/>
  <c r="AD310" i="37"/>
  <c r="AC310" i="37"/>
  <c r="AG309" i="37"/>
  <c r="AF309" i="37"/>
  <c r="AB309" i="37"/>
  <c r="AG308" i="37"/>
  <c r="AF308" i="37"/>
  <c r="AB308" i="37"/>
  <c r="AG307" i="37"/>
  <c r="AF307" i="37"/>
  <c r="AB307" i="37"/>
  <c r="AG306" i="37"/>
  <c r="AF306" i="37"/>
  <c r="AB306" i="37"/>
  <c r="AG305" i="37"/>
  <c r="AF305" i="37"/>
  <c r="AB305" i="37"/>
  <c r="AG304" i="37"/>
  <c r="AF304" i="37"/>
  <c r="AB304" i="37"/>
  <c r="AG303" i="37"/>
  <c r="AF303" i="37"/>
  <c r="AB303" i="37"/>
  <c r="AG302" i="37"/>
  <c r="AF302" i="37"/>
  <c r="AG301" i="37"/>
  <c r="AF301" i="37"/>
  <c r="AB301" i="37"/>
  <c r="AG300" i="37"/>
  <c r="AF300" i="37"/>
  <c r="AB300" i="37"/>
  <c r="AG299" i="37"/>
  <c r="AF299" i="37"/>
  <c r="AB299" i="37"/>
  <c r="AG298" i="37"/>
  <c r="AF298" i="37"/>
  <c r="AB298" i="37"/>
  <c r="AG297" i="37"/>
  <c r="AF297" i="37"/>
  <c r="AB297" i="37"/>
  <c r="AG296" i="37"/>
  <c r="AF296" i="37"/>
  <c r="AB296" i="37"/>
  <c r="AG295" i="37"/>
  <c r="AF295" i="37"/>
  <c r="AB295" i="37"/>
  <c r="AG294" i="37"/>
  <c r="AF294" i="37"/>
  <c r="AB294" i="37"/>
  <c r="AG293" i="37"/>
  <c r="AF293" i="37"/>
  <c r="AB293" i="37"/>
  <c r="AG292" i="37"/>
  <c r="AF292" i="37"/>
  <c r="AB292" i="37"/>
  <c r="AG291" i="37"/>
  <c r="AF291" i="37"/>
  <c r="AB291" i="37"/>
  <c r="AG290" i="37"/>
  <c r="AF290" i="37"/>
  <c r="AG289" i="37"/>
  <c r="AF289" i="37"/>
  <c r="AB289" i="37"/>
  <c r="AG288" i="37"/>
  <c r="AF288" i="37"/>
  <c r="AB288" i="37"/>
  <c r="AE287" i="37"/>
  <c r="AD287" i="37"/>
  <c r="AC287" i="37"/>
  <c r="AE286" i="37"/>
  <c r="AD286" i="37"/>
  <c r="AC286" i="37"/>
  <c r="AE285" i="37"/>
  <c r="AD285" i="37"/>
  <c r="AC285" i="37"/>
  <c r="AE284" i="37"/>
  <c r="AD284" i="37"/>
  <c r="AC284" i="37"/>
  <c r="AE283" i="37"/>
  <c r="AD283" i="37"/>
  <c r="AC283" i="37"/>
  <c r="AE282" i="37"/>
  <c r="AD282" i="37"/>
  <c r="AC282" i="37"/>
  <c r="AE281" i="37"/>
  <c r="AD281" i="37"/>
  <c r="AC281" i="37"/>
  <c r="AE280" i="37"/>
  <c r="AD280" i="37"/>
  <c r="AC280" i="37"/>
  <c r="AE279" i="37"/>
  <c r="AD279" i="37"/>
  <c r="AC279" i="37"/>
  <c r="AE278" i="37"/>
  <c r="AD278" i="37"/>
  <c r="AC278" i="37"/>
  <c r="AE277" i="37"/>
  <c r="AD277" i="37"/>
  <c r="AC277" i="37"/>
  <c r="AE276" i="37"/>
  <c r="AD276" i="37"/>
  <c r="AC276" i="37"/>
  <c r="AE275" i="37"/>
  <c r="AD275" i="37"/>
  <c r="AC275" i="37"/>
  <c r="AE274" i="37"/>
  <c r="AD274" i="37"/>
  <c r="AC274" i="37"/>
  <c r="AE273" i="37"/>
  <c r="AD273" i="37"/>
  <c r="AC273" i="37"/>
  <c r="AE272" i="37"/>
  <c r="AD272" i="37"/>
  <c r="AC272" i="37"/>
  <c r="AE271" i="37"/>
  <c r="AD271" i="37"/>
  <c r="AC271" i="37"/>
  <c r="AE270" i="37"/>
  <c r="AC270" i="37"/>
  <c r="AE269" i="37"/>
  <c r="AD269" i="37"/>
  <c r="AC269" i="37"/>
  <c r="AE268" i="37"/>
  <c r="AD268" i="37"/>
  <c r="AC268" i="37"/>
  <c r="AE267" i="37"/>
  <c r="AD267" i="37"/>
  <c r="AC267" i="37"/>
  <c r="AE266" i="37"/>
  <c r="AE265" i="37"/>
  <c r="AE264" i="37"/>
  <c r="AE263" i="37"/>
  <c r="AE262" i="37"/>
  <c r="AE261" i="37"/>
  <c r="AE260" i="37"/>
  <c r="AE259" i="37"/>
  <c r="AE258" i="37"/>
  <c r="AE257" i="37"/>
  <c r="AE256" i="37"/>
  <c r="AE255" i="37"/>
  <c r="AE254" i="37"/>
  <c r="AE253" i="37"/>
  <c r="AE252" i="37"/>
  <c r="AE251" i="37"/>
  <c r="AE250" i="37"/>
  <c r="AE249" i="37"/>
  <c r="AE248" i="37"/>
  <c r="AE247" i="37"/>
  <c r="AE246" i="37"/>
  <c r="AE245" i="37"/>
  <c r="AE244" i="37"/>
  <c r="AE243" i="37"/>
  <c r="AG242" i="37"/>
  <c r="AF242" i="37"/>
  <c r="AG241" i="37"/>
  <c r="AF241" i="37"/>
  <c r="AG240" i="37"/>
  <c r="AF240" i="37"/>
  <c r="AG239" i="37"/>
  <c r="AF239" i="37"/>
  <c r="AG238" i="37"/>
  <c r="AF238" i="37"/>
  <c r="AG237" i="37"/>
  <c r="AF237" i="37"/>
  <c r="AG236" i="37"/>
  <c r="AF236" i="37"/>
  <c r="AG235" i="37"/>
  <c r="AF235" i="37"/>
  <c r="AG234" i="37"/>
  <c r="AF234" i="37"/>
  <c r="AG233" i="37"/>
  <c r="AF233" i="37"/>
  <c r="AG232" i="37"/>
  <c r="AF232" i="37"/>
  <c r="AG231" i="37"/>
  <c r="AF231" i="37"/>
  <c r="AE230" i="37"/>
  <c r="AE229" i="37"/>
  <c r="AE228" i="37"/>
  <c r="AE227" i="37"/>
  <c r="AE226" i="37"/>
  <c r="AE225" i="37"/>
  <c r="AE224" i="37"/>
  <c r="AE223" i="37"/>
  <c r="AE222" i="37"/>
  <c r="AE221" i="37"/>
  <c r="AE220" i="37"/>
  <c r="AE219" i="37"/>
  <c r="AE218" i="37"/>
  <c r="AE217" i="37"/>
  <c r="AE216" i="37"/>
  <c r="AE215" i="37"/>
  <c r="AE214" i="37"/>
  <c r="AE213" i="37"/>
  <c r="AE212" i="37"/>
  <c r="AE211" i="37"/>
  <c r="AE210" i="37"/>
  <c r="AE209" i="37"/>
  <c r="AE208" i="37"/>
  <c r="AE207" i="37"/>
  <c r="AG206" i="37"/>
  <c r="AF206" i="37"/>
  <c r="AG205" i="37"/>
  <c r="AF205" i="37"/>
  <c r="AG204" i="37"/>
  <c r="AF204" i="37"/>
  <c r="AG203" i="37"/>
  <c r="AF203" i="37"/>
  <c r="AG202" i="37"/>
  <c r="AF202" i="37"/>
  <c r="AG201" i="37"/>
  <c r="AF201" i="37"/>
  <c r="AG200" i="37"/>
  <c r="AF200" i="37"/>
  <c r="AG199" i="37"/>
  <c r="AF199" i="37"/>
  <c r="AG198" i="37"/>
  <c r="AF198" i="37"/>
  <c r="AG197" i="37"/>
  <c r="AF197" i="37"/>
  <c r="AG196" i="37"/>
  <c r="AF196" i="37"/>
  <c r="AG195" i="37"/>
  <c r="AF195" i="37"/>
  <c r="AE194" i="37"/>
  <c r="AE193" i="37"/>
  <c r="AE192" i="37"/>
  <c r="AE191" i="37"/>
  <c r="AE190" i="37"/>
  <c r="AE189" i="37"/>
  <c r="AE188" i="37"/>
  <c r="AE187" i="37"/>
  <c r="AE186" i="37"/>
  <c r="AE185" i="37"/>
  <c r="AE184" i="37"/>
  <c r="AE183" i="37"/>
  <c r="AE182" i="37"/>
  <c r="AE181" i="37"/>
  <c r="AE180" i="37"/>
  <c r="AE179" i="37"/>
  <c r="AE178" i="37"/>
  <c r="AE177" i="37"/>
  <c r="AE176" i="37"/>
  <c r="AE175" i="37"/>
  <c r="AE174" i="37"/>
  <c r="AE173" i="37"/>
  <c r="AE172" i="37"/>
  <c r="AE171" i="37"/>
  <c r="AE170" i="37"/>
  <c r="AE169" i="37"/>
  <c r="AE168" i="37"/>
  <c r="AE167" i="37"/>
  <c r="AE166" i="37"/>
  <c r="AE165" i="37"/>
  <c r="AE164" i="37"/>
  <c r="AE163" i="37"/>
  <c r="AG162" i="37"/>
  <c r="AF162" i="37"/>
  <c r="AG161" i="37"/>
  <c r="AF161" i="37"/>
  <c r="AG160" i="37"/>
  <c r="AF160" i="37"/>
  <c r="AG159" i="37"/>
  <c r="AF159" i="37"/>
  <c r="AG158" i="37"/>
  <c r="AF158" i="37"/>
  <c r="AG157" i="37"/>
  <c r="AF157" i="37"/>
  <c r="AG156" i="37"/>
  <c r="AF156" i="37"/>
  <c r="AG155" i="37"/>
  <c r="AF155" i="37"/>
  <c r="AG154" i="37"/>
  <c r="AF154" i="37"/>
  <c r="AG153" i="37"/>
  <c r="AF153" i="37"/>
  <c r="AG152" i="37"/>
  <c r="AF152" i="37"/>
  <c r="AG151" i="37"/>
  <c r="AF151" i="37"/>
  <c r="AG150" i="37"/>
  <c r="AF150" i="37"/>
  <c r="AG149" i="37"/>
  <c r="AF149" i="37"/>
  <c r="AG148" i="37"/>
  <c r="AF148" i="37"/>
  <c r="AG147" i="37"/>
  <c r="AF147" i="37"/>
  <c r="AG146" i="37"/>
  <c r="AF146" i="37"/>
  <c r="AG145" i="37"/>
  <c r="AF145" i="37"/>
  <c r="AG144" i="37"/>
  <c r="AF144" i="37"/>
  <c r="AG143" i="37"/>
  <c r="AF143" i="37"/>
  <c r="AE142" i="37"/>
  <c r="AE141" i="37"/>
  <c r="AE140" i="37"/>
  <c r="AE139" i="37"/>
  <c r="AE138" i="37"/>
  <c r="AE137" i="37"/>
  <c r="AE136" i="37"/>
  <c r="AE135" i="37"/>
  <c r="AE134" i="37"/>
  <c r="AE133" i="37"/>
  <c r="AE132" i="37"/>
  <c r="AE131" i="37"/>
  <c r="AE130" i="37"/>
  <c r="AE129" i="37"/>
  <c r="AE128" i="37"/>
  <c r="AE127" i="37"/>
  <c r="AE126" i="37"/>
  <c r="AE125" i="37"/>
  <c r="AE124" i="37"/>
  <c r="AE123" i="37"/>
  <c r="AG122" i="37"/>
  <c r="AE122" i="37"/>
  <c r="AG121" i="37"/>
  <c r="AE121" i="37"/>
  <c r="AG120" i="37"/>
  <c r="AE120" i="37"/>
  <c r="AG119" i="37"/>
  <c r="AE119" i="37"/>
  <c r="AG118" i="37"/>
  <c r="AE118" i="37"/>
  <c r="AG117" i="37"/>
  <c r="AE117" i="37"/>
  <c r="AG116" i="37"/>
  <c r="AE116" i="37"/>
  <c r="AG115" i="37"/>
  <c r="AE115" i="37"/>
  <c r="AG114" i="37"/>
  <c r="AE114" i="37"/>
  <c r="AG113" i="37"/>
  <c r="AE113" i="37"/>
  <c r="AG112" i="37"/>
  <c r="AE112" i="37"/>
  <c r="AG111" i="37"/>
  <c r="AE111" i="37"/>
  <c r="AG110" i="37"/>
  <c r="AF110" i="37"/>
  <c r="AG109" i="37"/>
  <c r="AF109" i="37"/>
  <c r="AG108" i="37"/>
  <c r="AF108" i="37"/>
  <c r="AG107" i="37"/>
  <c r="AF107" i="37"/>
  <c r="AG106" i="37"/>
  <c r="AF106" i="37"/>
  <c r="AG105" i="37"/>
  <c r="AF105" i="37"/>
  <c r="AG104" i="37"/>
  <c r="AF104" i="37"/>
  <c r="AG103" i="37"/>
  <c r="AF103" i="37"/>
  <c r="AG102" i="37"/>
  <c r="AF102" i="37"/>
  <c r="AG101" i="37"/>
  <c r="AF101" i="37"/>
  <c r="AG100" i="37"/>
  <c r="AF100" i="37"/>
  <c r="AG99" i="37"/>
  <c r="AF99" i="37"/>
  <c r="AG98" i="37"/>
  <c r="AE98" i="37"/>
  <c r="AG97" i="37"/>
  <c r="AE97" i="37"/>
  <c r="AG96" i="37"/>
  <c r="AE96" i="37"/>
  <c r="AG95" i="37"/>
  <c r="AE95" i="37"/>
  <c r="AG94" i="37"/>
  <c r="AE94" i="37"/>
  <c r="AG93" i="37"/>
  <c r="AE93" i="37"/>
  <c r="AG92" i="37"/>
  <c r="AE92" i="37"/>
  <c r="AG91" i="37"/>
  <c r="AE91" i="37"/>
  <c r="AG90" i="37"/>
  <c r="AE90" i="37"/>
  <c r="AG89" i="37"/>
  <c r="AE89" i="37"/>
  <c r="AG88" i="37"/>
  <c r="AE88" i="37"/>
  <c r="AG87" i="37"/>
  <c r="AE87" i="37"/>
  <c r="AE86" i="37"/>
  <c r="AE85" i="37"/>
  <c r="AE84" i="37"/>
  <c r="AE83" i="37"/>
  <c r="AE82" i="37"/>
  <c r="AE81" i="37"/>
  <c r="AE80" i="37"/>
  <c r="AE79" i="37"/>
  <c r="AE78" i="37"/>
  <c r="AE77" i="37"/>
  <c r="AE76" i="37"/>
  <c r="AE75" i="37"/>
  <c r="AE74" i="37"/>
  <c r="AE73" i="37"/>
  <c r="AE72" i="37"/>
  <c r="AE71" i="37"/>
  <c r="AE70" i="37"/>
  <c r="AE69" i="37"/>
  <c r="AE68" i="37"/>
  <c r="AG67" i="37"/>
  <c r="AF67" i="37"/>
  <c r="AG66" i="37"/>
  <c r="AF66" i="37"/>
  <c r="AG65" i="37"/>
  <c r="AF65" i="37"/>
  <c r="AG64" i="37"/>
  <c r="AF64" i="37"/>
  <c r="AG63" i="37"/>
  <c r="AF63" i="37"/>
  <c r="AG62" i="37"/>
  <c r="AF62" i="37"/>
  <c r="AG61" i="37"/>
  <c r="AF61" i="37"/>
  <c r="AG60" i="37"/>
  <c r="AF60" i="37"/>
  <c r="AG59" i="37"/>
  <c r="AF59" i="37"/>
  <c r="AG58" i="37"/>
  <c r="AF58" i="37"/>
  <c r="AG57" i="37"/>
  <c r="AF57" i="37"/>
  <c r="AG56" i="37"/>
  <c r="AF56" i="37"/>
  <c r="AG55" i="37"/>
  <c r="AF55" i="37"/>
  <c r="AG54" i="37"/>
  <c r="AF54" i="37"/>
  <c r="AG53" i="37"/>
  <c r="AF53" i="37"/>
  <c r="AG52" i="37"/>
  <c r="AF52" i="37"/>
  <c r="AG51" i="37"/>
  <c r="AF51" i="37"/>
  <c r="AG50" i="37"/>
  <c r="AF50" i="37"/>
  <c r="AG49" i="37"/>
  <c r="AF49" i="37"/>
  <c r="AG48" i="37"/>
  <c r="AF48" i="37"/>
  <c r="AG47" i="37"/>
  <c r="AF47" i="37"/>
  <c r="AG46" i="37"/>
  <c r="AF46" i="37"/>
  <c r="AG45" i="37"/>
  <c r="AF45" i="37"/>
  <c r="AG44" i="37"/>
  <c r="AF44" i="37"/>
  <c r="AE43" i="37"/>
  <c r="AE42" i="37"/>
  <c r="AE41" i="37"/>
  <c r="AE40" i="37"/>
  <c r="AE39" i="37"/>
  <c r="AE38" i="37"/>
  <c r="AE37" i="37"/>
  <c r="AE36" i="37"/>
  <c r="AE35" i="37"/>
  <c r="AE34" i="37"/>
  <c r="AE33" i="37"/>
  <c r="AE32" i="37"/>
  <c r="AE31" i="37"/>
  <c r="AE30" i="37"/>
  <c r="AE29" i="37"/>
  <c r="AE28" i="37"/>
  <c r="AE27" i="37"/>
  <c r="AE26" i="37"/>
  <c r="X693" i="37"/>
  <c r="AD693" i="37" s="1"/>
  <c r="W693" i="37"/>
  <c r="AC693" i="37" s="1"/>
  <c r="V693" i="37"/>
  <c r="AB693" i="37" s="1"/>
  <c r="X692" i="37"/>
  <c r="AD692" i="37" s="1"/>
  <c r="W692" i="37"/>
  <c r="AC692" i="37" s="1"/>
  <c r="V692" i="37"/>
  <c r="AB692" i="37" s="1"/>
  <c r="X691" i="37"/>
  <c r="AD691" i="37" s="1"/>
  <c r="W691" i="37"/>
  <c r="AC691" i="37" s="1"/>
  <c r="V691" i="37"/>
  <c r="AB691" i="37" s="1"/>
  <c r="X690" i="37"/>
  <c r="AD690" i="37" s="1"/>
  <c r="W690" i="37"/>
  <c r="AC690" i="37" s="1"/>
  <c r="V690" i="37"/>
  <c r="AB690" i="37" s="1"/>
  <c r="X689" i="37"/>
  <c r="AD689" i="37" s="1"/>
  <c r="W689" i="37"/>
  <c r="AC689" i="37" s="1"/>
  <c r="V689" i="37"/>
  <c r="AB689" i="37" s="1"/>
  <c r="X688" i="37"/>
  <c r="AD688" i="37" s="1"/>
  <c r="W688" i="37"/>
  <c r="AC688" i="37" s="1"/>
  <c r="V688" i="37"/>
  <c r="AB688" i="37" s="1"/>
  <c r="X687" i="37"/>
  <c r="AD687" i="37" s="1"/>
  <c r="W687" i="37"/>
  <c r="AC687" i="37" s="1"/>
  <c r="V687" i="37"/>
  <c r="AB687" i="37" s="1"/>
  <c r="X686" i="37"/>
  <c r="AD686" i="37" s="1"/>
  <c r="W686" i="37"/>
  <c r="AC686" i="37" s="1"/>
  <c r="V686" i="37"/>
  <c r="AB686" i="37" s="1"/>
  <c r="X685" i="37"/>
  <c r="AD685" i="37" s="1"/>
  <c r="W685" i="37"/>
  <c r="AC685" i="37" s="1"/>
  <c r="V685" i="37"/>
  <c r="AB685" i="37" s="1"/>
  <c r="X684" i="37"/>
  <c r="AD684" i="37" s="1"/>
  <c r="W684" i="37"/>
  <c r="AC684" i="37" s="1"/>
  <c r="V684" i="37"/>
  <c r="AB684" i="37" s="1"/>
  <c r="X683" i="37"/>
  <c r="AD683" i="37" s="1"/>
  <c r="W683" i="37"/>
  <c r="AC683" i="37" s="1"/>
  <c r="V683" i="37"/>
  <c r="AB683" i="37" s="1"/>
  <c r="X682" i="37"/>
  <c r="AD682" i="37" s="1"/>
  <c r="W682" i="37"/>
  <c r="AC682" i="37" s="1"/>
  <c r="V682" i="37"/>
  <c r="AB682" i="37" s="1"/>
  <c r="X681" i="37"/>
  <c r="AD681" i="37" s="1"/>
  <c r="W681" i="37"/>
  <c r="AC681" i="37" s="1"/>
  <c r="V681" i="37"/>
  <c r="AB681" i="37" s="1"/>
  <c r="X680" i="37"/>
  <c r="AD680" i="37" s="1"/>
  <c r="W680" i="37"/>
  <c r="AC680" i="37" s="1"/>
  <c r="V680" i="37"/>
  <c r="AB680" i="37" s="1"/>
  <c r="X679" i="37"/>
  <c r="AD679" i="37" s="1"/>
  <c r="W679" i="37"/>
  <c r="AC679" i="37" s="1"/>
  <c r="V679" i="37"/>
  <c r="AB679" i="37" s="1"/>
  <c r="X678" i="37"/>
  <c r="AD678" i="37" s="1"/>
  <c r="W678" i="37"/>
  <c r="AC678" i="37" s="1"/>
  <c r="V678" i="37"/>
  <c r="AB678" i="37" s="1"/>
  <c r="X677" i="37"/>
  <c r="AD677" i="37" s="1"/>
  <c r="W677" i="37"/>
  <c r="AC677" i="37" s="1"/>
  <c r="V677" i="37"/>
  <c r="AB677" i="37" s="1"/>
  <c r="X676" i="37"/>
  <c r="AD676" i="37" s="1"/>
  <c r="W676" i="37"/>
  <c r="AC676" i="37" s="1"/>
  <c r="V676" i="37"/>
  <c r="AB676" i="37" s="1"/>
  <c r="X675" i="37"/>
  <c r="AD675" i="37" s="1"/>
  <c r="W675" i="37"/>
  <c r="AC675" i="37" s="1"/>
  <c r="V675" i="37"/>
  <c r="AB675" i="37" s="1"/>
  <c r="X674" i="37"/>
  <c r="AD674" i="37" s="1"/>
  <c r="W674" i="37"/>
  <c r="AC674" i="37" s="1"/>
  <c r="V674" i="37"/>
  <c r="AB674" i="37" s="1"/>
  <c r="X673" i="37"/>
  <c r="AD673" i="37" s="1"/>
  <c r="W673" i="37"/>
  <c r="AC673" i="37" s="1"/>
  <c r="V673" i="37"/>
  <c r="AB673" i="37" s="1"/>
  <c r="X672" i="37"/>
  <c r="AD672" i="37" s="1"/>
  <c r="W672" i="37"/>
  <c r="AC672" i="37" s="1"/>
  <c r="V672" i="37"/>
  <c r="AB672" i="37" s="1"/>
  <c r="X671" i="37"/>
  <c r="AD671" i="37" s="1"/>
  <c r="W671" i="37"/>
  <c r="AC671" i="37" s="1"/>
  <c r="V671" i="37"/>
  <c r="AB671" i="37" s="1"/>
  <c r="X670" i="37"/>
  <c r="AD670" i="37" s="1"/>
  <c r="W670" i="37"/>
  <c r="AC670" i="37" s="1"/>
  <c r="V670" i="37"/>
  <c r="AB670" i="37" s="1"/>
  <c r="V669" i="37"/>
  <c r="AB669" i="37" s="1"/>
  <c r="V668" i="37"/>
  <c r="AB668" i="37" s="1"/>
  <c r="V667" i="37"/>
  <c r="AB667" i="37" s="1"/>
  <c r="V666" i="37"/>
  <c r="AB666" i="37" s="1"/>
  <c r="V665" i="37"/>
  <c r="AB665" i="37" s="1"/>
  <c r="V664" i="37"/>
  <c r="AB664" i="37" s="1"/>
  <c r="V663" i="37"/>
  <c r="AB663" i="37" s="1"/>
  <c r="V662" i="37"/>
  <c r="AB662" i="37" s="1"/>
  <c r="V661" i="37"/>
  <c r="AB661" i="37" s="1"/>
  <c r="V660" i="37"/>
  <c r="AB660" i="37" s="1"/>
  <c r="V659" i="37"/>
  <c r="AB659" i="37" s="1"/>
  <c r="V658" i="37"/>
  <c r="AB658" i="37" s="1"/>
  <c r="X657" i="37"/>
  <c r="AD657" i="37" s="1"/>
  <c r="W657" i="37"/>
  <c r="AC657" i="37" s="1"/>
  <c r="V657" i="37"/>
  <c r="AB657" i="37" s="1"/>
  <c r="X656" i="37"/>
  <c r="AD656" i="37" s="1"/>
  <c r="W656" i="37"/>
  <c r="AC656" i="37" s="1"/>
  <c r="V656" i="37"/>
  <c r="AB656" i="37" s="1"/>
  <c r="X655" i="37"/>
  <c r="AD655" i="37" s="1"/>
  <c r="W655" i="37"/>
  <c r="AC655" i="37" s="1"/>
  <c r="V655" i="37"/>
  <c r="AB655" i="37" s="1"/>
  <c r="X654" i="37"/>
  <c r="AD654" i="37" s="1"/>
  <c r="W654" i="37"/>
  <c r="AC654" i="37" s="1"/>
  <c r="V654" i="37"/>
  <c r="AB654" i="37" s="1"/>
  <c r="X653" i="37"/>
  <c r="AD653" i="37" s="1"/>
  <c r="W653" i="37"/>
  <c r="AC653" i="37" s="1"/>
  <c r="V653" i="37"/>
  <c r="AB653" i="37" s="1"/>
  <c r="X652" i="37"/>
  <c r="AD652" i="37" s="1"/>
  <c r="W652" i="37"/>
  <c r="AC652" i="37" s="1"/>
  <c r="V652" i="37"/>
  <c r="AB652" i="37" s="1"/>
  <c r="X651" i="37"/>
  <c r="AD651" i="37" s="1"/>
  <c r="W651" i="37"/>
  <c r="AC651" i="37" s="1"/>
  <c r="V651" i="37"/>
  <c r="AB651" i="37" s="1"/>
  <c r="X650" i="37"/>
  <c r="AD650" i="37" s="1"/>
  <c r="W650" i="37"/>
  <c r="AC650" i="37" s="1"/>
  <c r="V650" i="37"/>
  <c r="AB650" i="37" s="1"/>
  <c r="X649" i="37"/>
  <c r="AD649" i="37" s="1"/>
  <c r="W649" i="37"/>
  <c r="AC649" i="37" s="1"/>
  <c r="V649" i="37"/>
  <c r="AB649" i="37" s="1"/>
  <c r="X648" i="37"/>
  <c r="AD648" i="37" s="1"/>
  <c r="W648" i="37"/>
  <c r="AC648" i="37" s="1"/>
  <c r="V648" i="37"/>
  <c r="AB648" i="37" s="1"/>
  <c r="X647" i="37"/>
  <c r="AD647" i="37" s="1"/>
  <c r="W647" i="37"/>
  <c r="AC647" i="37" s="1"/>
  <c r="V647" i="37"/>
  <c r="AB647" i="37" s="1"/>
  <c r="X646" i="37"/>
  <c r="AD646" i="37" s="1"/>
  <c r="W646" i="37"/>
  <c r="AC646" i="37" s="1"/>
  <c r="V646" i="37"/>
  <c r="AB646" i="37" s="1"/>
  <c r="X645" i="37"/>
  <c r="AD645" i="37" s="1"/>
  <c r="W645" i="37"/>
  <c r="AC645" i="37" s="1"/>
  <c r="V645" i="37"/>
  <c r="AB645" i="37" s="1"/>
  <c r="X644" i="37"/>
  <c r="AD644" i="37" s="1"/>
  <c r="W644" i="37"/>
  <c r="AC644" i="37" s="1"/>
  <c r="V644" i="37"/>
  <c r="AB644" i="37" s="1"/>
  <c r="X643" i="37"/>
  <c r="AD643" i="37" s="1"/>
  <c r="W643" i="37"/>
  <c r="AC643" i="37" s="1"/>
  <c r="V643" i="37"/>
  <c r="AB643" i="37" s="1"/>
  <c r="X642" i="37"/>
  <c r="AD642" i="37" s="1"/>
  <c r="W642" i="37"/>
  <c r="AC642" i="37" s="1"/>
  <c r="V642" i="37"/>
  <c r="AB642" i="37" s="1"/>
  <c r="X641" i="37"/>
  <c r="AD641" i="37" s="1"/>
  <c r="W641" i="37"/>
  <c r="AC641" i="37" s="1"/>
  <c r="V641" i="37"/>
  <c r="AB641" i="37" s="1"/>
  <c r="X640" i="37"/>
  <c r="AD640" i="37" s="1"/>
  <c r="W640" i="37"/>
  <c r="AC640" i="37" s="1"/>
  <c r="V640" i="37"/>
  <c r="AB640" i="37" s="1"/>
  <c r="X639" i="37"/>
  <c r="AD639" i="37" s="1"/>
  <c r="W639" i="37"/>
  <c r="AC639" i="37" s="1"/>
  <c r="V639" i="37"/>
  <c r="AB639" i="37" s="1"/>
  <c r="X638" i="37"/>
  <c r="AD638" i="37" s="1"/>
  <c r="W638" i="37"/>
  <c r="AC638" i="37" s="1"/>
  <c r="V638" i="37"/>
  <c r="AB638" i="37" s="1"/>
  <c r="X637" i="37"/>
  <c r="AD637" i="37" s="1"/>
  <c r="W637" i="37"/>
  <c r="AC637" i="37" s="1"/>
  <c r="V637" i="37"/>
  <c r="AB637" i="37" s="1"/>
  <c r="X636" i="37"/>
  <c r="AD636" i="37" s="1"/>
  <c r="W636" i="37"/>
  <c r="AC636" i="37" s="1"/>
  <c r="V636" i="37"/>
  <c r="AB636" i="37" s="1"/>
  <c r="X635" i="37"/>
  <c r="AD635" i="37" s="1"/>
  <c r="W635" i="37"/>
  <c r="AC635" i="37" s="1"/>
  <c r="V635" i="37"/>
  <c r="AB635" i="37" s="1"/>
  <c r="X634" i="37"/>
  <c r="AD634" i="37" s="1"/>
  <c r="W634" i="37"/>
  <c r="AC634" i="37" s="1"/>
  <c r="V634" i="37"/>
  <c r="AB634" i="37" s="1"/>
  <c r="X633" i="37"/>
  <c r="AD633" i="37" s="1"/>
  <c r="W633" i="37"/>
  <c r="AC633" i="37" s="1"/>
  <c r="V633" i="37"/>
  <c r="AB633" i="37" s="1"/>
  <c r="X632" i="37"/>
  <c r="AD632" i="37" s="1"/>
  <c r="W632" i="37"/>
  <c r="AC632" i="37" s="1"/>
  <c r="V632" i="37"/>
  <c r="AB632" i="37" s="1"/>
  <c r="X631" i="37"/>
  <c r="AD631" i="37" s="1"/>
  <c r="W631" i="37"/>
  <c r="AC631" i="37" s="1"/>
  <c r="V631" i="37"/>
  <c r="AB631" i="37" s="1"/>
  <c r="X630" i="37"/>
  <c r="AD630" i="37" s="1"/>
  <c r="W630" i="37"/>
  <c r="AC630" i="37" s="1"/>
  <c r="V630" i="37"/>
  <c r="AB630" i="37" s="1"/>
  <c r="X629" i="37"/>
  <c r="AD629" i="37" s="1"/>
  <c r="W629" i="37"/>
  <c r="AC629" i="37" s="1"/>
  <c r="V629" i="37"/>
  <c r="AB629" i="37" s="1"/>
  <c r="X628" i="37"/>
  <c r="AD628" i="37" s="1"/>
  <c r="W628" i="37"/>
  <c r="AC628" i="37" s="1"/>
  <c r="V628" i="37"/>
  <c r="AB628" i="37" s="1"/>
  <c r="X627" i="37"/>
  <c r="AD627" i="37" s="1"/>
  <c r="W627" i="37"/>
  <c r="AC627" i="37" s="1"/>
  <c r="V627" i="37"/>
  <c r="AB627" i="37" s="1"/>
  <c r="X626" i="37"/>
  <c r="AD626" i="37" s="1"/>
  <c r="W626" i="37"/>
  <c r="AC626" i="37" s="1"/>
  <c r="V626" i="37"/>
  <c r="AB626" i="37" s="1"/>
  <c r="X625" i="37"/>
  <c r="AD625" i="37" s="1"/>
  <c r="W625" i="37"/>
  <c r="AC625" i="37" s="1"/>
  <c r="V625" i="37"/>
  <c r="AB625" i="37" s="1"/>
  <c r="X624" i="37"/>
  <c r="AD624" i="37" s="1"/>
  <c r="W624" i="37"/>
  <c r="AC624" i="37" s="1"/>
  <c r="V624" i="37"/>
  <c r="AB624" i="37" s="1"/>
  <c r="X623" i="37"/>
  <c r="AD623" i="37" s="1"/>
  <c r="W623" i="37"/>
  <c r="AC623" i="37" s="1"/>
  <c r="V623" i="37"/>
  <c r="AB623" i="37" s="1"/>
  <c r="X622" i="37"/>
  <c r="AD622" i="37" s="1"/>
  <c r="W622" i="37"/>
  <c r="AC622" i="37" s="1"/>
  <c r="V622" i="37"/>
  <c r="AB622" i="37" s="1"/>
  <c r="X621" i="37"/>
  <c r="AD621" i="37" s="1"/>
  <c r="W621" i="37"/>
  <c r="AC621" i="37" s="1"/>
  <c r="V621" i="37"/>
  <c r="AB621" i="37" s="1"/>
  <c r="X620" i="37"/>
  <c r="AD620" i="37" s="1"/>
  <c r="W620" i="37"/>
  <c r="AC620" i="37" s="1"/>
  <c r="V620" i="37"/>
  <c r="AB620" i="37" s="1"/>
  <c r="X619" i="37"/>
  <c r="AD619" i="37" s="1"/>
  <c r="W619" i="37"/>
  <c r="AC619" i="37" s="1"/>
  <c r="V619" i="37"/>
  <c r="AB619" i="37" s="1"/>
  <c r="X618" i="37"/>
  <c r="AD618" i="37" s="1"/>
  <c r="W618" i="37"/>
  <c r="AC618" i="37" s="1"/>
  <c r="V618" i="37"/>
  <c r="AB618" i="37" s="1"/>
  <c r="X617" i="37"/>
  <c r="AD617" i="37" s="1"/>
  <c r="W617" i="37"/>
  <c r="AC617" i="37" s="1"/>
  <c r="V617" i="37"/>
  <c r="AB617" i="37" s="1"/>
  <c r="X616" i="37"/>
  <c r="AD616" i="37" s="1"/>
  <c r="W616" i="37"/>
  <c r="AC616" i="37" s="1"/>
  <c r="V616" i="37"/>
  <c r="AB616" i="37" s="1"/>
  <c r="X615" i="37"/>
  <c r="AD615" i="37" s="1"/>
  <c r="W615" i="37"/>
  <c r="AC615" i="37" s="1"/>
  <c r="V615" i="37"/>
  <c r="AB615" i="37" s="1"/>
  <c r="X614" i="37"/>
  <c r="AD614" i="37" s="1"/>
  <c r="W614" i="37"/>
  <c r="AC614" i="37" s="1"/>
  <c r="V614" i="37"/>
  <c r="AB614" i="37" s="1"/>
  <c r="X613" i="37"/>
  <c r="AD613" i="37" s="1"/>
  <c r="W613" i="37"/>
  <c r="AC613" i="37" s="1"/>
  <c r="V613" i="37"/>
  <c r="AB613" i="37" s="1"/>
  <c r="X612" i="37"/>
  <c r="AD612" i="37" s="1"/>
  <c r="W612" i="37"/>
  <c r="AC612" i="37" s="1"/>
  <c r="V612" i="37"/>
  <c r="AB612" i="37" s="1"/>
  <c r="X611" i="37"/>
  <c r="AD611" i="37" s="1"/>
  <c r="W611" i="37"/>
  <c r="AC611" i="37" s="1"/>
  <c r="V611" i="37"/>
  <c r="AB611" i="37" s="1"/>
  <c r="X610" i="37"/>
  <c r="AD610" i="37" s="1"/>
  <c r="W610" i="37"/>
  <c r="AC610" i="37" s="1"/>
  <c r="V610" i="37"/>
  <c r="AB610" i="37" s="1"/>
  <c r="X609" i="37"/>
  <c r="AD609" i="37" s="1"/>
  <c r="W609" i="37"/>
  <c r="AC609" i="37" s="1"/>
  <c r="V609" i="37"/>
  <c r="AB609" i="37" s="1"/>
  <c r="X608" i="37"/>
  <c r="AD608" i="37" s="1"/>
  <c r="W608" i="37"/>
  <c r="AC608" i="37" s="1"/>
  <c r="V608" i="37"/>
  <c r="AB608" i="37" s="1"/>
  <c r="X607" i="37"/>
  <c r="AD607" i="37" s="1"/>
  <c r="W607" i="37"/>
  <c r="AC607" i="37" s="1"/>
  <c r="V607" i="37"/>
  <c r="AB607" i="37" s="1"/>
  <c r="X606" i="37"/>
  <c r="AD606" i="37" s="1"/>
  <c r="W606" i="37"/>
  <c r="AC606" i="37" s="1"/>
  <c r="V606" i="37"/>
  <c r="AB606" i="37" s="1"/>
  <c r="X605" i="37"/>
  <c r="AD605" i="37" s="1"/>
  <c r="W605" i="37"/>
  <c r="AC605" i="37" s="1"/>
  <c r="V605" i="37"/>
  <c r="AB605" i="37" s="1"/>
  <c r="X604" i="37"/>
  <c r="AD604" i="37" s="1"/>
  <c r="W604" i="37"/>
  <c r="AC604" i="37" s="1"/>
  <c r="V604" i="37"/>
  <c r="AB604" i="37" s="1"/>
  <c r="X603" i="37"/>
  <c r="AD603" i="37" s="1"/>
  <c r="W603" i="37"/>
  <c r="AC603" i="37" s="1"/>
  <c r="V603" i="37"/>
  <c r="AB603" i="37" s="1"/>
  <c r="X602" i="37"/>
  <c r="AD602" i="37" s="1"/>
  <c r="W602" i="37"/>
  <c r="AC602" i="37" s="1"/>
  <c r="V602" i="37"/>
  <c r="AB602" i="37" s="1"/>
  <c r="X601" i="37"/>
  <c r="AD601" i="37" s="1"/>
  <c r="W601" i="37"/>
  <c r="AC601" i="37" s="1"/>
  <c r="V601" i="37"/>
  <c r="AB601" i="37" s="1"/>
  <c r="X600" i="37"/>
  <c r="AD600" i="37" s="1"/>
  <c r="W600" i="37"/>
  <c r="AC600" i="37" s="1"/>
  <c r="V600" i="37"/>
  <c r="AB600" i="37" s="1"/>
  <c r="X599" i="37"/>
  <c r="AD599" i="37" s="1"/>
  <c r="W599" i="37"/>
  <c r="AC599" i="37" s="1"/>
  <c r="V599" i="37"/>
  <c r="AB599" i="37" s="1"/>
  <c r="X598" i="37"/>
  <c r="AD598" i="37" s="1"/>
  <c r="W598" i="37"/>
  <c r="AC598" i="37" s="1"/>
  <c r="V598" i="37"/>
  <c r="AB598" i="37" s="1"/>
  <c r="X597" i="37"/>
  <c r="AD597" i="37" s="1"/>
  <c r="W597" i="37"/>
  <c r="AC597" i="37" s="1"/>
  <c r="V597" i="37"/>
  <c r="AB597" i="37" s="1"/>
  <c r="X596" i="37"/>
  <c r="AD596" i="37" s="1"/>
  <c r="W596" i="37"/>
  <c r="AC596" i="37" s="1"/>
  <c r="V596" i="37"/>
  <c r="AB596" i="37" s="1"/>
  <c r="X595" i="37"/>
  <c r="AD595" i="37" s="1"/>
  <c r="W595" i="37"/>
  <c r="AC595" i="37" s="1"/>
  <c r="V595" i="37"/>
  <c r="AB595" i="37" s="1"/>
  <c r="X594" i="37"/>
  <c r="AD594" i="37" s="1"/>
  <c r="W594" i="37"/>
  <c r="AC594" i="37" s="1"/>
  <c r="V594" i="37"/>
  <c r="AB594" i="37" s="1"/>
  <c r="X593" i="37"/>
  <c r="AD593" i="37" s="1"/>
  <c r="W593" i="37"/>
  <c r="AC593" i="37" s="1"/>
  <c r="V593" i="37"/>
  <c r="AB593" i="37" s="1"/>
  <c r="X592" i="37"/>
  <c r="AD592" i="37" s="1"/>
  <c r="W592" i="37"/>
  <c r="AC592" i="37" s="1"/>
  <c r="V592" i="37"/>
  <c r="AB592" i="37" s="1"/>
  <c r="X591" i="37"/>
  <c r="AD591" i="37" s="1"/>
  <c r="W591" i="37"/>
  <c r="AC591" i="37" s="1"/>
  <c r="V591" i="37"/>
  <c r="AB591" i="37" s="1"/>
  <c r="X590" i="37"/>
  <c r="AD590" i="37" s="1"/>
  <c r="W590" i="37"/>
  <c r="AC590" i="37" s="1"/>
  <c r="V590" i="37"/>
  <c r="AB590" i="37" s="1"/>
  <c r="X589" i="37"/>
  <c r="AD589" i="37" s="1"/>
  <c r="W589" i="37"/>
  <c r="AC589" i="37" s="1"/>
  <c r="V589" i="37"/>
  <c r="AB589" i="37" s="1"/>
  <c r="X588" i="37"/>
  <c r="AD588" i="37" s="1"/>
  <c r="W588" i="37"/>
  <c r="AC588" i="37" s="1"/>
  <c r="V588" i="37"/>
  <c r="AB588" i="37" s="1"/>
  <c r="X587" i="37"/>
  <c r="AD587" i="37" s="1"/>
  <c r="W587" i="37"/>
  <c r="AC587" i="37" s="1"/>
  <c r="V587" i="37"/>
  <c r="AB587" i="37" s="1"/>
  <c r="X586" i="37"/>
  <c r="AD586" i="37" s="1"/>
  <c r="W586" i="37"/>
  <c r="AC586" i="37" s="1"/>
  <c r="V586" i="37"/>
  <c r="AB586" i="37" s="1"/>
  <c r="X585" i="37"/>
  <c r="AD585" i="37" s="1"/>
  <c r="W585" i="37"/>
  <c r="AC585" i="37" s="1"/>
  <c r="V585" i="37"/>
  <c r="AB585" i="37" s="1"/>
  <c r="X584" i="37"/>
  <c r="AD584" i="37" s="1"/>
  <c r="W584" i="37"/>
  <c r="AC584" i="37" s="1"/>
  <c r="V584" i="37"/>
  <c r="AB584" i="37" s="1"/>
  <c r="X583" i="37"/>
  <c r="AD583" i="37" s="1"/>
  <c r="W583" i="37"/>
  <c r="AC583" i="37" s="1"/>
  <c r="V583" i="37"/>
  <c r="AB583" i="37" s="1"/>
  <c r="X582" i="37"/>
  <c r="AD582" i="37" s="1"/>
  <c r="W582" i="37"/>
  <c r="AC582" i="37" s="1"/>
  <c r="V582" i="37"/>
  <c r="AB582" i="37" s="1"/>
  <c r="X581" i="37"/>
  <c r="AD581" i="37" s="1"/>
  <c r="W581" i="37"/>
  <c r="AC581" i="37" s="1"/>
  <c r="V581" i="37"/>
  <c r="AB581" i="37" s="1"/>
  <c r="X580" i="37"/>
  <c r="AD580" i="37" s="1"/>
  <c r="W580" i="37"/>
  <c r="AC580" i="37" s="1"/>
  <c r="V580" i="37"/>
  <c r="AB580" i="37" s="1"/>
  <c r="X579" i="37"/>
  <c r="AD579" i="37" s="1"/>
  <c r="W579" i="37"/>
  <c r="AC579" i="37" s="1"/>
  <c r="V579" i="37"/>
  <c r="AB579" i="37" s="1"/>
  <c r="X578" i="37"/>
  <c r="AD578" i="37" s="1"/>
  <c r="W578" i="37"/>
  <c r="AC578" i="37" s="1"/>
  <c r="V578" i="37"/>
  <c r="AB578" i="37" s="1"/>
  <c r="X577" i="37"/>
  <c r="AD577" i="37" s="1"/>
  <c r="W577" i="37"/>
  <c r="AC577" i="37" s="1"/>
  <c r="V577" i="37"/>
  <c r="AB577" i="37" s="1"/>
  <c r="X576" i="37"/>
  <c r="AD576" i="37" s="1"/>
  <c r="W576" i="37"/>
  <c r="AC576" i="37" s="1"/>
  <c r="V576" i="37"/>
  <c r="AB576" i="37" s="1"/>
  <c r="X575" i="37"/>
  <c r="AD575" i="37" s="1"/>
  <c r="W575" i="37"/>
  <c r="AC575" i="37" s="1"/>
  <c r="V575" i="37"/>
  <c r="AB575" i="37" s="1"/>
  <c r="X574" i="37"/>
  <c r="AD574" i="37" s="1"/>
  <c r="W574" i="37"/>
  <c r="AC574" i="37" s="1"/>
  <c r="V574" i="37"/>
  <c r="AB574" i="37" s="1"/>
  <c r="X573" i="37"/>
  <c r="AD573" i="37" s="1"/>
  <c r="W573" i="37"/>
  <c r="AC573" i="37" s="1"/>
  <c r="V573" i="37"/>
  <c r="AB573" i="37" s="1"/>
  <c r="X572" i="37"/>
  <c r="AD572" i="37" s="1"/>
  <c r="W572" i="37"/>
  <c r="AC572" i="37" s="1"/>
  <c r="V572" i="37"/>
  <c r="AB572" i="37" s="1"/>
  <c r="X571" i="37"/>
  <c r="AD571" i="37" s="1"/>
  <c r="W571" i="37"/>
  <c r="AC571" i="37" s="1"/>
  <c r="V571" i="37"/>
  <c r="AB571" i="37" s="1"/>
  <c r="X570" i="37"/>
  <c r="AD570" i="37" s="1"/>
  <c r="W570" i="37"/>
  <c r="AC570" i="37" s="1"/>
  <c r="V570" i="37"/>
  <c r="AB570" i="37" s="1"/>
  <c r="X569" i="37"/>
  <c r="AD569" i="37" s="1"/>
  <c r="W569" i="37"/>
  <c r="AC569" i="37" s="1"/>
  <c r="V569" i="37"/>
  <c r="AB569" i="37" s="1"/>
  <c r="X568" i="37"/>
  <c r="AD568" i="37" s="1"/>
  <c r="W568" i="37"/>
  <c r="AC568" i="37" s="1"/>
  <c r="V568" i="37"/>
  <c r="AB568" i="37" s="1"/>
  <c r="X567" i="37"/>
  <c r="AD567" i="37" s="1"/>
  <c r="W567" i="37"/>
  <c r="AC567" i="37" s="1"/>
  <c r="V567" i="37"/>
  <c r="AB567" i="37" s="1"/>
  <c r="X566" i="37"/>
  <c r="AD566" i="37" s="1"/>
  <c r="W566" i="37"/>
  <c r="AC566" i="37" s="1"/>
  <c r="V566" i="37"/>
  <c r="AB566" i="37" s="1"/>
  <c r="X565" i="37"/>
  <c r="AD565" i="37" s="1"/>
  <c r="W565" i="37"/>
  <c r="AC565" i="37" s="1"/>
  <c r="V565" i="37"/>
  <c r="AB565" i="37" s="1"/>
  <c r="X564" i="37"/>
  <c r="AD564" i="37" s="1"/>
  <c r="W564" i="37"/>
  <c r="AC564" i="37" s="1"/>
  <c r="V564" i="37"/>
  <c r="AB564" i="37" s="1"/>
  <c r="X563" i="37"/>
  <c r="AD563" i="37" s="1"/>
  <c r="W563" i="37"/>
  <c r="AC563" i="37" s="1"/>
  <c r="V563" i="37"/>
  <c r="AB563" i="37" s="1"/>
  <c r="X562" i="37"/>
  <c r="AD562" i="37" s="1"/>
  <c r="W562" i="37"/>
  <c r="AC562" i="37" s="1"/>
  <c r="V562" i="37"/>
  <c r="AB562" i="37" s="1"/>
  <c r="X561" i="37"/>
  <c r="AD561" i="37" s="1"/>
  <c r="W561" i="37"/>
  <c r="AC561" i="37" s="1"/>
  <c r="V561" i="37"/>
  <c r="AB561" i="37" s="1"/>
  <c r="X560" i="37"/>
  <c r="AD560" i="37" s="1"/>
  <c r="W560" i="37"/>
  <c r="AC560" i="37" s="1"/>
  <c r="V560" i="37"/>
  <c r="AB560" i="37" s="1"/>
  <c r="X559" i="37"/>
  <c r="AD559" i="37" s="1"/>
  <c r="W559" i="37"/>
  <c r="AC559" i="37" s="1"/>
  <c r="V559" i="37"/>
  <c r="AB559" i="37" s="1"/>
  <c r="X558" i="37"/>
  <c r="AD558" i="37" s="1"/>
  <c r="W558" i="37"/>
  <c r="AC558" i="37" s="1"/>
  <c r="V558" i="37"/>
  <c r="AB558" i="37" s="1"/>
  <c r="X557" i="37"/>
  <c r="AD557" i="37" s="1"/>
  <c r="W557" i="37"/>
  <c r="AC557" i="37" s="1"/>
  <c r="V557" i="37"/>
  <c r="AB557" i="37" s="1"/>
  <c r="X556" i="37"/>
  <c r="AD556" i="37" s="1"/>
  <c r="W556" i="37"/>
  <c r="AC556" i="37" s="1"/>
  <c r="V556" i="37"/>
  <c r="AB556" i="37" s="1"/>
  <c r="X555" i="37"/>
  <c r="AD555" i="37" s="1"/>
  <c r="W555" i="37"/>
  <c r="AC555" i="37" s="1"/>
  <c r="V555" i="37"/>
  <c r="AB555" i="37" s="1"/>
  <c r="X554" i="37"/>
  <c r="AD554" i="37" s="1"/>
  <c r="W554" i="37"/>
  <c r="AC554" i="37" s="1"/>
  <c r="V554" i="37"/>
  <c r="AB554" i="37" s="1"/>
  <c r="X553" i="37"/>
  <c r="AD553" i="37" s="1"/>
  <c r="W553" i="37"/>
  <c r="AC553" i="37" s="1"/>
  <c r="V553" i="37"/>
  <c r="AB553" i="37" s="1"/>
  <c r="X552" i="37"/>
  <c r="AD552" i="37" s="1"/>
  <c r="W552" i="37"/>
  <c r="AC552" i="37" s="1"/>
  <c r="V552" i="37"/>
  <c r="AB552" i="37" s="1"/>
  <c r="X551" i="37"/>
  <c r="AD551" i="37" s="1"/>
  <c r="W551" i="37"/>
  <c r="AC551" i="37" s="1"/>
  <c r="V551" i="37"/>
  <c r="AB551" i="37" s="1"/>
  <c r="X550" i="37"/>
  <c r="AD550" i="37" s="1"/>
  <c r="W550" i="37"/>
  <c r="AC550" i="37" s="1"/>
  <c r="V550" i="37"/>
  <c r="AB550" i="37" s="1"/>
  <c r="X549" i="37"/>
  <c r="AD549" i="37" s="1"/>
  <c r="W549" i="37"/>
  <c r="AC549" i="37" s="1"/>
  <c r="V549" i="37"/>
  <c r="AB549" i="37" s="1"/>
  <c r="X548" i="37"/>
  <c r="AD548" i="37" s="1"/>
  <c r="W548" i="37"/>
  <c r="AC548" i="37" s="1"/>
  <c r="V548" i="37"/>
  <c r="AB548" i="37" s="1"/>
  <c r="X547" i="37"/>
  <c r="AD547" i="37" s="1"/>
  <c r="W547" i="37"/>
  <c r="AC547" i="37" s="1"/>
  <c r="V547" i="37"/>
  <c r="AB547" i="37" s="1"/>
  <c r="X546" i="37"/>
  <c r="AD546" i="37" s="1"/>
  <c r="W546" i="37"/>
  <c r="AC546" i="37" s="1"/>
  <c r="V546" i="37"/>
  <c r="AB546" i="37" s="1"/>
  <c r="X545" i="37"/>
  <c r="AD545" i="37" s="1"/>
  <c r="W545" i="37"/>
  <c r="AC545" i="37" s="1"/>
  <c r="V545" i="37"/>
  <c r="AB545" i="37" s="1"/>
  <c r="X544" i="37"/>
  <c r="AD544" i="37" s="1"/>
  <c r="W544" i="37"/>
  <c r="AC544" i="37" s="1"/>
  <c r="V544" i="37"/>
  <c r="AB544" i="37" s="1"/>
  <c r="X543" i="37"/>
  <c r="AD543" i="37" s="1"/>
  <c r="W543" i="37"/>
  <c r="AC543" i="37" s="1"/>
  <c r="V543" i="37"/>
  <c r="AB543" i="37" s="1"/>
  <c r="X542" i="37"/>
  <c r="AD542" i="37" s="1"/>
  <c r="W542" i="37"/>
  <c r="AC542" i="37" s="1"/>
  <c r="V542" i="37"/>
  <c r="AB542" i="37" s="1"/>
  <c r="X541" i="37"/>
  <c r="AD541" i="37" s="1"/>
  <c r="W541" i="37"/>
  <c r="AC541" i="37" s="1"/>
  <c r="V541" i="37"/>
  <c r="AB541" i="37" s="1"/>
  <c r="X540" i="37"/>
  <c r="AD540" i="37" s="1"/>
  <c r="W540" i="37"/>
  <c r="AC540" i="37" s="1"/>
  <c r="V540" i="37"/>
  <c r="AB540" i="37" s="1"/>
  <c r="X539" i="37"/>
  <c r="AD539" i="37" s="1"/>
  <c r="W539" i="37"/>
  <c r="AC539" i="37" s="1"/>
  <c r="V539" i="37"/>
  <c r="AB539" i="37" s="1"/>
  <c r="X538" i="37"/>
  <c r="AD538" i="37" s="1"/>
  <c r="W538" i="37"/>
  <c r="AC538" i="37" s="1"/>
  <c r="V538" i="37"/>
  <c r="AB538" i="37" s="1"/>
  <c r="X537" i="37"/>
  <c r="AD537" i="37" s="1"/>
  <c r="W537" i="37"/>
  <c r="AC537" i="37" s="1"/>
  <c r="V537" i="37"/>
  <c r="AB537" i="37" s="1"/>
  <c r="X536" i="37"/>
  <c r="AD536" i="37" s="1"/>
  <c r="W536" i="37"/>
  <c r="AC536" i="37" s="1"/>
  <c r="V536" i="37"/>
  <c r="AB536" i="37" s="1"/>
  <c r="X535" i="37"/>
  <c r="AD535" i="37" s="1"/>
  <c r="W535" i="37"/>
  <c r="AC535" i="37" s="1"/>
  <c r="V535" i="37"/>
  <c r="AB535" i="37" s="1"/>
  <c r="X534" i="37"/>
  <c r="AD534" i="37" s="1"/>
  <c r="W534" i="37"/>
  <c r="AC534" i="37" s="1"/>
  <c r="V534" i="37"/>
  <c r="AB534" i="37" s="1"/>
  <c r="X533" i="37"/>
  <c r="AD533" i="37" s="1"/>
  <c r="W533" i="37"/>
  <c r="AC533" i="37" s="1"/>
  <c r="V533" i="37"/>
  <c r="AB533" i="37" s="1"/>
  <c r="X532" i="37"/>
  <c r="AD532" i="37" s="1"/>
  <c r="W532" i="37"/>
  <c r="AC532" i="37" s="1"/>
  <c r="V532" i="37"/>
  <c r="AB532" i="37" s="1"/>
  <c r="X531" i="37"/>
  <c r="AD531" i="37" s="1"/>
  <c r="W531" i="37"/>
  <c r="AC531" i="37" s="1"/>
  <c r="V531" i="37"/>
  <c r="AB531" i="37" s="1"/>
  <c r="X530" i="37"/>
  <c r="AD530" i="37" s="1"/>
  <c r="W530" i="37"/>
  <c r="AC530" i="37" s="1"/>
  <c r="V530" i="37"/>
  <c r="AB530" i="37" s="1"/>
  <c r="X529" i="37"/>
  <c r="AD529" i="37" s="1"/>
  <c r="W529" i="37"/>
  <c r="AC529" i="37" s="1"/>
  <c r="V529" i="37"/>
  <c r="AB529" i="37" s="1"/>
  <c r="X528" i="37"/>
  <c r="AD528" i="37" s="1"/>
  <c r="W528" i="37"/>
  <c r="AC528" i="37" s="1"/>
  <c r="V528" i="37"/>
  <c r="AB528" i="37" s="1"/>
  <c r="X527" i="37"/>
  <c r="AD527" i="37" s="1"/>
  <c r="W527" i="37"/>
  <c r="AC527" i="37" s="1"/>
  <c r="V527" i="37"/>
  <c r="AB527" i="37" s="1"/>
  <c r="X526" i="37"/>
  <c r="AD526" i="37" s="1"/>
  <c r="W526" i="37"/>
  <c r="AC526" i="37" s="1"/>
  <c r="V526" i="37"/>
  <c r="AB526" i="37" s="1"/>
  <c r="X525" i="37"/>
  <c r="AD525" i="37" s="1"/>
  <c r="W525" i="37"/>
  <c r="AC525" i="37" s="1"/>
  <c r="V525" i="37"/>
  <c r="AB525" i="37" s="1"/>
  <c r="X524" i="37"/>
  <c r="AD524" i="37" s="1"/>
  <c r="W524" i="37"/>
  <c r="AC524" i="37" s="1"/>
  <c r="V524" i="37"/>
  <c r="AB524" i="37" s="1"/>
  <c r="X523" i="37"/>
  <c r="AD523" i="37" s="1"/>
  <c r="W523" i="37"/>
  <c r="AC523" i="37" s="1"/>
  <c r="V523" i="37"/>
  <c r="AB523" i="37" s="1"/>
  <c r="X522" i="37"/>
  <c r="AD522" i="37" s="1"/>
  <c r="W522" i="37"/>
  <c r="AC522" i="37" s="1"/>
  <c r="V522" i="37"/>
  <c r="AB522" i="37" s="1"/>
  <c r="X521" i="37"/>
  <c r="AD521" i="37" s="1"/>
  <c r="W521" i="37"/>
  <c r="AC521" i="37" s="1"/>
  <c r="V521" i="37"/>
  <c r="AB521" i="37" s="1"/>
  <c r="X520" i="37"/>
  <c r="AD520" i="37" s="1"/>
  <c r="W520" i="37"/>
  <c r="AC520" i="37" s="1"/>
  <c r="V520" i="37"/>
  <c r="AB520" i="37" s="1"/>
  <c r="X519" i="37"/>
  <c r="AD519" i="37" s="1"/>
  <c r="W519" i="37"/>
  <c r="AC519" i="37" s="1"/>
  <c r="V519" i="37"/>
  <c r="AB519" i="37" s="1"/>
  <c r="X518" i="37"/>
  <c r="AD518" i="37" s="1"/>
  <c r="W518" i="37"/>
  <c r="AC518" i="37" s="1"/>
  <c r="V518" i="37"/>
  <c r="AB518" i="37" s="1"/>
  <c r="X517" i="37"/>
  <c r="AD517" i="37" s="1"/>
  <c r="W517" i="37"/>
  <c r="AC517" i="37" s="1"/>
  <c r="V517" i="37"/>
  <c r="AB517" i="37" s="1"/>
  <c r="X516" i="37"/>
  <c r="AD516" i="37" s="1"/>
  <c r="W516" i="37"/>
  <c r="AC516" i="37" s="1"/>
  <c r="V516" i="37"/>
  <c r="AB516" i="37" s="1"/>
  <c r="X515" i="37"/>
  <c r="AD515" i="37" s="1"/>
  <c r="W515" i="37"/>
  <c r="AC515" i="37" s="1"/>
  <c r="V515" i="37"/>
  <c r="AB515" i="37" s="1"/>
  <c r="X514" i="37"/>
  <c r="AD514" i="37" s="1"/>
  <c r="W514" i="37"/>
  <c r="AC514" i="37" s="1"/>
  <c r="V514" i="37"/>
  <c r="AB514" i="37" s="1"/>
  <c r="X513" i="37"/>
  <c r="AD513" i="37" s="1"/>
  <c r="W513" i="37"/>
  <c r="AC513" i="37" s="1"/>
  <c r="V513" i="37"/>
  <c r="AB513" i="37" s="1"/>
  <c r="X512" i="37"/>
  <c r="AD512" i="37" s="1"/>
  <c r="W512" i="37"/>
  <c r="AC512" i="37" s="1"/>
  <c r="V512" i="37"/>
  <c r="AB512" i="37" s="1"/>
  <c r="X511" i="37"/>
  <c r="AD511" i="37" s="1"/>
  <c r="W511" i="37"/>
  <c r="AC511" i="37" s="1"/>
  <c r="V511" i="37"/>
  <c r="AB511" i="37" s="1"/>
  <c r="X510" i="37"/>
  <c r="AD510" i="37" s="1"/>
  <c r="W510" i="37"/>
  <c r="AC510" i="37" s="1"/>
  <c r="V510" i="37"/>
  <c r="AB510" i="37" s="1"/>
  <c r="X509" i="37"/>
  <c r="AD509" i="37" s="1"/>
  <c r="W509" i="37"/>
  <c r="AC509" i="37" s="1"/>
  <c r="V509" i="37"/>
  <c r="AB509" i="37" s="1"/>
  <c r="X508" i="37"/>
  <c r="AD508" i="37" s="1"/>
  <c r="W508" i="37"/>
  <c r="AC508" i="37" s="1"/>
  <c r="V508" i="37"/>
  <c r="AB508" i="37" s="1"/>
  <c r="X507" i="37"/>
  <c r="AD507" i="37" s="1"/>
  <c r="W507" i="37"/>
  <c r="AC507" i="37" s="1"/>
  <c r="V507" i="37"/>
  <c r="AB507" i="37" s="1"/>
  <c r="X506" i="37"/>
  <c r="AD506" i="37" s="1"/>
  <c r="W506" i="37"/>
  <c r="AC506" i="37" s="1"/>
  <c r="V506" i="37"/>
  <c r="AB506" i="37" s="1"/>
  <c r="X505" i="37"/>
  <c r="AD505" i="37" s="1"/>
  <c r="W505" i="37"/>
  <c r="AC505" i="37" s="1"/>
  <c r="V505" i="37"/>
  <c r="AB505" i="37" s="1"/>
  <c r="X504" i="37"/>
  <c r="AD504" i="37" s="1"/>
  <c r="W504" i="37"/>
  <c r="AC504" i="37" s="1"/>
  <c r="V504" i="37"/>
  <c r="AB504" i="37" s="1"/>
  <c r="X503" i="37"/>
  <c r="AD503" i="37" s="1"/>
  <c r="W503" i="37"/>
  <c r="AC503" i="37" s="1"/>
  <c r="V503" i="37"/>
  <c r="AB503" i="37" s="1"/>
  <c r="X502" i="37"/>
  <c r="AD502" i="37" s="1"/>
  <c r="W502" i="37"/>
  <c r="AC502" i="37" s="1"/>
  <c r="V502" i="37"/>
  <c r="AB502" i="37" s="1"/>
  <c r="X501" i="37"/>
  <c r="AD501" i="37" s="1"/>
  <c r="W501" i="37"/>
  <c r="AC501" i="37" s="1"/>
  <c r="V501" i="37"/>
  <c r="AB501" i="37" s="1"/>
  <c r="X500" i="37"/>
  <c r="AD500" i="37" s="1"/>
  <c r="W500" i="37"/>
  <c r="AC500" i="37" s="1"/>
  <c r="V500" i="37"/>
  <c r="AB500" i="37" s="1"/>
  <c r="X499" i="37"/>
  <c r="AD499" i="37" s="1"/>
  <c r="W499" i="37"/>
  <c r="AC499" i="37" s="1"/>
  <c r="V499" i="37"/>
  <c r="AB499" i="37" s="1"/>
  <c r="X498" i="37"/>
  <c r="AD498" i="37" s="1"/>
  <c r="W498" i="37"/>
  <c r="AC498" i="37" s="1"/>
  <c r="V498" i="37"/>
  <c r="AB498" i="37" s="1"/>
  <c r="X497" i="37"/>
  <c r="AD497" i="37" s="1"/>
  <c r="W497" i="37"/>
  <c r="AC497" i="37" s="1"/>
  <c r="V497" i="37"/>
  <c r="AB497" i="37" s="1"/>
  <c r="X496" i="37"/>
  <c r="AD496" i="37" s="1"/>
  <c r="W496" i="37"/>
  <c r="AC496" i="37" s="1"/>
  <c r="V496" i="37"/>
  <c r="AB496" i="37" s="1"/>
  <c r="X495" i="37"/>
  <c r="AD495" i="37" s="1"/>
  <c r="W495" i="37"/>
  <c r="AC495" i="37" s="1"/>
  <c r="V495" i="37"/>
  <c r="AB495" i="37" s="1"/>
  <c r="X494" i="37"/>
  <c r="AD494" i="37" s="1"/>
  <c r="W494" i="37"/>
  <c r="AC494" i="37" s="1"/>
  <c r="V494" i="37"/>
  <c r="AB494" i="37" s="1"/>
  <c r="X493" i="37"/>
  <c r="AD493" i="37" s="1"/>
  <c r="W493" i="37"/>
  <c r="AC493" i="37" s="1"/>
  <c r="V493" i="37"/>
  <c r="AB493" i="37" s="1"/>
  <c r="X492" i="37"/>
  <c r="AD492" i="37" s="1"/>
  <c r="W492" i="37"/>
  <c r="AC492" i="37" s="1"/>
  <c r="V492" i="37"/>
  <c r="AB492" i="37" s="1"/>
  <c r="X491" i="37"/>
  <c r="AD491" i="37" s="1"/>
  <c r="W491" i="37"/>
  <c r="AC491" i="37" s="1"/>
  <c r="V491" i="37"/>
  <c r="AB491" i="37" s="1"/>
  <c r="X490" i="37"/>
  <c r="AD490" i="37" s="1"/>
  <c r="W490" i="37"/>
  <c r="AC490" i="37" s="1"/>
  <c r="V490" i="37"/>
  <c r="AB490" i="37" s="1"/>
  <c r="X489" i="37"/>
  <c r="AD489" i="37" s="1"/>
  <c r="W489" i="37"/>
  <c r="AC489" i="37" s="1"/>
  <c r="V489" i="37"/>
  <c r="AB489" i="37" s="1"/>
  <c r="X488" i="37"/>
  <c r="AD488" i="37" s="1"/>
  <c r="W488" i="37"/>
  <c r="AC488" i="37" s="1"/>
  <c r="V488" i="37"/>
  <c r="AB488" i="37" s="1"/>
  <c r="X487" i="37"/>
  <c r="AD487" i="37" s="1"/>
  <c r="W487" i="37"/>
  <c r="AC487" i="37" s="1"/>
  <c r="V487" i="37"/>
  <c r="AB487" i="37" s="1"/>
  <c r="X486" i="37"/>
  <c r="AD486" i="37" s="1"/>
  <c r="W486" i="37"/>
  <c r="AC486" i="37" s="1"/>
  <c r="V486" i="37"/>
  <c r="AB486" i="37" s="1"/>
  <c r="X485" i="37"/>
  <c r="AD485" i="37" s="1"/>
  <c r="W485" i="37"/>
  <c r="AC485" i="37" s="1"/>
  <c r="V485" i="37"/>
  <c r="AB485" i="37" s="1"/>
  <c r="X484" i="37"/>
  <c r="AD484" i="37" s="1"/>
  <c r="W484" i="37"/>
  <c r="AC484" i="37" s="1"/>
  <c r="V484" i="37"/>
  <c r="AB484" i="37" s="1"/>
  <c r="X483" i="37"/>
  <c r="AD483" i="37" s="1"/>
  <c r="W483" i="37"/>
  <c r="AC483" i="37" s="1"/>
  <c r="V483" i="37"/>
  <c r="AB483" i="37" s="1"/>
  <c r="X482" i="37"/>
  <c r="AD482" i="37" s="1"/>
  <c r="W482" i="37"/>
  <c r="AC482" i="37" s="1"/>
  <c r="V482" i="37"/>
  <c r="AB482" i="37" s="1"/>
  <c r="X481" i="37"/>
  <c r="AD481" i="37" s="1"/>
  <c r="W481" i="37"/>
  <c r="AC481" i="37" s="1"/>
  <c r="V481" i="37"/>
  <c r="AB481" i="37" s="1"/>
  <c r="X480" i="37"/>
  <c r="AD480" i="37" s="1"/>
  <c r="W480" i="37"/>
  <c r="AC480" i="37" s="1"/>
  <c r="V480" i="37"/>
  <c r="AB480" i="37" s="1"/>
  <c r="X479" i="37"/>
  <c r="AD479" i="37" s="1"/>
  <c r="W479" i="37"/>
  <c r="AC479" i="37" s="1"/>
  <c r="V479" i="37"/>
  <c r="AB479" i="37" s="1"/>
  <c r="X478" i="37"/>
  <c r="AD478" i="37" s="1"/>
  <c r="W478" i="37"/>
  <c r="AC478" i="37" s="1"/>
  <c r="V478" i="37"/>
  <c r="AB478" i="37" s="1"/>
  <c r="X477" i="37"/>
  <c r="AD477" i="37" s="1"/>
  <c r="W477" i="37"/>
  <c r="AC477" i="37" s="1"/>
  <c r="V477" i="37"/>
  <c r="AB477" i="37" s="1"/>
  <c r="X476" i="37"/>
  <c r="AD476" i="37" s="1"/>
  <c r="W476" i="37"/>
  <c r="AC476" i="37" s="1"/>
  <c r="V476" i="37"/>
  <c r="AB476" i="37" s="1"/>
  <c r="X475" i="37"/>
  <c r="AD475" i="37" s="1"/>
  <c r="W475" i="37"/>
  <c r="AC475" i="37" s="1"/>
  <c r="V475" i="37"/>
  <c r="AB475" i="37" s="1"/>
  <c r="X474" i="37"/>
  <c r="AD474" i="37" s="1"/>
  <c r="W474" i="37"/>
  <c r="AC474" i="37" s="1"/>
  <c r="V474" i="37"/>
  <c r="AB474" i="37" s="1"/>
  <c r="X473" i="37"/>
  <c r="AD473" i="37" s="1"/>
  <c r="W473" i="37"/>
  <c r="AC473" i="37" s="1"/>
  <c r="V473" i="37"/>
  <c r="AB473" i="37" s="1"/>
  <c r="X472" i="37"/>
  <c r="AD472" i="37" s="1"/>
  <c r="W472" i="37"/>
  <c r="AC472" i="37" s="1"/>
  <c r="V472" i="37"/>
  <c r="AB472" i="37" s="1"/>
  <c r="X471" i="37"/>
  <c r="AD471" i="37" s="1"/>
  <c r="W471" i="37"/>
  <c r="AC471" i="37" s="1"/>
  <c r="V471" i="37"/>
  <c r="AB471" i="37" s="1"/>
  <c r="X470" i="37"/>
  <c r="AD470" i="37" s="1"/>
  <c r="W470" i="37"/>
  <c r="AC470" i="37" s="1"/>
  <c r="V470" i="37"/>
  <c r="AB470" i="37" s="1"/>
  <c r="X469" i="37"/>
  <c r="AD469" i="37" s="1"/>
  <c r="W469" i="37"/>
  <c r="AC469" i="37" s="1"/>
  <c r="V469" i="37"/>
  <c r="AB469" i="37" s="1"/>
  <c r="X468" i="37"/>
  <c r="AD468" i="37" s="1"/>
  <c r="W468" i="37"/>
  <c r="AC468" i="37" s="1"/>
  <c r="V468" i="37"/>
  <c r="AB468" i="37" s="1"/>
  <c r="X467" i="37"/>
  <c r="AD467" i="37" s="1"/>
  <c r="W467" i="37"/>
  <c r="AC467" i="37" s="1"/>
  <c r="V467" i="37"/>
  <c r="AB467" i="37" s="1"/>
  <c r="X466" i="37"/>
  <c r="AD466" i="37" s="1"/>
  <c r="W466" i="37"/>
  <c r="AC466" i="37" s="1"/>
  <c r="V466" i="37"/>
  <c r="AB466" i="37" s="1"/>
  <c r="X465" i="37"/>
  <c r="AD465" i="37" s="1"/>
  <c r="W465" i="37"/>
  <c r="AC465" i="37" s="1"/>
  <c r="V465" i="37"/>
  <c r="AB465" i="37" s="1"/>
  <c r="X464" i="37"/>
  <c r="AD464" i="37" s="1"/>
  <c r="W464" i="37"/>
  <c r="AC464" i="37" s="1"/>
  <c r="V464" i="37"/>
  <c r="AB464" i="37" s="1"/>
  <c r="X463" i="37"/>
  <c r="AD463" i="37" s="1"/>
  <c r="W463" i="37"/>
  <c r="AC463" i="37" s="1"/>
  <c r="V463" i="37"/>
  <c r="AB463" i="37" s="1"/>
  <c r="X462" i="37"/>
  <c r="AD462" i="37" s="1"/>
  <c r="W462" i="37"/>
  <c r="AC462" i="37" s="1"/>
  <c r="V462" i="37"/>
  <c r="AB462" i="37" s="1"/>
  <c r="X461" i="37"/>
  <c r="AD461" i="37" s="1"/>
  <c r="W461" i="37"/>
  <c r="AC461" i="37" s="1"/>
  <c r="V461" i="37"/>
  <c r="AB461" i="37" s="1"/>
  <c r="X460" i="37"/>
  <c r="AD460" i="37" s="1"/>
  <c r="W460" i="37"/>
  <c r="AC460" i="37" s="1"/>
  <c r="V460" i="37"/>
  <c r="AB460" i="37" s="1"/>
  <c r="X459" i="37"/>
  <c r="AD459" i="37" s="1"/>
  <c r="W459" i="37"/>
  <c r="AC459" i="37" s="1"/>
  <c r="V459" i="37"/>
  <c r="AB459" i="37" s="1"/>
  <c r="X458" i="37"/>
  <c r="AD458" i="37" s="1"/>
  <c r="W458" i="37"/>
  <c r="AC458" i="37" s="1"/>
  <c r="V458" i="37"/>
  <c r="AB458" i="37" s="1"/>
  <c r="X457" i="37"/>
  <c r="AD457" i="37" s="1"/>
  <c r="W457" i="37"/>
  <c r="AC457" i="37" s="1"/>
  <c r="V457" i="37"/>
  <c r="AB457" i="37" s="1"/>
  <c r="X456" i="37"/>
  <c r="AD456" i="37" s="1"/>
  <c r="W456" i="37"/>
  <c r="AC456" i="37" s="1"/>
  <c r="V456" i="37"/>
  <c r="AB456" i="37" s="1"/>
  <c r="X455" i="37"/>
  <c r="AD455" i="37" s="1"/>
  <c r="W455" i="37"/>
  <c r="AC455" i="37" s="1"/>
  <c r="V455" i="37"/>
  <c r="AB455" i="37" s="1"/>
  <c r="X454" i="37"/>
  <c r="AD454" i="37" s="1"/>
  <c r="W454" i="37"/>
  <c r="AC454" i="37" s="1"/>
  <c r="V454" i="37"/>
  <c r="AB454" i="37" s="1"/>
  <c r="X453" i="37"/>
  <c r="AD453" i="37" s="1"/>
  <c r="W453" i="37"/>
  <c r="AC453" i="37" s="1"/>
  <c r="V453" i="37"/>
  <c r="AB453" i="37" s="1"/>
  <c r="X452" i="37"/>
  <c r="AD452" i="37" s="1"/>
  <c r="W452" i="37"/>
  <c r="AC452" i="37" s="1"/>
  <c r="V452" i="37"/>
  <c r="AB452" i="37" s="1"/>
  <c r="X451" i="37"/>
  <c r="AD451" i="37" s="1"/>
  <c r="W451" i="37"/>
  <c r="AC451" i="37" s="1"/>
  <c r="V451" i="37"/>
  <c r="AB451" i="37" s="1"/>
  <c r="X450" i="37"/>
  <c r="AD450" i="37" s="1"/>
  <c r="W450" i="37"/>
  <c r="AC450" i="37" s="1"/>
  <c r="V450" i="37"/>
  <c r="AB450" i="37" s="1"/>
  <c r="X449" i="37"/>
  <c r="AD449" i="37" s="1"/>
  <c r="W449" i="37"/>
  <c r="AC449" i="37" s="1"/>
  <c r="V449" i="37"/>
  <c r="AB449" i="37" s="1"/>
  <c r="X448" i="37"/>
  <c r="AD448" i="37" s="1"/>
  <c r="W448" i="37"/>
  <c r="AC448" i="37" s="1"/>
  <c r="V448" i="37"/>
  <c r="AB448" i="37" s="1"/>
  <c r="X447" i="37"/>
  <c r="AD447" i="37" s="1"/>
  <c r="W447" i="37"/>
  <c r="AC447" i="37" s="1"/>
  <c r="V447" i="37"/>
  <c r="AB447" i="37" s="1"/>
  <c r="X446" i="37"/>
  <c r="AD446" i="37" s="1"/>
  <c r="W446" i="37"/>
  <c r="AC446" i="37" s="1"/>
  <c r="V446" i="37"/>
  <c r="AB446" i="37" s="1"/>
  <c r="X445" i="37"/>
  <c r="AD445" i="37" s="1"/>
  <c r="W445" i="37"/>
  <c r="AC445" i="37" s="1"/>
  <c r="V445" i="37"/>
  <c r="AB445" i="37" s="1"/>
  <c r="X444" i="37"/>
  <c r="AD444" i="37" s="1"/>
  <c r="W444" i="37"/>
  <c r="AC444" i="37" s="1"/>
  <c r="V444" i="37"/>
  <c r="AB444" i="37" s="1"/>
  <c r="X443" i="37"/>
  <c r="AD443" i="37" s="1"/>
  <c r="W443" i="37"/>
  <c r="AC443" i="37" s="1"/>
  <c r="V443" i="37"/>
  <c r="AB443" i="37" s="1"/>
  <c r="X442" i="37"/>
  <c r="AD442" i="37" s="1"/>
  <c r="W442" i="37"/>
  <c r="AC442" i="37" s="1"/>
  <c r="V442" i="37"/>
  <c r="AB442" i="37" s="1"/>
  <c r="X441" i="37"/>
  <c r="AD441" i="37" s="1"/>
  <c r="W441" i="37"/>
  <c r="AC441" i="37" s="1"/>
  <c r="V441" i="37"/>
  <c r="AB441" i="37" s="1"/>
  <c r="X440" i="37"/>
  <c r="AD440" i="37" s="1"/>
  <c r="W440" i="37"/>
  <c r="AC440" i="37" s="1"/>
  <c r="V440" i="37"/>
  <c r="AB440" i="37" s="1"/>
  <c r="X439" i="37"/>
  <c r="AD439" i="37" s="1"/>
  <c r="W439" i="37"/>
  <c r="AC439" i="37" s="1"/>
  <c r="V439" i="37"/>
  <c r="AB439" i="37" s="1"/>
  <c r="X438" i="37"/>
  <c r="AD438" i="37" s="1"/>
  <c r="W438" i="37"/>
  <c r="AC438" i="37" s="1"/>
  <c r="V438" i="37"/>
  <c r="AB438" i="37" s="1"/>
  <c r="X437" i="37"/>
  <c r="AD437" i="37" s="1"/>
  <c r="W437" i="37"/>
  <c r="AC437" i="37" s="1"/>
  <c r="V437" i="37"/>
  <c r="AB437" i="37" s="1"/>
  <c r="X436" i="37"/>
  <c r="AD436" i="37" s="1"/>
  <c r="W436" i="37"/>
  <c r="AC436" i="37" s="1"/>
  <c r="V436" i="37"/>
  <c r="AB436" i="37" s="1"/>
  <c r="X435" i="37"/>
  <c r="AD435" i="37" s="1"/>
  <c r="W435" i="37"/>
  <c r="AC435" i="37" s="1"/>
  <c r="V435" i="37"/>
  <c r="AB435" i="37" s="1"/>
  <c r="X434" i="37"/>
  <c r="AD434" i="37" s="1"/>
  <c r="W434" i="37"/>
  <c r="AC434" i="37" s="1"/>
  <c r="V434" i="37"/>
  <c r="AB434" i="37" s="1"/>
  <c r="X433" i="37"/>
  <c r="AD433" i="37" s="1"/>
  <c r="W433" i="37"/>
  <c r="AC433" i="37" s="1"/>
  <c r="V433" i="37"/>
  <c r="AB433" i="37" s="1"/>
  <c r="X432" i="37"/>
  <c r="AD432" i="37" s="1"/>
  <c r="W432" i="37"/>
  <c r="AC432" i="37" s="1"/>
  <c r="V432" i="37"/>
  <c r="AB432" i="37" s="1"/>
  <c r="X431" i="37"/>
  <c r="AD431" i="37" s="1"/>
  <c r="W431" i="37"/>
  <c r="AC431" i="37" s="1"/>
  <c r="V431" i="37"/>
  <c r="AB431" i="37" s="1"/>
  <c r="X430" i="37"/>
  <c r="AD430" i="37" s="1"/>
  <c r="W430" i="37"/>
  <c r="AC430" i="37" s="1"/>
  <c r="V430" i="37"/>
  <c r="AB430" i="37" s="1"/>
  <c r="X429" i="37"/>
  <c r="AD429" i="37" s="1"/>
  <c r="W429" i="37"/>
  <c r="AC429" i="37" s="1"/>
  <c r="V429" i="37"/>
  <c r="AB429" i="37" s="1"/>
  <c r="X428" i="37"/>
  <c r="AD428" i="37" s="1"/>
  <c r="W428" i="37"/>
  <c r="AC428" i="37" s="1"/>
  <c r="V428" i="37"/>
  <c r="AB428" i="37" s="1"/>
  <c r="X427" i="37"/>
  <c r="AD427" i="37" s="1"/>
  <c r="W427" i="37"/>
  <c r="AC427" i="37" s="1"/>
  <c r="V427" i="37"/>
  <c r="AB427" i="37" s="1"/>
  <c r="X426" i="37"/>
  <c r="AD426" i="37" s="1"/>
  <c r="W426" i="37"/>
  <c r="AC426" i="37" s="1"/>
  <c r="V426" i="37"/>
  <c r="AB426" i="37" s="1"/>
  <c r="X425" i="37"/>
  <c r="AD425" i="37" s="1"/>
  <c r="W425" i="37"/>
  <c r="AC425" i="37" s="1"/>
  <c r="V425" i="37"/>
  <c r="AB425" i="37" s="1"/>
  <c r="X424" i="37"/>
  <c r="AD424" i="37" s="1"/>
  <c r="W424" i="37"/>
  <c r="AC424" i="37" s="1"/>
  <c r="V424" i="37"/>
  <c r="AB424" i="37" s="1"/>
  <c r="X423" i="37"/>
  <c r="AD423" i="37" s="1"/>
  <c r="W423" i="37"/>
  <c r="AC423" i="37" s="1"/>
  <c r="V423" i="37"/>
  <c r="AB423" i="37" s="1"/>
  <c r="X422" i="37"/>
  <c r="AD422" i="37" s="1"/>
  <c r="W422" i="37"/>
  <c r="AC422" i="37" s="1"/>
  <c r="V422" i="37"/>
  <c r="AB422" i="37" s="1"/>
  <c r="X421" i="37"/>
  <c r="AD421" i="37" s="1"/>
  <c r="W421" i="37"/>
  <c r="AC421" i="37" s="1"/>
  <c r="V421" i="37"/>
  <c r="AB421" i="37" s="1"/>
  <c r="X420" i="37"/>
  <c r="AD420" i="37" s="1"/>
  <c r="W420" i="37"/>
  <c r="AC420" i="37" s="1"/>
  <c r="V420" i="37"/>
  <c r="AB420" i="37" s="1"/>
  <c r="X419" i="37"/>
  <c r="AD419" i="37" s="1"/>
  <c r="W419" i="37"/>
  <c r="AC419" i="37" s="1"/>
  <c r="V419" i="37"/>
  <c r="AB419" i="37" s="1"/>
  <c r="X418" i="37"/>
  <c r="AD418" i="37" s="1"/>
  <c r="W418" i="37"/>
  <c r="AC418" i="37" s="1"/>
  <c r="V418" i="37"/>
  <c r="AB418" i="37" s="1"/>
  <c r="X417" i="37"/>
  <c r="AD417" i="37" s="1"/>
  <c r="W417" i="37"/>
  <c r="AC417" i="37" s="1"/>
  <c r="V417" i="37"/>
  <c r="AB417" i="37" s="1"/>
  <c r="X416" i="37"/>
  <c r="AD416" i="37" s="1"/>
  <c r="W416" i="37"/>
  <c r="AC416" i="37" s="1"/>
  <c r="V416" i="37"/>
  <c r="AB416" i="37" s="1"/>
  <c r="X415" i="37"/>
  <c r="AD415" i="37" s="1"/>
  <c r="W415" i="37"/>
  <c r="AC415" i="37" s="1"/>
  <c r="V415" i="37"/>
  <c r="AB415" i="37" s="1"/>
  <c r="X414" i="37"/>
  <c r="AD414" i="37" s="1"/>
  <c r="W414" i="37"/>
  <c r="AC414" i="37" s="1"/>
  <c r="V414" i="37"/>
  <c r="AB414" i="37" s="1"/>
  <c r="X413" i="37"/>
  <c r="AD413" i="37" s="1"/>
  <c r="W413" i="37"/>
  <c r="AC413" i="37" s="1"/>
  <c r="V413" i="37"/>
  <c r="AB413" i="37" s="1"/>
  <c r="X412" i="37"/>
  <c r="AD412" i="37" s="1"/>
  <c r="W412" i="37"/>
  <c r="AC412" i="37" s="1"/>
  <c r="V412" i="37"/>
  <c r="AB412" i="37" s="1"/>
  <c r="X411" i="37"/>
  <c r="AD411" i="37" s="1"/>
  <c r="W411" i="37"/>
  <c r="AC411" i="37" s="1"/>
  <c r="V411" i="37"/>
  <c r="AB411" i="37" s="1"/>
  <c r="X410" i="37"/>
  <c r="AD410" i="37" s="1"/>
  <c r="W410" i="37"/>
  <c r="AC410" i="37" s="1"/>
  <c r="V410" i="37"/>
  <c r="AB410" i="37" s="1"/>
  <c r="X409" i="37"/>
  <c r="AD409" i="37" s="1"/>
  <c r="W409" i="37"/>
  <c r="AC409" i="37" s="1"/>
  <c r="V409" i="37"/>
  <c r="AB409" i="37" s="1"/>
  <c r="X408" i="37"/>
  <c r="AD408" i="37" s="1"/>
  <c r="W408" i="37"/>
  <c r="AC408" i="37" s="1"/>
  <c r="V408" i="37"/>
  <c r="AB408" i="37" s="1"/>
  <c r="X407" i="37"/>
  <c r="AD407" i="37" s="1"/>
  <c r="W407" i="37"/>
  <c r="AC407" i="37" s="1"/>
  <c r="V407" i="37"/>
  <c r="AB407" i="37" s="1"/>
  <c r="X406" i="37"/>
  <c r="AD406" i="37" s="1"/>
  <c r="W406" i="37"/>
  <c r="AC406" i="37" s="1"/>
  <c r="V406" i="37"/>
  <c r="AB406" i="37" s="1"/>
  <c r="X405" i="37"/>
  <c r="AD405" i="37" s="1"/>
  <c r="W405" i="37"/>
  <c r="AC405" i="37" s="1"/>
  <c r="V405" i="37"/>
  <c r="AB405" i="37" s="1"/>
  <c r="X404" i="37"/>
  <c r="AD404" i="37" s="1"/>
  <c r="W404" i="37"/>
  <c r="AC404" i="37" s="1"/>
  <c r="V404" i="37"/>
  <c r="AB404" i="37" s="1"/>
  <c r="X403" i="37"/>
  <c r="AD403" i="37" s="1"/>
  <c r="W403" i="37"/>
  <c r="AC403" i="37" s="1"/>
  <c r="V403" i="37"/>
  <c r="AB403" i="37" s="1"/>
  <c r="X402" i="37"/>
  <c r="AD402" i="37" s="1"/>
  <c r="W402" i="37"/>
  <c r="AC402" i="37" s="1"/>
  <c r="V402" i="37"/>
  <c r="AB402" i="37" s="1"/>
  <c r="X401" i="37"/>
  <c r="AD401" i="37" s="1"/>
  <c r="W401" i="37"/>
  <c r="AC401" i="37" s="1"/>
  <c r="V401" i="37"/>
  <c r="AB401" i="37" s="1"/>
  <c r="V400" i="37"/>
  <c r="AB400" i="37" s="1"/>
  <c r="V399" i="37"/>
  <c r="AB399" i="37" s="1"/>
  <c r="V398" i="37"/>
  <c r="AB398" i="37" s="1"/>
  <c r="V397" i="37"/>
  <c r="AB397" i="37" s="1"/>
  <c r="V396" i="37"/>
  <c r="AB396" i="37" s="1"/>
  <c r="V395" i="37"/>
  <c r="AB395" i="37" s="1"/>
  <c r="V394" i="37"/>
  <c r="AB394" i="37" s="1"/>
  <c r="V393" i="37"/>
  <c r="AB393" i="37" s="1"/>
  <c r="V392" i="37"/>
  <c r="AB392" i="37" s="1"/>
  <c r="V391" i="37"/>
  <c r="AB391" i="37" s="1"/>
  <c r="V390" i="37"/>
  <c r="AB390" i="37" s="1"/>
  <c r="V389" i="37"/>
  <c r="AB389" i="37" s="1"/>
  <c r="X388" i="37"/>
  <c r="AD388" i="37" s="1"/>
  <c r="W388" i="37"/>
  <c r="AC388" i="37" s="1"/>
  <c r="X387" i="37"/>
  <c r="AD387" i="37" s="1"/>
  <c r="W387" i="37"/>
  <c r="AC387" i="37" s="1"/>
  <c r="X386" i="37"/>
  <c r="AD386" i="37" s="1"/>
  <c r="W386" i="37"/>
  <c r="AC386" i="37" s="1"/>
  <c r="X385" i="37"/>
  <c r="AD385" i="37" s="1"/>
  <c r="W385" i="37"/>
  <c r="AC385" i="37" s="1"/>
  <c r="X384" i="37"/>
  <c r="AD384" i="37" s="1"/>
  <c r="W384" i="37"/>
  <c r="AC384" i="37" s="1"/>
  <c r="X383" i="37"/>
  <c r="AD383" i="37" s="1"/>
  <c r="W383" i="37"/>
  <c r="AC383" i="37" s="1"/>
  <c r="X382" i="37"/>
  <c r="AD382" i="37" s="1"/>
  <c r="W382" i="37"/>
  <c r="AC382" i="37" s="1"/>
  <c r="X381" i="37"/>
  <c r="AD381" i="37" s="1"/>
  <c r="W381" i="37"/>
  <c r="AC381" i="37" s="1"/>
  <c r="X380" i="37"/>
  <c r="AD380" i="37" s="1"/>
  <c r="W380" i="37"/>
  <c r="AC380" i="37" s="1"/>
  <c r="X379" i="37"/>
  <c r="AD379" i="37" s="1"/>
  <c r="W379" i="37"/>
  <c r="AC379" i="37" s="1"/>
  <c r="X378" i="37"/>
  <c r="AD378" i="37" s="1"/>
  <c r="W378" i="37"/>
  <c r="AC378" i="37" s="1"/>
  <c r="X377" i="37"/>
  <c r="AD377" i="37" s="1"/>
  <c r="W377" i="37"/>
  <c r="AC377" i="37" s="1"/>
  <c r="V376" i="37"/>
  <c r="AB376" i="37" s="1"/>
  <c r="V375" i="37"/>
  <c r="AB375" i="37" s="1"/>
  <c r="V374" i="37"/>
  <c r="AB374" i="37" s="1"/>
  <c r="V373" i="37"/>
  <c r="AB373" i="37" s="1"/>
  <c r="V372" i="37"/>
  <c r="AB372" i="37" s="1"/>
  <c r="V371" i="37"/>
  <c r="AB371" i="37" s="1"/>
  <c r="V370" i="37"/>
  <c r="AB370" i="37" s="1"/>
  <c r="V369" i="37"/>
  <c r="AB369" i="37" s="1"/>
  <c r="V368" i="37"/>
  <c r="AB368" i="37" s="1"/>
  <c r="V367" i="37"/>
  <c r="AB367" i="37" s="1"/>
  <c r="V366" i="37"/>
  <c r="AB366" i="37" s="1"/>
  <c r="V365" i="37"/>
  <c r="AB365" i="37" s="1"/>
  <c r="V364" i="37"/>
  <c r="AB364" i="37" s="1"/>
  <c r="V363" i="37"/>
  <c r="AB363" i="37" s="1"/>
  <c r="V362" i="37"/>
  <c r="AB362" i="37" s="1"/>
  <c r="V361" i="37"/>
  <c r="AB361" i="37" s="1"/>
  <c r="V360" i="37"/>
  <c r="AB360" i="37" s="1"/>
  <c r="V359" i="37"/>
  <c r="AB359" i="37" s="1"/>
  <c r="V358" i="37"/>
  <c r="AB358" i="37" s="1"/>
  <c r="V357" i="37"/>
  <c r="AB357" i="37" s="1"/>
  <c r="V356" i="37"/>
  <c r="AB356" i="37" s="1"/>
  <c r="V355" i="37"/>
  <c r="AB355" i="37" s="1"/>
  <c r="V354" i="37"/>
  <c r="AB354" i="37" s="1"/>
  <c r="V353" i="37"/>
  <c r="AB353" i="37" s="1"/>
  <c r="X352" i="37"/>
  <c r="AD352" i="37" s="1"/>
  <c r="W352" i="37"/>
  <c r="AC352" i="37" s="1"/>
  <c r="X351" i="37"/>
  <c r="AD351" i="37" s="1"/>
  <c r="W351" i="37"/>
  <c r="AC351" i="37" s="1"/>
  <c r="X350" i="37"/>
  <c r="AD350" i="37" s="1"/>
  <c r="W350" i="37"/>
  <c r="AC350" i="37" s="1"/>
  <c r="X349" i="37"/>
  <c r="AD349" i="37" s="1"/>
  <c r="W349" i="37"/>
  <c r="AC349" i="37" s="1"/>
  <c r="X348" i="37"/>
  <c r="AD348" i="37" s="1"/>
  <c r="W348" i="37"/>
  <c r="AC348" i="37" s="1"/>
  <c r="X347" i="37"/>
  <c r="AD347" i="37" s="1"/>
  <c r="W347" i="37"/>
  <c r="AC347" i="37" s="1"/>
  <c r="X346" i="37"/>
  <c r="AD346" i="37" s="1"/>
  <c r="W346" i="37"/>
  <c r="AC346" i="37" s="1"/>
  <c r="X345" i="37"/>
  <c r="AD345" i="37" s="1"/>
  <c r="W345" i="37"/>
  <c r="AC345" i="37" s="1"/>
  <c r="X344" i="37"/>
  <c r="AD344" i="37" s="1"/>
  <c r="W344" i="37"/>
  <c r="AC344" i="37" s="1"/>
  <c r="X343" i="37"/>
  <c r="AD343" i="37" s="1"/>
  <c r="W343" i="37"/>
  <c r="AC343" i="37" s="1"/>
  <c r="X342" i="37"/>
  <c r="AD342" i="37" s="1"/>
  <c r="W342" i="37"/>
  <c r="AC342" i="37" s="1"/>
  <c r="X341" i="37"/>
  <c r="AD341" i="37" s="1"/>
  <c r="W341" i="37"/>
  <c r="AC341" i="37" s="1"/>
  <c r="V340" i="37"/>
  <c r="AB340" i="37" s="1"/>
  <c r="V339" i="37"/>
  <c r="AB339" i="37" s="1"/>
  <c r="V338" i="37"/>
  <c r="AB338" i="37" s="1"/>
  <c r="V337" i="37"/>
  <c r="AB337" i="37" s="1"/>
  <c r="V336" i="37"/>
  <c r="AB336" i="37" s="1"/>
  <c r="V335" i="37"/>
  <c r="AB335" i="37" s="1"/>
  <c r="V334" i="37"/>
  <c r="AB334" i="37" s="1"/>
  <c r="V333" i="37"/>
  <c r="AB333" i="37" s="1"/>
  <c r="V332" i="37"/>
  <c r="AB332" i="37" s="1"/>
  <c r="V331" i="37"/>
  <c r="AB331" i="37" s="1"/>
  <c r="V330" i="37"/>
  <c r="AB330" i="37" s="1"/>
  <c r="V329" i="37"/>
  <c r="AB329" i="37" s="1"/>
  <c r="V328" i="37"/>
  <c r="AB328" i="37" s="1"/>
  <c r="V327" i="37"/>
  <c r="AB327" i="37" s="1"/>
  <c r="V326" i="37"/>
  <c r="AB326" i="37" s="1"/>
  <c r="V325" i="37"/>
  <c r="AB325" i="37" s="1"/>
  <c r="V324" i="37"/>
  <c r="AB324" i="37" s="1"/>
  <c r="V323" i="37"/>
  <c r="AB323" i="37" s="1"/>
  <c r="V322" i="37"/>
  <c r="AB322" i="37" s="1"/>
  <c r="V321" i="37"/>
  <c r="AB321" i="37" s="1"/>
  <c r="V320" i="37"/>
  <c r="AB320" i="37" s="1"/>
  <c r="V319" i="37"/>
  <c r="AB319" i="37" s="1"/>
  <c r="V318" i="37"/>
  <c r="AB318" i="37" s="1"/>
  <c r="V317" i="37"/>
  <c r="AB317" i="37" s="1"/>
  <c r="V316" i="37"/>
  <c r="AB316" i="37" s="1"/>
  <c r="V315" i="37"/>
  <c r="AB315" i="37" s="1"/>
  <c r="V314" i="37"/>
  <c r="AB314" i="37" s="1"/>
  <c r="V313" i="37"/>
  <c r="AB313" i="37" s="1"/>
  <c r="V312" i="37"/>
  <c r="AB312" i="37" s="1"/>
  <c r="V311" i="37"/>
  <c r="AB311" i="37" s="1"/>
  <c r="V310" i="37"/>
  <c r="AB310" i="37" s="1"/>
  <c r="X309" i="37"/>
  <c r="AD309" i="37" s="1"/>
  <c r="W309" i="37"/>
  <c r="AC309" i="37" s="1"/>
  <c r="X308" i="37"/>
  <c r="AD308" i="37" s="1"/>
  <c r="W308" i="37"/>
  <c r="AC308" i="37" s="1"/>
  <c r="X307" i="37"/>
  <c r="AD307" i="37" s="1"/>
  <c r="W307" i="37"/>
  <c r="AC307" i="37" s="1"/>
  <c r="X306" i="37"/>
  <c r="AD306" i="37" s="1"/>
  <c r="W306" i="37"/>
  <c r="AC306" i="37" s="1"/>
  <c r="X305" i="37"/>
  <c r="AD305" i="37" s="1"/>
  <c r="W305" i="37"/>
  <c r="AC305" i="37" s="1"/>
  <c r="X304" i="37"/>
  <c r="AD304" i="37" s="1"/>
  <c r="W304" i="37"/>
  <c r="AC304" i="37" s="1"/>
  <c r="X303" i="37"/>
  <c r="AD303" i="37" s="1"/>
  <c r="W303" i="37"/>
  <c r="AC303" i="37" s="1"/>
  <c r="X302" i="37"/>
  <c r="AD302" i="37" s="1"/>
  <c r="W302" i="37"/>
  <c r="AC302" i="37" s="1"/>
  <c r="X301" i="37"/>
  <c r="AD301" i="37" s="1"/>
  <c r="W301" i="37"/>
  <c r="AC301" i="37" s="1"/>
  <c r="X300" i="37"/>
  <c r="AD300" i="37" s="1"/>
  <c r="W300" i="37"/>
  <c r="AC300" i="37" s="1"/>
  <c r="X299" i="37"/>
  <c r="AD299" i="37" s="1"/>
  <c r="W299" i="37"/>
  <c r="AC299" i="37" s="1"/>
  <c r="X298" i="37"/>
  <c r="AD298" i="37" s="1"/>
  <c r="W298" i="37"/>
  <c r="AC298" i="37" s="1"/>
  <c r="X297" i="37"/>
  <c r="AD297" i="37" s="1"/>
  <c r="W297" i="37"/>
  <c r="AC297" i="37" s="1"/>
  <c r="X296" i="37"/>
  <c r="AD296" i="37" s="1"/>
  <c r="W296" i="37"/>
  <c r="AC296" i="37" s="1"/>
  <c r="X295" i="37"/>
  <c r="AD295" i="37" s="1"/>
  <c r="W295" i="37"/>
  <c r="AC295" i="37" s="1"/>
  <c r="X294" i="37"/>
  <c r="AD294" i="37" s="1"/>
  <c r="W294" i="37"/>
  <c r="AC294" i="37" s="1"/>
  <c r="X293" i="37"/>
  <c r="AD293" i="37" s="1"/>
  <c r="W293" i="37"/>
  <c r="AC293" i="37" s="1"/>
  <c r="X292" i="37"/>
  <c r="AD292" i="37" s="1"/>
  <c r="W292" i="37"/>
  <c r="AC292" i="37" s="1"/>
  <c r="X291" i="37"/>
  <c r="AD291" i="37" s="1"/>
  <c r="W291" i="37"/>
  <c r="AC291" i="37" s="1"/>
  <c r="X290" i="37"/>
  <c r="AD290" i="37" s="1"/>
  <c r="W290" i="37"/>
  <c r="AC290" i="37" s="1"/>
  <c r="X289" i="37"/>
  <c r="AD289" i="37" s="1"/>
  <c r="W289" i="37"/>
  <c r="AC289" i="37" s="1"/>
  <c r="X288" i="37"/>
  <c r="AD288" i="37" s="1"/>
  <c r="W288" i="37"/>
  <c r="AC288" i="37" s="1"/>
  <c r="V287" i="37"/>
  <c r="AB287" i="37" s="1"/>
  <c r="V286" i="37"/>
  <c r="AB286" i="37" s="1"/>
  <c r="V285" i="37"/>
  <c r="AB285" i="37" s="1"/>
  <c r="V284" i="37"/>
  <c r="AB284" i="37" s="1"/>
  <c r="V283" i="37"/>
  <c r="AB283" i="37" s="1"/>
  <c r="V282" i="37"/>
  <c r="AB282" i="37" s="1"/>
  <c r="V281" i="37"/>
  <c r="AB281" i="37" s="1"/>
  <c r="V280" i="37"/>
  <c r="AB280" i="37" s="1"/>
  <c r="V279" i="37"/>
  <c r="AB279" i="37" s="1"/>
  <c r="V278" i="37"/>
  <c r="AB278" i="37" s="1"/>
  <c r="V277" i="37"/>
  <c r="AB277" i="37" s="1"/>
  <c r="V276" i="37"/>
  <c r="AB276" i="37" s="1"/>
  <c r="V275" i="37"/>
  <c r="AB275" i="37" s="1"/>
  <c r="V274" i="37"/>
  <c r="AB274" i="37" s="1"/>
  <c r="V273" i="37"/>
  <c r="AB273" i="37" s="1"/>
  <c r="V272" i="37"/>
  <c r="AB272" i="37" s="1"/>
  <c r="V271" i="37"/>
  <c r="AB271" i="37" s="1"/>
  <c r="V270" i="37"/>
  <c r="AB270" i="37" s="1"/>
  <c r="V269" i="37"/>
  <c r="AB269" i="37" s="1"/>
  <c r="V268" i="37"/>
  <c r="AB268" i="37" s="1"/>
  <c r="V267" i="37"/>
  <c r="AB267" i="37" s="1"/>
  <c r="X266" i="37"/>
  <c r="AD266" i="37" s="1"/>
  <c r="W266" i="37"/>
  <c r="AC266" i="37" s="1"/>
  <c r="V266" i="37"/>
  <c r="AB266" i="37" s="1"/>
  <c r="X265" i="37"/>
  <c r="AD265" i="37" s="1"/>
  <c r="W265" i="37"/>
  <c r="AC265" i="37" s="1"/>
  <c r="V265" i="37"/>
  <c r="AB265" i="37" s="1"/>
  <c r="X264" i="37"/>
  <c r="AD264" i="37" s="1"/>
  <c r="W264" i="37"/>
  <c r="AC264" i="37" s="1"/>
  <c r="V264" i="37"/>
  <c r="AB264" i="37" s="1"/>
  <c r="X263" i="37"/>
  <c r="AD263" i="37" s="1"/>
  <c r="W263" i="37"/>
  <c r="AC263" i="37" s="1"/>
  <c r="V263" i="37"/>
  <c r="AB263" i="37" s="1"/>
  <c r="X262" i="37"/>
  <c r="AD262" i="37" s="1"/>
  <c r="W262" i="37"/>
  <c r="AC262" i="37" s="1"/>
  <c r="V262" i="37"/>
  <c r="AB262" i="37" s="1"/>
  <c r="X261" i="37"/>
  <c r="AD261" i="37" s="1"/>
  <c r="W261" i="37"/>
  <c r="AC261" i="37" s="1"/>
  <c r="V261" i="37"/>
  <c r="AB261" i="37" s="1"/>
  <c r="X260" i="37"/>
  <c r="AD260" i="37" s="1"/>
  <c r="W260" i="37"/>
  <c r="AC260" i="37" s="1"/>
  <c r="V260" i="37"/>
  <c r="AB260" i="37" s="1"/>
  <c r="X259" i="37"/>
  <c r="AD259" i="37" s="1"/>
  <c r="W259" i="37"/>
  <c r="AC259" i="37" s="1"/>
  <c r="V259" i="37"/>
  <c r="AB259" i="37" s="1"/>
  <c r="X258" i="37"/>
  <c r="AD258" i="37" s="1"/>
  <c r="W258" i="37"/>
  <c r="AC258" i="37" s="1"/>
  <c r="V258" i="37"/>
  <c r="AB258" i="37" s="1"/>
  <c r="X257" i="37"/>
  <c r="AD257" i="37" s="1"/>
  <c r="W257" i="37"/>
  <c r="AC257" i="37" s="1"/>
  <c r="V257" i="37"/>
  <c r="AB257" i="37" s="1"/>
  <c r="X256" i="37"/>
  <c r="AD256" i="37" s="1"/>
  <c r="W256" i="37"/>
  <c r="AC256" i="37" s="1"/>
  <c r="V256" i="37"/>
  <c r="AB256" i="37" s="1"/>
  <c r="X255" i="37"/>
  <c r="AD255" i="37" s="1"/>
  <c r="W255" i="37"/>
  <c r="AC255" i="37" s="1"/>
  <c r="V255" i="37"/>
  <c r="AB255" i="37" s="1"/>
  <c r="X254" i="37"/>
  <c r="AD254" i="37" s="1"/>
  <c r="W254" i="37"/>
  <c r="AC254" i="37" s="1"/>
  <c r="V254" i="37"/>
  <c r="AB254" i="37" s="1"/>
  <c r="X253" i="37"/>
  <c r="AD253" i="37" s="1"/>
  <c r="W253" i="37"/>
  <c r="AC253" i="37" s="1"/>
  <c r="V253" i="37"/>
  <c r="AB253" i="37" s="1"/>
  <c r="X252" i="37"/>
  <c r="AD252" i="37" s="1"/>
  <c r="W252" i="37"/>
  <c r="AC252" i="37" s="1"/>
  <c r="V252" i="37"/>
  <c r="AB252" i="37" s="1"/>
  <c r="X251" i="37"/>
  <c r="AD251" i="37" s="1"/>
  <c r="W251" i="37"/>
  <c r="AC251" i="37" s="1"/>
  <c r="V251" i="37"/>
  <c r="AB251" i="37" s="1"/>
  <c r="X250" i="37"/>
  <c r="AD250" i="37" s="1"/>
  <c r="W250" i="37"/>
  <c r="AC250" i="37" s="1"/>
  <c r="V250" i="37"/>
  <c r="AB250" i="37" s="1"/>
  <c r="X249" i="37"/>
  <c r="AD249" i="37" s="1"/>
  <c r="W249" i="37"/>
  <c r="AC249" i="37" s="1"/>
  <c r="V249" i="37"/>
  <c r="AB249" i="37" s="1"/>
  <c r="X248" i="37"/>
  <c r="AD248" i="37" s="1"/>
  <c r="W248" i="37"/>
  <c r="AC248" i="37" s="1"/>
  <c r="V248" i="37"/>
  <c r="AB248" i="37" s="1"/>
  <c r="X247" i="37"/>
  <c r="AD247" i="37" s="1"/>
  <c r="W247" i="37"/>
  <c r="AC247" i="37" s="1"/>
  <c r="V247" i="37"/>
  <c r="AB247" i="37" s="1"/>
  <c r="X246" i="37"/>
  <c r="AD246" i="37" s="1"/>
  <c r="W246" i="37"/>
  <c r="AC246" i="37" s="1"/>
  <c r="V246" i="37"/>
  <c r="AB246" i="37" s="1"/>
  <c r="X245" i="37"/>
  <c r="AD245" i="37" s="1"/>
  <c r="W245" i="37"/>
  <c r="AC245" i="37" s="1"/>
  <c r="V245" i="37"/>
  <c r="AB245" i="37" s="1"/>
  <c r="X244" i="37"/>
  <c r="AD244" i="37" s="1"/>
  <c r="W244" i="37"/>
  <c r="AC244" i="37" s="1"/>
  <c r="V244" i="37"/>
  <c r="AB244" i="37" s="1"/>
  <c r="X243" i="37"/>
  <c r="AD243" i="37" s="1"/>
  <c r="W243" i="37"/>
  <c r="AC243" i="37" s="1"/>
  <c r="V243" i="37"/>
  <c r="AB243" i="37" s="1"/>
  <c r="X242" i="37"/>
  <c r="AD242" i="37" s="1"/>
  <c r="W242" i="37"/>
  <c r="AC242" i="37" s="1"/>
  <c r="V242" i="37"/>
  <c r="AB242" i="37" s="1"/>
  <c r="X241" i="37"/>
  <c r="AD241" i="37" s="1"/>
  <c r="W241" i="37"/>
  <c r="AC241" i="37" s="1"/>
  <c r="V241" i="37"/>
  <c r="AB241" i="37" s="1"/>
  <c r="X240" i="37"/>
  <c r="AD240" i="37" s="1"/>
  <c r="W240" i="37"/>
  <c r="AC240" i="37" s="1"/>
  <c r="V240" i="37"/>
  <c r="AB240" i="37" s="1"/>
  <c r="X239" i="37"/>
  <c r="AD239" i="37" s="1"/>
  <c r="W239" i="37"/>
  <c r="AC239" i="37" s="1"/>
  <c r="V239" i="37"/>
  <c r="AB239" i="37" s="1"/>
  <c r="X238" i="37"/>
  <c r="AD238" i="37" s="1"/>
  <c r="W238" i="37"/>
  <c r="AC238" i="37" s="1"/>
  <c r="V238" i="37"/>
  <c r="AB238" i="37" s="1"/>
  <c r="X237" i="37"/>
  <c r="AD237" i="37" s="1"/>
  <c r="W237" i="37"/>
  <c r="AC237" i="37" s="1"/>
  <c r="V237" i="37"/>
  <c r="AB237" i="37" s="1"/>
  <c r="X236" i="37"/>
  <c r="AD236" i="37" s="1"/>
  <c r="W236" i="37"/>
  <c r="AC236" i="37" s="1"/>
  <c r="V236" i="37"/>
  <c r="AB236" i="37" s="1"/>
  <c r="X235" i="37"/>
  <c r="AD235" i="37" s="1"/>
  <c r="W235" i="37"/>
  <c r="AC235" i="37" s="1"/>
  <c r="V235" i="37"/>
  <c r="AB235" i="37" s="1"/>
  <c r="X234" i="37"/>
  <c r="AD234" i="37" s="1"/>
  <c r="W234" i="37"/>
  <c r="AC234" i="37" s="1"/>
  <c r="V234" i="37"/>
  <c r="AB234" i="37" s="1"/>
  <c r="X233" i="37"/>
  <c r="AD233" i="37" s="1"/>
  <c r="W233" i="37"/>
  <c r="AC233" i="37" s="1"/>
  <c r="V233" i="37"/>
  <c r="AB233" i="37" s="1"/>
  <c r="X232" i="37"/>
  <c r="AD232" i="37" s="1"/>
  <c r="W232" i="37"/>
  <c r="AC232" i="37" s="1"/>
  <c r="V232" i="37"/>
  <c r="AB232" i="37" s="1"/>
  <c r="X231" i="37"/>
  <c r="AD231" i="37" s="1"/>
  <c r="W231" i="37"/>
  <c r="AC231" i="37" s="1"/>
  <c r="V231" i="37"/>
  <c r="AB231" i="37" s="1"/>
  <c r="X230" i="37"/>
  <c r="AD230" i="37" s="1"/>
  <c r="W230" i="37"/>
  <c r="AC230" i="37" s="1"/>
  <c r="V230" i="37"/>
  <c r="AB230" i="37" s="1"/>
  <c r="X229" i="37"/>
  <c r="AD229" i="37" s="1"/>
  <c r="W229" i="37"/>
  <c r="AC229" i="37" s="1"/>
  <c r="V229" i="37"/>
  <c r="AB229" i="37" s="1"/>
  <c r="X228" i="37"/>
  <c r="AD228" i="37" s="1"/>
  <c r="W228" i="37"/>
  <c r="AC228" i="37" s="1"/>
  <c r="V228" i="37"/>
  <c r="AB228" i="37" s="1"/>
  <c r="X227" i="37"/>
  <c r="AD227" i="37" s="1"/>
  <c r="W227" i="37"/>
  <c r="AC227" i="37" s="1"/>
  <c r="V227" i="37"/>
  <c r="AB227" i="37" s="1"/>
  <c r="X226" i="37"/>
  <c r="AD226" i="37" s="1"/>
  <c r="W226" i="37"/>
  <c r="AC226" i="37" s="1"/>
  <c r="V226" i="37"/>
  <c r="AB226" i="37" s="1"/>
  <c r="X225" i="37"/>
  <c r="AD225" i="37" s="1"/>
  <c r="W225" i="37"/>
  <c r="AC225" i="37" s="1"/>
  <c r="V225" i="37"/>
  <c r="AB225" i="37" s="1"/>
  <c r="X224" i="37"/>
  <c r="AD224" i="37" s="1"/>
  <c r="W224" i="37"/>
  <c r="AC224" i="37" s="1"/>
  <c r="V224" i="37"/>
  <c r="AB224" i="37" s="1"/>
  <c r="X223" i="37"/>
  <c r="AD223" i="37" s="1"/>
  <c r="W223" i="37"/>
  <c r="AC223" i="37" s="1"/>
  <c r="V223" i="37"/>
  <c r="AB223" i="37" s="1"/>
  <c r="X222" i="37"/>
  <c r="AD222" i="37" s="1"/>
  <c r="W222" i="37"/>
  <c r="AC222" i="37" s="1"/>
  <c r="V222" i="37"/>
  <c r="AB222" i="37" s="1"/>
  <c r="X221" i="37"/>
  <c r="AD221" i="37" s="1"/>
  <c r="W221" i="37"/>
  <c r="AC221" i="37" s="1"/>
  <c r="V221" i="37"/>
  <c r="AB221" i="37" s="1"/>
  <c r="X220" i="37"/>
  <c r="AD220" i="37" s="1"/>
  <c r="W220" i="37"/>
  <c r="AC220" i="37" s="1"/>
  <c r="V220" i="37"/>
  <c r="AB220" i="37" s="1"/>
  <c r="X219" i="37"/>
  <c r="AD219" i="37" s="1"/>
  <c r="W219" i="37"/>
  <c r="AC219" i="37" s="1"/>
  <c r="V219" i="37"/>
  <c r="AB219" i="37" s="1"/>
  <c r="X218" i="37"/>
  <c r="AD218" i="37" s="1"/>
  <c r="W218" i="37"/>
  <c r="AC218" i="37" s="1"/>
  <c r="V218" i="37"/>
  <c r="AB218" i="37" s="1"/>
  <c r="X217" i="37"/>
  <c r="AD217" i="37" s="1"/>
  <c r="W217" i="37"/>
  <c r="AC217" i="37" s="1"/>
  <c r="V217" i="37"/>
  <c r="AB217" i="37" s="1"/>
  <c r="X216" i="37"/>
  <c r="AD216" i="37" s="1"/>
  <c r="W216" i="37"/>
  <c r="AC216" i="37" s="1"/>
  <c r="V216" i="37"/>
  <c r="AB216" i="37" s="1"/>
  <c r="X215" i="37"/>
  <c r="AD215" i="37" s="1"/>
  <c r="W215" i="37"/>
  <c r="AC215" i="37" s="1"/>
  <c r="V215" i="37"/>
  <c r="AB215" i="37" s="1"/>
  <c r="X214" i="37"/>
  <c r="AD214" i="37" s="1"/>
  <c r="W214" i="37"/>
  <c r="AC214" i="37" s="1"/>
  <c r="V214" i="37"/>
  <c r="AB214" i="37" s="1"/>
  <c r="X213" i="37"/>
  <c r="AD213" i="37" s="1"/>
  <c r="W213" i="37"/>
  <c r="AC213" i="37" s="1"/>
  <c r="V213" i="37"/>
  <c r="AB213" i="37" s="1"/>
  <c r="X212" i="37"/>
  <c r="AD212" i="37" s="1"/>
  <c r="W212" i="37"/>
  <c r="AC212" i="37" s="1"/>
  <c r="V212" i="37"/>
  <c r="AB212" i="37" s="1"/>
  <c r="X211" i="37"/>
  <c r="AD211" i="37" s="1"/>
  <c r="W211" i="37"/>
  <c r="AC211" i="37" s="1"/>
  <c r="V211" i="37"/>
  <c r="AB211" i="37" s="1"/>
  <c r="X210" i="37"/>
  <c r="AD210" i="37" s="1"/>
  <c r="W210" i="37"/>
  <c r="AC210" i="37" s="1"/>
  <c r="V210" i="37"/>
  <c r="AB210" i="37" s="1"/>
  <c r="X209" i="37"/>
  <c r="AD209" i="37" s="1"/>
  <c r="W209" i="37"/>
  <c r="AC209" i="37" s="1"/>
  <c r="V209" i="37"/>
  <c r="AB209" i="37" s="1"/>
  <c r="X208" i="37"/>
  <c r="AD208" i="37" s="1"/>
  <c r="W208" i="37"/>
  <c r="AC208" i="37" s="1"/>
  <c r="V208" i="37"/>
  <c r="AB208" i="37" s="1"/>
  <c r="X207" i="37"/>
  <c r="AD207" i="37" s="1"/>
  <c r="W207" i="37"/>
  <c r="AC207" i="37" s="1"/>
  <c r="V207" i="37"/>
  <c r="AB207" i="37" s="1"/>
  <c r="X206" i="37"/>
  <c r="AD206" i="37" s="1"/>
  <c r="W206" i="37"/>
  <c r="AC206" i="37" s="1"/>
  <c r="V206" i="37"/>
  <c r="AB206" i="37" s="1"/>
  <c r="X205" i="37"/>
  <c r="AD205" i="37" s="1"/>
  <c r="W205" i="37"/>
  <c r="AC205" i="37" s="1"/>
  <c r="V205" i="37"/>
  <c r="AB205" i="37" s="1"/>
  <c r="X204" i="37"/>
  <c r="AD204" i="37" s="1"/>
  <c r="W204" i="37"/>
  <c r="AC204" i="37" s="1"/>
  <c r="V204" i="37"/>
  <c r="AB204" i="37" s="1"/>
  <c r="X203" i="37"/>
  <c r="AD203" i="37" s="1"/>
  <c r="W203" i="37"/>
  <c r="AC203" i="37" s="1"/>
  <c r="V203" i="37"/>
  <c r="AB203" i="37" s="1"/>
  <c r="X202" i="37"/>
  <c r="AD202" i="37" s="1"/>
  <c r="W202" i="37"/>
  <c r="AC202" i="37" s="1"/>
  <c r="V202" i="37"/>
  <c r="AB202" i="37" s="1"/>
  <c r="X201" i="37"/>
  <c r="AD201" i="37" s="1"/>
  <c r="W201" i="37"/>
  <c r="AC201" i="37" s="1"/>
  <c r="V201" i="37"/>
  <c r="AB201" i="37" s="1"/>
  <c r="X200" i="37"/>
  <c r="AD200" i="37" s="1"/>
  <c r="W200" i="37"/>
  <c r="AC200" i="37" s="1"/>
  <c r="V200" i="37"/>
  <c r="AB200" i="37" s="1"/>
  <c r="X199" i="37"/>
  <c r="AD199" i="37" s="1"/>
  <c r="W199" i="37"/>
  <c r="AC199" i="37" s="1"/>
  <c r="V199" i="37"/>
  <c r="AB199" i="37" s="1"/>
  <c r="X198" i="37"/>
  <c r="AD198" i="37" s="1"/>
  <c r="W198" i="37"/>
  <c r="AC198" i="37" s="1"/>
  <c r="V198" i="37"/>
  <c r="AB198" i="37" s="1"/>
  <c r="X197" i="37"/>
  <c r="AD197" i="37" s="1"/>
  <c r="W197" i="37"/>
  <c r="AC197" i="37" s="1"/>
  <c r="V197" i="37"/>
  <c r="AB197" i="37" s="1"/>
  <c r="X196" i="37"/>
  <c r="AD196" i="37" s="1"/>
  <c r="W196" i="37"/>
  <c r="AC196" i="37" s="1"/>
  <c r="V196" i="37"/>
  <c r="AB196" i="37" s="1"/>
  <c r="X195" i="37"/>
  <c r="AD195" i="37" s="1"/>
  <c r="W195" i="37"/>
  <c r="AC195" i="37" s="1"/>
  <c r="V195" i="37"/>
  <c r="AB195" i="37" s="1"/>
  <c r="X194" i="37"/>
  <c r="AD194" i="37" s="1"/>
  <c r="W194" i="37"/>
  <c r="AC194" i="37" s="1"/>
  <c r="V194" i="37"/>
  <c r="AB194" i="37" s="1"/>
  <c r="X193" i="37"/>
  <c r="AD193" i="37" s="1"/>
  <c r="W193" i="37"/>
  <c r="AC193" i="37" s="1"/>
  <c r="V193" i="37"/>
  <c r="AB193" i="37" s="1"/>
  <c r="X192" i="37"/>
  <c r="AD192" i="37" s="1"/>
  <c r="W192" i="37"/>
  <c r="AC192" i="37" s="1"/>
  <c r="V192" i="37"/>
  <c r="AB192" i="37" s="1"/>
  <c r="X191" i="37"/>
  <c r="AD191" i="37" s="1"/>
  <c r="W191" i="37"/>
  <c r="AC191" i="37" s="1"/>
  <c r="V191" i="37"/>
  <c r="AB191" i="37" s="1"/>
  <c r="X190" i="37"/>
  <c r="AD190" i="37" s="1"/>
  <c r="W190" i="37"/>
  <c r="AC190" i="37" s="1"/>
  <c r="V190" i="37"/>
  <c r="AB190" i="37" s="1"/>
  <c r="X189" i="37"/>
  <c r="AD189" i="37" s="1"/>
  <c r="W189" i="37"/>
  <c r="AC189" i="37" s="1"/>
  <c r="V189" i="37"/>
  <c r="AB189" i="37" s="1"/>
  <c r="X188" i="37"/>
  <c r="AD188" i="37" s="1"/>
  <c r="W188" i="37"/>
  <c r="AC188" i="37" s="1"/>
  <c r="V188" i="37"/>
  <c r="AB188" i="37" s="1"/>
  <c r="X187" i="37"/>
  <c r="AD187" i="37" s="1"/>
  <c r="W187" i="37"/>
  <c r="AC187" i="37" s="1"/>
  <c r="V187" i="37"/>
  <c r="AB187" i="37" s="1"/>
  <c r="X186" i="37"/>
  <c r="AD186" i="37" s="1"/>
  <c r="W186" i="37"/>
  <c r="AC186" i="37" s="1"/>
  <c r="V186" i="37"/>
  <c r="AB186" i="37" s="1"/>
  <c r="X185" i="37"/>
  <c r="AD185" i="37" s="1"/>
  <c r="W185" i="37"/>
  <c r="AC185" i="37" s="1"/>
  <c r="V185" i="37"/>
  <c r="AB185" i="37" s="1"/>
  <c r="X184" i="37"/>
  <c r="AD184" i="37" s="1"/>
  <c r="W184" i="37"/>
  <c r="AC184" i="37" s="1"/>
  <c r="V184" i="37"/>
  <c r="AB184" i="37" s="1"/>
  <c r="X183" i="37"/>
  <c r="AD183" i="37" s="1"/>
  <c r="W183" i="37"/>
  <c r="AC183" i="37" s="1"/>
  <c r="V183" i="37"/>
  <c r="AB183" i="37" s="1"/>
  <c r="X182" i="37"/>
  <c r="AD182" i="37" s="1"/>
  <c r="W182" i="37"/>
  <c r="AC182" i="37" s="1"/>
  <c r="V182" i="37"/>
  <c r="AB182" i="37" s="1"/>
  <c r="X181" i="37"/>
  <c r="AD181" i="37" s="1"/>
  <c r="W181" i="37"/>
  <c r="AC181" i="37" s="1"/>
  <c r="V181" i="37"/>
  <c r="AB181" i="37" s="1"/>
  <c r="X180" i="37"/>
  <c r="AD180" i="37" s="1"/>
  <c r="W180" i="37"/>
  <c r="AC180" i="37" s="1"/>
  <c r="V180" i="37"/>
  <c r="AB180" i="37" s="1"/>
  <c r="X179" i="37"/>
  <c r="AD179" i="37" s="1"/>
  <c r="W179" i="37"/>
  <c r="AC179" i="37" s="1"/>
  <c r="V179" i="37"/>
  <c r="AB179" i="37" s="1"/>
  <c r="X178" i="37"/>
  <c r="AD178" i="37" s="1"/>
  <c r="W178" i="37"/>
  <c r="AC178" i="37" s="1"/>
  <c r="V178" i="37"/>
  <c r="AB178" i="37" s="1"/>
  <c r="X177" i="37"/>
  <c r="AD177" i="37" s="1"/>
  <c r="W177" i="37"/>
  <c r="AC177" i="37" s="1"/>
  <c r="V177" i="37"/>
  <c r="AB177" i="37" s="1"/>
  <c r="X176" i="37"/>
  <c r="AD176" i="37" s="1"/>
  <c r="W176" i="37"/>
  <c r="AC176" i="37" s="1"/>
  <c r="V176" i="37"/>
  <c r="AB176" i="37" s="1"/>
  <c r="X175" i="37"/>
  <c r="AD175" i="37" s="1"/>
  <c r="W175" i="37"/>
  <c r="AC175" i="37" s="1"/>
  <c r="V175" i="37"/>
  <c r="AB175" i="37" s="1"/>
  <c r="X174" i="37"/>
  <c r="AD174" i="37" s="1"/>
  <c r="W174" i="37"/>
  <c r="AC174" i="37" s="1"/>
  <c r="V174" i="37"/>
  <c r="AB174" i="37" s="1"/>
  <c r="X173" i="37"/>
  <c r="AD173" i="37" s="1"/>
  <c r="W173" i="37"/>
  <c r="AC173" i="37" s="1"/>
  <c r="V173" i="37"/>
  <c r="AB173" i="37" s="1"/>
  <c r="X172" i="37"/>
  <c r="AD172" i="37" s="1"/>
  <c r="W172" i="37"/>
  <c r="AC172" i="37" s="1"/>
  <c r="V172" i="37"/>
  <c r="AB172" i="37" s="1"/>
  <c r="X171" i="37"/>
  <c r="AD171" i="37" s="1"/>
  <c r="W171" i="37"/>
  <c r="AC171" i="37" s="1"/>
  <c r="V171" i="37"/>
  <c r="AB171" i="37" s="1"/>
  <c r="X170" i="37"/>
  <c r="AD170" i="37" s="1"/>
  <c r="W170" i="37"/>
  <c r="AC170" i="37" s="1"/>
  <c r="V170" i="37"/>
  <c r="AB170" i="37" s="1"/>
  <c r="X169" i="37"/>
  <c r="AD169" i="37" s="1"/>
  <c r="W169" i="37"/>
  <c r="AC169" i="37" s="1"/>
  <c r="V169" i="37"/>
  <c r="AB169" i="37" s="1"/>
  <c r="X168" i="37"/>
  <c r="AD168" i="37" s="1"/>
  <c r="W168" i="37"/>
  <c r="AC168" i="37" s="1"/>
  <c r="V168" i="37"/>
  <c r="AB168" i="37" s="1"/>
  <c r="X167" i="37"/>
  <c r="AD167" i="37" s="1"/>
  <c r="W167" i="37"/>
  <c r="AC167" i="37" s="1"/>
  <c r="V167" i="37"/>
  <c r="AB167" i="37" s="1"/>
  <c r="X166" i="37"/>
  <c r="AD166" i="37" s="1"/>
  <c r="W166" i="37"/>
  <c r="AC166" i="37" s="1"/>
  <c r="V166" i="37"/>
  <c r="AB166" i="37" s="1"/>
  <c r="X165" i="37"/>
  <c r="AD165" i="37" s="1"/>
  <c r="W165" i="37"/>
  <c r="AC165" i="37" s="1"/>
  <c r="V165" i="37"/>
  <c r="AB165" i="37" s="1"/>
  <c r="X164" i="37"/>
  <c r="AD164" i="37" s="1"/>
  <c r="W164" i="37"/>
  <c r="AC164" i="37" s="1"/>
  <c r="V164" i="37"/>
  <c r="AB164" i="37" s="1"/>
  <c r="X163" i="37"/>
  <c r="AD163" i="37" s="1"/>
  <c r="W163" i="37"/>
  <c r="AC163" i="37" s="1"/>
  <c r="V163" i="37"/>
  <c r="AB163" i="37" s="1"/>
  <c r="X162" i="37"/>
  <c r="AD162" i="37" s="1"/>
  <c r="W162" i="37"/>
  <c r="AC162" i="37" s="1"/>
  <c r="V162" i="37"/>
  <c r="AB162" i="37" s="1"/>
  <c r="X161" i="37"/>
  <c r="AD161" i="37" s="1"/>
  <c r="W161" i="37"/>
  <c r="AC161" i="37" s="1"/>
  <c r="V161" i="37"/>
  <c r="AB161" i="37" s="1"/>
  <c r="X160" i="37"/>
  <c r="AD160" i="37" s="1"/>
  <c r="W160" i="37"/>
  <c r="AC160" i="37" s="1"/>
  <c r="V160" i="37"/>
  <c r="AB160" i="37" s="1"/>
  <c r="X159" i="37"/>
  <c r="AD159" i="37" s="1"/>
  <c r="W159" i="37"/>
  <c r="AC159" i="37" s="1"/>
  <c r="V159" i="37"/>
  <c r="AB159" i="37" s="1"/>
  <c r="X158" i="37"/>
  <c r="AD158" i="37" s="1"/>
  <c r="W158" i="37"/>
  <c r="AC158" i="37" s="1"/>
  <c r="V158" i="37"/>
  <c r="AB158" i="37" s="1"/>
  <c r="X157" i="37"/>
  <c r="AD157" i="37" s="1"/>
  <c r="W157" i="37"/>
  <c r="AC157" i="37" s="1"/>
  <c r="V157" i="37"/>
  <c r="AB157" i="37" s="1"/>
  <c r="X156" i="37"/>
  <c r="AD156" i="37" s="1"/>
  <c r="W156" i="37"/>
  <c r="AC156" i="37" s="1"/>
  <c r="V156" i="37"/>
  <c r="AB156" i="37" s="1"/>
  <c r="X155" i="37"/>
  <c r="AD155" i="37" s="1"/>
  <c r="W155" i="37"/>
  <c r="AC155" i="37" s="1"/>
  <c r="V155" i="37"/>
  <c r="AB155" i="37" s="1"/>
  <c r="X154" i="37"/>
  <c r="AD154" i="37" s="1"/>
  <c r="W154" i="37"/>
  <c r="AC154" i="37" s="1"/>
  <c r="V154" i="37"/>
  <c r="AB154" i="37" s="1"/>
  <c r="X153" i="37"/>
  <c r="AD153" i="37" s="1"/>
  <c r="W153" i="37"/>
  <c r="AC153" i="37" s="1"/>
  <c r="V153" i="37"/>
  <c r="AB153" i="37" s="1"/>
  <c r="X152" i="37"/>
  <c r="AD152" i="37" s="1"/>
  <c r="W152" i="37"/>
  <c r="AC152" i="37" s="1"/>
  <c r="V152" i="37"/>
  <c r="AB152" i="37" s="1"/>
  <c r="X151" i="37"/>
  <c r="AD151" i="37" s="1"/>
  <c r="W151" i="37"/>
  <c r="AC151" i="37" s="1"/>
  <c r="V151" i="37"/>
  <c r="AB151" i="37" s="1"/>
  <c r="X150" i="37"/>
  <c r="AD150" i="37" s="1"/>
  <c r="W150" i="37"/>
  <c r="AC150" i="37" s="1"/>
  <c r="V150" i="37"/>
  <c r="AB150" i="37" s="1"/>
  <c r="X149" i="37"/>
  <c r="AD149" i="37" s="1"/>
  <c r="W149" i="37"/>
  <c r="AC149" i="37" s="1"/>
  <c r="V149" i="37"/>
  <c r="AB149" i="37" s="1"/>
  <c r="X148" i="37"/>
  <c r="AD148" i="37" s="1"/>
  <c r="W148" i="37"/>
  <c r="AC148" i="37" s="1"/>
  <c r="V148" i="37"/>
  <c r="AB148" i="37" s="1"/>
  <c r="X147" i="37"/>
  <c r="AD147" i="37" s="1"/>
  <c r="W147" i="37"/>
  <c r="AC147" i="37" s="1"/>
  <c r="V147" i="37"/>
  <c r="AB147" i="37" s="1"/>
  <c r="X146" i="37"/>
  <c r="AD146" i="37" s="1"/>
  <c r="W146" i="37"/>
  <c r="AC146" i="37" s="1"/>
  <c r="V146" i="37"/>
  <c r="AB146" i="37" s="1"/>
  <c r="X145" i="37"/>
  <c r="AD145" i="37" s="1"/>
  <c r="W145" i="37"/>
  <c r="AC145" i="37" s="1"/>
  <c r="V145" i="37"/>
  <c r="AB145" i="37" s="1"/>
  <c r="X144" i="37"/>
  <c r="AD144" i="37" s="1"/>
  <c r="W144" i="37"/>
  <c r="AC144" i="37" s="1"/>
  <c r="V144" i="37"/>
  <c r="AB144" i="37" s="1"/>
  <c r="X143" i="37"/>
  <c r="AD143" i="37" s="1"/>
  <c r="W143" i="37"/>
  <c r="AC143" i="37" s="1"/>
  <c r="V143" i="37"/>
  <c r="AB143" i="37" s="1"/>
  <c r="X142" i="37"/>
  <c r="AD142" i="37" s="1"/>
  <c r="W142" i="37"/>
  <c r="AC142" i="37" s="1"/>
  <c r="V142" i="37"/>
  <c r="AB142" i="37" s="1"/>
  <c r="X141" i="37"/>
  <c r="AD141" i="37" s="1"/>
  <c r="W141" i="37"/>
  <c r="AC141" i="37" s="1"/>
  <c r="V141" i="37"/>
  <c r="AB141" i="37" s="1"/>
  <c r="X140" i="37"/>
  <c r="AD140" i="37" s="1"/>
  <c r="W140" i="37"/>
  <c r="AC140" i="37" s="1"/>
  <c r="V140" i="37"/>
  <c r="AB140" i="37" s="1"/>
  <c r="X139" i="37"/>
  <c r="AD139" i="37" s="1"/>
  <c r="W139" i="37"/>
  <c r="AC139" i="37" s="1"/>
  <c r="V139" i="37"/>
  <c r="AB139" i="37" s="1"/>
  <c r="X138" i="37"/>
  <c r="AD138" i="37" s="1"/>
  <c r="W138" i="37"/>
  <c r="AC138" i="37" s="1"/>
  <c r="V138" i="37"/>
  <c r="AB138" i="37" s="1"/>
  <c r="X137" i="37"/>
  <c r="AD137" i="37" s="1"/>
  <c r="W137" i="37"/>
  <c r="AC137" i="37" s="1"/>
  <c r="V137" i="37"/>
  <c r="AB137" i="37" s="1"/>
  <c r="X136" i="37"/>
  <c r="AD136" i="37" s="1"/>
  <c r="W136" i="37"/>
  <c r="AC136" i="37" s="1"/>
  <c r="V136" i="37"/>
  <c r="AB136" i="37" s="1"/>
  <c r="X135" i="37"/>
  <c r="AD135" i="37" s="1"/>
  <c r="W135" i="37"/>
  <c r="AC135" i="37" s="1"/>
  <c r="V135" i="37"/>
  <c r="AB135" i="37" s="1"/>
  <c r="X134" i="37"/>
  <c r="AD134" i="37" s="1"/>
  <c r="W134" i="37"/>
  <c r="AC134" i="37" s="1"/>
  <c r="V134" i="37"/>
  <c r="AB134" i="37" s="1"/>
  <c r="X133" i="37"/>
  <c r="AD133" i="37" s="1"/>
  <c r="W133" i="37"/>
  <c r="AC133" i="37" s="1"/>
  <c r="V133" i="37"/>
  <c r="AB133" i="37" s="1"/>
  <c r="X132" i="37"/>
  <c r="AD132" i="37" s="1"/>
  <c r="W132" i="37"/>
  <c r="AC132" i="37" s="1"/>
  <c r="V132" i="37"/>
  <c r="AB132" i="37" s="1"/>
  <c r="X131" i="37"/>
  <c r="AD131" i="37" s="1"/>
  <c r="W131" i="37"/>
  <c r="AC131" i="37" s="1"/>
  <c r="V131" i="37"/>
  <c r="AB131" i="37" s="1"/>
  <c r="X130" i="37"/>
  <c r="AD130" i="37" s="1"/>
  <c r="W130" i="37"/>
  <c r="AC130" i="37" s="1"/>
  <c r="V130" i="37"/>
  <c r="AB130" i="37" s="1"/>
  <c r="X129" i="37"/>
  <c r="AD129" i="37" s="1"/>
  <c r="W129" i="37"/>
  <c r="AC129" i="37" s="1"/>
  <c r="V129" i="37"/>
  <c r="AB129" i="37" s="1"/>
  <c r="X128" i="37"/>
  <c r="AD128" i="37" s="1"/>
  <c r="W128" i="37"/>
  <c r="AC128" i="37" s="1"/>
  <c r="V128" i="37"/>
  <c r="AB128" i="37" s="1"/>
  <c r="X127" i="37"/>
  <c r="AD127" i="37" s="1"/>
  <c r="W127" i="37"/>
  <c r="AC127" i="37" s="1"/>
  <c r="V127" i="37"/>
  <c r="AB127" i="37" s="1"/>
  <c r="X126" i="37"/>
  <c r="AD126" i="37" s="1"/>
  <c r="W126" i="37"/>
  <c r="AC126" i="37" s="1"/>
  <c r="V126" i="37"/>
  <c r="AB126" i="37" s="1"/>
  <c r="X125" i="37"/>
  <c r="AD125" i="37" s="1"/>
  <c r="W125" i="37"/>
  <c r="AC125" i="37" s="1"/>
  <c r="V125" i="37"/>
  <c r="AB125" i="37" s="1"/>
  <c r="X124" i="37"/>
  <c r="AD124" i="37" s="1"/>
  <c r="W124" i="37"/>
  <c r="AC124" i="37" s="1"/>
  <c r="V124" i="37"/>
  <c r="AB124" i="37" s="1"/>
  <c r="X123" i="37"/>
  <c r="AD123" i="37" s="1"/>
  <c r="W123" i="37"/>
  <c r="AC123" i="37" s="1"/>
  <c r="V123" i="37"/>
  <c r="AB123" i="37" s="1"/>
  <c r="X122" i="37"/>
  <c r="AD122" i="37" s="1"/>
  <c r="W122" i="37"/>
  <c r="AC122" i="37" s="1"/>
  <c r="V122" i="37"/>
  <c r="AB122" i="37" s="1"/>
  <c r="X121" i="37"/>
  <c r="AD121" i="37" s="1"/>
  <c r="W121" i="37"/>
  <c r="AC121" i="37" s="1"/>
  <c r="V121" i="37"/>
  <c r="AB121" i="37" s="1"/>
  <c r="X120" i="37"/>
  <c r="AD120" i="37" s="1"/>
  <c r="W120" i="37"/>
  <c r="AC120" i="37" s="1"/>
  <c r="V120" i="37"/>
  <c r="AB120" i="37" s="1"/>
  <c r="X119" i="37"/>
  <c r="AD119" i="37" s="1"/>
  <c r="W119" i="37"/>
  <c r="AC119" i="37" s="1"/>
  <c r="V119" i="37"/>
  <c r="AB119" i="37" s="1"/>
  <c r="X118" i="37"/>
  <c r="AD118" i="37" s="1"/>
  <c r="W118" i="37"/>
  <c r="AC118" i="37" s="1"/>
  <c r="V118" i="37"/>
  <c r="AB118" i="37" s="1"/>
  <c r="X117" i="37"/>
  <c r="AD117" i="37" s="1"/>
  <c r="W117" i="37"/>
  <c r="AC117" i="37" s="1"/>
  <c r="V117" i="37"/>
  <c r="AB117" i="37" s="1"/>
  <c r="X116" i="37"/>
  <c r="AD116" i="37" s="1"/>
  <c r="W116" i="37"/>
  <c r="AC116" i="37" s="1"/>
  <c r="V116" i="37"/>
  <c r="AB116" i="37" s="1"/>
  <c r="X115" i="37"/>
  <c r="AD115" i="37" s="1"/>
  <c r="W115" i="37"/>
  <c r="AC115" i="37" s="1"/>
  <c r="V115" i="37"/>
  <c r="AB115" i="37" s="1"/>
  <c r="X114" i="37"/>
  <c r="AD114" i="37" s="1"/>
  <c r="W114" i="37"/>
  <c r="AC114" i="37" s="1"/>
  <c r="V114" i="37"/>
  <c r="AB114" i="37" s="1"/>
  <c r="X113" i="37"/>
  <c r="AD113" i="37" s="1"/>
  <c r="W113" i="37"/>
  <c r="AC113" i="37" s="1"/>
  <c r="V113" i="37"/>
  <c r="AB113" i="37" s="1"/>
  <c r="X112" i="37"/>
  <c r="AD112" i="37" s="1"/>
  <c r="W112" i="37"/>
  <c r="AC112" i="37" s="1"/>
  <c r="V112" i="37"/>
  <c r="AB112" i="37" s="1"/>
  <c r="X111" i="37"/>
  <c r="AD111" i="37" s="1"/>
  <c r="W111" i="37"/>
  <c r="AC111" i="37" s="1"/>
  <c r="V111" i="37"/>
  <c r="AB111" i="37" s="1"/>
  <c r="X110" i="37"/>
  <c r="AD110" i="37" s="1"/>
  <c r="W110" i="37"/>
  <c r="AC110" i="37" s="1"/>
  <c r="V110" i="37"/>
  <c r="AB110" i="37" s="1"/>
  <c r="X109" i="37"/>
  <c r="AD109" i="37" s="1"/>
  <c r="W109" i="37"/>
  <c r="AC109" i="37" s="1"/>
  <c r="V109" i="37"/>
  <c r="AB109" i="37" s="1"/>
  <c r="X108" i="37"/>
  <c r="AD108" i="37" s="1"/>
  <c r="W108" i="37"/>
  <c r="AC108" i="37" s="1"/>
  <c r="V108" i="37"/>
  <c r="AB108" i="37" s="1"/>
  <c r="X107" i="37"/>
  <c r="AD107" i="37" s="1"/>
  <c r="W107" i="37"/>
  <c r="AC107" i="37" s="1"/>
  <c r="V107" i="37"/>
  <c r="AB107" i="37" s="1"/>
  <c r="X106" i="37"/>
  <c r="AD106" i="37" s="1"/>
  <c r="W106" i="37"/>
  <c r="AC106" i="37" s="1"/>
  <c r="V106" i="37"/>
  <c r="AB106" i="37" s="1"/>
  <c r="X105" i="37"/>
  <c r="AD105" i="37" s="1"/>
  <c r="W105" i="37"/>
  <c r="AC105" i="37" s="1"/>
  <c r="V105" i="37"/>
  <c r="AB105" i="37" s="1"/>
  <c r="X104" i="37"/>
  <c r="AD104" i="37" s="1"/>
  <c r="W104" i="37"/>
  <c r="AC104" i="37" s="1"/>
  <c r="V104" i="37"/>
  <c r="AB104" i="37" s="1"/>
  <c r="X103" i="37"/>
  <c r="AD103" i="37" s="1"/>
  <c r="W103" i="37"/>
  <c r="AC103" i="37" s="1"/>
  <c r="V103" i="37"/>
  <c r="AB103" i="37" s="1"/>
  <c r="X102" i="37"/>
  <c r="AD102" i="37" s="1"/>
  <c r="W102" i="37"/>
  <c r="AC102" i="37" s="1"/>
  <c r="V102" i="37"/>
  <c r="AB102" i="37" s="1"/>
  <c r="X101" i="37"/>
  <c r="AD101" i="37" s="1"/>
  <c r="W101" i="37"/>
  <c r="AC101" i="37" s="1"/>
  <c r="V101" i="37"/>
  <c r="AB101" i="37" s="1"/>
  <c r="X100" i="37"/>
  <c r="AD100" i="37" s="1"/>
  <c r="W100" i="37"/>
  <c r="AC100" i="37" s="1"/>
  <c r="V100" i="37"/>
  <c r="AB100" i="37" s="1"/>
  <c r="X99" i="37"/>
  <c r="AD99" i="37" s="1"/>
  <c r="W99" i="37"/>
  <c r="AC99" i="37" s="1"/>
  <c r="V99" i="37"/>
  <c r="AB99" i="37" s="1"/>
  <c r="X98" i="37"/>
  <c r="AD98" i="37" s="1"/>
  <c r="W98" i="37"/>
  <c r="AC98" i="37" s="1"/>
  <c r="V98" i="37"/>
  <c r="AB98" i="37" s="1"/>
  <c r="X97" i="37"/>
  <c r="AD97" i="37" s="1"/>
  <c r="W97" i="37"/>
  <c r="AC97" i="37" s="1"/>
  <c r="V97" i="37"/>
  <c r="AB97" i="37" s="1"/>
  <c r="X96" i="37"/>
  <c r="AD96" i="37" s="1"/>
  <c r="W96" i="37"/>
  <c r="AC96" i="37" s="1"/>
  <c r="V96" i="37"/>
  <c r="AB96" i="37" s="1"/>
  <c r="X95" i="37"/>
  <c r="AD95" i="37" s="1"/>
  <c r="W95" i="37"/>
  <c r="AC95" i="37" s="1"/>
  <c r="V95" i="37"/>
  <c r="AB95" i="37" s="1"/>
  <c r="X94" i="37"/>
  <c r="AD94" i="37" s="1"/>
  <c r="W94" i="37"/>
  <c r="AC94" i="37" s="1"/>
  <c r="V94" i="37"/>
  <c r="AB94" i="37" s="1"/>
  <c r="X93" i="37"/>
  <c r="AD93" i="37" s="1"/>
  <c r="W93" i="37"/>
  <c r="AC93" i="37" s="1"/>
  <c r="V93" i="37"/>
  <c r="AB93" i="37" s="1"/>
  <c r="X92" i="37"/>
  <c r="AD92" i="37" s="1"/>
  <c r="W92" i="37"/>
  <c r="AC92" i="37" s="1"/>
  <c r="V92" i="37"/>
  <c r="AB92" i="37" s="1"/>
  <c r="X91" i="37"/>
  <c r="AD91" i="37" s="1"/>
  <c r="W91" i="37"/>
  <c r="AC91" i="37" s="1"/>
  <c r="V91" i="37"/>
  <c r="AB91" i="37" s="1"/>
  <c r="X90" i="37"/>
  <c r="AD90" i="37" s="1"/>
  <c r="W90" i="37"/>
  <c r="AC90" i="37" s="1"/>
  <c r="V90" i="37"/>
  <c r="AB90" i="37" s="1"/>
  <c r="X89" i="37"/>
  <c r="AD89" i="37" s="1"/>
  <c r="W89" i="37"/>
  <c r="AC89" i="37" s="1"/>
  <c r="V89" i="37"/>
  <c r="AB89" i="37" s="1"/>
  <c r="X88" i="37"/>
  <c r="AD88" i="37" s="1"/>
  <c r="W88" i="37"/>
  <c r="AC88" i="37" s="1"/>
  <c r="V88" i="37"/>
  <c r="AB88" i="37" s="1"/>
  <c r="X87" i="37"/>
  <c r="AD87" i="37" s="1"/>
  <c r="W87" i="37"/>
  <c r="AC87" i="37" s="1"/>
  <c r="V87" i="37"/>
  <c r="AB87" i="37" s="1"/>
  <c r="X86" i="37"/>
  <c r="AD86" i="37" s="1"/>
  <c r="W86" i="37"/>
  <c r="AC86" i="37" s="1"/>
  <c r="V86" i="37"/>
  <c r="AB86" i="37" s="1"/>
  <c r="X85" i="37"/>
  <c r="AD85" i="37" s="1"/>
  <c r="W85" i="37"/>
  <c r="AC85" i="37" s="1"/>
  <c r="V85" i="37"/>
  <c r="AB85" i="37" s="1"/>
  <c r="X84" i="37"/>
  <c r="AD84" i="37" s="1"/>
  <c r="W84" i="37"/>
  <c r="AC84" i="37" s="1"/>
  <c r="V84" i="37"/>
  <c r="AB84" i="37" s="1"/>
  <c r="X83" i="37"/>
  <c r="AD83" i="37" s="1"/>
  <c r="W83" i="37"/>
  <c r="AC83" i="37" s="1"/>
  <c r="V83" i="37"/>
  <c r="AB83" i="37" s="1"/>
  <c r="X82" i="37"/>
  <c r="AD82" i="37" s="1"/>
  <c r="W82" i="37"/>
  <c r="AC82" i="37" s="1"/>
  <c r="V82" i="37"/>
  <c r="AB82" i="37" s="1"/>
  <c r="X81" i="37"/>
  <c r="AD81" i="37" s="1"/>
  <c r="W81" i="37"/>
  <c r="AC81" i="37" s="1"/>
  <c r="V81" i="37"/>
  <c r="AB81" i="37" s="1"/>
  <c r="X80" i="37"/>
  <c r="AD80" i="37" s="1"/>
  <c r="W80" i="37"/>
  <c r="AC80" i="37" s="1"/>
  <c r="V80" i="37"/>
  <c r="AB80" i="37" s="1"/>
  <c r="X79" i="37"/>
  <c r="AD79" i="37" s="1"/>
  <c r="W79" i="37"/>
  <c r="AC79" i="37" s="1"/>
  <c r="V79" i="37"/>
  <c r="AB79" i="37" s="1"/>
  <c r="X78" i="37"/>
  <c r="AD78" i="37" s="1"/>
  <c r="W78" i="37"/>
  <c r="AC78" i="37" s="1"/>
  <c r="V78" i="37"/>
  <c r="AB78" i="37" s="1"/>
  <c r="X77" i="37"/>
  <c r="AD77" i="37" s="1"/>
  <c r="W77" i="37"/>
  <c r="AC77" i="37" s="1"/>
  <c r="V77" i="37"/>
  <c r="AB77" i="37" s="1"/>
  <c r="X76" i="37"/>
  <c r="AD76" i="37" s="1"/>
  <c r="W76" i="37"/>
  <c r="AC76" i="37" s="1"/>
  <c r="V76" i="37"/>
  <c r="AB76" i="37" s="1"/>
  <c r="X75" i="37"/>
  <c r="AD75" i="37" s="1"/>
  <c r="W75" i="37"/>
  <c r="AC75" i="37" s="1"/>
  <c r="V75" i="37"/>
  <c r="AB75" i="37" s="1"/>
  <c r="X74" i="37"/>
  <c r="AD74" i="37" s="1"/>
  <c r="W74" i="37"/>
  <c r="AC74" i="37" s="1"/>
  <c r="V74" i="37"/>
  <c r="AB74" i="37" s="1"/>
  <c r="X73" i="37"/>
  <c r="AD73" i="37" s="1"/>
  <c r="W73" i="37"/>
  <c r="AC73" i="37" s="1"/>
  <c r="V73" i="37"/>
  <c r="AB73" i="37" s="1"/>
  <c r="X72" i="37"/>
  <c r="AD72" i="37" s="1"/>
  <c r="W72" i="37"/>
  <c r="AC72" i="37" s="1"/>
  <c r="V72" i="37"/>
  <c r="AB72" i="37" s="1"/>
  <c r="X71" i="37"/>
  <c r="AD71" i="37" s="1"/>
  <c r="W71" i="37"/>
  <c r="AC71" i="37" s="1"/>
  <c r="V71" i="37"/>
  <c r="AB71" i="37" s="1"/>
  <c r="X70" i="37"/>
  <c r="AD70" i="37" s="1"/>
  <c r="W70" i="37"/>
  <c r="AC70" i="37" s="1"/>
  <c r="V70" i="37"/>
  <c r="AB70" i="37" s="1"/>
  <c r="X69" i="37"/>
  <c r="AD69" i="37" s="1"/>
  <c r="W69" i="37"/>
  <c r="AC69" i="37" s="1"/>
  <c r="V69" i="37"/>
  <c r="AB69" i="37" s="1"/>
  <c r="X68" i="37"/>
  <c r="AD68" i="37" s="1"/>
  <c r="W68" i="37"/>
  <c r="AC68" i="37" s="1"/>
  <c r="V68" i="37"/>
  <c r="AB68" i="37" s="1"/>
  <c r="X67" i="37"/>
  <c r="AD67" i="37" s="1"/>
  <c r="W67" i="37"/>
  <c r="AC67" i="37" s="1"/>
  <c r="V67" i="37"/>
  <c r="AB67" i="37" s="1"/>
  <c r="X66" i="37"/>
  <c r="AD66" i="37" s="1"/>
  <c r="W66" i="37"/>
  <c r="AC66" i="37" s="1"/>
  <c r="V66" i="37"/>
  <c r="AB66" i="37" s="1"/>
  <c r="X65" i="37"/>
  <c r="AD65" i="37" s="1"/>
  <c r="W65" i="37"/>
  <c r="AC65" i="37" s="1"/>
  <c r="V65" i="37"/>
  <c r="AB65" i="37" s="1"/>
  <c r="X64" i="37"/>
  <c r="AD64" i="37" s="1"/>
  <c r="W64" i="37"/>
  <c r="AC64" i="37" s="1"/>
  <c r="V64" i="37"/>
  <c r="AB64" i="37" s="1"/>
  <c r="X63" i="37"/>
  <c r="AD63" i="37" s="1"/>
  <c r="W63" i="37"/>
  <c r="AC63" i="37" s="1"/>
  <c r="V63" i="37"/>
  <c r="AB63" i="37" s="1"/>
  <c r="X62" i="37"/>
  <c r="AD62" i="37" s="1"/>
  <c r="W62" i="37"/>
  <c r="AC62" i="37" s="1"/>
  <c r="V62" i="37"/>
  <c r="AB62" i="37" s="1"/>
  <c r="X61" i="37"/>
  <c r="AD61" i="37" s="1"/>
  <c r="W61" i="37"/>
  <c r="AC61" i="37" s="1"/>
  <c r="V61" i="37"/>
  <c r="AB61" i="37" s="1"/>
  <c r="X60" i="37"/>
  <c r="AD60" i="37" s="1"/>
  <c r="W60" i="37"/>
  <c r="AC60" i="37" s="1"/>
  <c r="V60" i="37"/>
  <c r="AB60" i="37" s="1"/>
  <c r="X59" i="37"/>
  <c r="AD59" i="37" s="1"/>
  <c r="W59" i="37"/>
  <c r="AC59" i="37" s="1"/>
  <c r="V59" i="37"/>
  <c r="AB59" i="37" s="1"/>
  <c r="X58" i="37"/>
  <c r="AD58" i="37" s="1"/>
  <c r="W58" i="37"/>
  <c r="AC58" i="37" s="1"/>
  <c r="V58" i="37"/>
  <c r="AB58" i="37" s="1"/>
  <c r="X57" i="37"/>
  <c r="AD57" i="37" s="1"/>
  <c r="W57" i="37"/>
  <c r="AC57" i="37" s="1"/>
  <c r="V57" i="37"/>
  <c r="AB57" i="37" s="1"/>
  <c r="X56" i="37"/>
  <c r="AD56" i="37" s="1"/>
  <c r="W56" i="37"/>
  <c r="AC56" i="37" s="1"/>
  <c r="V56" i="37"/>
  <c r="AB56" i="37" s="1"/>
  <c r="X55" i="37"/>
  <c r="AD55" i="37" s="1"/>
  <c r="W55" i="37"/>
  <c r="AC55" i="37" s="1"/>
  <c r="V55" i="37"/>
  <c r="AB55" i="37" s="1"/>
  <c r="X54" i="37"/>
  <c r="AD54" i="37" s="1"/>
  <c r="W54" i="37"/>
  <c r="AC54" i="37" s="1"/>
  <c r="V54" i="37"/>
  <c r="AB54" i="37" s="1"/>
  <c r="X53" i="37"/>
  <c r="AD53" i="37" s="1"/>
  <c r="W53" i="37"/>
  <c r="AC53" i="37" s="1"/>
  <c r="V53" i="37"/>
  <c r="AB53" i="37" s="1"/>
  <c r="X52" i="37"/>
  <c r="AD52" i="37" s="1"/>
  <c r="W52" i="37"/>
  <c r="AC52" i="37" s="1"/>
  <c r="V52" i="37"/>
  <c r="AB52" i="37" s="1"/>
  <c r="X51" i="37"/>
  <c r="AD51" i="37" s="1"/>
  <c r="W51" i="37"/>
  <c r="AC51" i="37" s="1"/>
  <c r="V51" i="37"/>
  <c r="AB51" i="37" s="1"/>
  <c r="X50" i="37"/>
  <c r="AD50" i="37" s="1"/>
  <c r="W50" i="37"/>
  <c r="AC50" i="37" s="1"/>
  <c r="V50" i="37"/>
  <c r="AB50" i="37" s="1"/>
  <c r="X49" i="37"/>
  <c r="AD49" i="37" s="1"/>
  <c r="W49" i="37"/>
  <c r="AC49" i="37" s="1"/>
  <c r="V49" i="37"/>
  <c r="AB49" i="37" s="1"/>
  <c r="X48" i="37"/>
  <c r="AD48" i="37" s="1"/>
  <c r="W48" i="37"/>
  <c r="AC48" i="37" s="1"/>
  <c r="V48" i="37"/>
  <c r="AB48" i="37" s="1"/>
  <c r="X47" i="37"/>
  <c r="AD47" i="37" s="1"/>
  <c r="W47" i="37"/>
  <c r="AC47" i="37" s="1"/>
  <c r="V47" i="37"/>
  <c r="AB47" i="37" s="1"/>
  <c r="X46" i="37"/>
  <c r="AD46" i="37" s="1"/>
  <c r="W46" i="37"/>
  <c r="AC46" i="37" s="1"/>
  <c r="V46" i="37"/>
  <c r="AB46" i="37" s="1"/>
  <c r="X45" i="37"/>
  <c r="AD45" i="37" s="1"/>
  <c r="W45" i="37"/>
  <c r="AC45" i="37" s="1"/>
  <c r="V45" i="37"/>
  <c r="AB45" i="37" s="1"/>
  <c r="X44" i="37"/>
  <c r="AD44" i="37" s="1"/>
  <c r="W44" i="37"/>
  <c r="AC44" i="37" s="1"/>
  <c r="V44" i="37"/>
  <c r="AB44" i="37" s="1"/>
  <c r="X43" i="37"/>
  <c r="AD43" i="37" s="1"/>
  <c r="W43" i="37"/>
  <c r="AC43" i="37" s="1"/>
  <c r="V43" i="37"/>
  <c r="AB43" i="37" s="1"/>
  <c r="X42" i="37"/>
  <c r="AD42" i="37" s="1"/>
  <c r="W42" i="37"/>
  <c r="AC42" i="37" s="1"/>
  <c r="V42" i="37"/>
  <c r="AB42" i="37" s="1"/>
  <c r="X41" i="37"/>
  <c r="AD41" i="37" s="1"/>
  <c r="W41" i="37"/>
  <c r="AC41" i="37" s="1"/>
  <c r="V41" i="37"/>
  <c r="AB41" i="37" s="1"/>
  <c r="X40" i="37"/>
  <c r="AD40" i="37" s="1"/>
  <c r="W40" i="37"/>
  <c r="AC40" i="37" s="1"/>
  <c r="V40" i="37"/>
  <c r="AB40" i="37" s="1"/>
  <c r="X39" i="37"/>
  <c r="AD39" i="37" s="1"/>
  <c r="W39" i="37"/>
  <c r="AC39" i="37" s="1"/>
  <c r="V39" i="37"/>
  <c r="AB39" i="37" s="1"/>
  <c r="X38" i="37"/>
  <c r="AD38" i="37" s="1"/>
  <c r="W38" i="37"/>
  <c r="AC38" i="37" s="1"/>
  <c r="V38" i="37"/>
  <c r="AB38" i="37" s="1"/>
  <c r="X37" i="37"/>
  <c r="AD37" i="37" s="1"/>
  <c r="W37" i="37"/>
  <c r="AC37" i="37" s="1"/>
  <c r="V37" i="37"/>
  <c r="AB37" i="37" s="1"/>
  <c r="X36" i="37"/>
  <c r="AD36" i="37" s="1"/>
  <c r="W36" i="37"/>
  <c r="AC36" i="37" s="1"/>
  <c r="V36" i="37"/>
  <c r="AB36" i="37" s="1"/>
  <c r="X35" i="37"/>
  <c r="AD35" i="37" s="1"/>
  <c r="W35" i="37"/>
  <c r="AC35" i="37" s="1"/>
  <c r="V35" i="37"/>
  <c r="AB35" i="37" s="1"/>
  <c r="X34" i="37"/>
  <c r="AD34" i="37" s="1"/>
  <c r="W34" i="37"/>
  <c r="AC34" i="37" s="1"/>
  <c r="V34" i="37"/>
  <c r="AB34" i="37" s="1"/>
  <c r="X33" i="37"/>
  <c r="AD33" i="37" s="1"/>
  <c r="W33" i="37"/>
  <c r="AC33" i="37" s="1"/>
  <c r="V33" i="37"/>
  <c r="AB33" i="37" s="1"/>
  <c r="X32" i="37"/>
  <c r="AD32" i="37" s="1"/>
  <c r="W32" i="37"/>
  <c r="AC32" i="37" s="1"/>
  <c r="V32" i="37"/>
  <c r="AB32" i="37" s="1"/>
  <c r="X31" i="37"/>
  <c r="AD31" i="37" s="1"/>
  <c r="W31" i="37"/>
  <c r="AC31" i="37" s="1"/>
  <c r="V31" i="37"/>
  <c r="AB31" i="37" s="1"/>
  <c r="X30" i="37"/>
  <c r="AD30" i="37" s="1"/>
  <c r="W30" i="37"/>
  <c r="AC30" i="37" s="1"/>
  <c r="V30" i="37"/>
  <c r="AB30" i="37" s="1"/>
  <c r="X29" i="37"/>
  <c r="AD29" i="37" s="1"/>
  <c r="W29" i="37"/>
  <c r="AC29" i="37" s="1"/>
  <c r="V29" i="37"/>
  <c r="AB29" i="37" s="1"/>
  <c r="X28" i="37"/>
  <c r="AD28" i="37" s="1"/>
  <c r="W28" i="37"/>
  <c r="AC28" i="37" s="1"/>
  <c r="V28" i="37"/>
  <c r="AB28" i="37" s="1"/>
  <c r="X27" i="37"/>
  <c r="AD27" i="37" s="1"/>
  <c r="W27" i="37"/>
  <c r="AC27" i="37" s="1"/>
  <c r="V27" i="37"/>
  <c r="AB27" i="37" s="1"/>
  <c r="X26" i="37"/>
  <c r="AD26" i="37" s="1"/>
  <c r="W26" i="37"/>
  <c r="AC26" i="37" s="1"/>
  <c r="V26" i="37"/>
  <c r="AB26" i="37" s="1"/>
  <c r="X25" i="37"/>
  <c r="AD25" i="37" s="1"/>
  <c r="W25" i="37"/>
  <c r="AC25" i="37" s="1"/>
  <c r="V25" i="37"/>
  <c r="AB25" i="37" s="1"/>
  <c r="X24" i="37"/>
  <c r="AD24" i="37" s="1"/>
  <c r="W24" i="37"/>
  <c r="AC24" i="37" s="1"/>
  <c r="V24" i="37"/>
  <c r="AB24" i="37" s="1"/>
  <c r="X23" i="37"/>
  <c r="AD23" i="37" s="1"/>
  <c r="W23" i="37"/>
  <c r="AC23" i="37" s="1"/>
  <c r="V23" i="37"/>
  <c r="AB23" i="37" s="1"/>
  <c r="X22" i="37"/>
  <c r="AD22" i="37" s="1"/>
  <c r="W22" i="37"/>
  <c r="AC22" i="37" s="1"/>
  <c r="V22" i="37"/>
  <c r="AB22" i="37" s="1"/>
  <c r="X21" i="37"/>
  <c r="AD21" i="37" s="1"/>
  <c r="W21" i="37"/>
  <c r="AC21" i="37" s="1"/>
  <c r="V21" i="37"/>
  <c r="AB21" i="37" s="1"/>
  <c r="X20" i="37"/>
  <c r="AD20" i="37" s="1"/>
  <c r="W20" i="37"/>
  <c r="AC20" i="37" s="1"/>
  <c r="V20" i="37"/>
  <c r="AB20" i="37" s="1"/>
  <c r="X19" i="37"/>
  <c r="AD19" i="37" s="1"/>
  <c r="W19" i="37"/>
  <c r="AC19" i="37" s="1"/>
  <c r="V19" i="37"/>
  <c r="AB19" i="37" s="1"/>
  <c r="X18" i="37"/>
  <c r="AD18" i="37" s="1"/>
  <c r="W18" i="37"/>
  <c r="AC18" i="37" s="1"/>
  <c r="V18" i="37"/>
  <c r="AB18" i="37" s="1"/>
  <c r="X17" i="37"/>
  <c r="AD17" i="37" s="1"/>
  <c r="W17" i="37"/>
  <c r="AC17" i="37" s="1"/>
  <c r="V17" i="37"/>
  <c r="AB17" i="37" s="1"/>
  <c r="X16" i="37"/>
  <c r="AD16" i="37" s="1"/>
  <c r="W16" i="37"/>
  <c r="AC16" i="37" s="1"/>
  <c r="V16" i="37"/>
  <c r="AB16" i="37" s="1"/>
  <c r="X15" i="37"/>
  <c r="AD15" i="37" s="1"/>
  <c r="W15" i="37"/>
  <c r="AC15" i="37" s="1"/>
  <c r="V15" i="37"/>
  <c r="AB15" i="37" s="1"/>
  <c r="X14" i="37"/>
  <c r="AD14" i="37" s="1"/>
  <c r="W14" i="37"/>
  <c r="AC14" i="37" s="1"/>
  <c r="V14" i="37"/>
  <c r="AB14" i="37" s="1"/>
  <c r="X13" i="37"/>
  <c r="AD13" i="37" s="1"/>
  <c r="W13" i="37"/>
  <c r="AC13" i="37" s="1"/>
  <c r="V13" i="37"/>
  <c r="AB13" i="37" s="1"/>
  <c r="X12" i="37"/>
  <c r="AD12" i="37" s="1"/>
  <c r="W12" i="37"/>
  <c r="AC12" i="37" s="1"/>
  <c r="V12" i="37"/>
  <c r="AB12" i="37" s="1"/>
  <c r="X11" i="37"/>
  <c r="AD11" i="37" s="1"/>
  <c r="W11" i="37"/>
  <c r="AC11" i="37" s="1"/>
  <c r="V11" i="37"/>
  <c r="AB11" i="37" s="1"/>
  <c r="X10" i="37"/>
  <c r="AD10" i="37" s="1"/>
  <c r="W10" i="37"/>
  <c r="AC10" i="37" s="1"/>
  <c r="V10" i="37"/>
  <c r="AB10" i="37" s="1"/>
  <c r="X9" i="37"/>
  <c r="AD9" i="37" s="1"/>
  <c r="W9" i="37"/>
  <c r="AC9" i="37" s="1"/>
  <c r="V9" i="37"/>
  <c r="AB9" i="37" s="1"/>
  <c r="X8" i="37"/>
  <c r="AD8" i="37" s="1"/>
  <c r="W8" i="37"/>
  <c r="AC8" i="37" s="1"/>
  <c r="V8" i="37"/>
  <c r="AB8" i="37" s="1"/>
  <c r="X7" i="37"/>
  <c r="AD7" i="37" s="1"/>
  <c r="W7" i="37"/>
  <c r="AC7" i="37" s="1"/>
  <c r="V7" i="37"/>
  <c r="AB7" i="37" s="1"/>
  <c r="X6" i="37"/>
  <c r="AD6" i="37" s="1"/>
  <c r="W6" i="37"/>
  <c r="AC6" i="37" s="1"/>
  <c r="V6" i="37"/>
  <c r="AB6" i="37" s="1"/>
  <c r="X5" i="37"/>
  <c r="AD5" i="37" s="1"/>
  <c r="W5" i="37"/>
  <c r="AC5" i="37" s="1"/>
  <c r="V5" i="37"/>
  <c r="AB5" i="37" s="1"/>
  <c r="X4" i="37"/>
  <c r="AD4" i="37" s="1"/>
  <c r="W4" i="37"/>
  <c r="AC4" i="37" s="1"/>
  <c r="V4" i="37"/>
  <c r="AB4" i="37" s="1"/>
  <c r="X3" i="37"/>
  <c r="AD3" i="37" s="1"/>
  <c r="W3" i="37"/>
  <c r="AC3" i="37" s="1"/>
  <c r="V3" i="37"/>
  <c r="AB3" i="37" s="1"/>
  <c r="X2" i="37"/>
  <c r="AD2" i="37" s="1"/>
  <c r="W2" i="37"/>
  <c r="AC2" i="37" s="1"/>
  <c r="V2" i="37"/>
  <c r="AB2" i="37" s="1"/>
  <c r="AD51" i="27"/>
  <c r="AB51" i="27"/>
  <c r="AA51" i="27"/>
  <c r="Z51" i="27"/>
  <c r="X51" i="27"/>
  <c r="W51" i="27"/>
  <c r="V51" i="27"/>
  <c r="U51" i="27"/>
  <c r="AD50" i="27"/>
  <c r="AB50" i="27"/>
  <c r="AA50" i="27"/>
  <c r="Z50" i="27"/>
  <c r="X50" i="27"/>
  <c r="W50" i="27"/>
  <c r="V50" i="27"/>
  <c r="U50" i="27"/>
  <c r="AD49" i="27"/>
  <c r="AB49" i="27"/>
  <c r="AA49" i="27"/>
  <c r="Z49" i="27"/>
  <c r="X49" i="27"/>
  <c r="W49" i="27"/>
  <c r="V49" i="27"/>
  <c r="U49" i="27"/>
  <c r="AD48" i="27"/>
  <c r="AB48" i="27"/>
  <c r="AA48" i="27"/>
  <c r="Z48" i="27"/>
  <c r="X48" i="27"/>
  <c r="W48" i="27"/>
  <c r="V48" i="27"/>
  <c r="U48" i="27"/>
  <c r="AD47" i="27"/>
  <c r="AB47" i="27"/>
  <c r="AA47" i="27"/>
  <c r="Z47" i="27"/>
  <c r="X47" i="27"/>
  <c r="W47" i="27"/>
  <c r="V47" i="27"/>
  <c r="U47" i="27"/>
  <c r="AD46" i="27"/>
  <c r="AB46" i="27"/>
  <c r="AA46" i="27"/>
  <c r="Z46" i="27"/>
  <c r="X46" i="27"/>
  <c r="W46" i="27"/>
  <c r="V46" i="27"/>
  <c r="U46" i="27"/>
  <c r="AD45" i="27"/>
  <c r="AB45" i="27"/>
  <c r="AA45" i="27"/>
  <c r="Z45" i="27"/>
  <c r="X45" i="27"/>
  <c r="W45" i="27"/>
  <c r="V45" i="27"/>
  <c r="U45" i="27"/>
  <c r="AD44" i="27"/>
  <c r="AB44" i="27"/>
  <c r="AA44" i="27"/>
  <c r="Z44" i="27"/>
  <c r="X44" i="27"/>
  <c r="W44" i="27"/>
  <c r="V44" i="27"/>
  <c r="U44" i="27"/>
  <c r="AD43" i="27"/>
  <c r="AB43" i="27"/>
  <c r="AA43" i="27"/>
  <c r="Z43" i="27"/>
  <c r="X43" i="27"/>
  <c r="W43" i="27"/>
  <c r="V43" i="27"/>
  <c r="U43" i="27"/>
  <c r="AD42" i="27"/>
  <c r="AB42" i="27"/>
  <c r="AA42" i="27"/>
  <c r="Z42" i="27"/>
  <c r="X42" i="27"/>
  <c r="W42" i="27"/>
  <c r="V42" i="27"/>
  <c r="U42" i="27"/>
  <c r="AD41" i="27"/>
  <c r="AB41" i="27"/>
  <c r="AA41" i="27"/>
  <c r="Z41" i="27"/>
  <c r="X41" i="27"/>
  <c r="W41" i="27"/>
  <c r="V41" i="27"/>
  <c r="U41" i="27"/>
  <c r="AD40" i="27"/>
  <c r="AB40" i="27"/>
  <c r="AA40" i="27"/>
  <c r="Z40" i="27"/>
  <c r="X40" i="27"/>
  <c r="W40" i="27"/>
  <c r="V40" i="27"/>
  <c r="U40" i="27"/>
  <c r="AD39" i="27"/>
  <c r="AB39" i="27"/>
  <c r="AA39" i="27"/>
  <c r="Z39" i="27"/>
  <c r="X39" i="27"/>
  <c r="W39" i="27"/>
  <c r="V39" i="27"/>
  <c r="U39" i="27"/>
  <c r="AD38" i="27"/>
  <c r="AB38" i="27"/>
  <c r="AA38" i="27"/>
  <c r="Z38" i="27"/>
  <c r="X38" i="27"/>
  <c r="W38" i="27"/>
  <c r="V38" i="27"/>
  <c r="U38" i="27"/>
  <c r="AD37" i="27"/>
  <c r="AB37" i="27"/>
  <c r="AA37" i="27"/>
  <c r="Z37" i="27"/>
  <c r="X37" i="27"/>
  <c r="W37" i="27"/>
  <c r="V37" i="27"/>
  <c r="U37" i="27"/>
  <c r="AD36" i="27"/>
  <c r="AB36" i="27"/>
  <c r="AA36" i="27"/>
  <c r="Z36" i="27"/>
  <c r="X36" i="27"/>
  <c r="W36" i="27"/>
  <c r="V36" i="27"/>
  <c r="U36" i="27"/>
  <c r="AD35" i="27"/>
  <c r="AB35" i="27"/>
  <c r="AA35" i="27"/>
  <c r="Z35" i="27"/>
  <c r="X35" i="27"/>
  <c r="W35" i="27"/>
  <c r="V35" i="27"/>
  <c r="U35" i="27"/>
  <c r="AD34" i="27"/>
  <c r="AB34" i="27"/>
  <c r="AA34" i="27"/>
  <c r="Z34" i="27"/>
  <c r="X34" i="27"/>
  <c r="W34" i="27"/>
  <c r="V34" i="27"/>
  <c r="U34" i="27"/>
  <c r="AD33" i="27"/>
  <c r="AB33" i="27"/>
  <c r="AA33" i="27"/>
  <c r="Z33" i="27"/>
  <c r="X33" i="27"/>
  <c r="W33" i="27"/>
  <c r="V33" i="27"/>
  <c r="U33" i="27"/>
  <c r="AD32" i="27"/>
  <c r="AB32" i="27"/>
  <c r="AA32" i="27"/>
  <c r="Z32" i="27"/>
  <c r="X32" i="27"/>
  <c r="W32" i="27"/>
  <c r="V32" i="27"/>
  <c r="U32" i="27"/>
  <c r="AD31" i="27"/>
  <c r="AB31" i="27"/>
  <c r="AA31" i="27"/>
  <c r="Z31" i="27"/>
  <c r="X31" i="27"/>
  <c r="W31" i="27"/>
  <c r="V31" i="27"/>
  <c r="U31" i="27"/>
  <c r="AD30" i="27"/>
  <c r="AB30" i="27"/>
  <c r="AA30" i="27"/>
  <c r="Z30" i="27"/>
  <c r="X30" i="27"/>
  <c r="W30" i="27"/>
  <c r="V30" i="27"/>
  <c r="U30" i="27"/>
  <c r="AD29" i="27"/>
  <c r="AB29" i="27"/>
  <c r="AA29" i="27"/>
  <c r="Z29" i="27"/>
  <c r="X29" i="27"/>
  <c r="W29" i="27"/>
  <c r="V29" i="27"/>
  <c r="U29" i="27"/>
  <c r="AD28" i="27"/>
  <c r="AB28" i="27"/>
  <c r="AA28" i="27"/>
  <c r="Z28" i="27"/>
  <c r="X28" i="27"/>
  <c r="W28" i="27"/>
  <c r="V28" i="27"/>
  <c r="U28" i="27"/>
  <c r="AD27" i="27"/>
  <c r="AB27" i="27"/>
  <c r="AA27" i="27"/>
  <c r="Z27" i="27"/>
  <c r="X27" i="27"/>
  <c r="W27" i="27"/>
  <c r="V27" i="27"/>
  <c r="U27" i="27"/>
  <c r="AD26" i="27"/>
  <c r="AB26" i="27"/>
  <c r="AA26" i="27"/>
  <c r="Z26" i="27"/>
  <c r="X26" i="27"/>
  <c r="W26" i="27"/>
  <c r="V26" i="27"/>
  <c r="U26" i="27"/>
  <c r="AD25" i="27"/>
  <c r="AC25" i="27"/>
  <c r="AB25" i="27"/>
  <c r="AA25" i="27"/>
  <c r="Z25" i="27"/>
  <c r="Y25" i="27"/>
  <c r="X25" i="27"/>
  <c r="W25" i="27"/>
  <c r="V25" i="27"/>
  <c r="U25" i="27"/>
  <c r="AD24" i="27"/>
  <c r="AB24" i="27"/>
  <c r="AA24" i="27"/>
  <c r="Z24" i="27"/>
  <c r="X24" i="27"/>
  <c r="W24" i="27"/>
  <c r="V24" i="27"/>
  <c r="U24" i="27"/>
  <c r="AD23" i="27"/>
  <c r="AB23" i="27"/>
  <c r="AA23" i="27"/>
  <c r="Z23" i="27"/>
  <c r="X23" i="27"/>
  <c r="W23" i="27"/>
  <c r="V23" i="27"/>
  <c r="U23" i="27"/>
  <c r="AD22" i="27"/>
  <c r="AB22" i="27"/>
  <c r="AA22" i="27"/>
  <c r="Z22" i="27"/>
  <c r="X22" i="27"/>
  <c r="W22" i="27"/>
  <c r="V22" i="27"/>
  <c r="U22" i="27"/>
  <c r="AD21" i="27"/>
  <c r="AB21" i="27"/>
  <c r="AA21" i="27"/>
  <c r="Z21" i="27"/>
  <c r="X21" i="27"/>
  <c r="W21" i="27"/>
  <c r="V21" i="27"/>
  <c r="U21" i="27"/>
  <c r="AD20" i="27"/>
  <c r="AC20" i="27"/>
  <c r="AB20" i="27"/>
  <c r="AA20" i="27"/>
  <c r="Z20" i="27"/>
  <c r="Z20" i="28" s="1"/>
  <c r="Y20" i="27"/>
  <c r="X20" i="27"/>
  <c r="W20" i="27"/>
  <c r="V20" i="27"/>
  <c r="U20" i="27"/>
  <c r="AD19" i="27"/>
  <c r="AC19" i="27"/>
  <c r="AB19" i="27"/>
  <c r="AA19" i="27"/>
  <c r="AA19" i="28" s="1"/>
  <c r="Z19" i="27"/>
  <c r="Z19" i="28" s="1"/>
  <c r="Y19" i="27"/>
  <c r="X19" i="27"/>
  <c r="W19" i="27"/>
  <c r="V19" i="27"/>
  <c r="U19" i="27"/>
  <c r="AD18" i="27"/>
  <c r="AC18" i="27"/>
  <c r="AB18" i="27"/>
  <c r="AA18" i="27"/>
  <c r="Z18" i="27"/>
  <c r="Y18" i="27"/>
  <c r="X18" i="27"/>
  <c r="W18" i="27"/>
  <c r="V18" i="27"/>
  <c r="U18" i="27"/>
  <c r="AD17" i="27"/>
  <c r="AC17" i="27"/>
  <c r="AB17" i="27"/>
  <c r="AA17" i="27"/>
  <c r="Z17" i="27"/>
  <c r="Y17" i="27"/>
  <c r="X17" i="27"/>
  <c r="W17" i="27"/>
  <c r="V17" i="27"/>
  <c r="U17" i="27"/>
  <c r="AD16" i="27"/>
  <c r="AC16" i="27"/>
  <c r="AB16" i="27"/>
  <c r="AA16" i="27"/>
  <c r="Z16" i="27"/>
  <c r="Z16" i="28" s="1"/>
  <c r="Y16" i="27"/>
  <c r="X16" i="27"/>
  <c r="W16" i="27"/>
  <c r="V16" i="27"/>
  <c r="U16" i="27"/>
  <c r="AD15" i="27"/>
  <c r="AC15" i="27"/>
  <c r="AB15" i="27"/>
  <c r="AA15" i="27"/>
  <c r="AA15" i="28" s="1"/>
  <c r="Z15" i="27"/>
  <c r="Z15" i="28" s="1"/>
  <c r="Y15" i="27"/>
  <c r="X15" i="27"/>
  <c r="W15" i="27"/>
  <c r="V15" i="27"/>
  <c r="U15" i="27"/>
  <c r="AD14" i="27"/>
  <c r="AC14" i="27"/>
  <c r="AB14" i="27"/>
  <c r="AA14" i="27"/>
  <c r="Z14" i="27"/>
  <c r="Y14" i="27"/>
  <c r="X14" i="27"/>
  <c r="W14" i="27"/>
  <c r="V14" i="27"/>
  <c r="U14" i="27"/>
  <c r="AD13" i="27"/>
  <c r="AC13" i="27"/>
  <c r="AB13" i="27"/>
  <c r="AA13" i="27"/>
  <c r="Z13" i="27"/>
  <c r="Y13" i="27"/>
  <c r="X13" i="27"/>
  <c r="W13" i="27"/>
  <c r="V13" i="27"/>
  <c r="U13" i="27"/>
  <c r="AD12" i="27"/>
  <c r="AC12" i="27"/>
  <c r="AB12" i="27"/>
  <c r="AA12" i="27"/>
  <c r="Z12" i="27"/>
  <c r="Z12" i="28" s="1"/>
  <c r="Y12" i="27"/>
  <c r="X12" i="27"/>
  <c r="W12" i="27"/>
  <c r="V12" i="27"/>
  <c r="U12" i="27"/>
  <c r="AD11" i="27"/>
  <c r="AC11" i="27"/>
  <c r="AB11" i="27"/>
  <c r="AA11" i="27"/>
  <c r="AA11" i="28" s="1"/>
  <c r="Z11" i="27"/>
  <c r="Z11" i="28" s="1"/>
  <c r="Y11" i="27"/>
  <c r="X11" i="27"/>
  <c r="W11" i="27"/>
  <c r="V11" i="27"/>
  <c r="U11" i="27"/>
  <c r="AD10" i="27"/>
  <c r="AC10" i="27"/>
  <c r="AB10" i="27"/>
  <c r="AA10" i="27"/>
  <c r="Z10" i="27"/>
  <c r="Y10" i="27"/>
  <c r="X10" i="27"/>
  <c r="W10" i="27"/>
  <c r="V10" i="27"/>
  <c r="U10" i="27"/>
  <c r="AD9" i="27"/>
  <c r="AC9" i="27"/>
  <c r="AB9" i="27"/>
  <c r="AA9" i="27"/>
  <c r="Z9" i="27"/>
  <c r="Y9" i="27"/>
  <c r="X9" i="27"/>
  <c r="W9" i="27"/>
  <c r="V9" i="27"/>
  <c r="U9" i="27"/>
  <c r="AD8" i="27"/>
  <c r="AC8" i="27"/>
  <c r="AB8" i="27"/>
  <c r="AA8" i="27"/>
  <c r="Z8" i="27"/>
  <c r="Z8" i="28" s="1"/>
  <c r="Y8" i="27"/>
  <c r="X8" i="27"/>
  <c r="W8" i="27"/>
  <c r="V8" i="27"/>
  <c r="U8" i="27"/>
  <c r="AD7" i="27"/>
  <c r="AC7" i="27"/>
  <c r="AB7" i="27"/>
  <c r="AA7" i="27"/>
  <c r="AA7" i="28" s="1"/>
  <c r="Z7" i="27"/>
  <c r="Z7" i="28" s="1"/>
  <c r="Y7" i="27"/>
  <c r="X7" i="27"/>
  <c r="W7" i="27"/>
  <c r="V7" i="27"/>
  <c r="U7" i="27"/>
  <c r="AD6" i="27"/>
  <c r="AC6" i="27"/>
  <c r="AB6" i="27"/>
  <c r="AA6" i="27"/>
  <c r="Z6" i="27"/>
  <c r="Y6" i="27"/>
  <c r="X6" i="27"/>
  <c r="W6" i="27"/>
  <c r="V6" i="27"/>
  <c r="U6" i="27"/>
  <c r="AD5" i="27"/>
  <c r="AC5" i="27"/>
  <c r="AB5" i="27"/>
  <c r="AA5" i="27"/>
  <c r="Z5" i="27"/>
  <c r="Y5" i="27"/>
  <c r="X5" i="27"/>
  <c r="W5" i="27"/>
  <c r="V5" i="27"/>
  <c r="U5" i="27"/>
  <c r="AP51" i="35"/>
  <c r="AC51" i="35"/>
  <c r="AC51" i="27" s="1"/>
  <c r="Y51" i="35"/>
  <c r="Y51" i="27" s="1"/>
  <c r="AP50" i="35"/>
  <c r="AC50" i="35"/>
  <c r="AC50" i="27" s="1"/>
  <c r="Y50" i="35"/>
  <c r="Y50" i="27" s="1"/>
  <c r="AP49" i="35"/>
  <c r="AC49" i="35"/>
  <c r="AC49" i="27" s="1"/>
  <c r="Y49" i="35"/>
  <c r="Y49" i="27" s="1"/>
  <c r="AP48" i="35"/>
  <c r="AC48" i="35"/>
  <c r="AC48" i="27" s="1"/>
  <c r="Y48" i="35"/>
  <c r="Y48" i="27" s="1"/>
  <c r="AP47" i="35"/>
  <c r="AC47" i="35"/>
  <c r="AC47" i="27" s="1"/>
  <c r="Y47" i="35"/>
  <c r="Y47" i="27" s="1"/>
  <c r="AP46" i="35"/>
  <c r="AC46" i="35"/>
  <c r="AC46" i="27" s="1"/>
  <c r="Y46" i="35"/>
  <c r="Y46" i="27" s="1"/>
  <c r="AP45" i="35"/>
  <c r="AC45" i="35"/>
  <c r="AC45" i="27" s="1"/>
  <c r="Y45" i="35"/>
  <c r="Y45" i="27" s="1"/>
  <c r="AP44" i="35"/>
  <c r="AC44" i="35"/>
  <c r="AC44" i="27" s="1"/>
  <c r="Y44" i="35"/>
  <c r="Y44" i="27" s="1"/>
  <c r="AP43" i="35"/>
  <c r="AC43" i="35"/>
  <c r="AC43" i="27" s="1"/>
  <c r="Y43" i="35"/>
  <c r="Y43" i="27" s="1"/>
  <c r="AP42" i="35"/>
  <c r="AC42" i="35"/>
  <c r="AC42" i="27" s="1"/>
  <c r="Y42" i="35"/>
  <c r="Y42" i="27" s="1"/>
  <c r="AP41" i="35"/>
  <c r="AC41" i="35"/>
  <c r="AC41" i="27" s="1"/>
  <c r="Y41" i="35"/>
  <c r="Y41" i="27" s="1"/>
  <c r="AP40" i="35"/>
  <c r="AC40" i="35"/>
  <c r="AC40" i="27" s="1"/>
  <c r="Y40" i="35"/>
  <c r="Y40" i="27" s="1"/>
  <c r="AP39" i="35"/>
  <c r="AC39" i="35"/>
  <c r="AC39" i="27" s="1"/>
  <c r="Y39" i="35"/>
  <c r="Y39" i="27" s="1"/>
  <c r="AP38" i="35"/>
  <c r="AC38" i="35"/>
  <c r="AC38" i="27" s="1"/>
  <c r="Y38" i="35"/>
  <c r="Y38" i="27" s="1"/>
  <c r="AP37" i="35"/>
  <c r="AC37" i="35"/>
  <c r="AC37" i="27" s="1"/>
  <c r="Y37" i="35"/>
  <c r="Y37" i="27" s="1"/>
  <c r="AP36" i="35"/>
  <c r="AC36" i="35"/>
  <c r="AC36" i="27" s="1"/>
  <c r="Y36" i="35"/>
  <c r="Y36" i="27" s="1"/>
  <c r="AP35" i="35"/>
  <c r="AC35" i="35"/>
  <c r="AC35" i="27" s="1"/>
  <c r="Y35" i="35"/>
  <c r="Y35" i="27" s="1"/>
  <c r="AP34" i="35"/>
  <c r="AC34" i="35"/>
  <c r="AC34" i="27" s="1"/>
  <c r="Y34" i="35"/>
  <c r="Y34" i="27" s="1"/>
  <c r="AP33" i="35"/>
  <c r="AC33" i="35"/>
  <c r="AC33" i="27" s="1"/>
  <c r="Y33" i="35"/>
  <c r="Y33" i="27" s="1"/>
  <c r="AP32" i="35"/>
  <c r="AC32" i="35"/>
  <c r="AC32" i="27" s="1"/>
  <c r="Y32" i="35"/>
  <c r="Y32" i="27" s="1"/>
  <c r="AP31" i="35"/>
  <c r="AC31" i="35"/>
  <c r="AC31" i="27" s="1"/>
  <c r="Y31" i="35"/>
  <c r="Y31" i="27" s="1"/>
  <c r="AP30" i="35"/>
  <c r="AC30" i="35"/>
  <c r="AC30" i="27" s="1"/>
  <c r="Y30" i="35"/>
  <c r="Y30" i="27" s="1"/>
  <c r="AP29" i="35"/>
  <c r="AC29" i="35"/>
  <c r="AC29" i="27" s="1"/>
  <c r="Y29" i="35"/>
  <c r="Y29" i="27" s="1"/>
  <c r="AP28" i="35"/>
  <c r="AC28" i="35"/>
  <c r="AC28" i="27" s="1"/>
  <c r="Y28" i="35"/>
  <c r="Y28" i="27" s="1"/>
  <c r="AP27" i="35"/>
  <c r="AC27" i="35"/>
  <c r="AC27" i="27" s="1"/>
  <c r="Y27" i="35"/>
  <c r="Y27" i="27" s="1"/>
  <c r="AP26" i="35"/>
  <c r="AC26" i="35"/>
  <c r="AC26" i="27" s="1"/>
  <c r="Y26" i="35"/>
  <c r="Y26" i="27" s="1"/>
  <c r="AP24" i="35"/>
  <c r="AC24" i="35"/>
  <c r="AC24" i="27" s="1"/>
  <c r="Y24" i="35"/>
  <c r="Y24" i="27" s="1"/>
  <c r="AP23" i="35"/>
  <c r="AC23" i="35"/>
  <c r="AC23" i="27" s="1"/>
  <c r="Y23" i="35"/>
  <c r="Y23" i="27" s="1"/>
  <c r="AP22" i="35"/>
  <c r="AC22" i="35"/>
  <c r="AC22" i="27" s="1"/>
  <c r="Y22" i="35"/>
  <c r="Y22" i="27" s="1"/>
  <c r="AP21" i="35"/>
  <c r="AC21" i="35"/>
  <c r="AC21" i="27" s="1"/>
  <c r="Y21" i="35"/>
  <c r="Y21" i="27" s="1"/>
  <c r="W46" i="34"/>
  <c r="U46" i="34"/>
  <c r="S46" i="34"/>
  <c r="O46" i="34"/>
  <c r="N46" i="34"/>
  <c r="M46" i="34"/>
  <c r="U45" i="34"/>
  <c r="T45" i="34"/>
  <c r="S45" i="34"/>
  <c r="O45" i="34"/>
  <c r="N45" i="34"/>
  <c r="M45" i="34"/>
  <c r="W44" i="34"/>
  <c r="U44" i="34"/>
  <c r="T44" i="34"/>
  <c r="S44" i="34"/>
  <c r="O44" i="34"/>
  <c r="N44" i="34"/>
  <c r="M44" i="34"/>
  <c r="W46" i="33"/>
  <c r="U46" i="33"/>
  <c r="S46" i="33"/>
  <c r="O46" i="33"/>
  <c r="N46" i="33"/>
  <c r="M46" i="33"/>
  <c r="U45" i="33"/>
  <c r="T45" i="33"/>
  <c r="S45" i="33"/>
  <c r="O45" i="33"/>
  <c r="N45" i="33"/>
  <c r="M45" i="33"/>
  <c r="W44" i="33"/>
  <c r="U44" i="33"/>
  <c r="U48" i="33" s="1"/>
  <c r="T44" i="33"/>
  <c r="T48" i="33" s="1"/>
  <c r="S44" i="33"/>
  <c r="S48" i="33" s="1"/>
  <c r="O44" i="33"/>
  <c r="O48" i="33" s="1"/>
  <c r="N44" i="33"/>
  <c r="N48" i="33" s="1"/>
  <c r="M44" i="33"/>
  <c r="M48" i="33" s="1"/>
  <c r="X41" i="32"/>
  <c r="X40" i="32"/>
  <c r="X39" i="32"/>
  <c r="X38" i="32"/>
  <c r="X37" i="32"/>
  <c r="X36" i="32"/>
  <c r="X35" i="32"/>
  <c r="X34" i="32"/>
  <c r="X33" i="32"/>
  <c r="X32" i="32"/>
  <c r="X31" i="32"/>
  <c r="X30" i="32"/>
  <c r="X29" i="32"/>
  <c r="X28" i="32"/>
  <c r="X27" i="32"/>
  <c r="X26" i="32"/>
  <c r="X25" i="32"/>
  <c r="X24" i="32"/>
  <c r="X23" i="32"/>
  <c r="X22" i="32"/>
  <c r="X21" i="32"/>
  <c r="X20" i="32"/>
  <c r="X19" i="32"/>
  <c r="X18" i="32"/>
  <c r="X17" i="32"/>
  <c r="X16" i="32"/>
  <c r="X15" i="32"/>
  <c r="X14" i="32"/>
  <c r="X13" i="32"/>
  <c r="X12" i="32"/>
  <c r="X11" i="32"/>
  <c r="X10" i="32"/>
  <c r="X9" i="32"/>
  <c r="X8" i="32"/>
  <c r="X7" i="32"/>
  <c r="X6" i="32"/>
  <c r="X5" i="32"/>
  <c r="W46" i="32"/>
  <c r="U46" i="32"/>
  <c r="S46" i="32"/>
  <c r="O46" i="32"/>
  <c r="N46" i="32"/>
  <c r="M46" i="32"/>
  <c r="U45" i="32"/>
  <c r="T45" i="32"/>
  <c r="S45" i="32"/>
  <c r="O45" i="32"/>
  <c r="N45" i="32"/>
  <c r="M45" i="32"/>
  <c r="W44" i="32"/>
  <c r="U44" i="32"/>
  <c r="U48" i="32" s="1"/>
  <c r="T44" i="32"/>
  <c r="T48" i="32" s="1"/>
  <c r="S44" i="32"/>
  <c r="S48" i="32" s="1"/>
  <c r="O44" i="32"/>
  <c r="O48" i="32" s="1"/>
  <c r="N44" i="32"/>
  <c r="N48" i="32" s="1"/>
  <c r="M44" i="32"/>
  <c r="M48" i="32" s="1"/>
  <c r="W46" i="31"/>
  <c r="W44" i="31"/>
  <c r="U46" i="31"/>
  <c r="U45" i="31"/>
  <c r="U44" i="31"/>
  <c r="T45" i="31"/>
  <c r="T44" i="31"/>
  <c r="S46" i="31"/>
  <c r="S45" i="31"/>
  <c r="S44" i="31"/>
  <c r="Q47" i="31"/>
  <c r="O46" i="31"/>
  <c r="O45" i="31"/>
  <c r="O44" i="31"/>
  <c r="N46" i="31"/>
  <c r="N45" i="31"/>
  <c r="N44" i="31"/>
  <c r="M46" i="31"/>
  <c r="M45" i="31"/>
  <c r="M44" i="31"/>
  <c r="Y41" i="31"/>
  <c r="Y40" i="31"/>
  <c r="Y39" i="31"/>
  <c r="Y38" i="31"/>
  <c r="Y37" i="31"/>
  <c r="Y36" i="31"/>
  <c r="Y35" i="31"/>
  <c r="Y34" i="31"/>
  <c r="Y33" i="31"/>
  <c r="Y32" i="31"/>
  <c r="Y31" i="31"/>
  <c r="Y30" i="31"/>
  <c r="Y29" i="31"/>
  <c r="Y28" i="31"/>
  <c r="Y27" i="31"/>
  <c r="Y26" i="31"/>
  <c r="Y25" i="31"/>
  <c r="Y24" i="31"/>
  <c r="Y23" i="31"/>
  <c r="Y22" i="31"/>
  <c r="Y21" i="31"/>
  <c r="Y20" i="31"/>
  <c r="Y19" i="31"/>
  <c r="Y18" i="31"/>
  <c r="Y17" i="31"/>
  <c r="Y16" i="31"/>
  <c r="Y14" i="31"/>
  <c r="Y13" i="31"/>
  <c r="Y12" i="31"/>
  <c r="Y11" i="31"/>
  <c r="U41" i="31"/>
  <c r="U40" i="31"/>
  <c r="U39" i="31"/>
  <c r="U38" i="31"/>
  <c r="U37" i="31"/>
  <c r="U36" i="31"/>
  <c r="U35" i="31"/>
  <c r="U34" i="31"/>
  <c r="U33" i="31"/>
  <c r="U32" i="31"/>
  <c r="U31" i="31"/>
  <c r="U30" i="31"/>
  <c r="U29" i="31"/>
  <c r="U28" i="31"/>
  <c r="U27" i="31"/>
  <c r="U26" i="31"/>
  <c r="U25" i="31"/>
  <c r="U24" i="31"/>
  <c r="U23" i="31"/>
  <c r="U22" i="31"/>
  <c r="U21" i="31"/>
  <c r="U20" i="31"/>
  <c r="U19" i="31"/>
  <c r="U18" i="31"/>
  <c r="U17" i="31"/>
  <c r="U16" i="31"/>
  <c r="U14" i="31"/>
  <c r="U13" i="31"/>
  <c r="U12" i="31"/>
  <c r="U11" i="31"/>
  <c r="T41" i="31"/>
  <c r="T40" i="31"/>
  <c r="T39" i="31"/>
  <c r="T38" i="31"/>
  <c r="T37" i="31"/>
  <c r="T36" i="31"/>
  <c r="T35" i="31"/>
  <c r="T34" i="31"/>
  <c r="T33" i="31"/>
  <c r="T32" i="31"/>
  <c r="T31" i="31"/>
  <c r="T30" i="31"/>
  <c r="T29" i="31"/>
  <c r="T28" i="31"/>
  <c r="T27" i="31"/>
  <c r="T26" i="31"/>
  <c r="T25" i="31"/>
  <c r="T24" i="31"/>
  <c r="T23" i="31"/>
  <c r="T22" i="31"/>
  <c r="T21" i="31"/>
  <c r="T20" i="31"/>
  <c r="T19" i="31"/>
  <c r="T18" i="31"/>
  <c r="T17" i="31"/>
  <c r="T16" i="31"/>
  <c r="T14" i="31"/>
  <c r="T13" i="31"/>
  <c r="T12" i="31"/>
  <c r="T11" i="31"/>
  <c r="S41" i="31"/>
  <c r="S40" i="31"/>
  <c r="S39" i="31"/>
  <c r="S38" i="31"/>
  <c r="S37" i="31"/>
  <c r="S36" i="31"/>
  <c r="S35" i="31"/>
  <c r="S34" i="31"/>
  <c r="S33" i="31"/>
  <c r="S32" i="31"/>
  <c r="S31" i="31"/>
  <c r="S30" i="31"/>
  <c r="S29" i="31"/>
  <c r="S28" i="31"/>
  <c r="S27" i="31"/>
  <c r="S26" i="31"/>
  <c r="S25" i="31"/>
  <c r="S24" i="31"/>
  <c r="S23" i="31"/>
  <c r="S22" i="31"/>
  <c r="S21" i="31"/>
  <c r="S20" i="31"/>
  <c r="S19" i="31"/>
  <c r="S18" i="31"/>
  <c r="S17" i="31"/>
  <c r="S16" i="31"/>
  <c r="S14" i="31"/>
  <c r="S13" i="31"/>
  <c r="S12" i="31"/>
  <c r="S11" i="31"/>
  <c r="Q41" i="31"/>
  <c r="Q40" i="31"/>
  <c r="Q39" i="31"/>
  <c r="Q38" i="31"/>
  <c r="Q37" i="31"/>
  <c r="Q36" i="31"/>
  <c r="Q35" i="31"/>
  <c r="Q34" i="31"/>
  <c r="Q33" i="31"/>
  <c r="Q32" i="31"/>
  <c r="Q31" i="31"/>
  <c r="Q30" i="31"/>
  <c r="Q29" i="31"/>
  <c r="Q28" i="31"/>
  <c r="Q27" i="31"/>
  <c r="Q26" i="31"/>
  <c r="Q25" i="31"/>
  <c r="Q24" i="31"/>
  <c r="Q23" i="31"/>
  <c r="Q22" i="31"/>
  <c r="Q21" i="31"/>
  <c r="Q20" i="31"/>
  <c r="Q19" i="31"/>
  <c r="Q18" i="31"/>
  <c r="Q17" i="31"/>
  <c r="Q16" i="31"/>
  <c r="Q14" i="31"/>
  <c r="Q13" i="31"/>
  <c r="Q12" i="31"/>
  <c r="Q11" i="31"/>
  <c r="O41" i="31"/>
  <c r="O40" i="31"/>
  <c r="O39" i="31"/>
  <c r="O38" i="31"/>
  <c r="O37" i="31"/>
  <c r="O36" i="31"/>
  <c r="O35" i="31"/>
  <c r="O34" i="31"/>
  <c r="O33" i="31"/>
  <c r="O32" i="31"/>
  <c r="O31" i="31"/>
  <c r="O30" i="31"/>
  <c r="O29" i="31"/>
  <c r="O28" i="31"/>
  <c r="O27" i="31"/>
  <c r="O26" i="31"/>
  <c r="O25" i="31"/>
  <c r="O24" i="31"/>
  <c r="O23" i="31"/>
  <c r="O22" i="31"/>
  <c r="O21" i="31"/>
  <c r="O20" i="31"/>
  <c r="O19" i="31"/>
  <c r="O18" i="31"/>
  <c r="O17" i="31"/>
  <c r="O16" i="31"/>
  <c r="O14" i="31"/>
  <c r="O13" i="31"/>
  <c r="O12" i="31"/>
  <c r="O11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4" i="31"/>
  <c r="N13" i="31"/>
  <c r="N12" i="31"/>
  <c r="N11" i="31"/>
  <c r="M41" i="31"/>
  <c r="M40" i="31"/>
  <c r="M39" i="31"/>
  <c r="M38" i="31"/>
  <c r="M37" i="31"/>
  <c r="M36" i="31"/>
  <c r="M35" i="31"/>
  <c r="M34" i="31"/>
  <c r="M33" i="31"/>
  <c r="M32" i="31"/>
  <c r="M31" i="31"/>
  <c r="M30" i="31"/>
  <c r="M29" i="31"/>
  <c r="M28" i="31"/>
  <c r="M27" i="31"/>
  <c r="M26" i="31"/>
  <c r="M25" i="31"/>
  <c r="M24" i="31"/>
  <c r="M23" i="31"/>
  <c r="M22" i="31"/>
  <c r="M21" i="31"/>
  <c r="M20" i="31"/>
  <c r="M19" i="31"/>
  <c r="M18" i="31"/>
  <c r="M17" i="31"/>
  <c r="M16" i="31"/>
  <c r="M14" i="31"/>
  <c r="M13" i="31"/>
  <c r="M12" i="31"/>
  <c r="M11" i="31"/>
  <c r="L41" i="31"/>
  <c r="L40" i="31"/>
  <c r="L39" i="31"/>
  <c r="L38" i="31"/>
  <c r="L37" i="31"/>
  <c r="L36" i="31"/>
  <c r="L35" i="31"/>
  <c r="L34" i="31"/>
  <c r="L33" i="31"/>
  <c r="L32" i="31"/>
  <c r="L31" i="31"/>
  <c r="L30" i="31"/>
  <c r="L29" i="31"/>
  <c r="L28" i="31"/>
  <c r="L27" i="31"/>
  <c r="L26" i="31"/>
  <c r="L25" i="31"/>
  <c r="L24" i="31"/>
  <c r="L23" i="31"/>
  <c r="L22" i="31"/>
  <c r="L21" i="31"/>
  <c r="L20" i="31"/>
  <c r="L19" i="31"/>
  <c r="L18" i="31"/>
  <c r="L17" i="31"/>
  <c r="L16" i="31"/>
  <c r="L14" i="31"/>
  <c r="L13" i="31"/>
  <c r="L12" i="31"/>
  <c r="L11" i="31"/>
  <c r="AK56" i="30"/>
  <c r="AF56" i="30"/>
  <c r="AP54" i="30" s="1"/>
  <c r="AE56" i="30"/>
  <c r="AO54" i="30" s="1"/>
  <c r="AC56" i="30"/>
  <c r="Y56" i="30"/>
  <c r="X56" i="30"/>
  <c r="W56" i="30"/>
  <c r="S56" i="30"/>
  <c r="R56" i="30"/>
  <c r="Q56" i="30"/>
  <c r="P56" i="30"/>
  <c r="O56" i="30"/>
  <c r="M56" i="30"/>
  <c r="L56" i="30"/>
  <c r="AK55" i="30"/>
  <c r="AF55" i="30"/>
  <c r="AC55" i="30"/>
  <c r="AA55" i="30"/>
  <c r="Z55" i="30"/>
  <c r="Y55" i="30"/>
  <c r="X55" i="30"/>
  <c r="W55" i="30"/>
  <c r="V55" i="30"/>
  <c r="U55" i="30"/>
  <c r="S55" i="30"/>
  <c r="R55" i="30"/>
  <c r="Q55" i="30"/>
  <c r="P55" i="30"/>
  <c r="O55" i="30"/>
  <c r="M55" i="30"/>
  <c r="L55" i="30"/>
  <c r="AL57" i="29"/>
  <c r="AG57" i="29"/>
  <c r="AD57" i="29"/>
  <c r="AB57" i="29"/>
  <c r="T57" i="29"/>
  <c r="AK56" i="29"/>
  <c r="AF56" i="29"/>
  <c r="AE56" i="29"/>
  <c r="AC56" i="29"/>
  <c r="Y56" i="29"/>
  <c r="X56" i="29"/>
  <c r="W56" i="29"/>
  <c r="S56" i="29"/>
  <c r="R56" i="29"/>
  <c r="Q56" i="29"/>
  <c r="P56" i="29"/>
  <c r="O56" i="29"/>
  <c r="M56" i="29"/>
  <c r="L56" i="29"/>
  <c r="AK55" i="29"/>
  <c r="AF55" i="29"/>
  <c r="AP54" i="29" s="1"/>
  <c r="AC55" i="29"/>
  <c r="AA55" i="29"/>
  <c r="Z55" i="29"/>
  <c r="Y55" i="29"/>
  <c r="X55" i="29"/>
  <c r="W55" i="29"/>
  <c r="V55" i="29"/>
  <c r="U55" i="29"/>
  <c r="S55" i="29"/>
  <c r="R55" i="29"/>
  <c r="Q55" i="29"/>
  <c r="P55" i="29"/>
  <c r="O55" i="29"/>
  <c r="M55" i="29"/>
  <c r="L55" i="29"/>
  <c r="AL57" i="28"/>
  <c r="AG57" i="28"/>
  <c r="AD57" i="28"/>
  <c r="AB57" i="28"/>
  <c r="T57" i="28"/>
  <c r="AG51" i="28"/>
  <c r="AA51" i="28"/>
  <c r="Z51" i="28"/>
  <c r="AG50" i="28"/>
  <c r="AA50" i="28"/>
  <c r="Z50" i="28"/>
  <c r="AG49" i="28"/>
  <c r="AA49" i="28"/>
  <c r="Z49" i="28"/>
  <c r="AG48" i="28"/>
  <c r="AA48" i="28"/>
  <c r="Z48" i="28"/>
  <c r="AG47" i="28"/>
  <c r="AA47" i="28"/>
  <c r="Z47" i="28"/>
  <c r="AG46" i="28"/>
  <c r="AA46" i="28"/>
  <c r="Z46" i="28"/>
  <c r="AG45" i="28"/>
  <c r="AA45" i="28"/>
  <c r="Z45" i="28"/>
  <c r="AG44" i="28"/>
  <c r="AA44" i="28"/>
  <c r="Z44" i="28"/>
  <c r="AG43" i="28"/>
  <c r="AA43" i="28"/>
  <c r="Z43" i="28"/>
  <c r="AG42" i="28"/>
  <c r="AA42" i="28"/>
  <c r="Z42" i="28"/>
  <c r="AG41" i="28"/>
  <c r="AA41" i="28"/>
  <c r="Z41" i="28"/>
  <c r="AG40" i="28"/>
  <c r="AA40" i="28"/>
  <c r="Z40" i="28"/>
  <c r="AG39" i="28"/>
  <c r="AA39" i="28"/>
  <c r="Z39" i="28"/>
  <c r="AG38" i="28"/>
  <c r="AA38" i="28"/>
  <c r="Z38" i="28"/>
  <c r="AG37" i="28"/>
  <c r="AA37" i="28"/>
  <c r="Z37" i="28"/>
  <c r="AG36" i="28"/>
  <c r="AA36" i="28"/>
  <c r="Z36" i="28"/>
  <c r="AG35" i="28"/>
  <c r="AA35" i="28"/>
  <c r="Z35" i="28"/>
  <c r="AG34" i="28"/>
  <c r="AA34" i="28"/>
  <c r="Z34" i="28"/>
  <c r="AG33" i="28"/>
  <c r="AA33" i="28"/>
  <c r="Z33" i="28"/>
  <c r="AG32" i="28"/>
  <c r="AA32" i="28"/>
  <c r="Z32" i="28"/>
  <c r="AG31" i="28"/>
  <c r="AA31" i="28"/>
  <c r="Z31" i="28"/>
  <c r="AG30" i="28"/>
  <c r="AA30" i="28"/>
  <c r="Z30" i="28"/>
  <c r="AG29" i="28"/>
  <c r="AA29" i="28"/>
  <c r="Z29" i="28"/>
  <c r="AG28" i="28"/>
  <c r="AA28" i="28"/>
  <c r="Z28" i="28"/>
  <c r="AG27" i="28"/>
  <c r="AA27" i="28"/>
  <c r="Z27" i="28"/>
  <c r="AG26" i="28"/>
  <c r="AA26" i="28"/>
  <c r="Z26" i="28"/>
  <c r="AG25" i="28"/>
  <c r="AA25" i="28"/>
  <c r="Z25" i="28"/>
  <c r="AG24" i="28"/>
  <c r="AA24" i="28"/>
  <c r="Z24" i="28"/>
  <c r="AG23" i="28"/>
  <c r="AA23" i="28"/>
  <c r="Z23" i="28"/>
  <c r="AG22" i="28"/>
  <c r="AA22" i="28"/>
  <c r="Z22" i="28"/>
  <c r="AG21" i="28"/>
  <c r="AA21" i="28"/>
  <c r="Z21" i="28"/>
  <c r="AG20" i="28"/>
  <c r="AA20" i="28"/>
  <c r="AG19" i="28"/>
  <c r="AG18" i="28"/>
  <c r="AA18" i="28"/>
  <c r="Z18" i="28"/>
  <c r="AG17" i="28"/>
  <c r="AA17" i="28"/>
  <c r="Z17" i="28"/>
  <c r="AG16" i="28"/>
  <c r="AA16" i="28"/>
  <c r="AG15" i="28"/>
  <c r="AG14" i="28"/>
  <c r="AA14" i="28"/>
  <c r="Z14" i="28"/>
  <c r="AG13" i="28"/>
  <c r="AA13" i="28"/>
  <c r="Z13" i="28"/>
  <c r="AG12" i="28"/>
  <c r="AA12" i="28"/>
  <c r="AG11" i="28"/>
  <c r="AG10" i="28"/>
  <c r="AA10" i="28"/>
  <c r="Z10" i="28"/>
  <c r="AG9" i="28"/>
  <c r="AA9" i="28"/>
  <c r="Z9" i="28"/>
  <c r="AG8" i="28"/>
  <c r="AA8" i="28"/>
  <c r="AG7" i="28"/>
  <c r="AG6" i="28"/>
  <c r="AA6" i="28"/>
  <c r="Z6" i="28"/>
  <c r="AG5" i="28"/>
  <c r="AA5" i="28"/>
  <c r="Z5" i="28"/>
  <c r="AK56" i="28"/>
  <c r="AF56" i="28"/>
  <c r="AE56" i="28"/>
  <c r="AC56" i="28"/>
  <c r="Y56" i="28"/>
  <c r="X56" i="28"/>
  <c r="W56" i="28"/>
  <c r="S56" i="28"/>
  <c r="R56" i="28"/>
  <c r="Q56" i="28"/>
  <c r="P56" i="28"/>
  <c r="O56" i="28"/>
  <c r="M56" i="28"/>
  <c r="L56" i="28"/>
  <c r="AK55" i="28"/>
  <c r="AF55" i="28"/>
  <c r="AC55" i="28"/>
  <c r="AA55" i="28"/>
  <c r="Z55" i="28"/>
  <c r="Y55" i="28"/>
  <c r="X55" i="28"/>
  <c r="W55" i="28"/>
  <c r="V55" i="28"/>
  <c r="U55" i="28"/>
  <c r="S55" i="28"/>
  <c r="R55" i="28"/>
  <c r="Q55" i="28"/>
  <c r="P55" i="28"/>
  <c r="O55" i="28"/>
  <c r="M55" i="28"/>
  <c r="L55" i="28"/>
  <c r="AP51" i="28"/>
  <c r="AP50" i="28"/>
  <c r="AP49" i="28"/>
  <c r="AP48" i="28"/>
  <c r="AP47" i="28"/>
  <c r="AP46" i="28"/>
  <c r="AP45" i="28"/>
  <c r="AP44" i="28"/>
  <c r="AP43" i="28"/>
  <c r="AP42" i="28"/>
  <c r="AP41" i="28"/>
  <c r="AP40" i="28"/>
  <c r="AP39" i="28"/>
  <c r="AP38" i="28"/>
  <c r="AP37" i="28"/>
  <c r="AP36" i="28"/>
  <c r="AP35" i="28"/>
  <c r="AP34" i="28"/>
  <c r="AP33" i="28"/>
  <c r="AP32" i="28"/>
  <c r="AP31" i="28"/>
  <c r="AP30" i="28"/>
  <c r="AP29" i="28"/>
  <c r="AP28" i="28"/>
  <c r="AP27" i="28"/>
  <c r="AP26" i="28"/>
  <c r="AP24" i="28"/>
  <c r="AP23" i="28"/>
  <c r="AP22" i="28"/>
  <c r="AP21" i="28"/>
  <c r="AA56" i="27"/>
  <c r="Z56" i="27"/>
  <c r="AK58" i="27"/>
  <c r="AK57" i="27"/>
  <c r="AK56" i="27"/>
  <c r="AF58" i="27"/>
  <c r="AF57" i="27"/>
  <c r="AF56" i="27"/>
  <c r="AE58" i="27"/>
  <c r="AE56" i="27"/>
  <c r="AC58" i="27"/>
  <c r="AC57" i="27"/>
  <c r="AC56" i="27"/>
  <c r="AA57" i="27"/>
  <c r="Z57" i="27"/>
  <c r="Y58" i="27"/>
  <c r="Y57" i="27"/>
  <c r="X58" i="27"/>
  <c r="X57" i="27"/>
  <c r="X56" i="27"/>
  <c r="W58" i="27"/>
  <c r="W57" i="27"/>
  <c r="V57" i="27"/>
  <c r="U57" i="27"/>
  <c r="U56" i="27"/>
  <c r="S58" i="27"/>
  <c r="S57" i="27"/>
  <c r="S56" i="27"/>
  <c r="R58" i="27"/>
  <c r="R57" i="27"/>
  <c r="R56" i="27"/>
  <c r="Q58" i="27"/>
  <c r="Q57" i="27"/>
  <c r="Q56" i="27"/>
  <c r="Q54" i="28" s="1"/>
  <c r="P58" i="27"/>
  <c r="P57" i="27"/>
  <c r="P56" i="27"/>
  <c r="O58" i="27"/>
  <c r="O57" i="27"/>
  <c r="O56" i="27"/>
  <c r="M58" i="27"/>
  <c r="M57" i="27"/>
  <c r="M56" i="27"/>
  <c r="L58" i="27"/>
  <c r="L57" i="27"/>
  <c r="L56" i="27"/>
  <c r="L54" i="28" s="1"/>
  <c r="AK16" i="27"/>
  <c r="AK15" i="27"/>
  <c r="AK10" i="27"/>
  <c r="AK9" i="27"/>
  <c r="AK6" i="27"/>
  <c r="AK5" i="27"/>
  <c r="AH51" i="27"/>
  <c r="AH50" i="27"/>
  <c r="AH49" i="27"/>
  <c r="AH48" i="27"/>
  <c r="AH47" i="27"/>
  <c r="AH46" i="27"/>
  <c r="AH45" i="27"/>
  <c r="AH44" i="27"/>
  <c r="AH43" i="27"/>
  <c r="AH42" i="27"/>
  <c r="AH41" i="27"/>
  <c r="AH40" i="27"/>
  <c r="AH39" i="27"/>
  <c r="AH38" i="27"/>
  <c r="AH37" i="27"/>
  <c r="AH36" i="27"/>
  <c r="AH35" i="27"/>
  <c r="AH34" i="27"/>
  <c r="AH33" i="27"/>
  <c r="AH32" i="27"/>
  <c r="AH31" i="27"/>
  <c r="AH30" i="27"/>
  <c r="AH29" i="27"/>
  <c r="AH28" i="27"/>
  <c r="AH27" i="27"/>
  <c r="AH26" i="27"/>
  <c r="AH24" i="27"/>
  <c r="AH23" i="27"/>
  <c r="AH22" i="27"/>
  <c r="AH21" i="27"/>
  <c r="S51" i="27"/>
  <c r="S50" i="27"/>
  <c r="S49" i="27"/>
  <c r="S48" i="27"/>
  <c r="S47" i="27"/>
  <c r="S46" i="27"/>
  <c r="S45" i="27"/>
  <c r="S44" i="27"/>
  <c r="S43" i="27"/>
  <c r="S42" i="27"/>
  <c r="S41" i="27"/>
  <c r="S40" i="27"/>
  <c r="S39" i="27"/>
  <c r="S38" i="27"/>
  <c r="S37" i="27"/>
  <c r="S36" i="27"/>
  <c r="S35" i="27"/>
  <c r="S34" i="27"/>
  <c r="S33" i="27"/>
  <c r="S32" i="27"/>
  <c r="S31" i="27"/>
  <c r="S30" i="27"/>
  <c r="S29" i="27"/>
  <c r="S28" i="27"/>
  <c r="S27" i="27"/>
  <c r="S26" i="27"/>
  <c r="S24" i="27"/>
  <c r="S23" i="27"/>
  <c r="S22" i="27"/>
  <c r="S21" i="27"/>
  <c r="R51" i="27"/>
  <c r="R50" i="27"/>
  <c r="R49" i="27"/>
  <c r="R48" i="27"/>
  <c r="R47" i="27"/>
  <c r="R46" i="27"/>
  <c r="R45" i="27"/>
  <c r="R44" i="27"/>
  <c r="R43" i="27"/>
  <c r="R42" i="27"/>
  <c r="R41" i="27"/>
  <c r="R40" i="27"/>
  <c r="R39" i="27"/>
  <c r="R38" i="27"/>
  <c r="R37" i="27"/>
  <c r="R36" i="27"/>
  <c r="R35" i="27"/>
  <c r="R34" i="27"/>
  <c r="R33" i="27"/>
  <c r="R32" i="27"/>
  <c r="R31" i="27"/>
  <c r="R30" i="27"/>
  <c r="Q51" i="27"/>
  <c r="Q50" i="27"/>
  <c r="Q49" i="27"/>
  <c r="Q48" i="27"/>
  <c r="Q47" i="27"/>
  <c r="Q46" i="27"/>
  <c r="Q45" i="27"/>
  <c r="Q44" i="27"/>
  <c r="Q43" i="27"/>
  <c r="Q42" i="27"/>
  <c r="Q41" i="27"/>
  <c r="Q40" i="27"/>
  <c r="Q39" i="27"/>
  <c r="Q38" i="27"/>
  <c r="Q37" i="27"/>
  <c r="Q36" i="27"/>
  <c r="Q35" i="27"/>
  <c r="Q34" i="27"/>
  <c r="Q33" i="27"/>
  <c r="Q32" i="27"/>
  <c r="Q31" i="27"/>
  <c r="Q30" i="27"/>
  <c r="Q25" i="27"/>
  <c r="Q20" i="27"/>
  <c r="Q19" i="27"/>
  <c r="Q18" i="27"/>
  <c r="Q17" i="27"/>
  <c r="Q12" i="27"/>
  <c r="Q11" i="27"/>
  <c r="Q7" i="27"/>
  <c r="P51" i="27"/>
  <c r="P50" i="27"/>
  <c r="P49" i="27"/>
  <c r="P48" i="27"/>
  <c r="P47" i="27"/>
  <c r="P46" i="27"/>
  <c r="P45" i="27"/>
  <c r="P44" i="27"/>
  <c r="P43" i="27"/>
  <c r="P42" i="27"/>
  <c r="P41" i="27"/>
  <c r="P40" i="27"/>
  <c r="P39" i="27"/>
  <c r="P38" i="27"/>
  <c r="P37" i="27"/>
  <c r="P36" i="27"/>
  <c r="P35" i="27"/>
  <c r="P34" i="27"/>
  <c r="P33" i="27"/>
  <c r="P32" i="27"/>
  <c r="P31" i="27"/>
  <c r="P30" i="27"/>
  <c r="O51" i="27"/>
  <c r="O50" i="27"/>
  <c r="O49" i="27"/>
  <c r="O48" i="27"/>
  <c r="O47" i="27"/>
  <c r="O46" i="27"/>
  <c r="O45" i="27"/>
  <c r="O44" i="27"/>
  <c r="O43" i="27"/>
  <c r="O42" i="27"/>
  <c r="O41" i="27"/>
  <c r="O40" i="27"/>
  <c r="O39" i="27"/>
  <c r="O38" i="27"/>
  <c r="O37" i="27"/>
  <c r="O36" i="27"/>
  <c r="O35" i="27"/>
  <c r="O34" i="27"/>
  <c r="O33" i="27"/>
  <c r="O32" i="27"/>
  <c r="O31" i="27"/>
  <c r="O30" i="27"/>
  <c r="O29" i="27"/>
  <c r="O28" i="27"/>
  <c r="O27" i="27"/>
  <c r="O26" i="27"/>
  <c r="O24" i="27"/>
  <c r="O23" i="27"/>
  <c r="O22" i="27"/>
  <c r="O21" i="27"/>
  <c r="AP51" i="27"/>
  <c r="AP50" i="27"/>
  <c r="AP49" i="27"/>
  <c r="AP48" i="27"/>
  <c r="AP47" i="27"/>
  <c r="AP46" i="27"/>
  <c r="AP45" i="27"/>
  <c r="AP44" i="27"/>
  <c r="AP43" i="27"/>
  <c r="AP42" i="27"/>
  <c r="AP41" i="27"/>
  <c r="AP40" i="27"/>
  <c r="AP39" i="27"/>
  <c r="AP38" i="27"/>
  <c r="AP37" i="27"/>
  <c r="AP36" i="27"/>
  <c r="AP35" i="27"/>
  <c r="AP34" i="27"/>
  <c r="AP33" i="27"/>
  <c r="AP32" i="27"/>
  <c r="AP31" i="27"/>
  <c r="AP30" i="27"/>
  <c r="AP29" i="27"/>
  <c r="AP28" i="27"/>
  <c r="AP27" i="27"/>
  <c r="AP26" i="27"/>
  <c r="AP24" i="27"/>
  <c r="AP23" i="27"/>
  <c r="AP22" i="27"/>
  <c r="AP21" i="27"/>
  <c r="L51" i="27"/>
  <c r="L50" i="27"/>
  <c r="L49" i="27"/>
  <c r="L48" i="27"/>
  <c r="L47" i="27"/>
  <c r="L46" i="27"/>
  <c r="L45" i="27"/>
  <c r="L44" i="27"/>
  <c r="L43" i="27"/>
  <c r="L42" i="27"/>
  <c r="L41" i="27"/>
  <c r="L40" i="27"/>
  <c r="L39" i="27"/>
  <c r="L38" i="27"/>
  <c r="L37" i="27"/>
  <c r="L36" i="27"/>
  <c r="L35" i="27"/>
  <c r="L34" i="27"/>
  <c r="L33" i="27"/>
  <c r="L32" i="27"/>
  <c r="L31" i="27"/>
  <c r="L30" i="27"/>
  <c r="L25" i="27"/>
  <c r="L20" i="27"/>
  <c r="L19" i="27"/>
  <c r="L18" i="27"/>
  <c r="L17" i="27"/>
  <c r="L12" i="27"/>
  <c r="L11" i="27"/>
  <c r="L7" i="27"/>
  <c r="AJ56" i="27"/>
  <c r="AI57" i="27"/>
  <c r="AI56" i="27"/>
  <c r="AH56" i="27"/>
  <c r="D18" i="5"/>
  <c r="AB56" i="27" s="1"/>
  <c r="F40" i="5"/>
  <c r="U58" i="27"/>
  <c r="F44" i="5"/>
  <c r="E44" i="5"/>
  <c r="D44" i="5"/>
  <c r="F42" i="5"/>
  <c r="D42" i="5"/>
  <c r="E40" i="5"/>
  <c r="D40" i="5"/>
  <c r="F23" i="5"/>
  <c r="D23" i="5"/>
  <c r="AG56" i="27" s="1"/>
  <c r="F20" i="5"/>
  <c r="E20" i="5"/>
  <c r="D20" i="5"/>
  <c r="AD56" i="27" s="1"/>
  <c r="E18" i="5"/>
  <c r="AB57" i="27" s="1"/>
  <c r="T38" i="4"/>
  <c r="S38" i="4"/>
  <c r="R38" i="4"/>
  <c r="Q38" i="4"/>
  <c r="P38" i="4"/>
  <c r="O38" i="4"/>
  <c r="N38" i="4"/>
  <c r="M38" i="4"/>
  <c r="L38" i="4"/>
  <c r="K38" i="4"/>
  <c r="J38" i="4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T33" i="4"/>
  <c r="S33" i="4"/>
  <c r="R33" i="4"/>
  <c r="Q33" i="4"/>
  <c r="P33" i="4"/>
  <c r="O33" i="4"/>
  <c r="N33" i="4"/>
  <c r="M33" i="4"/>
  <c r="L33" i="4"/>
  <c r="K33" i="4"/>
  <c r="J33" i="4"/>
  <c r="I33" i="4"/>
  <c r="T32" i="4"/>
  <c r="S32" i="4"/>
  <c r="R32" i="4"/>
  <c r="Q32" i="4"/>
  <c r="P32" i="4"/>
  <c r="O32" i="4"/>
  <c r="N32" i="4"/>
  <c r="M32" i="4"/>
  <c r="L32" i="4"/>
  <c r="K32" i="4"/>
  <c r="J32" i="4"/>
  <c r="I32" i="4"/>
  <c r="T31" i="4"/>
  <c r="S31" i="4"/>
  <c r="R31" i="4"/>
  <c r="Q31" i="4"/>
  <c r="P31" i="4"/>
  <c r="O31" i="4"/>
  <c r="N31" i="4"/>
  <c r="M31" i="4"/>
  <c r="L31" i="4"/>
  <c r="K31" i="4"/>
  <c r="J31" i="4"/>
  <c r="I31" i="4"/>
  <c r="T30" i="4"/>
  <c r="S30" i="4"/>
  <c r="R30" i="4"/>
  <c r="Q30" i="4"/>
  <c r="P30" i="4"/>
  <c r="O30" i="4"/>
  <c r="N30" i="4"/>
  <c r="M30" i="4"/>
  <c r="L30" i="4"/>
  <c r="K30" i="4"/>
  <c r="J30" i="4"/>
  <c r="I30" i="4"/>
  <c r="T29" i="4"/>
  <c r="S29" i="4"/>
  <c r="R29" i="4"/>
  <c r="Q29" i="4"/>
  <c r="P29" i="4"/>
  <c r="O29" i="4"/>
  <c r="N29" i="4"/>
  <c r="M29" i="4"/>
  <c r="L29" i="4"/>
  <c r="K29" i="4"/>
  <c r="J29" i="4"/>
  <c r="I29" i="4"/>
  <c r="T28" i="4"/>
  <c r="S28" i="4"/>
  <c r="R28" i="4"/>
  <c r="Q28" i="4"/>
  <c r="P28" i="4"/>
  <c r="O28" i="4"/>
  <c r="N28" i="4"/>
  <c r="M28" i="4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T24" i="4"/>
  <c r="S24" i="4"/>
  <c r="R24" i="4"/>
  <c r="Q24" i="4"/>
  <c r="P24" i="4"/>
  <c r="O24" i="4"/>
  <c r="N24" i="4"/>
  <c r="M24" i="4"/>
  <c r="L24" i="4"/>
  <c r="K24" i="4"/>
  <c r="J24" i="4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T22" i="4"/>
  <c r="S22" i="4"/>
  <c r="R22" i="4"/>
  <c r="Q22" i="4"/>
  <c r="P22" i="4"/>
  <c r="O22" i="4"/>
  <c r="N22" i="4"/>
  <c r="M22" i="4"/>
  <c r="L22" i="4"/>
  <c r="K22" i="4"/>
  <c r="J22" i="4"/>
  <c r="I22" i="4"/>
  <c r="T21" i="4"/>
  <c r="S21" i="4"/>
  <c r="R21" i="4"/>
  <c r="Q21" i="4"/>
  <c r="P21" i="4"/>
  <c r="O21" i="4"/>
  <c r="N21" i="4"/>
  <c r="M21" i="4"/>
  <c r="L21" i="4"/>
  <c r="K21" i="4"/>
  <c r="J21" i="4"/>
  <c r="I21" i="4"/>
  <c r="T20" i="4"/>
  <c r="S20" i="4"/>
  <c r="R20" i="4"/>
  <c r="Q20" i="4"/>
  <c r="P20" i="4"/>
  <c r="O20" i="4"/>
  <c r="N20" i="4"/>
  <c r="M20" i="4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T16" i="4"/>
  <c r="S16" i="4"/>
  <c r="R16" i="4"/>
  <c r="Q16" i="4"/>
  <c r="P16" i="4"/>
  <c r="O16" i="4"/>
  <c r="N16" i="4"/>
  <c r="M16" i="4"/>
  <c r="L16" i="4"/>
  <c r="K16" i="4"/>
  <c r="J16" i="4"/>
  <c r="I16" i="4"/>
  <c r="T15" i="4"/>
  <c r="S15" i="4"/>
  <c r="R15" i="4"/>
  <c r="Q15" i="4"/>
  <c r="P15" i="4"/>
  <c r="O15" i="4"/>
  <c r="N15" i="4"/>
  <c r="M15" i="4"/>
  <c r="L15" i="4"/>
  <c r="K15" i="4"/>
  <c r="J15" i="4"/>
  <c r="I15" i="4"/>
  <c r="T14" i="4"/>
  <c r="S14" i="4"/>
  <c r="R14" i="4"/>
  <c r="Q14" i="4"/>
  <c r="P14" i="4"/>
  <c r="O14" i="4"/>
  <c r="N14" i="4"/>
  <c r="M14" i="4"/>
  <c r="L14" i="4"/>
  <c r="K14" i="4"/>
  <c r="J14" i="4"/>
  <c r="I14" i="4"/>
  <c r="T13" i="4"/>
  <c r="S13" i="4"/>
  <c r="R13" i="4"/>
  <c r="Q13" i="4"/>
  <c r="P13" i="4"/>
  <c r="O13" i="4"/>
  <c r="N13" i="4"/>
  <c r="M13" i="4"/>
  <c r="L13" i="4"/>
  <c r="K13" i="4"/>
  <c r="J13" i="4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T9" i="4"/>
  <c r="S9" i="4"/>
  <c r="R9" i="4"/>
  <c r="Q9" i="4"/>
  <c r="P9" i="4"/>
  <c r="O9" i="4"/>
  <c r="N9" i="4"/>
  <c r="M9" i="4"/>
  <c r="L9" i="4"/>
  <c r="K9" i="4"/>
  <c r="J9" i="4"/>
  <c r="I9" i="4"/>
  <c r="T8" i="4"/>
  <c r="S8" i="4"/>
  <c r="R8" i="4"/>
  <c r="Q8" i="4"/>
  <c r="P8" i="4"/>
  <c r="O8" i="4"/>
  <c r="N8" i="4"/>
  <c r="M8" i="4"/>
  <c r="L8" i="4"/>
  <c r="K8" i="4"/>
  <c r="J8" i="4"/>
  <c r="I8" i="4"/>
  <c r="T7" i="4"/>
  <c r="S7" i="4"/>
  <c r="R7" i="4"/>
  <c r="Q7" i="4"/>
  <c r="P7" i="4"/>
  <c r="O7" i="4"/>
  <c r="N7" i="4"/>
  <c r="M7" i="4"/>
  <c r="L7" i="4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I5" i="4"/>
  <c r="T4" i="4"/>
  <c r="S4" i="4"/>
  <c r="R4" i="4"/>
  <c r="Q4" i="4"/>
  <c r="P4" i="4"/>
  <c r="O4" i="4"/>
  <c r="N4" i="4"/>
  <c r="M4" i="4"/>
  <c r="L4" i="4"/>
  <c r="K4" i="4"/>
  <c r="J4" i="4"/>
  <c r="I4" i="4"/>
  <c r="T3" i="4"/>
  <c r="S3" i="4"/>
  <c r="R3" i="4"/>
  <c r="Q3" i="4"/>
  <c r="P3" i="4"/>
  <c r="O3" i="4"/>
  <c r="N3" i="4"/>
  <c r="M3" i="4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I2" i="4"/>
  <c r="T48" i="3"/>
  <c r="S48" i="3"/>
  <c r="R48" i="3"/>
  <c r="Q48" i="3"/>
  <c r="P48" i="3"/>
  <c r="O48" i="3"/>
  <c r="N48" i="3"/>
  <c r="M48" i="3"/>
  <c r="L48" i="3"/>
  <c r="K48" i="3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T46" i="3"/>
  <c r="S46" i="3"/>
  <c r="R46" i="3"/>
  <c r="Q46" i="3"/>
  <c r="P46" i="3"/>
  <c r="O46" i="3"/>
  <c r="N46" i="3"/>
  <c r="M46" i="3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T44" i="3"/>
  <c r="S44" i="3"/>
  <c r="R44" i="3"/>
  <c r="Q44" i="3"/>
  <c r="P44" i="3"/>
  <c r="O44" i="3"/>
  <c r="N44" i="3"/>
  <c r="M44" i="3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T42" i="3"/>
  <c r="S42" i="3"/>
  <c r="R42" i="3"/>
  <c r="Q42" i="3"/>
  <c r="P42" i="3"/>
  <c r="O42" i="3"/>
  <c r="N42" i="3"/>
  <c r="M42" i="3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T40" i="3"/>
  <c r="S40" i="3"/>
  <c r="R40" i="3"/>
  <c r="Q40" i="3"/>
  <c r="P40" i="3"/>
  <c r="O40" i="3"/>
  <c r="N40" i="3"/>
  <c r="M40" i="3"/>
  <c r="L40" i="3"/>
  <c r="K40" i="3"/>
  <c r="J40" i="3"/>
  <c r="I40" i="3"/>
  <c r="T39" i="3"/>
  <c r="S39" i="3"/>
  <c r="R39" i="3"/>
  <c r="Q39" i="3"/>
  <c r="P39" i="3"/>
  <c r="O39" i="3"/>
  <c r="N39" i="3"/>
  <c r="M39" i="3"/>
  <c r="L39" i="3"/>
  <c r="K39" i="3"/>
  <c r="J39" i="3"/>
  <c r="I39" i="3"/>
  <c r="T38" i="3"/>
  <c r="S38" i="3"/>
  <c r="R38" i="3"/>
  <c r="Q38" i="3"/>
  <c r="P38" i="3"/>
  <c r="O38" i="3"/>
  <c r="N38" i="3"/>
  <c r="M38" i="3"/>
  <c r="L38" i="3"/>
  <c r="K38" i="3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I37" i="3"/>
  <c r="T36" i="3"/>
  <c r="S36" i="3"/>
  <c r="R36" i="3"/>
  <c r="Q36" i="3"/>
  <c r="P36" i="3"/>
  <c r="O36" i="3"/>
  <c r="N36" i="3"/>
  <c r="M36" i="3"/>
  <c r="L36" i="3"/>
  <c r="K36" i="3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T34" i="3"/>
  <c r="S34" i="3"/>
  <c r="R34" i="3"/>
  <c r="Q34" i="3"/>
  <c r="P34" i="3"/>
  <c r="O34" i="3"/>
  <c r="N34" i="3"/>
  <c r="M34" i="3"/>
  <c r="L34" i="3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T31" i="3"/>
  <c r="S31" i="3"/>
  <c r="R31" i="3"/>
  <c r="Q31" i="3"/>
  <c r="P31" i="3"/>
  <c r="O31" i="3"/>
  <c r="N31" i="3"/>
  <c r="M31" i="3"/>
  <c r="L31" i="3"/>
  <c r="K31" i="3"/>
  <c r="J31" i="3"/>
  <c r="I31" i="3"/>
  <c r="T30" i="3"/>
  <c r="S30" i="3"/>
  <c r="R30" i="3"/>
  <c r="Q30" i="3"/>
  <c r="P30" i="3"/>
  <c r="O30" i="3"/>
  <c r="N30" i="3"/>
  <c r="M30" i="3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T28" i="3"/>
  <c r="S28" i="3"/>
  <c r="R28" i="3"/>
  <c r="Q28" i="3"/>
  <c r="P28" i="3"/>
  <c r="O28" i="3"/>
  <c r="N28" i="3"/>
  <c r="M28" i="3"/>
  <c r="L28" i="3"/>
  <c r="K28" i="3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T26" i="3"/>
  <c r="S26" i="3"/>
  <c r="R26" i="3"/>
  <c r="Q26" i="3"/>
  <c r="P26" i="3"/>
  <c r="O26" i="3"/>
  <c r="N26" i="3"/>
  <c r="M26" i="3"/>
  <c r="L26" i="3"/>
  <c r="K26" i="3"/>
  <c r="J26" i="3"/>
  <c r="I26" i="3"/>
  <c r="T25" i="3"/>
  <c r="S25" i="3"/>
  <c r="R25" i="3"/>
  <c r="Q25" i="3"/>
  <c r="P25" i="3"/>
  <c r="O25" i="3"/>
  <c r="N25" i="3"/>
  <c r="M25" i="3"/>
  <c r="L25" i="3"/>
  <c r="K25" i="3"/>
  <c r="J25" i="3"/>
  <c r="I25" i="3"/>
  <c r="T24" i="3"/>
  <c r="S24" i="3"/>
  <c r="R24" i="3"/>
  <c r="Q24" i="3"/>
  <c r="P24" i="3"/>
  <c r="O24" i="3"/>
  <c r="N24" i="3"/>
  <c r="M24" i="3"/>
  <c r="L24" i="3"/>
  <c r="K24" i="3"/>
  <c r="J24" i="3"/>
  <c r="I24" i="3"/>
  <c r="T23" i="3"/>
  <c r="S23" i="3"/>
  <c r="R23" i="3"/>
  <c r="Q23" i="3"/>
  <c r="P23" i="3"/>
  <c r="O23" i="3"/>
  <c r="N23" i="3"/>
  <c r="M23" i="3"/>
  <c r="L23" i="3"/>
  <c r="K23" i="3"/>
  <c r="J23" i="3"/>
  <c r="I23" i="3"/>
  <c r="T22" i="3"/>
  <c r="S22" i="3"/>
  <c r="R22" i="3"/>
  <c r="Q22" i="3"/>
  <c r="P22" i="3"/>
  <c r="O22" i="3"/>
  <c r="N22" i="3"/>
  <c r="M22" i="3"/>
  <c r="L22" i="3"/>
  <c r="K22" i="3"/>
  <c r="J22" i="3"/>
  <c r="I22" i="3"/>
  <c r="T21" i="3"/>
  <c r="S21" i="3"/>
  <c r="R21" i="3"/>
  <c r="Q21" i="3"/>
  <c r="P21" i="3"/>
  <c r="O21" i="3"/>
  <c r="N21" i="3"/>
  <c r="M21" i="3"/>
  <c r="L21" i="3"/>
  <c r="K21" i="3"/>
  <c r="J21" i="3"/>
  <c r="I21" i="3"/>
  <c r="T20" i="3"/>
  <c r="S20" i="3"/>
  <c r="R20" i="3"/>
  <c r="Q20" i="3"/>
  <c r="P20" i="3"/>
  <c r="O20" i="3"/>
  <c r="N20" i="3"/>
  <c r="M20" i="3"/>
  <c r="L20" i="3"/>
  <c r="K20" i="3"/>
  <c r="J20" i="3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T18" i="3"/>
  <c r="S18" i="3"/>
  <c r="R18" i="3"/>
  <c r="Q18" i="3"/>
  <c r="P18" i="3"/>
  <c r="O18" i="3"/>
  <c r="N18" i="3"/>
  <c r="M18" i="3"/>
  <c r="L18" i="3"/>
  <c r="K18" i="3"/>
  <c r="J18" i="3"/>
  <c r="I18" i="3"/>
  <c r="T17" i="3"/>
  <c r="S17" i="3"/>
  <c r="R17" i="3"/>
  <c r="Q17" i="3"/>
  <c r="P17" i="3"/>
  <c r="O17" i="3"/>
  <c r="N17" i="3"/>
  <c r="M17" i="3"/>
  <c r="L17" i="3"/>
  <c r="K17" i="3"/>
  <c r="J17" i="3"/>
  <c r="I17" i="3"/>
  <c r="T16" i="3"/>
  <c r="S16" i="3"/>
  <c r="R16" i="3"/>
  <c r="Q16" i="3"/>
  <c r="P16" i="3"/>
  <c r="O16" i="3"/>
  <c r="N16" i="3"/>
  <c r="M16" i="3"/>
  <c r="L16" i="3"/>
  <c r="K16" i="3"/>
  <c r="J16" i="3"/>
  <c r="I16" i="3"/>
  <c r="T15" i="3"/>
  <c r="S15" i="3"/>
  <c r="R15" i="3"/>
  <c r="Q15" i="3"/>
  <c r="P15" i="3"/>
  <c r="O15" i="3"/>
  <c r="N15" i="3"/>
  <c r="M15" i="3"/>
  <c r="L15" i="3"/>
  <c r="K15" i="3"/>
  <c r="J15" i="3"/>
  <c r="I15" i="3"/>
  <c r="T14" i="3"/>
  <c r="S14" i="3"/>
  <c r="R14" i="3"/>
  <c r="Q14" i="3"/>
  <c r="P14" i="3"/>
  <c r="O14" i="3"/>
  <c r="N14" i="3"/>
  <c r="M14" i="3"/>
  <c r="L14" i="3"/>
  <c r="K14" i="3"/>
  <c r="J14" i="3"/>
  <c r="I14" i="3"/>
  <c r="T13" i="3"/>
  <c r="S13" i="3"/>
  <c r="R13" i="3"/>
  <c r="Q13" i="3"/>
  <c r="P13" i="3"/>
  <c r="O13" i="3"/>
  <c r="N13" i="3"/>
  <c r="M13" i="3"/>
  <c r="L13" i="3"/>
  <c r="K13" i="3"/>
  <c r="J13" i="3"/>
  <c r="I13" i="3"/>
  <c r="T12" i="3"/>
  <c r="S12" i="3"/>
  <c r="R12" i="3"/>
  <c r="Q12" i="3"/>
  <c r="P12" i="3"/>
  <c r="O12" i="3"/>
  <c r="N12" i="3"/>
  <c r="M12" i="3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T10" i="3"/>
  <c r="S10" i="3"/>
  <c r="R10" i="3"/>
  <c r="Q10" i="3"/>
  <c r="P10" i="3"/>
  <c r="O10" i="3"/>
  <c r="N10" i="3"/>
  <c r="M10" i="3"/>
  <c r="L10" i="3"/>
  <c r="K10" i="3"/>
  <c r="J10" i="3"/>
  <c r="I10" i="3"/>
  <c r="T9" i="3"/>
  <c r="S9" i="3"/>
  <c r="R9" i="3"/>
  <c r="Q9" i="3"/>
  <c r="P9" i="3"/>
  <c r="O9" i="3"/>
  <c r="N9" i="3"/>
  <c r="M9" i="3"/>
  <c r="L9" i="3"/>
  <c r="K9" i="3"/>
  <c r="J9" i="3"/>
  <c r="I9" i="3"/>
  <c r="T8" i="3"/>
  <c r="S8" i="3"/>
  <c r="R8" i="3"/>
  <c r="Q8" i="3"/>
  <c r="P8" i="3"/>
  <c r="O8" i="3"/>
  <c r="N8" i="3"/>
  <c r="M8" i="3"/>
  <c r="L8" i="3"/>
  <c r="K8" i="3"/>
  <c r="J8" i="3"/>
  <c r="I8" i="3"/>
  <c r="T7" i="3"/>
  <c r="S7" i="3"/>
  <c r="R7" i="3"/>
  <c r="Q7" i="3"/>
  <c r="P7" i="3"/>
  <c r="O7" i="3"/>
  <c r="N7" i="3"/>
  <c r="M7" i="3"/>
  <c r="L7" i="3"/>
  <c r="K7" i="3"/>
  <c r="J7" i="3"/>
  <c r="I7" i="3"/>
  <c r="T6" i="3"/>
  <c r="S6" i="3"/>
  <c r="R6" i="3"/>
  <c r="Q6" i="3"/>
  <c r="P6" i="3"/>
  <c r="O6" i="3"/>
  <c r="N6" i="3"/>
  <c r="M6" i="3"/>
  <c r="L6" i="3"/>
  <c r="K6" i="3"/>
  <c r="J6" i="3"/>
  <c r="I6" i="3"/>
  <c r="T5" i="3"/>
  <c r="S5" i="3"/>
  <c r="R5" i="3"/>
  <c r="Q5" i="3"/>
  <c r="P5" i="3"/>
  <c r="O5" i="3"/>
  <c r="N5" i="3"/>
  <c r="M5" i="3"/>
  <c r="L5" i="3"/>
  <c r="K5" i="3"/>
  <c r="J5" i="3"/>
  <c r="I5" i="3"/>
  <c r="T4" i="3"/>
  <c r="S4" i="3"/>
  <c r="R4" i="3"/>
  <c r="Q4" i="3"/>
  <c r="P4" i="3"/>
  <c r="O4" i="3"/>
  <c r="N4" i="3"/>
  <c r="M4" i="3"/>
  <c r="L4" i="3"/>
  <c r="K4" i="3"/>
  <c r="J4" i="3"/>
  <c r="I4" i="3"/>
  <c r="T3" i="3"/>
  <c r="S3" i="3"/>
  <c r="R3" i="3"/>
  <c r="Q3" i="3"/>
  <c r="P3" i="3"/>
  <c r="O3" i="3"/>
  <c r="N3" i="3"/>
  <c r="M3" i="3"/>
  <c r="L3" i="3"/>
  <c r="K3" i="3"/>
  <c r="J3" i="3"/>
  <c r="I3" i="3"/>
  <c r="T2" i="3"/>
  <c r="S2" i="3"/>
  <c r="R2" i="3"/>
  <c r="Q2" i="3"/>
  <c r="P2" i="3"/>
  <c r="O2" i="3"/>
  <c r="N2" i="3"/>
  <c r="M2" i="3"/>
  <c r="L2" i="3"/>
  <c r="K2" i="3"/>
  <c r="J2" i="3"/>
  <c r="I2" i="3"/>
  <c r="H1" i="2"/>
  <c r="U2" i="3" l="1"/>
  <c r="U4" i="3"/>
  <c r="AO3" i="37"/>
  <c r="U6" i="3"/>
  <c r="U8" i="3"/>
  <c r="U10" i="3"/>
  <c r="U12" i="3"/>
  <c r="U14" i="3"/>
  <c r="U16" i="3"/>
  <c r="U18" i="3"/>
  <c r="U20" i="3"/>
  <c r="I23" i="43" s="1"/>
  <c r="U22" i="3"/>
  <c r="U24" i="3"/>
  <c r="U26" i="3"/>
  <c r="U28" i="3"/>
  <c r="U30" i="3"/>
  <c r="U32" i="3"/>
  <c r="U34" i="3"/>
  <c r="U36" i="3"/>
  <c r="U38" i="3"/>
  <c r="I41" i="43" s="1"/>
  <c r="U40" i="3"/>
  <c r="U42" i="3"/>
  <c r="U44" i="3"/>
  <c r="U46" i="3"/>
  <c r="U48" i="3"/>
  <c r="U3" i="4"/>
  <c r="U5" i="4"/>
  <c r="U7" i="4"/>
  <c r="U9" i="4"/>
  <c r="U11" i="4"/>
  <c r="U13" i="4"/>
  <c r="U15" i="4"/>
  <c r="U17" i="4"/>
  <c r="U19" i="4"/>
  <c r="U21" i="4"/>
  <c r="U23" i="4"/>
  <c r="U25" i="4"/>
  <c r="U27" i="4"/>
  <c r="U29" i="4"/>
  <c r="U31" i="4"/>
  <c r="U33" i="4"/>
  <c r="U35" i="4"/>
  <c r="U37" i="4"/>
  <c r="I40" i="44" s="1"/>
  <c r="AA12" i="41"/>
  <c r="AC183" i="38"/>
  <c r="AC353" i="38"/>
  <c r="AC173" i="38"/>
  <c r="AC176" i="38"/>
  <c r="AI4" i="41"/>
  <c r="AA11" i="41"/>
  <c r="AC129" i="38"/>
  <c r="AC133" i="38"/>
  <c r="AC161" i="38"/>
  <c r="AC165" i="38"/>
  <c r="AC169" i="38"/>
  <c r="AC110" i="38"/>
  <c r="AC146" i="38"/>
  <c r="AC159" i="38"/>
  <c r="AC174" i="38"/>
  <c r="U3" i="3"/>
  <c r="I6" i="43" s="1"/>
  <c r="U5" i="3"/>
  <c r="U7" i="3"/>
  <c r="U9" i="3"/>
  <c r="U11" i="3"/>
  <c r="U13" i="3"/>
  <c r="I16" i="29" s="1"/>
  <c r="U15" i="3"/>
  <c r="U17" i="3"/>
  <c r="U19" i="3"/>
  <c r="U21" i="3"/>
  <c r="U23" i="3"/>
  <c r="U25" i="3"/>
  <c r="U27" i="3"/>
  <c r="U29" i="3"/>
  <c r="I32" i="28" s="1"/>
  <c r="U31" i="3"/>
  <c r="U33" i="3"/>
  <c r="I36" i="28" s="1"/>
  <c r="U35" i="3"/>
  <c r="I38" i="43" s="1"/>
  <c r="U37" i="3"/>
  <c r="U39" i="3"/>
  <c r="U41" i="3"/>
  <c r="U43" i="3"/>
  <c r="U45" i="3"/>
  <c r="U47" i="3"/>
  <c r="I50" i="30" s="1"/>
  <c r="U2" i="4"/>
  <c r="I5" i="44" s="1"/>
  <c r="U4" i="4"/>
  <c r="I7" i="31" s="1"/>
  <c r="U6" i="4"/>
  <c r="U8" i="4"/>
  <c r="U10" i="4"/>
  <c r="U12" i="4"/>
  <c r="U14" i="4"/>
  <c r="U16" i="4"/>
  <c r="U18" i="4"/>
  <c r="I21" i="33" s="1"/>
  <c r="U20" i="4"/>
  <c r="I23" i="33" s="1"/>
  <c r="U22" i="4"/>
  <c r="U24" i="4"/>
  <c r="U26" i="4"/>
  <c r="U28" i="4"/>
  <c r="U30" i="4"/>
  <c r="U32" i="4"/>
  <c r="U34" i="4"/>
  <c r="I37" i="33" s="1"/>
  <c r="U36" i="4"/>
  <c r="I39" i="34" s="1"/>
  <c r="U38" i="4"/>
  <c r="AA10" i="41"/>
  <c r="AC126" i="38"/>
  <c r="AC130" i="38"/>
  <c r="AC134" i="38"/>
  <c r="AC162" i="38"/>
  <c r="AC166" i="38"/>
  <c r="AC170" i="38"/>
  <c r="AC93" i="38"/>
  <c r="AC118" i="38"/>
  <c r="AC142" i="38"/>
  <c r="AC154" i="38"/>
  <c r="AC157" i="38"/>
  <c r="AC182" i="38"/>
  <c r="AC354" i="38"/>
  <c r="X6" i="41"/>
  <c r="AF6" i="41" s="1"/>
  <c r="AO6" i="37"/>
  <c r="AC41" i="38"/>
  <c r="AC49" i="38"/>
  <c r="AC127" i="38"/>
  <c r="AC131" i="38"/>
  <c r="AC135" i="38"/>
  <c r="AC163" i="38"/>
  <c r="AC167" i="38"/>
  <c r="AC171" i="38"/>
  <c r="AC195" i="38"/>
  <c r="AC211" i="38"/>
  <c r="AD10" i="41"/>
  <c r="AC137" i="38"/>
  <c r="AC140" i="38"/>
  <c r="AC150" i="38"/>
  <c r="AC155" i="38"/>
  <c r="AC349" i="38"/>
  <c r="AC351" i="38"/>
  <c r="AC356" i="38"/>
  <c r="D4" i="5"/>
  <c r="I6" i="30"/>
  <c r="I6" i="27"/>
  <c r="I6" i="29"/>
  <c r="I13" i="43"/>
  <c r="I13" i="35"/>
  <c r="I13" i="29"/>
  <c r="I13" i="30"/>
  <c r="I13" i="27"/>
  <c r="I13" i="28"/>
  <c r="I16" i="43"/>
  <c r="I16" i="35"/>
  <c r="I16" i="27"/>
  <c r="I16" i="30"/>
  <c r="I16" i="28"/>
  <c r="I32" i="43"/>
  <c r="I32" i="35"/>
  <c r="I32" i="27"/>
  <c r="I32" i="29"/>
  <c r="I32" i="30"/>
  <c r="I38" i="30"/>
  <c r="I38" i="28"/>
  <c r="I38" i="29"/>
  <c r="I41" i="35"/>
  <c r="I41" i="29"/>
  <c r="I41" i="30"/>
  <c r="I41" i="28"/>
  <c r="I41" i="27"/>
  <c r="I47" i="43"/>
  <c r="I47" i="35"/>
  <c r="I47" i="27"/>
  <c r="I47" i="29"/>
  <c r="I47" i="30"/>
  <c r="I47" i="28"/>
  <c r="I50" i="43"/>
  <c r="I50" i="35"/>
  <c r="I50" i="28"/>
  <c r="I10" i="44"/>
  <c r="AF52" i="44" s="1"/>
  <c r="I10" i="34"/>
  <c r="I10" i="33"/>
  <c r="I10" i="31"/>
  <c r="I10" i="32"/>
  <c r="I16" i="44"/>
  <c r="AF58" i="44" s="1"/>
  <c r="I16" i="34"/>
  <c r="I16" i="31"/>
  <c r="I16" i="32"/>
  <c r="I16" i="33"/>
  <c r="I22" i="44"/>
  <c r="AF64" i="44" s="1"/>
  <c r="I22" i="34"/>
  <c r="I22" i="33"/>
  <c r="I22" i="31"/>
  <c r="I22" i="32"/>
  <c r="I29" i="44"/>
  <c r="W71" i="44" s="1"/>
  <c r="I29" i="34"/>
  <c r="I29" i="32"/>
  <c r="I29" i="33"/>
  <c r="I29" i="31"/>
  <c r="I34" i="44"/>
  <c r="I34" i="34"/>
  <c r="I34" i="33"/>
  <c r="I34" i="31"/>
  <c r="I34" i="32"/>
  <c r="I40" i="34"/>
  <c r="I40" i="33"/>
  <c r="I40" i="32"/>
  <c r="I5" i="43"/>
  <c r="AU57" i="43" s="1"/>
  <c r="I5" i="35"/>
  <c r="I5" i="29"/>
  <c r="I5" i="30"/>
  <c r="I5" i="27"/>
  <c r="I5" i="28"/>
  <c r="I10" i="43"/>
  <c r="I10" i="35"/>
  <c r="I10" i="30"/>
  <c r="I10" i="27"/>
  <c r="I10" i="28"/>
  <c r="I10" i="29"/>
  <c r="I12" i="43"/>
  <c r="I12" i="35"/>
  <c r="I12" i="29"/>
  <c r="I12" i="30"/>
  <c r="I12" i="27"/>
  <c r="I12" i="28"/>
  <c r="I19" i="43"/>
  <c r="I19" i="35"/>
  <c r="I19" i="28"/>
  <c r="I19" i="27"/>
  <c r="I19" i="29"/>
  <c r="I19" i="30"/>
  <c r="I21" i="43"/>
  <c r="I21" i="35"/>
  <c r="I21" i="29"/>
  <c r="I21" i="30"/>
  <c r="I21" i="28"/>
  <c r="I21" i="27"/>
  <c r="I25" i="43"/>
  <c r="I25" i="35"/>
  <c r="I25" i="29"/>
  <c r="I25" i="30"/>
  <c r="I25" i="28"/>
  <c r="I25" i="27"/>
  <c r="I26" i="43"/>
  <c r="I26" i="35"/>
  <c r="I26" i="30"/>
  <c r="I26" i="28"/>
  <c r="I26" i="27"/>
  <c r="I26" i="29"/>
  <c r="I29" i="43"/>
  <c r="I29" i="35"/>
  <c r="I29" i="29"/>
  <c r="I29" i="30"/>
  <c r="I29" i="28"/>
  <c r="I29" i="27"/>
  <c r="I33" i="43"/>
  <c r="I33" i="35"/>
  <c r="I33" i="29"/>
  <c r="I33" i="30"/>
  <c r="I33" i="28"/>
  <c r="I33" i="27"/>
  <c r="I36" i="35"/>
  <c r="I36" i="30"/>
  <c r="I40" i="43"/>
  <c r="I40" i="35"/>
  <c r="I40" i="27"/>
  <c r="I40" i="29"/>
  <c r="I40" i="28"/>
  <c r="I40" i="30"/>
  <c r="I46" i="43"/>
  <c r="I46" i="35"/>
  <c r="I46" i="30"/>
  <c r="I46" i="28"/>
  <c r="I46" i="27"/>
  <c r="I46" i="29"/>
  <c r="I49" i="43"/>
  <c r="I49" i="35"/>
  <c r="I49" i="29"/>
  <c r="I49" i="30"/>
  <c r="I49" i="28"/>
  <c r="I49" i="27"/>
  <c r="I5" i="34"/>
  <c r="I7" i="44"/>
  <c r="AB49" i="44" s="1"/>
  <c r="I7" i="34"/>
  <c r="I7" i="33"/>
  <c r="I7" i="32"/>
  <c r="I12" i="44"/>
  <c r="AF54" i="44" s="1"/>
  <c r="I12" i="34"/>
  <c r="I12" i="33"/>
  <c r="I12" i="31"/>
  <c r="I12" i="32"/>
  <c r="I14" i="44"/>
  <c r="AF56" i="44" s="1"/>
  <c r="I14" i="34"/>
  <c r="I14" i="33"/>
  <c r="I14" i="31"/>
  <c r="I14" i="32"/>
  <c r="I18" i="44"/>
  <c r="AF60" i="44" s="1"/>
  <c r="I18" i="34"/>
  <c r="I18" i="33"/>
  <c r="I18" i="31"/>
  <c r="I18" i="32"/>
  <c r="I21" i="44"/>
  <c r="AB63" i="44" s="1"/>
  <c r="I23" i="44"/>
  <c r="AB65" i="44" s="1"/>
  <c r="I23" i="34"/>
  <c r="I23" i="31"/>
  <c r="I26" i="44"/>
  <c r="AA68" i="44" s="1"/>
  <c r="I26" i="34"/>
  <c r="I26" i="33"/>
  <c r="I26" i="31"/>
  <c r="I26" i="32"/>
  <c r="I30" i="44"/>
  <c r="AD72" i="44" s="1"/>
  <c r="I30" i="34"/>
  <c r="I30" i="33"/>
  <c r="I30" i="31"/>
  <c r="I30" i="32"/>
  <c r="I33" i="44"/>
  <c r="I33" i="34"/>
  <c r="I33" i="33"/>
  <c r="I33" i="32"/>
  <c r="I33" i="31"/>
  <c r="I37" i="31"/>
  <c r="I39" i="44"/>
  <c r="Z81" i="44" s="1"/>
  <c r="I39" i="33"/>
  <c r="I39" i="32"/>
  <c r="I7" i="43"/>
  <c r="BC59" i="43" s="1"/>
  <c r="I7" i="35"/>
  <c r="I7" i="28"/>
  <c r="I7" i="29"/>
  <c r="I7" i="30"/>
  <c r="I7" i="27"/>
  <c r="I9" i="43"/>
  <c r="I9" i="35"/>
  <c r="I9" i="29"/>
  <c r="I9" i="30"/>
  <c r="I9" i="27"/>
  <c r="I9" i="28"/>
  <c r="I14" i="43"/>
  <c r="I14" i="35"/>
  <c r="I14" i="30"/>
  <c r="I14" i="27"/>
  <c r="I14" i="28"/>
  <c r="I14" i="29"/>
  <c r="I18" i="43"/>
  <c r="I18" i="35"/>
  <c r="I18" i="30"/>
  <c r="I18" i="28"/>
  <c r="I18" i="27"/>
  <c r="I18" i="29"/>
  <c r="I20" i="43"/>
  <c r="I20" i="35"/>
  <c r="I20" i="27"/>
  <c r="I20" i="29"/>
  <c r="I20" i="30"/>
  <c r="I20" i="28"/>
  <c r="I23" i="35"/>
  <c r="I23" i="27"/>
  <c r="I23" i="29"/>
  <c r="I23" i="28"/>
  <c r="I23" i="30"/>
  <c r="I28" i="43"/>
  <c r="I28" i="35"/>
  <c r="I28" i="27"/>
  <c r="I28" i="29"/>
  <c r="I28" i="28"/>
  <c r="I28" i="30"/>
  <c r="I30" i="43"/>
  <c r="I30" i="35"/>
  <c r="I30" i="30"/>
  <c r="I30" i="28"/>
  <c r="I30" i="27"/>
  <c r="I30" i="29"/>
  <c r="I34" i="43"/>
  <c r="I34" i="35"/>
  <c r="I34" i="30"/>
  <c r="I34" i="28"/>
  <c r="I34" i="27"/>
  <c r="I34" i="29"/>
  <c r="I37" i="43"/>
  <c r="I37" i="35"/>
  <c r="I37" i="29"/>
  <c r="I37" i="30"/>
  <c r="I37" i="28"/>
  <c r="I37" i="27"/>
  <c r="I43" i="43"/>
  <c r="I43" i="35"/>
  <c r="I43" i="27"/>
  <c r="I43" i="29"/>
  <c r="I43" i="30"/>
  <c r="I43" i="28"/>
  <c r="I45" i="43"/>
  <c r="I45" i="35"/>
  <c r="I45" i="29"/>
  <c r="I45" i="30"/>
  <c r="I45" i="28"/>
  <c r="I45" i="27"/>
  <c r="I48" i="43"/>
  <c r="I48" i="35"/>
  <c r="I48" i="27"/>
  <c r="I48" i="29"/>
  <c r="I48" i="28"/>
  <c r="I48" i="30"/>
  <c r="I6" i="44"/>
  <c r="AF48" i="44" s="1"/>
  <c r="I6" i="34"/>
  <c r="I6" i="33"/>
  <c r="I6" i="31"/>
  <c r="I6" i="32"/>
  <c r="I9" i="44"/>
  <c r="I9" i="34"/>
  <c r="I9" i="32"/>
  <c r="I9" i="33"/>
  <c r="I9" i="31"/>
  <c r="I15" i="44"/>
  <c r="AB57" i="44" s="1"/>
  <c r="I15" i="34"/>
  <c r="I15" i="33"/>
  <c r="I15" i="31"/>
  <c r="I15" i="32"/>
  <c r="I17" i="44"/>
  <c r="I17" i="34"/>
  <c r="I17" i="32"/>
  <c r="I17" i="33"/>
  <c r="I17" i="31"/>
  <c r="I20" i="44"/>
  <c r="AF62" i="44" s="1"/>
  <c r="I20" i="34"/>
  <c r="I20" i="33"/>
  <c r="I20" i="31"/>
  <c r="I20" i="32"/>
  <c r="I25" i="44"/>
  <c r="I25" i="34"/>
  <c r="I25" i="32"/>
  <c r="I25" i="33"/>
  <c r="I25" i="31"/>
  <c r="I27" i="44"/>
  <c r="I27" i="34"/>
  <c r="I27" i="33"/>
  <c r="I27" i="31"/>
  <c r="I27" i="32"/>
  <c r="I31" i="44"/>
  <c r="X73" i="44" s="1"/>
  <c r="I31" i="34"/>
  <c r="I31" i="33"/>
  <c r="I31" i="31"/>
  <c r="I31" i="32"/>
  <c r="I35" i="44"/>
  <c r="AB77" i="44" s="1"/>
  <c r="I35" i="34"/>
  <c r="I35" i="33"/>
  <c r="I35" i="31"/>
  <c r="I35" i="32"/>
  <c r="I41" i="44"/>
  <c r="I41" i="34"/>
  <c r="I41" i="33"/>
  <c r="I41" i="32"/>
  <c r="I41" i="31"/>
  <c r="I8" i="43"/>
  <c r="I8" i="35"/>
  <c r="I8" i="29"/>
  <c r="I8" i="30"/>
  <c r="I8" i="27"/>
  <c r="I8" i="28"/>
  <c r="I11" i="43"/>
  <c r="I11" i="35"/>
  <c r="I11" i="28"/>
  <c r="I11" i="29"/>
  <c r="I11" i="30"/>
  <c r="I11" i="27"/>
  <c r="I15" i="43"/>
  <c r="I15" i="35"/>
  <c r="I15" i="28"/>
  <c r="I15" i="29"/>
  <c r="I15" i="27"/>
  <c r="I15" i="30"/>
  <c r="I17" i="43"/>
  <c r="I17" i="35"/>
  <c r="I17" i="29"/>
  <c r="I17" i="30"/>
  <c r="I17" i="28"/>
  <c r="I17" i="27"/>
  <c r="I22" i="43"/>
  <c r="I22" i="35"/>
  <c r="I22" i="30"/>
  <c r="I22" i="28"/>
  <c r="I22" i="27"/>
  <c r="I22" i="29"/>
  <c r="I24" i="43"/>
  <c r="I24" i="35"/>
  <c r="I24" i="28"/>
  <c r="I24" i="27"/>
  <c r="I24" i="29"/>
  <c r="I24" i="30"/>
  <c r="I27" i="43"/>
  <c r="I27" i="35"/>
  <c r="I27" i="27"/>
  <c r="I27" i="29"/>
  <c r="I27" i="30"/>
  <c r="I27" i="28"/>
  <c r="I31" i="43"/>
  <c r="I31" i="35"/>
  <c r="I31" i="27"/>
  <c r="I31" i="29"/>
  <c r="I31" i="30"/>
  <c r="I31" i="28"/>
  <c r="I35" i="43"/>
  <c r="I35" i="35"/>
  <c r="I35" i="27"/>
  <c r="I35" i="29"/>
  <c r="I35" i="30"/>
  <c r="I35" i="28"/>
  <c r="I39" i="43"/>
  <c r="I39" i="35"/>
  <c r="I39" i="27"/>
  <c r="I39" i="29"/>
  <c r="I39" i="30"/>
  <c r="I39" i="28"/>
  <c r="I42" i="43"/>
  <c r="I42" i="35"/>
  <c r="I42" i="30"/>
  <c r="I42" i="28"/>
  <c r="I42" i="27"/>
  <c r="I42" i="29"/>
  <c r="I44" i="43"/>
  <c r="I44" i="35"/>
  <c r="I44" i="27"/>
  <c r="I44" i="29"/>
  <c r="I44" i="28"/>
  <c r="I44" i="30"/>
  <c r="I51" i="43"/>
  <c r="I51" i="35"/>
  <c r="I51" i="27"/>
  <c r="I51" i="29"/>
  <c r="I51" i="30"/>
  <c r="I51" i="28"/>
  <c r="I8" i="44"/>
  <c r="AF50" i="44" s="1"/>
  <c r="I8" i="34"/>
  <c r="I8" i="31"/>
  <c r="I8" i="32"/>
  <c r="I8" i="33"/>
  <c r="I11" i="44"/>
  <c r="AB53" i="44" s="1"/>
  <c r="I11" i="34"/>
  <c r="I11" i="33"/>
  <c r="I11" i="31"/>
  <c r="I11" i="32"/>
  <c r="I13" i="44"/>
  <c r="AB55" i="44" s="1"/>
  <c r="I13" i="34"/>
  <c r="I13" i="32"/>
  <c r="I13" i="33"/>
  <c r="I13" i="31"/>
  <c r="I19" i="44"/>
  <c r="AB61" i="44" s="1"/>
  <c r="I19" i="34"/>
  <c r="I19" i="33"/>
  <c r="I19" i="31"/>
  <c r="I19" i="32"/>
  <c r="I24" i="44"/>
  <c r="AC66" i="44" s="1"/>
  <c r="I24" i="34"/>
  <c r="I24" i="33"/>
  <c r="I24" i="31"/>
  <c r="I24" i="32"/>
  <c r="I28" i="44"/>
  <c r="I28" i="34"/>
  <c r="I28" i="33"/>
  <c r="I28" i="31"/>
  <c r="I28" i="32"/>
  <c r="I32" i="44"/>
  <c r="AF74" i="44" s="1"/>
  <c r="I32" i="34"/>
  <c r="I32" i="33"/>
  <c r="I32" i="31"/>
  <c r="I32" i="32"/>
  <c r="I36" i="44"/>
  <c r="I36" i="34"/>
  <c r="I36" i="33"/>
  <c r="I36" i="31"/>
  <c r="I36" i="32"/>
  <c r="I38" i="44"/>
  <c r="AB80" i="44" s="1"/>
  <c r="I38" i="34"/>
  <c r="I38" i="33"/>
  <c r="I38" i="31"/>
  <c r="I38" i="32"/>
  <c r="AJ5" i="37"/>
  <c r="AM57" i="28"/>
  <c r="AT5" i="37"/>
  <c r="AJ3" i="37"/>
  <c r="AT3" i="37"/>
  <c r="AO4" i="37"/>
  <c r="AJ4" i="37"/>
  <c r="AT4" i="37"/>
  <c r="AJ6" i="37"/>
  <c r="AT6" i="37"/>
  <c r="AO5" i="37"/>
  <c r="AO8" i="37" s="1"/>
  <c r="AA9" i="41"/>
  <c r="AC2" i="38"/>
  <c r="AC6" i="38"/>
  <c r="AC10" i="38"/>
  <c r="AC14" i="38"/>
  <c r="AC71" i="38"/>
  <c r="AC73" i="38"/>
  <c r="AC75" i="38"/>
  <c r="AC77" i="38"/>
  <c r="AC79" i="38"/>
  <c r="AC81" i="38"/>
  <c r="AC83" i="38"/>
  <c r="AC85" i="38"/>
  <c r="AC87" i="38"/>
  <c r="AC89" i="38"/>
  <c r="AC91" i="38"/>
  <c r="AC235" i="38"/>
  <c r="AC4" i="38"/>
  <c r="AC8" i="38"/>
  <c r="AC12" i="38"/>
  <c r="AC16" i="38"/>
  <c r="AC20" i="38"/>
  <c r="AC24" i="38"/>
  <c r="AC72" i="38"/>
  <c r="AC74" i="38"/>
  <c r="AC76" i="38"/>
  <c r="AC78" i="38"/>
  <c r="AC80" i="38"/>
  <c r="AC82" i="38"/>
  <c r="AC84" i="38"/>
  <c r="AC86" i="38"/>
  <c r="AC88" i="38"/>
  <c r="AC90" i="38"/>
  <c r="AC92" i="38"/>
  <c r="AC50" i="38"/>
  <c r="AC51" i="38"/>
  <c r="AC52" i="38"/>
  <c r="AC53" i="38"/>
  <c r="AC54" i="38"/>
  <c r="AC55" i="38"/>
  <c r="AC56" i="38"/>
  <c r="AC57" i="38"/>
  <c r="AC58" i="38"/>
  <c r="AC59" i="38"/>
  <c r="AC60" i="38"/>
  <c r="AC61" i="38"/>
  <c r="AC62" i="38"/>
  <c r="AC63" i="38"/>
  <c r="AC64" i="38"/>
  <c r="AC65" i="38"/>
  <c r="AC66" i="38"/>
  <c r="AC67" i="38"/>
  <c r="AC68" i="38"/>
  <c r="AC69" i="38"/>
  <c r="AC70" i="38"/>
  <c r="AC350" i="38"/>
  <c r="AC18" i="38"/>
  <c r="AC22" i="38"/>
  <c r="AC26" i="38"/>
  <c r="AC30" i="38"/>
  <c r="AC34" i="38"/>
  <c r="AC38" i="38"/>
  <c r="AC46" i="38"/>
  <c r="AC184" i="38"/>
  <c r="AC188" i="38"/>
  <c r="AC192" i="38"/>
  <c r="AC204" i="38"/>
  <c r="AC220" i="38"/>
  <c r="AC252" i="38"/>
  <c r="AC316" i="38"/>
  <c r="AC97" i="38"/>
  <c r="AC98" i="38"/>
  <c r="AC99" i="38"/>
  <c r="AC100" i="38"/>
  <c r="AC105" i="38"/>
  <c r="AC106" i="38"/>
  <c r="AC107" i="38"/>
  <c r="AC108" i="38"/>
  <c r="AC113" i="38"/>
  <c r="AC114" i="38"/>
  <c r="AC115" i="38"/>
  <c r="AC116" i="38"/>
  <c r="AC121" i="38"/>
  <c r="AC122" i="38"/>
  <c r="AC123" i="38"/>
  <c r="AC177" i="38"/>
  <c r="AC178" i="38"/>
  <c r="AC179" i="38"/>
  <c r="AC180" i="38"/>
  <c r="AC352" i="38"/>
  <c r="AC28" i="38"/>
  <c r="AC32" i="38"/>
  <c r="AC36" i="38"/>
  <c r="AC40" i="38"/>
  <c r="AC44" i="38"/>
  <c r="AC48" i="38"/>
  <c r="AC186" i="38"/>
  <c r="AC202" i="38"/>
  <c r="AD9" i="41"/>
  <c r="X3" i="41"/>
  <c r="AF3" i="41" s="1"/>
  <c r="Y4" i="41"/>
  <c r="AG4" i="41" s="1"/>
  <c r="Y5" i="41"/>
  <c r="X13" i="41"/>
  <c r="AF13" i="41" s="1"/>
  <c r="AG13" i="41"/>
  <c r="E36" i="5"/>
  <c r="AI3" i="41"/>
  <c r="X4" i="41"/>
  <c r="Y6" i="41"/>
  <c r="AJ6" i="41"/>
  <c r="AY62" i="43"/>
  <c r="AQ62" i="43"/>
  <c r="AI62" i="43"/>
  <c r="AX62" i="43"/>
  <c r="AP62" i="43"/>
  <c r="AW62" i="43"/>
  <c r="AO62" i="43"/>
  <c r="BD62" i="43"/>
  <c r="AV62" i="43"/>
  <c r="AN62" i="43"/>
  <c r="BC62" i="43"/>
  <c r="AU62" i="43"/>
  <c r="AM62" i="43"/>
  <c r="BB62" i="43"/>
  <c r="AT62" i="43"/>
  <c r="AL62" i="43"/>
  <c r="BA62" i="43"/>
  <c r="AS62" i="43"/>
  <c r="AK62" i="43"/>
  <c r="AZ62" i="43"/>
  <c r="AR62" i="43"/>
  <c r="AJ62" i="43"/>
  <c r="AX70" i="43"/>
  <c r="AP70" i="43"/>
  <c r="BB70" i="43"/>
  <c r="AT70" i="43"/>
  <c r="AL70" i="43"/>
  <c r="AW70" i="43"/>
  <c r="AM70" i="43"/>
  <c r="AV70" i="43"/>
  <c r="AK70" i="43"/>
  <c r="AU70" i="43"/>
  <c r="AJ70" i="43"/>
  <c r="BD70" i="43"/>
  <c r="AS70" i="43"/>
  <c r="AI70" i="43"/>
  <c r="BC70" i="43"/>
  <c r="AR70" i="43"/>
  <c r="BA70" i="43"/>
  <c r="AQ70" i="43"/>
  <c r="AZ70" i="43"/>
  <c r="AO70" i="43"/>
  <c r="AY70" i="43"/>
  <c r="AN70" i="43"/>
  <c r="BA78" i="43"/>
  <c r="AS78" i="43"/>
  <c r="AK78" i="43"/>
  <c r="AZ78" i="43"/>
  <c r="AR78" i="43"/>
  <c r="AJ78" i="43"/>
  <c r="AY78" i="43"/>
  <c r="AQ78" i="43"/>
  <c r="AI78" i="43"/>
  <c r="R78" i="43"/>
  <c r="AX78" i="43"/>
  <c r="AP78" i="43"/>
  <c r="AW78" i="43"/>
  <c r="AO78" i="43"/>
  <c r="P78" i="43"/>
  <c r="BD78" i="43"/>
  <c r="AV78" i="43"/>
  <c r="AN78" i="43"/>
  <c r="BC78" i="43"/>
  <c r="AU78" i="43"/>
  <c r="AM78" i="43"/>
  <c r="BB78" i="43"/>
  <c r="AT78" i="43"/>
  <c r="AL78" i="43"/>
  <c r="AY86" i="43"/>
  <c r="AQ86" i="43"/>
  <c r="AI86" i="43"/>
  <c r="BC86" i="43"/>
  <c r="AU86" i="43"/>
  <c r="AM86" i="43"/>
  <c r="BD86" i="43"/>
  <c r="AS86" i="43"/>
  <c r="BB86" i="43"/>
  <c r="AR86" i="43"/>
  <c r="BA86" i="43"/>
  <c r="AP86" i="43"/>
  <c r="AZ86" i="43"/>
  <c r="AO86" i="43"/>
  <c r="AX86" i="43"/>
  <c r="AN86" i="43"/>
  <c r="AW86" i="43"/>
  <c r="AL86" i="43"/>
  <c r="AV86" i="43"/>
  <c r="AK86" i="43"/>
  <c r="AT86" i="43"/>
  <c r="AJ86" i="43"/>
  <c r="BB94" i="43"/>
  <c r="AT94" i="43"/>
  <c r="AL94" i="43"/>
  <c r="BA94" i="43"/>
  <c r="AS94" i="43"/>
  <c r="AK94" i="43"/>
  <c r="AZ94" i="43"/>
  <c r="AR94" i="43"/>
  <c r="AJ94" i="43"/>
  <c r="AY94" i="43"/>
  <c r="AQ94" i="43"/>
  <c r="AI94" i="43"/>
  <c r="AX94" i="43"/>
  <c r="AP94" i="43"/>
  <c r="AW94" i="43"/>
  <c r="AO94" i="43"/>
  <c r="BD94" i="43"/>
  <c r="AV94" i="43"/>
  <c r="AN94" i="43"/>
  <c r="BC94" i="43"/>
  <c r="AU94" i="43"/>
  <c r="AM94" i="43"/>
  <c r="AY102" i="43"/>
  <c r="AQ102" i="43"/>
  <c r="AI102" i="43"/>
  <c r="AX102" i="43"/>
  <c r="AP102" i="43"/>
  <c r="BD102" i="43"/>
  <c r="AV102" i="43"/>
  <c r="AN102" i="43"/>
  <c r="BC102" i="43"/>
  <c r="AU102" i="43"/>
  <c r="AM102" i="43"/>
  <c r="BB102" i="43"/>
  <c r="AT102" i="43"/>
  <c r="BA102" i="43"/>
  <c r="AS102" i="43"/>
  <c r="AK102" i="43"/>
  <c r="AZ102" i="43"/>
  <c r="AR102" i="43"/>
  <c r="AJ102" i="43"/>
  <c r="AO102" i="43"/>
  <c r="AL102" i="43"/>
  <c r="AW102" i="43"/>
  <c r="AS57" i="43"/>
  <c r="BC57" i="43"/>
  <c r="AU59" i="43"/>
  <c r="BC63" i="43"/>
  <c r="AU63" i="43"/>
  <c r="AM63" i="43"/>
  <c r="BB63" i="43"/>
  <c r="AT63" i="43"/>
  <c r="AL63" i="43"/>
  <c r="BA63" i="43"/>
  <c r="AS63" i="43"/>
  <c r="AK63" i="43"/>
  <c r="AZ63" i="43"/>
  <c r="AR63" i="43"/>
  <c r="AJ63" i="43"/>
  <c r="AY63" i="43"/>
  <c r="AQ63" i="43"/>
  <c r="AI63" i="43"/>
  <c r="AX63" i="43"/>
  <c r="AP63" i="43"/>
  <c r="AW63" i="43"/>
  <c r="AO63" i="43"/>
  <c r="BD63" i="43"/>
  <c r="AV63" i="43"/>
  <c r="AN63" i="43"/>
  <c r="AW71" i="43"/>
  <c r="BB71" i="43"/>
  <c r="AT71" i="43"/>
  <c r="AL71" i="43"/>
  <c r="BA71" i="43"/>
  <c r="AS71" i="43"/>
  <c r="AX71" i="43"/>
  <c r="AP71" i="43"/>
  <c r="AY71" i="43"/>
  <c r="AK71" i="43"/>
  <c r="AV71" i="43"/>
  <c r="AJ71" i="43"/>
  <c r="AU71" i="43"/>
  <c r="AI71" i="43"/>
  <c r="AR71" i="43"/>
  <c r="AQ71" i="43"/>
  <c r="BD71" i="43"/>
  <c r="AO71" i="43"/>
  <c r="BC71" i="43"/>
  <c r="AN71" i="43"/>
  <c r="AZ71" i="43"/>
  <c r="AM71" i="43"/>
  <c r="AW79" i="43"/>
  <c r="AO79" i="43"/>
  <c r="P79" i="43"/>
  <c r="BD79" i="43"/>
  <c r="AV79" i="43"/>
  <c r="AN79" i="43"/>
  <c r="BC79" i="43"/>
  <c r="AU79" i="43"/>
  <c r="AM79" i="43"/>
  <c r="BB79" i="43"/>
  <c r="AT79" i="43"/>
  <c r="AL79" i="43"/>
  <c r="BA79" i="43"/>
  <c r="AS79" i="43"/>
  <c r="AK79" i="43"/>
  <c r="AZ79" i="43"/>
  <c r="AR79" i="43"/>
  <c r="AJ79" i="43"/>
  <c r="AY79" i="43"/>
  <c r="AQ79" i="43"/>
  <c r="AI79" i="43"/>
  <c r="R79" i="43"/>
  <c r="AX79" i="43"/>
  <c r="AP79" i="43"/>
  <c r="AX87" i="43"/>
  <c r="AP87" i="43"/>
  <c r="AW87" i="43"/>
  <c r="BC87" i="43"/>
  <c r="AU87" i="43"/>
  <c r="AM87" i="43"/>
  <c r="BB87" i="43"/>
  <c r="BA87" i="43"/>
  <c r="AY87" i="43"/>
  <c r="AQ87" i="43"/>
  <c r="AI87" i="43"/>
  <c r="AZ87" i="43"/>
  <c r="AK87" i="43"/>
  <c r="AV87" i="43"/>
  <c r="AJ87" i="43"/>
  <c r="AT87" i="43"/>
  <c r="AS87" i="43"/>
  <c r="AR87" i="43"/>
  <c r="AO87" i="43"/>
  <c r="AN87" i="43"/>
  <c r="BD87" i="43"/>
  <c r="AL87" i="43"/>
  <c r="AX95" i="43"/>
  <c r="AP95" i="43"/>
  <c r="AW95" i="43"/>
  <c r="AO95" i="43"/>
  <c r="BD95" i="43"/>
  <c r="AV95" i="43"/>
  <c r="AN95" i="43"/>
  <c r="BC95" i="43"/>
  <c r="AU95" i="43"/>
  <c r="AM95" i="43"/>
  <c r="BB95" i="43"/>
  <c r="AT95" i="43"/>
  <c r="AL95" i="43"/>
  <c r="BA95" i="43"/>
  <c r="AS95" i="43"/>
  <c r="AK95" i="43"/>
  <c r="AZ95" i="43"/>
  <c r="AR95" i="43"/>
  <c r="AJ95" i="43"/>
  <c r="AY95" i="43"/>
  <c r="AQ95" i="43"/>
  <c r="AI95" i="43"/>
  <c r="BC103" i="43"/>
  <c r="AU103" i="43"/>
  <c r="AM103" i="43"/>
  <c r="BB103" i="43"/>
  <c r="AT103" i="43"/>
  <c r="AL103" i="43"/>
  <c r="AZ103" i="43"/>
  <c r="AR103" i="43"/>
  <c r="AJ103" i="43"/>
  <c r="AY103" i="43"/>
  <c r="AQ103" i="43"/>
  <c r="AI103" i="43"/>
  <c r="AX103" i="43"/>
  <c r="AP103" i="43"/>
  <c r="AW103" i="43"/>
  <c r="AO103" i="43"/>
  <c r="BD103" i="43"/>
  <c r="AV103" i="43"/>
  <c r="AN103" i="43"/>
  <c r="BA103" i="43"/>
  <c r="AS103" i="43"/>
  <c r="AK103" i="43"/>
  <c r="AI57" i="43"/>
  <c r="AT57" i="43"/>
  <c r="AW59" i="43"/>
  <c r="AY64" i="43"/>
  <c r="AQ64" i="43"/>
  <c r="AI64" i="43"/>
  <c r="AX64" i="43"/>
  <c r="AP64" i="43"/>
  <c r="AW64" i="43"/>
  <c r="AO64" i="43"/>
  <c r="BD64" i="43"/>
  <c r="AV64" i="43"/>
  <c r="AN64" i="43"/>
  <c r="BC64" i="43"/>
  <c r="AU64" i="43"/>
  <c r="AM64" i="43"/>
  <c r="BB64" i="43"/>
  <c r="AT64" i="43"/>
  <c r="AL64" i="43"/>
  <c r="BA64" i="43"/>
  <c r="AS64" i="43"/>
  <c r="AK64" i="43"/>
  <c r="AZ64" i="43"/>
  <c r="AR64" i="43"/>
  <c r="AJ64" i="43"/>
  <c r="BA72" i="43"/>
  <c r="AS72" i="43"/>
  <c r="AK72" i="43"/>
  <c r="AX72" i="43"/>
  <c r="AP72" i="43"/>
  <c r="AW72" i="43"/>
  <c r="AO72" i="43"/>
  <c r="BB72" i="43"/>
  <c r="AT72" i="43"/>
  <c r="AL72" i="43"/>
  <c r="BC72" i="43"/>
  <c r="AM72" i="43"/>
  <c r="AZ72" i="43"/>
  <c r="AJ72" i="43"/>
  <c r="AY72" i="43"/>
  <c r="AI72" i="43"/>
  <c r="AV72" i="43"/>
  <c r="AU72" i="43"/>
  <c r="AR72" i="43"/>
  <c r="AQ72" i="43"/>
  <c r="BD72" i="43"/>
  <c r="AN72" i="43"/>
  <c r="BA80" i="43"/>
  <c r="AS80" i="43"/>
  <c r="AK80" i="43"/>
  <c r="AZ80" i="43"/>
  <c r="AR80" i="43"/>
  <c r="AJ80" i="43"/>
  <c r="AY80" i="43"/>
  <c r="AQ80" i="43"/>
  <c r="AI80" i="43"/>
  <c r="R80" i="43"/>
  <c r="AX80" i="43"/>
  <c r="AP80" i="43"/>
  <c r="AW80" i="43"/>
  <c r="AO80" i="43"/>
  <c r="P80" i="43"/>
  <c r="BD80" i="43"/>
  <c r="AV80" i="43"/>
  <c r="AN80" i="43"/>
  <c r="BC80" i="43"/>
  <c r="AU80" i="43"/>
  <c r="AM80" i="43"/>
  <c r="BB80" i="43"/>
  <c r="AT80" i="43"/>
  <c r="AL80" i="43"/>
  <c r="BB96" i="43"/>
  <c r="AT96" i="43"/>
  <c r="AL96" i="43"/>
  <c r="BA96" i="43"/>
  <c r="AS96" i="43"/>
  <c r="AK96" i="43"/>
  <c r="AZ96" i="43"/>
  <c r="AR96" i="43"/>
  <c r="AJ96" i="43"/>
  <c r="AY96" i="43"/>
  <c r="AQ96" i="43"/>
  <c r="AI96" i="43"/>
  <c r="AX96" i="43"/>
  <c r="AP96" i="43"/>
  <c r="AW96" i="43"/>
  <c r="AO96" i="43"/>
  <c r="BD96" i="43"/>
  <c r="AV96" i="43"/>
  <c r="AN96" i="43"/>
  <c r="BC96" i="43"/>
  <c r="AU96" i="43"/>
  <c r="AM96" i="43"/>
  <c r="AK57" i="43"/>
  <c r="AI59" i="43"/>
  <c r="AY59" i="43"/>
  <c r="AZ57" i="43"/>
  <c r="AR57" i="43"/>
  <c r="AJ57" i="43"/>
  <c r="BD57" i="43"/>
  <c r="AV57" i="43"/>
  <c r="AN57" i="43"/>
  <c r="BC65" i="43"/>
  <c r="AU65" i="43"/>
  <c r="AM65" i="43"/>
  <c r="BB65" i="43"/>
  <c r="AT65" i="43"/>
  <c r="AL65" i="43"/>
  <c r="BA65" i="43"/>
  <c r="AS65" i="43"/>
  <c r="AK65" i="43"/>
  <c r="AZ65" i="43"/>
  <c r="AR65" i="43"/>
  <c r="AJ65" i="43"/>
  <c r="AY65" i="43"/>
  <c r="AQ65" i="43"/>
  <c r="AI65" i="43"/>
  <c r="AX65" i="43"/>
  <c r="AP65" i="43"/>
  <c r="AW65" i="43"/>
  <c r="AO65" i="43"/>
  <c r="BD65" i="43"/>
  <c r="AV65" i="43"/>
  <c r="AN65" i="43"/>
  <c r="AW73" i="43"/>
  <c r="AO73" i="43"/>
  <c r="P73" i="43"/>
  <c r="BB73" i="43"/>
  <c r="AT73" i="43"/>
  <c r="AL73" i="43"/>
  <c r="BA73" i="43"/>
  <c r="AS73" i="43"/>
  <c r="AK73" i="43"/>
  <c r="AX73" i="43"/>
  <c r="AP73" i="43"/>
  <c r="AQ73" i="43"/>
  <c r="BD73" i="43"/>
  <c r="AN73" i="43"/>
  <c r="BC73" i="43"/>
  <c r="AM73" i="43"/>
  <c r="AZ73" i="43"/>
  <c r="AJ73" i="43"/>
  <c r="AY73" i="43"/>
  <c r="AI73" i="43"/>
  <c r="R73" i="43"/>
  <c r="AV73" i="43"/>
  <c r="AU73" i="43"/>
  <c r="AR73" i="43"/>
  <c r="AW81" i="43"/>
  <c r="AO81" i="43"/>
  <c r="P81" i="43"/>
  <c r="BD81" i="43"/>
  <c r="AV81" i="43"/>
  <c r="AN81" i="43"/>
  <c r="BC81" i="43"/>
  <c r="AU81" i="43"/>
  <c r="AM81" i="43"/>
  <c r="BB81" i="43"/>
  <c r="AT81" i="43"/>
  <c r="AL81" i="43"/>
  <c r="BA81" i="43"/>
  <c r="AS81" i="43"/>
  <c r="AK81" i="43"/>
  <c r="AZ81" i="43"/>
  <c r="AR81" i="43"/>
  <c r="AJ81" i="43"/>
  <c r="AY81" i="43"/>
  <c r="AQ81" i="43"/>
  <c r="AI81" i="43"/>
  <c r="R81" i="43"/>
  <c r="AX81" i="43"/>
  <c r="AP81" i="43"/>
  <c r="AX89" i="43"/>
  <c r="AP89" i="43"/>
  <c r="AW89" i="43"/>
  <c r="AO89" i="43"/>
  <c r="BD89" i="43"/>
  <c r="AV89" i="43"/>
  <c r="AN89" i="43"/>
  <c r="BC89" i="43"/>
  <c r="AU89" i="43"/>
  <c r="AM89" i="43"/>
  <c r="BB89" i="43"/>
  <c r="AT89" i="43"/>
  <c r="AL89" i="43"/>
  <c r="BA89" i="43"/>
  <c r="AS89" i="43"/>
  <c r="AK89" i="43"/>
  <c r="AZ89" i="43"/>
  <c r="AR89" i="43"/>
  <c r="AJ89" i="43"/>
  <c r="AY89" i="43"/>
  <c r="AQ89" i="43"/>
  <c r="AI89" i="43"/>
  <c r="AX97" i="43"/>
  <c r="AP97" i="43"/>
  <c r="AW97" i="43"/>
  <c r="AO97" i="43"/>
  <c r="BD97" i="43"/>
  <c r="AV97" i="43"/>
  <c r="AN97" i="43"/>
  <c r="BC97" i="43"/>
  <c r="AU97" i="43"/>
  <c r="AM97" i="43"/>
  <c r="BB97" i="43"/>
  <c r="AT97" i="43"/>
  <c r="AL97" i="43"/>
  <c r="BA97" i="43"/>
  <c r="AS97" i="43"/>
  <c r="AK97" i="43"/>
  <c r="AZ97" i="43"/>
  <c r="AR97" i="43"/>
  <c r="AJ97" i="43"/>
  <c r="AY97" i="43"/>
  <c r="AQ97" i="43"/>
  <c r="AI97" i="43"/>
  <c r="AL57" i="43"/>
  <c r="AW57" i="43"/>
  <c r="AK59" i="43"/>
  <c r="BA59" i="43"/>
  <c r="AY66" i="43"/>
  <c r="AQ66" i="43"/>
  <c r="AI66" i="43"/>
  <c r="AX66" i="43"/>
  <c r="AP66" i="43"/>
  <c r="AW66" i="43"/>
  <c r="AO66" i="43"/>
  <c r="BD66" i="43"/>
  <c r="AV66" i="43"/>
  <c r="AN66" i="43"/>
  <c r="BC66" i="43"/>
  <c r="AU66" i="43"/>
  <c r="AM66" i="43"/>
  <c r="BB66" i="43"/>
  <c r="AT66" i="43"/>
  <c r="AL66" i="43"/>
  <c r="BA66" i="43"/>
  <c r="AS66" i="43"/>
  <c r="AK66" i="43"/>
  <c r="AZ66" i="43"/>
  <c r="AR66" i="43"/>
  <c r="AJ66" i="43"/>
  <c r="BA74" i="43"/>
  <c r="AS74" i="43"/>
  <c r="AK74" i="43"/>
  <c r="AX74" i="43"/>
  <c r="AP74" i="43"/>
  <c r="AW74" i="43"/>
  <c r="AO74" i="43"/>
  <c r="P74" i="43"/>
  <c r="BB74" i="43"/>
  <c r="AT74" i="43"/>
  <c r="AL74" i="43"/>
  <c r="AU74" i="43"/>
  <c r="AR74" i="43"/>
  <c r="AQ74" i="43"/>
  <c r="BD74" i="43"/>
  <c r="AN74" i="43"/>
  <c r="BC74" i="43"/>
  <c r="AM74" i="43"/>
  <c r="AZ74" i="43"/>
  <c r="AJ74" i="43"/>
  <c r="AY74" i="43"/>
  <c r="AI74" i="43"/>
  <c r="R74" i="43"/>
  <c r="AV74" i="43"/>
  <c r="BA82" i="43"/>
  <c r="AS82" i="43"/>
  <c r="AK82" i="43"/>
  <c r="AZ82" i="43"/>
  <c r="AR82" i="43"/>
  <c r="AJ82" i="43"/>
  <c r="AY82" i="43"/>
  <c r="AQ82" i="43"/>
  <c r="AI82" i="43"/>
  <c r="AX82" i="43"/>
  <c r="AP82" i="43"/>
  <c r="AW82" i="43"/>
  <c r="AO82" i="43"/>
  <c r="BD82" i="43"/>
  <c r="AV82" i="43"/>
  <c r="AN82" i="43"/>
  <c r="BC82" i="43"/>
  <c r="AU82" i="43"/>
  <c r="AM82" i="43"/>
  <c r="BB82" i="43"/>
  <c r="AT82" i="43"/>
  <c r="AL82" i="43"/>
  <c r="BB98" i="43"/>
  <c r="AT98" i="43"/>
  <c r="AL98" i="43"/>
  <c r="BA98" i="43"/>
  <c r="AS98" i="43"/>
  <c r="AK98" i="43"/>
  <c r="AZ98" i="43"/>
  <c r="AR98" i="43"/>
  <c r="AJ98" i="43"/>
  <c r="AY98" i="43"/>
  <c r="AQ98" i="43"/>
  <c r="AI98" i="43"/>
  <c r="AX98" i="43"/>
  <c r="AP98" i="43"/>
  <c r="AW98" i="43"/>
  <c r="AO98" i="43"/>
  <c r="BD98" i="43"/>
  <c r="AV98" i="43"/>
  <c r="AN98" i="43"/>
  <c r="BC98" i="43"/>
  <c r="AU98" i="43"/>
  <c r="AM98" i="43"/>
  <c r="AM57" i="43"/>
  <c r="AX57" i="43"/>
  <c r="AM59" i="43"/>
  <c r="BB59" i="43"/>
  <c r="AT59" i="43"/>
  <c r="AL59" i="43"/>
  <c r="AZ59" i="43"/>
  <c r="AR59" i="43"/>
  <c r="AJ59" i="43"/>
  <c r="AX59" i="43"/>
  <c r="AP59" i="43"/>
  <c r="BD59" i="43"/>
  <c r="AV59" i="43"/>
  <c r="AN59" i="43"/>
  <c r="BC67" i="43"/>
  <c r="AU67" i="43"/>
  <c r="AM67" i="43"/>
  <c r="BB67" i="43"/>
  <c r="AT67" i="43"/>
  <c r="AL67" i="43"/>
  <c r="BA67" i="43"/>
  <c r="AS67" i="43"/>
  <c r="AK67" i="43"/>
  <c r="AZ67" i="43"/>
  <c r="AR67" i="43"/>
  <c r="AJ67" i="43"/>
  <c r="AY67" i="43"/>
  <c r="AQ67" i="43"/>
  <c r="AI67" i="43"/>
  <c r="AX67" i="43"/>
  <c r="AP67" i="43"/>
  <c r="AW67" i="43"/>
  <c r="AO67" i="43"/>
  <c r="BD67" i="43"/>
  <c r="AV67" i="43"/>
  <c r="AN67" i="43"/>
  <c r="BC83" i="43"/>
  <c r="AY83" i="43"/>
  <c r="AW83" i="43"/>
  <c r="AO83" i="43"/>
  <c r="AV83" i="43"/>
  <c r="AN83" i="43"/>
  <c r="AU83" i="43"/>
  <c r="AM83" i="43"/>
  <c r="BD83" i="43"/>
  <c r="AT83" i="43"/>
  <c r="AL83" i="43"/>
  <c r="BB83" i="43"/>
  <c r="AS83" i="43"/>
  <c r="AK83" i="43"/>
  <c r="BA83" i="43"/>
  <c r="AR83" i="43"/>
  <c r="AJ83" i="43"/>
  <c r="AZ83" i="43"/>
  <c r="AQ83" i="43"/>
  <c r="AI83" i="43"/>
  <c r="AX83" i="43"/>
  <c r="AP83" i="43"/>
  <c r="AX91" i="43"/>
  <c r="AP91" i="43"/>
  <c r="AW91" i="43"/>
  <c r="AO91" i="43"/>
  <c r="BD91" i="43"/>
  <c r="AV91" i="43"/>
  <c r="AN91" i="43"/>
  <c r="BC91" i="43"/>
  <c r="AU91" i="43"/>
  <c r="AM91" i="43"/>
  <c r="BB91" i="43"/>
  <c r="AT91" i="43"/>
  <c r="AL91" i="43"/>
  <c r="BA91" i="43"/>
  <c r="AS91" i="43"/>
  <c r="AK91" i="43"/>
  <c r="AZ91" i="43"/>
  <c r="AR91" i="43"/>
  <c r="AJ91" i="43"/>
  <c r="AY91" i="43"/>
  <c r="AQ91" i="43"/>
  <c r="AI91" i="43"/>
  <c r="AX99" i="43"/>
  <c r="AP99" i="43"/>
  <c r="AW99" i="43"/>
  <c r="AO99" i="43"/>
  <c r="BD99" i="43"/>
  <c r="AV99" i="43"/>
  <c r="AN99" i="43"/>
  <c r="BC99" i="43"/>
  <c r="AU99" i="43"/>
  <c r="AM99" i="43"/>
  <c r="BB99" i="43"/>
  <c r="AT99" i="43"/>
  <c r="AL99" i="43"/>
  <c r="BA99" i="43"/>
  <c r="AS99" i="43"/>
  <c r="AK99" i="43"/>
  <c r="AZ99" i="43"/>
  <c r="AR99" i="43"/>
  <c r="AJ99" i="43"/>
  <c r="AY99" i="43"/>
  <c r="AQ99" i="43"/>
  <c r="AI99" i="43"/>
  <c r="AO57" i="43"/>
  <c r="AY57" i="43"/>
  <c r="AO59" i="43"/>
  <c r="AY60" i="43"/>
  <c r="AQ60" i="43"/>
  <c r="AI60" i="43"/>
  <c r="AX60" i="43"/>
  <c r="AP60" i="43"/>
  <c r="AW60" i="43"/>
  <c r="AO60" i="43"/>
  <c r="BD60" i="43"/>
  <c r="AV60" i="43"/>
  <c r="AN60" i="43"/>
  <c r="BC60" i="43"/>
  <c r="AU60" i="43"/>
  <c r="AM60" i="43"/>
  <c r="BB60" i="43"/>
  <c r="AT60" i="43"/>
  <c r="AL60" i="43"/>
  <c r="BA60" i="43"/>
  <c r="AS60" i="43"/>
  <c r="AK60" i="43"/>
  <c r="AZ60" i="43"/>
  <c r="AR60" i="43"/>
  <c r="AJ60" i="43"/>
  <c r="AX68" i="43"/>
  <c r="BB68" i="43"/>
  <c r="AZ68" i="43"/>
  <c r="AQ68" i="43"/>
  <c r="AI68" i="43"/>
  <c r="AY68" i="43"/>
  <c r="AP68" i="43"/>
  <c r="AW68" i="43"/>
  <c r="AO68" i="43"/>
  <c r="AV68" i="43"/>
  <c r="AN68" i="43"/>
  <c r="AU68" i="43"/>
  <c r="AM68" i="43"/>
  <c r="BD68" i="43"/>
  <c r="AT68" i="43"/>
  <c r="AL68" i="43"/>
  <c r="BC68" i="43"/>
  <c r="AS68" i="43"/>
  <c r="AK68" i="43"/>
  <c r="BA68" i="43"/>
  <c r="AR68" i="43"/>
  <c r="AJ68" i="43"/>
  <c r="BA76" i="43"/>
  <c r="AS76" i="43"/>
  <c r="AK76" i="43"/>
  <c r="AZ76" i="43"/>
  <c r="AR76" i="43"/>
  <c r="AJ76" i="43"/>
  <c r="AX76" i="43"/>
  <c r="AP76" i="43"/>
  <c r="AW76" i="43"/>
  <c r="AO76" i="43"/>
  <c r="P76" i="43"/>
  <c r="BD76" i="43"/>
  <c r="AV76" i="43"/>
  <c r="AN76" i="43"/>
  <c r="BB76" i="43"/>
  <c r="AT76" i="43"/>
  <c r="AL76" i="43"/>
  <c r="BC76" i="43"/>
  <c r="AY76" i="43"/>
  <c r="R76" i="43"/>
  <c r="AU76" i="43"/>
  <c r="AQ76" i="43"/>
  <c r="AM76" i="43"/>
  <c r="AI76" i="43"/>
  <c r="AY84" i="43"/>
  <c r="AQ84" i="43"/>
  <c r="AI84" i="43"/>
  <c r="BC84" i="43"/>
  <c r="AU84" i="43"/>
  <c r="AM84" i="43"/>
  <c r="AV84" i="43"/>
  <c r="AK84" i="43"/>
  <c r="AT84" i="43"/>
  <c r="AJ84" i="43"/>
  <c r="BD84" i="43"/>
  <c r="AS84" i="43"/>
  <c r="BB84" i="43"/>
  <c r="AR84" i="43"/>
  <c r="BA84" i="43"/>
  <c r="AP84" i="43"/>
  <c r="AZ84" i="43"/>
  <c r="AO84" i="43"/>
  <c r="AX84" i="43"/>
  <c r="AN84" i="43"/>
  <c r="AW84" i="43"/>
  <c r="AL84" i="43"/>
  <c r="BB92" i="43"/>
  <c r="AT92" i="43"/>
  <c r="AL92" i="43"/>
  <c r="BA92" i="43"/>
  <c r="AS92" i="43"/>
  <c r="AK92" i="43"/>
  <c r="AZ92" i="43"/>
  <c r="AR92" i="43"/>
  <c r="AJ92" i="43"/>
  <c r="AY92" i="43"/>
  <c r="AQ92" i="43"/>
  <c r="AI92" i="43"/>
  <c r="AX92" i="43"/>
  <c r="AP92" i="43"/>
  <c r="AW92" i="43"/>
  <c r="AO92" i="43"/>
  <c r="BD92" i="43"/>
  <c r="AV92" i="43"/>
  <c r="AN92" i="43"/>
  <c r="BC92" i="43"/>
  <c r="AU92" i="43"/>
  <c r="AM92" i="43"/>
  <c r="BB100" i="43"/>
  <c r="AT100" i="43"/>
  <c r="AL100" i="43"/>
  <c r="BA100" i="43"/>
  <c r="AS100" i="43"/>
  <c r="AK100" i="43"/>
  <c r="AZ100" i="43"/>
  <c r="AR100" i="43"/>
  <c r="AJ100" i="43"/>
  <c r="AY100" i="43"/>
  <c r="AQ100" i="43"/>
  <c r="AI100" i="43"/>
  <c r="AX100" i="43"/>
  <c r="AP100" i="43"/>
  <c r="AW100" i="43"/>
  <c r="AO100" i="43"/>
  <c r="BD100" i="43"/>
  <c r="AV100" i="43"/>
  <c r="AN100" i="43"/>
  <c r="BC100" i="43"/>
  <c r="AU100" i="43"/>
  <c r="AM100" i="43"/>
  <c r="AP57" i="43"/>
  <c r="BA57" i="43"/>
  <c r="AQ59" i="43"/>
  <c r="BC61" i="43"/>
  <c r="AU61" i="43"/>
  <c r="AM61" i="43"/>
  <c r="BB61" i="43"/>
  <c r="AT61" i="43"/>
  <c r="AL61" i="43"/>
  <c r="BA61" i="43"/>
  <c r="AS61" i="43"/>
  <c r="AK61" i="43"/>
  <c r="AZ61" i="43"/>
  <c r="AR61" i="43"/>
  <c r="AJ61" i="43"/>
  <c r="AY61" i="43"/>
  <c r="AQ61" i="43"/>
  <c r="AI61" i="43"/>
  <c r="AX61" i="43"/>
  <c r="AP61" i="43"/>
  <c r="AW61" i="43"/>
  <c r="AO61" i="43"/>
  <c r="BD61" i="43"/>
  <c r="AV61" i="43"/>
  <c r="AN61" i="43"/>
  <c r="BB69" i="43"/>
  <c r="AT69" i="43"/>
  <c r="AL69" i="43"/>
  <c r="AX69" i="43"/>
  <c r="AP69" i="43"/>
  <c r="AY69" i="43"/>
  <c r="AN69" i="43"/>
  <c r="AW69" i="43"/>
  <c r="AM69" i="43"/>
  <c r="AV69" i="43"/>
  <c r="AK69" i="43"/>
  <c r="AU69" i="43"/>
  <c r="AJ69" i="43"/>
  <c r="BD69" i="43"/>
  <c r="AS69" i="43"/>
  <c r="AI69" i="43"/>
  <c r="BC69" i="43"/>
  <c r="AR69" i="43"/>
  <c r="BA69" i="43"/>
  <c r="AQ69" i="43"/>
  <c r="AZ69" i="43"/>
  <c r="AO69" i="43"/>
  <c r="AW77" i="43"/>
  <c r="AO77" i="43"/>
  <c r="BD77" i="43"/>
  <c r="AV77" i="43"/>
  <c r="AN77" i="43"/>
  <c r="BC77" i="43"/>
  <c r="AU77" i="43"/>
  <c r="BB77" i="43"/>
  <c r="AT77" i="43"/>
  <c r="AL77" i="43"/>
  <c r="BA77" i="43"/>
  <c r="AS77" i="43"/>
  <c r="AK77" i="43"/>
  <c r="AZ77" i="43"/>
  <c r="AR77" i="43"/>
  <c r="AJ77" i="43"/>
  <c r="AY77" i="43"/>
  <c r="AQ77" i="43"/>
  <c r="AX77" i="43"/>
  <c r="AP77" i="43"/>
  <c r="AM77" i="43"/>
  <c r="AI77" i="43"/>
  <c r="BC85" i="43"/>
  <c r="AU85" i="43"/>
  <c r="AM85" i="43"/>
  <c r="AY85" i="43"/>
  <c r="AQ85" i="43"/>
  <c r="AI85" i="43"/>
  <c r="AT85" i="43"/>
  <c r="AJ85" i="43"/>
  <c r="BD85" i="43"/>
  <c r="AS85" i="43"/>
  <c r="BB85" i="43"/>
  <c r="AR85" i="43"/>
  <c r="BA85" i="43"/>
  <c r="AP85" i="43"/>
  <c r="AZ85" i="43"/>
  <c r="AO85" i="43"/>
  <c r="AX85" i="43"/>
  <c r="AN85" i="43"/>
  <c r="AW85" i="43"/>
  <c r="AL85" i="43"/>
  <c r="AV85" i="43"/>
  <c r="AK85" i="43"/>
  <c r="AX101" i="43"/>
  <c r="AP101" i="43"/>
  <c r="AW101" i="43"/>
  <c r="AO101" i="43"/>
  <c r="BD101" i="43"/>
  <c r="AV101" i="43"/>
  <c r="AN101" i="43"/>
  <c r="BC101" i="43"/>
  <c r="AU101" i="43"/>
  <c r="AM101" i="43"/>
  <c r="BB101" i="43"/>
  <c r="AT101" i="43"/>
  <c r="AL101" i="43"/>
  <c r="BA101" i="43"/>
  <c r="AS101" i="43"/>
  <c r="AK101" i="43"/>
  <c r="AZ101" i="43"/>
  <c r="AR101" i="43"/>
  <c r="AJ101" i="43"/>
  <c r="AY101" i="43"/>
  <c r="AQ101" i="43"/>
  <c r="AI101" i="43"/>
  <c r="AQ57" i="43"/>
  <c r="BB57" i="43"/>
  <c r="AS59" i="43"/>
  <c r="AB51" i="44"/>
  <c r="AA51" i="44"/>
  <c r="Z51" i="44"/>
  <c r="Y51" i="44"/>
  <c r="AF51" i="44"/>
  <c r="X51" i="44"/>
  <c r="AE51" i="44"/>
  <c r="W51" i="44"/>
  <c r="AD51" i="44"/>
  <c r="AC51" i="44"/>
  <c r="AB59" i="44"/>
  <c r="AA59" i="44"/>
  <c r="Z59" i="44"/>
  <c r="Y59" i="44"/>
  <c r="AF59" i="44"/>
  <c r="X59" i="44"/>
  <c r="AE59" i="44"/>
  <c r="W59" i="44"/>
  <c r="AD59" i="44"/>
  <c r="AC59" i="44"/>
  <c r="AA67" i="44"/>
  <c r="Y67" i="44"/>
  <c r="AC67" i="44"/>
  <c r="X67" i="44"/>
  <c r="W67" i="44"/>
  <c r="AF67" i="44"/>
  <c r="AE67" i="44"/>
  <c r="AD67" i="44"/>
  <c r="AB67" i="44"/>
  <c r="Z67" i="44"/>
  <c r="AA75" i="44"/>
  <c r="Y75" i="44"/>
  <c r="AC75" i="44"/>
  <c r="AE75" i="44"/>
  <c r="AD75" i="44"/>
  <c r="AB75" i="44"/>
  <c r="Z75" i="44"/>
  <c r="X75" i="44"/>
  <c r="W75" i="44"/>
  <c r="AF75" i="44"/>
  <c r="AB83" i="44"/>
  <c r="AA83" i="44"/>
  <c r="Z83" i="44"/>
  <c r="Y83" i="44"/>
  <c r="AC83" i="44"/>
  <c r="AF83" i="44"/>
  <c r="AE83" i="44"/>
  <c r="AD83" i="44"/>
  <c r="X83" i="44"/>
  <c r="W83" i="44"/>
  <c r="AE70" i="44"/>
  <c r="W70" i="44"/>
  <c r="AC70" i="44"/>
  <c r="Y70" i="44"/>
  <c r="AE78" i="44"/>
  <c r="W78" i="44"/>
  <c r="AC78" i="44"/>
  <c r="Y78" i="44"/>
  <c r="Y48" i="44"/>
  <c r="AC49" i="44"/>
  <c r="Y50" i="44"/>
  <c r="Y52" i="44"/>
  <c r="AC53" i="44"/>
  <c r="Y54" i="44"/>
  <c r="AC55" i="44"/>
  <c r="Y56" i="44"/>
  <c r="AC57" i="44"/>
  <c r="Y58" i="44"/>
  <c r="Y60" i="44"/>
  <c r="AC61" i="44"/>
  <c r="Y62" i="44"/>
  <c r="AC63" i="44"/>
  <c r="Y64" i="44"/>
  <c r="AC65" i="44"/>
  <c r="Y66" i="44"/>
  <c r="AF68" i="44"/>
  <c r="X69" i="44"/>
  <c r="AD70" i="44"/>
  <c r="AB72" i="44"/>
  <c r="AA74" i="44"/>
  <c r="Z76" i="44"/>
  <c r="AE77" i="44"/>
  <c r="X78" i="44"/>
  <c r="AA80" i="44"/>
  <c r="W81" i="44"/>
  <c r="AA71" i="44"/>
  <c r="Y71" i="44"/>
  <c r="AC71" i="44"/>
  <c r="Z48" i="44"/>
  <c r="AD49" i="44"/>
  <c r="Z50" i="44"/>
  <c r="Z52" i="44"/>
  <c r="AD53" i="44"/>
  <c r="Z54" i="44"/>
  <c r="AD55" i="44"/>
  <c r="Z56" i="44"/>
  <c r="AD57" i="44"/>
  <c r="Z58" i="44"/>
  <c r="Z60" i="44"/>
  <c r="AD61" i="44"/>
  <c r="Z62" i="44"/>
  <c r="AD63" i="44"/>
  <c r="Z64" i="44"/>
  <c r="AD65" i="44"/>
  <c r="Z66" i="44"/>
  <c r="Z69" i="44"/>
  <c r="AF70" i="44"/>
  <c r="X71" i="44"/>
  <c r="W73" i="44"/>
  <c r="AB74" i="44"/>
  <c r="AA76" i="44"/>
  <c r="AF77" i="44"/>
  <c r="Z78" i="44"/>
  <c r="X81" i="44"/>
  <c r="AE72" i="44"/>
  <c r="W72" i="44"/>
  <c r="AC72" i="44"/>
  <c r="Y72" i="44"/>
  <c r="AF80" i="44"/>
  <c r="X80" i="44"/>
  <c r="AE80" i="44"/>
  <c r="W80" i="44"/>
  <c r="AC80" i="44"/>
  <c r="Y80" i="44"/>
  <c r="AA48" i="44"/>
  <c r="W49" i="44"/>
  <c r="AE49" i="44"/>
  <c r="AA50" i="44"/>
  <c r="AA52" i="44"/>
  <c r="W53" i="44"/>
  <c r="AE53" i="44"/>
  <c r="AA54" i="44"/>
  <c r="W55" i="44"/>
  <c r="AE55" i="44"/>
  <c r="AA56" i="44"/>
  <c r="W57" i="44"/>
  <c r="AE57" i="44"/>
  <c r="AA58" i="44"/>
  <c r="AA60" i="44"/>
  <c r="W61" i="44"/>
  <c r="AE61" i="44"/>
  <c r="AA62" i="44"/>
  <c r="W63" i="44"/>
  <c r="AE63" i="44"/>
  <c r="AA64" i="44"/>
  <c r="W65" i="44"/>
  <c r="AE65" i="44"/>
  <c r="AA66" i="44"/>
  <c r="AB69" i="44"/>
  <c r="Z71" i="44"/>
  <c r="AF72" i="44"/>
  <c r="AD74" i="44"/>
  <c r="AB76" i="44"/>
  <c r="AA78" i="44"/>
  <c r="AD80" i="44"/>
  <c r="AA73" i="44"/>
  <c r="Y73" i="44"/>
  <c r="AC73" i="44"/>
  <c r="AB81" i="44"/>
  <c r="AA81" i="44"/>
  <c r="Y81" i="44"/>
  <c r="AC81" i="44"/>
  <c r="AB48" i="44"/>
  <c r="X49" i="44"/>
  <c r="AF49" i="44"/>
  <c r="AB50" i="44"/>
  <c r="AB52" i="44"/>
  <c r="X53" i="44"/>
  <c r="AF53" i="44"/>
  <c r="AB54" i="44"/>
  <c r="X55" i="44"/>
  <c r="AF55" i="44"/>
  <c r="AB56" i="44"/>
  <c r="X57" i="44"/>
  <c r="AF57" i="44"/>
  <c r="AB58" i="44"/>
  <c r="AB60" i="44"/>
  <c r="X61" i="44"/>
  <c r="AF61" i="44"/>
  <c r="AB62" i="44"/>
  <c r="X63" i="44"/>
  <c r="AF63" i="44"/>
  <c r="AB64" i="44"/>
  <c r="X65" i="44"/>
  <c r="AF65" i="44"/>
  <c r="AB66" i="44"/>
  <c r="X68" i="44"/>
  <c r="AD69" i="44"/>
  <c r="AB71" i="44"/>
  <c r="Z73" i="44"/>
  <c r="AD76" i="44"/>
  <c r="W77" i="44"/>
  <c r="AB78" i="44"/>
  <c r="AD81" i="44"/>
  <c r="AE74" i="44"/>
  <c r="W74" i="44"/>
  <c r="AC74" i="44"/>
  <c r="Y74" i="44"/>
  <c r="AC48" i="44"/>
  <c r="Y49" i="44"/>
  <c r="AC50" i="44"/>
  <c r="AC52" i="44"/>
  <c r="Y53" i="44"/>
  <c r="AC54" i="44"/>
  <c r="Y55" i="44"/>
  <c r="AC56" i="44"/>
  <c r="Y57" i="44"/>
  <c r="AC58" i="44"/>
  <c r="AC60" i="44"/>
  <c r="Y61" i="44"/>
  <c r="AC62" i="44"/>
  <c r="Y63" i="44"/>
  <c r="AC64" i="44"/>
  <c r="Y65" i="44"/>
  <c r="AD66" i="44"/>
  <c r="Z68" i="44"/>
  <c r="AE69" i="44"/>
  <c r="X70" i="44"/>
  <c r="AD71" i="44"/>
  <c r="AB73" i="44"/>
  <c r="AF76" i="44"/>
  <c r="X77" i="44"/>
  <c r="AD78" i="44"/>
  <c r="AE81" i="44"/>
  <c r="AD48" i="44"/>
  <c r="Z49" i="44"/>
  <c r="AD50" i="44"/>
  <c r="AD52" i="44"/>
  <c r="Z53" i="44"/>
  <c r="AD54" i="44"/>
  <c r="Z55" i="44"/>
  <c r="AD56" i="44"/>
  <c r="Z57" i="44"/>
  <c r="AD58" i="44"/>
  <c r="AD60" i="44"/>
  <c r="Z61" i="44"/>
  <c r="AD62" i="44"/>
  <c r="Z63" i="44"/>
  <c r="AD64" i="44"/>
  <c r="Z65" i="44"/>
  <c r="AE66" i="44"/>
  <c r="AF69" i="44"/>
  <c r="Z70" i="44"/>
  <c r="AE71" i="44"/>
  <c r="X72" i="44"/>
  <c r="AD73" i="44"/>
  <c r="Z77" i="44"/>
  <c r="AF78" i="44"/>
  <c r="AF81" i="44"/>
  <c r="AE68" i="44"/>
  <c r="W68" i="44"/>
  <c r="AC68" i="44"/>
  <c r="Y68" i="44"/>
  <c r="AE76" i="44"/>
  <c r="W76" i="44"/>
  <c r="AC76" i="44"/>
  <c r="Y76" i="44"/>
  <c r="W48" i="44"/>
  <c r="AE48" i="44"/>
  <c r="AA49" i="44"/>
  <c r="W50" i="44"/>
  <c r="AE50" i="44"/>
  <c r="W52" i="44"/>
  <c r="AE52" i="44"/>
  <c r="AA53" i="44"/>
  <c r="W54" i="44"/>
  <c r="AE54" i="44"/>
  <c r="AA55" i="44"/>
  <c r="W56" i="44"/>
  <c r="AE56" i="44"/>
  <c r="AA57" i="44"/>
  <c r="W58" i="44"/>
  <c r="AE58" i="44"/>
  <c r="W60" i="44"/>
  <c r="AE60" i="44"/>
  <c r="AA61" i="44"/>
  <c r="W62" i="44"/>
  <c r="AE62" i="44"/>
  <c r="AA63" i="44"/>
  <c r="W64" i="44"/>
  <c r="AE64" i="44"/>
  <c r="AA65" i="44"/>
  <c r="W66" i="44"/>
  <c r="AF66" i="44"/>
  <c r="AB68" i="44"/>
  <c r="AA70" i="44"/>
  <c r="AF71" i="44"/>
  <c r="Z72" i="44"/>
  <c r="AE73" i="44"/>
  <c r="X74" i="44"/>
  <c r="AA69" i="44"/>
  <c r="Y69" i="44"/>
  <c r="AC69" i="44"/>
  <c r="AA77" i="44"/>
  <c r="Y77" i="44"/>
  <c r="AC77" i="44"/>
  <c r="X48" i="44"/>
  <c r="X50" i="44"/>
  <c r="X52" i="44"/>
  <c r="X54" i="44"/>
  <c r="X56" i="44"/>
  <c r="X58" i="44"/>
  <c r="X60" i="44"/>
  <c r="X62" i="44"/>
  <c r="X64" i="44"/>
  <c r="X66" i="44"/>
  <c r="AD68" i="44"/>
  <c r="W69" i="44"/>
  <c r="AB70" i="44"/>
  <c r="AA72" i="44"/>
  <c r="AF73" i="44"/>
  <c r="Z74" i="44"/>
  <c r="X76" i="44"/>
  <c r="AD77" i="44"/>
  <c r="Z80" i="44"/>
  <c r="AJ8" i="41"/>
  <c r="Z6" i="41"/>
  <c r="AH6" i="41" s="1"/>
  <c r="Z13" i="41"/>
  <c r="AH13" i="41" s="1"/>
  <c r="AJ13" i="41"/>
  <c r="Z4" i="41"/>
  <c r="AH4" i="41" s="1"/>
  <c r="Z8" i="41"/>
  <c r="AH8" i="41" s="1"/>
  <c r="Z5" i="41"/>
  <c r="AH5" i="41" s="1"/>
  <c r="Z3" i="41"/>
  <c r="AH3" i="41" s="1"/>
  <c r="AJ5" i="41"/>
  <c r="AJ3" i="41"/>
  <c r="U10" i="41"/>
  <c r="AI10" i="41" s="1"/>
  <c r="R9" i="41"/>
  <c r="X9" i="41" s="1"/>
  <c r="AF9" i="41" s="1"/>
  <c r="R10" i="41"/>
  <c r="M401" i="41"/>
  <c r="U9" i="41" s="1"/>
  <c r="R11" i="41"/>
  <c r="M600" i="41"/>
  <c r="U11" i="41" s="1"/>
  <c r="AI11" i="41" s="1"/>
  <c r="M670" i="41"/>
  <c r="U12" i="41" s="1"/>
  <c r="AI12" i="41" s="1"/>
  <c r="R12" i="41"/>
  <c r="Y3" i="41"/>
  <c r="AG3" i="41" s="1"/>
  <c r="AF4" i="41"/>
  <c r="AG6" i="41"/>
  <c r="Y8" i="41"/>
  <c r="AG8" i="41" s="1"/>
  <c r="AG5" i="41"/>
  <c r="AJ4" i="41"/>
  <c r="X5" i="41"/>
  <c r="AF5" i="41" s="1"/>
  <c r="AT2" i="37"/>
  <c r="AT7" i="37" s="1"/>
  <c r="AO2" i="37"/>
  <c r="AO7" i="37" s="1"/>
  <c r="AJ2" i="37"/>
  <c r="AJ7" i="37" s="1"/>
  <c r="AC172" i="38"/>
  <c r="AI5" i="38" s="1"/>
  <c r="AC260" i="38"/>
  <c r="AC266" i="38"/>
  <c r="AC324" i="38"/>
  <c r="AC330" i="38"/>
  <c r="AC208" i="38"/>
  <c r="AC228" i="38"/>
  <c r="AC243" i="38"/>
  <c r="AC268" i="38"/>
  <c r="AC332" i="38"/>
  <c r="AC276" i="38"/>
  <c r="AC282" i="38"/>
  <c r="AC340" i="38"/>
  <c r="AC43" i="38"/>
  <c r="AC194" i="38"/>
  <c r="AC210" i="38"/>
  <c r="AC219" i="38"/>
  <c r="AC236" i="38"/>
  <c r="AC251" i="38"/>
  <c r="AC284" i="38"/>
  <c r="AC187" i="38"/>
  <c r="AC196" i="38"/>
  <c r="AC203" i="38"/>
  <c r="AC212" i="38"/>
  <c r="AC292" i="38"/>
  <c r="AC298" i="38"/>
  <c r="AC314" i="38"/>
  <c r="AC200" i="38"/>
  <c r="AC227" i="38"/>
  <c r="AC244" i="38"/>
  <c r="AC300" i="38"/>
  <c r="AC3" i="38"/>
  <c r="AC5" i="38"/>
  <c r="AC7" i="38"/>
  <c r="AC9" i="38"/>
  <c r="AC11" i="38"/>
  <c r="AC13" i="38"/>
  <c r="AC15" i="38"/>
  <c r="AC17" i="38"/>
  <c r="AC19" i="38"/>
  <c r="AC21" i="38"/>
  <c r="AC23" i="38"/>
  <c r="AC25" i="38"/>
  <c r="AC27" i="38"/>
  <c r="AC29" i="38"/>
  <c r="AC31" i="38"/>
  <c r="AC33" i="38"/>
  <c r="AC35" i="38"/>
  <c r="AC37" i="38"/>
  <c r="AC42" i="38"/>
  <c r="AC218" i="38"/>
  <c r="AC250" i="38"/>
  <c r="AC308" i="38"/>
  <c r="AC185" i="38"/>
  <c r="AC193" i="38"/>
  <c r="AC201" i="38"/>
  <c r="AC209" i="38"/>
  <c r="AC217" i="38"/>
  <c r="AC225" i="38"/>
  <c r="AC233" i="38"/>
  <c r="AC241" i="38"/>
  <c r="AC249" i="38"/>
  <c r="AC257" i="38"/>
  <c r="AC265" i="38"/>
  <c r="AC273" i="38"/>
  <c r="AC281" i="38"/>
  <c r="AC289" i="38"/>
  <c r="AC297" i="38"/>
  <c r="AC305" i="38"/>
  <c r="AC313" i="38"/>
  <c r="AC321" i="38"/>
  <c r="AC329" i="38"/>
  <c r="AC337" i="38"/>
  <c r="AC190" i="38"/>
  <c r="AC198" i="38"/>
  <c r="AC206" i="38"/>
  <c r="AC214" i="38"/>
  <c r="AC222" i="38"/>
  <c r="AC230" i="38"/>
  <c r="AC238" i="38"/>
  <c r="AC246" i="38"/>
  <c r="AC254" i="38"/>
  <c r="AC262" i="38"/>
  <c r="AC270" i="38"/>
  <c r="AC278" i="38"/>
  <c r="AC286" i="38"/>
  <c r="AC294" i="38"/>
  <c r="AC302" i="38"/>
  <c r="AC310" i="38"/>
  <c r="AC318" i="38"/>
  <c r="AC326" i="38"/>
  <c r="AC334" i="38"/>
  <c r="AC342" i="38"/>
  <c r="AJ8" i="37"/>
  <c r="AC259" i="38"/>
  <c r="AC267" i="38"/>
  <c r="AC275" i="38"/>
  <c r="AC283" i="38"/>
  <c r="AC291" i="38"/>
  <c r="AC299" i="38"/>
  <c r="AC307" i="38"/>
  <c r="AC315" i="38"/>
  <c r="AC323" i="38"/>
  <c r="AC331" i="38"/>
  <c r="AC339" i="38"/>
  <c r="AC216" i="38"/>
  <c r="AC224" i="38"/>
  <c r="AC232" i="38"/>
  <c r="AC240" i="38"/>
  <c r="AC248" i="38"/>
  <c r="AC256" i="38"/>
  <c r="AC264" i="38"/>
  <c r="AC272" i="38"/>
  <c r="AC280" i="38"/>
  <c r="AC288" i="38"/>
  <c r="AC296" i="38"/>
  <c r="AC304" i="38"/>
  <c r="AC312" i="38"/>
  <c r="AC320" i="38"/>
  <c r="AC328" i="38"/>
  <c r="AC336" i="38"/>
  <c r="AC344" i="38"/>
  <c r="AT8" i="37"/>
  <c r="AC189" i="38"/>
  <c r="AC197" i="38"/>
  <c r="AC205" i="38"/>
  <c r="AC213" i="38"/>
  <c r="AC221" i="38"/>
  <c r="AC229" i="38"/>
  <c r="AC237" i="38"/>
  <c r="AC245" i="38"/>
  <c r="AC253" i="38"/>
  <c r="AC261" i="38"/>
  <c r="AC269" i="38"/>
  <c r="AC277" i="38"/>
  <c r="AC285" i="38"/>
  <c r="AC293" i="38"/>
  <c r="AC301" i="38"/>
  <c r="AC309" i="38"/>
  <c r="AC317" i="38"/>
  <c r="AC325" i="38"/>
  <c r="AC333" i="38"/>
  <c r="AC341" i="38"/>
  <c r="AC226" i="38"/>
  <c r="AC234" i="38"/>
  <c r="AC242" i="38"/>
  <c r="AC258" i="38"/>
  <c r="AC274" i="38"/>
  <c r="AC290" i="38"/>
  <c r="AC306" i="38"/>
  <c r="AC322" i="38"/>
  <c r="AC338" i="38"/>
  <c r="AC191" i="38"/>
  <c r="AC199" i="38"/>
  <c r="AC207" i="38"/>
  <c r="AC215" i="38"/>
  <c r="AC223" i="38"/>
  <c r="AC231" i="38"/>
  <c r="AC239" i="38"/>
  <c r="AC247" i="38"/>
  <c r="AC255" i="38"/>
  <c r="AC263" i="38"/>
  <c r="AC271" i="38"/>
  <c r="AC279" i="38"/>
  <c r="AC287" i="38"/>
  <c r="AC295" i="38"/>
  <c r="AC303" i="38"/>
  <c r="AC311" i="38"/>
  <c r="AC319" i="38"/>
  <c r="AC327" i="38"/>
  <c r="AC335" i="38"/>
  <c r="AC343" i="38"/>
  <c r="V46" i="34"/>
  <c r="V46" i="33"/>
  <c r="V46" i="31"/>
  <c r="V46" i="32"/>
  <c r="AB54" i="30"/>
  <c r="AB54" i="29"/>
  <c r="AB54" i="28"/>
  <c r="R45" i="34"/>
  <c r="R45" i="33"/>
  <c r="R45" i="32"/>
  <c r="R45" i="31"/>
  <c r="AD55" i="30"/>
  <c r="AD55" i="29"/>
  <c r="AD55" i="28"/>
  <c r="AD57" i="27"/>
  <c r="Z46" i="34"/>
  <c r="Z46" i="33"/>
  <c r="Z46" i="31"/>
  <c r="Z46" i="32"/>
  <c r="AI56" i="30"/>
  <c r="AI56" i="29"/>
  <c r="AI56" i="28"/>
  <c r="AI58" i="27"/>
  <c r="R54" i="29"/>
  <c r="R58" i="29" s="1"/>
  <c r="R54" i="30"/>
  <c r="R54" i="28"/>
  <c r="AE54" i="29"/>
  <c r="AE54" i="30"/>
  <c r="AE54" i="28"/>
  <c r="AD56" i="30"/>
  <c r="AD56" i="29"/>
  <c r="AD58" i="27"/>
  <c r="AD56" i="28"/>
  <c r="V44" i="34"/>
  <c r="V44" i="33"/>
  <c r="V44" i="31"/>
  <c r="V44" i="32"/>
  <c r="F36" i="5"/>
  <c r="Q46" i="34"/>
  <c r="Q46" i="33"/>
  <c r="Q46" i="32"/>
  <c r="Q46" i="31"/>
  <c r="AJ54" i="30"/>
  <c r="AJ54" i="29"/>
  <c r="AJ58" i="29" s="1"/>
  <c r="AJ54" i="28"/>
  <c r="AG54" i="29"/>
  <c r="AG54" i="30"/>
  <c r="AG54" i="28"/>
  <c r="V45" i="34"/>
  <c r="V45" i="33"/>
  <c r="V45" i="32"/>
  <c r="V45" i="31"/>
  <c r="Q45" i="34"/>
  <c r="Q45" i="33"/>
  <c r="Q45" i="32"/>
  <c r="Q45" i="31"/>
  <c r="AJ55" i="30"/>
  <c r="AJ55" i="29"/>
  <c r="AJ55" i="28"/>
  <c r="AJ57" i="27"/>
  <c r="W56" i="27"/>
  <c r="AG56" i="30"/>
  <c r="AG56" i="29"/>
  <c r="AG56" i="28"/>
  <c r="AG58" i="27"/>
  <c r="U56" i="30"/>
  <c r="U56" i="29"/>
  <c r="U56" i="28"/>
  <c r="AH54" i="29"/>
  <c r="AH54" i="30"/>
  <c r="AH54" i="28"/>
  <c r="AJ56" i="30"/>
  <c r="AJ56" i="29"/>
  <c r="AJ58" i="27"/>
  <c r="AJ56" i="28"/>
  <c r="S54" i="29"/>
  <c r="S54" i="30"/>
  <c r="S54" i="28"/>
  <c r="D28" i="5"/>
  <c r="AL56" i="27" s="1"/>
  <c r="X44" i="34"/>
  <c r="X44" i="33"/>
  <c r="X44" i="31"/>
  <c r="X44" i="32"/>
  <c r="V56" i="30"/>
  <c r="V56" i="29"/>
  <c r="V56" i="28"/>
  <c r="V58" i="27"/>
  <c r="AH55" i="30"/>
  <c r="AH55" i="28"/>
  <c r="AH55" i="29"/>
  <c r="Y44" i="34"/>
  <c r="Y44" i="33"/>
  <c r="Y48" i="33" s="1"/>
  <c r="Y44" i="32"/>
  <c r="Y48" i="32" s="1"/>
  <c r="Y44" i="31"/>
  <c r="AB55" i="30"/>
  <c r="AB55" i="29"/>
  <c r="AB55" i="28"/>
  <c r="E28" i="5"/>
  <c r="X46" i="34"/>
  <c r="X46" i="33"/>
  <c r="X46" i="31"/>
  <c r="X46" i="32"/>
  <c r="Z56" i="30"/>
  <c r="Z56" i="29"/>
  <c r="Z56" i="28"/>
  <c r="Z58" i="27"/>
  <c r="AH56" i="30"/>
  <c r="AH56" i="29"/>
  <c r="AH58" i="27"/>
  <c r="AH56" i="28"/>
  <c r="Y45" i="34"/>
  <c r="Y45" i="33"/>
  <c r="Y45" i="32"/>
  <c r="Y45" i="31"/>
  <c r="AH57" i="27"/>
  <c r="F18" i="5"/>
  <c r="F28" i="5"/>
  <c r="Z44" i="34"/>
  <c r="Z44" i="33"/>
  <c r="Z44" i="32"/>
  <c r="Z44" i="31"/>
  <c r="AA56" i="30"/>
  <c r="AA56" i="29"/>
  <c r="AA56" i="28"/>
  <c r="AA58" i="27"/>
  <c r="AI54" i="29"/>
  <c r="AI58" i="29" s="1"/>
  <c r="AI54" i="30"/>
  <c r="AI54" i="28"/>
  <c r="Y46" i="34"/>
  <c r="Y46" i="33"/>
  <c r="Y46" i="32"/>
  <c r="Y46" i="31"/>
  <c r="AD54" i="29"/>
  <c r="AD54" i="30"/>
  <c r="AD54" i="28"/>
  <c r="Z45" i="34"/>
  <c r="Z45" i="33"/>
  <c r="Z45" i="32"/>
  <c r="Z45" i="31"/>
  <c r="T46" i="34"/>
  <c r="T46" i="32"/>
  <c r="T46" i="33"/>
  <c r="T46" i="31"/>
  <c r="AI55" i="30"/>
  <c r="AI55" i="29"/>
  <c r="AI55" i="28"/>
  <c r="AK54" i="29"/>
  <c r="AK58" i="29" s="1"/>
  <c r="AK54" i="30"/>
  <c r="AK54" i="28"/>
  <c r="P54" i="30"/>
  <c r="P54" i="29"/>
  <c r="P58" i="29" s="1"/>
  <c r="P54" i="28"/>
  <c r="AC54" i="29"/>
  <c r="AC58" i="29" s="1"/>
  <c r="AC54" i="30"/>
  <c r="AC54" i="28"/>
  <c r="AF54" i="30"/>
  <c r="AF54" i="29"/>
  <c r="AF54" i="28"/>
  <c r="M54" i="29"/>
  <c r="M58" i="29" s="1"/>
  <c r="M54" i="30"/>
  <c r="M54" i="28"/>
  <c r="Q54" i="29"/>
  <c r="Q58" i="29" s="1"/>
  <c r="Q54" i="30"/>
  <c r="U54" i="29"/>
  <c r="U58" i="29" s="1"/>
  <c r="U54" i="30"/>
  <c r="U54" i="28"/>
  <c r="X54" i="30"/>
  <c r="X54" i="29"/>
  <c r="X58" i="29" s="1"/>
  <c r="X54" i="28"/>
  <c r="Z54" i="29"/>
  <c r="Z58" i="29" s="1"/>
  <c r="Z7" i="30" s="1"/>
  <c r="Z54" i="30"/>
  <c r="Z54" i="28"/>
  <c r="O54" i="29"/>
  <c r="O58" i="29" s="1"/>
  <c r="O54" i="30"/>
  <c r="O54" i="28"/>
  <c r="AA54" i="29"/>
  <c r="AA58" i="29" s="1"/>
  <c r="AA40" i="30" s="1"/>
  <c r="AA54" i="30"/>
  <c r="AA54" i="28"/>
  <c r="L54" i="30"/>
  <c r="L54" i="29"/>
  <c r="L58" i="29" s="1"/>
  <c r="AA38" i="30"/>
  <c r="M63" i="27"/>
  <c r="M66" i="27"/>
  <c r="M68" i="27"/>
  <c r="M69" i="27"/>
  <c r="R8" i="45" l="1"/>
  <c r="AL90" i="43"/>
  <c r="AQ90" i="43"/>
  <c r="AN90" i="43"/>
  <c r="BA90" i="43"/>
  <c r="AI90" i="43"/>
  <c r="BC90" i="43"/>
  <c r="AS90" i="43"/>
  <c r="AX90" i="43"/>
  <c r="AU90" i="43"/>
  <c r="AK90" i="43"/>
  <c r="AP90" i="43"/>
  <c r="AM90" i="43"/>
  <c r="AZ90" i="43"/>
  <c r="AW90" i="43"/>
  <c r="AR90" i="43"/>
  <c r="AO90" i="43"/>
  <c r="BB90" i="43"/>
  <c r="AJ90" i="43"/>
  <c r="BD90" i="43"/>
  <c r="AT90" i="43"/>
  <c r="AY90" i="43"/>
  <c r="AV90" i="43"/>
  <c r="AW58" i="43"/>
  <c r="AU58" i="43"/>
  <c r="AP58" i="43"/>
  <c r="AR58" i="43"/>
  <c r="BC58" i="43"/>
  <c r="V8" i="45" s="1"/>
  <c r="AO58" i="43"/>
  <c r="H8" i="45" s="1"/>
  <c r="BD58" i="43"/>
  <c r="W8" i="45" s="1"/>
  <c r="AJ58" i="43"/>
  <c r="AV58" i="43"/>
  <c r="AQ58" i="43"/>
  <c r="J8" i="45" s="1"/>
  <c r="AN58" i="43"/>
  <c r="BB58" i="43"/>
  <c r="AI58" i="43"/>
  <c r="AK58" i="43"/>
  <c r="AS58" i="43"/>
  <c r="AT58" i="43"/>
  <c r="M8" i="45" s="1"/>
  <c r="AY58" i="43"/>
  <c r="BA58" i="43"/>
  <c r="T8" i="45" s="1"/>
  <c r="AL58" i="43"/>
  <c r="AX58" i="43"/>
  <c r="AZ58" i="43"/>
  <c r="AM58" i="43"/>
  <c r="F8" i="45" s="1"/>
  <c r="AN93" i="43"/>
  <c r="AS93" i="43"/>
  <c r="BC93" i="43"/>
  <c r="AK93" i="43"/>
  <c r="AX93" i="43"/>
  <c r="AU93" i="43"/>
  <c r="AZ93" i="43"/>
  <c r="AP93" i="43"/>
  <c r="AM93" i="43"/>
  <c r="AR93" i="43"/>
  <c r="AW93" i="43"/>
  <c r="BB93" i="43"/>
  <c r="AJ93" i="43"/>
  <c r="AO93" i="43"/>
  <c r="AT93" i="43"/>
  <c r="AY93" i="43"/>
  <c r="BD93" i="43"/>
  <c r="AL93" i="43"/>
  <c r="AQ93" i="43"/>
  <c r="AV93" i="43"/>
  <c r="BA93" i="43"/>
  <c r="AI93" i="43"/>
  <c r="AB47" i="44"/>
  <c r="G8" i="46" s="1"/>
  <c r="AF47" i="44"/>
  <c r="K8" i="46" s="1"/>
  <c r="Z47" i="44"/>
  <c r="E8" i="46" s="1"/>
  <c r="AA47" i="44"/>
  <c r="F8" i="46" s="1"/>
  <c r="AC47" i="44"/>
  <c r="H8" i="46" s="1"/>
  <c r="Y47" i="44"/>
  <c r="D8" i="46" s="1"/>
  <c r="W47" i="44"/>
  <c r="B8" i="46" s="1"/>
  <c r="AD47" i="44"/>
  <c r="I8" i="46" s="1"/>
  <c r="AE47" i="44"/>
  <c r="J8" i="46" s="1"/>
  <c r="X47" i="44"/>
  <c r="C8" i="46" s="1"/>
  <c r="AB82" i="44"/>
  <c r="W82" i="44"/>
  <c r="AD82" i="44"/>
  <c r="AC82" i="44"/>
  <c r="Z82" i="44"/>
  <c r="Y82" i="44"/>
  <c r="AF82" i="44"/>
  <c r="X82" i="44"/>
  <c r="AA82" i="44"/>
  <c r="AE82" i="44"/>
  <c r="AW75" i="43"/>
  <c r="AL75" i="43"/>
  <c r="AP75" i="43"/>
  <c r="AO75" i="43"/>
  <c r="BA75" i="43"/>
  <c r="AI75" i="43"/>
  <c r="P75" i="43"/>
  <c r="AS75" i="43"/>
  <c r="R75" i="43"/>
  <c r="BD75" i="43"/>
  <c r="AK75" i="43"/>
  <c r="BC75" i="43"/>
  <c r="AV75" i="43"/>
  <c r="AZ75" i="43"/>
  <c r="AY75" i="43"/>
  <c r="AN75" i="43"/>
  <c r="AR75" i="43"/>
  <c r="AU75" i="43"/>
  <c r="BB75" i="43"/>
  <c r="AJ75" i="43"/>
  <c r="AQ75" i="43"/>
  <c r="AT75" i="43"/>
  <c r="AX75" i="43"/>
  <c r="AM75" i="43"/>
  <c r="M67" i="27"/>
  <c r="U8" i="45"/>
  <c r="O8" i="45"/>
  <c r="D8" i="45"/>
  <c r="AI2" i="38"/>
  <c r="I37" i="34"/>
  <c r="I21" i="32"/>
  <c r="I5" i="33"/>
  <c r="I36" i="29"/>
  <c r="I50" i="29"/>
  <c r="AA6" i="30"/>
  <c r="AA12" i="30"/>
  <c r="I39" i="31"/>
  <c r="AA43" i="31" s="1"/>
  <c r="I37" i="44"/>
  <c r="I23" i="32"/>
  <c r="I21" i="34"/>
  <c r="I5" i="32"/>
  <c r="I36" i="27"/>
  <c r="I50" i="27"/>
  <c r="AI8" i="38"/>
  <c r="AA50" i="30"/>
  <c r="I36" i="43"/>
  <c r="I40" i="31"/>
  <c r="I38" i="27"/>
  <c r="I6" i="28"/>
  <c r="AA44" i="30"/>
  <c r="P8" i="45"/>
  <c r="N8" i="45"/>
  <c r="I8" i="45"/>
  <c r="K8" i="45"/>
  <c r="Q8" i="45"/>
  <c r="L8" i="45"/>
  <c r="E8" i="45"/>
  <c r="S8" i="45"/>
  <c r="AI7" i="38"/>
  <c r="Z26" i="30"/>
  <c r="AA39" i="30"/>
  <c r="X11" i="41"/>
  <c r="AF11" i="41" s="1"/>
  <c r="P14" i="5"/>
  <c r="P17" i="5" s="1"/>
  <c r="Z31" i="30"/>
  <c r="I37" i="32"/>
  <c r="I21" i="31"/>
  <c r="I38" i="35"/>
  <c r="I6" i="35"/>
  <c r="P13" i="5"/>
  <c r="P16" i="5" s="1"/>
  <c r="AA14" i="30"/>
  <c r="AI6" i="38"/>
  <c r="I5" i="31"/>
  <c r="Y47" i="31" s="1"/>
  <c r="P12" i="5"/>
  <c r="P15" i="5" s="1"/>
  <c r="AA9" i="30"/>
  <c r="AA42" i="30"/>
  <c r="Z20" i="30"/>
  <c r="AA17" i="30"/>
  <c r="Z30" i="30"/>
  <c r="AA25" i="30"/>
  <c r="F4" i="5"/>
  <c r="E4" i="5"/>
  <c r="Z41" i="30"/>
  <c r="AA34" i="30"/>
  <c r="E30" i="5"/>
  <c r="F30" i="5"/>
  <c r="AI55" i="27"/>
  <c r="AI60" i="27" s="1"/>
  <c r="X12" i="41"/>
  <c r="AF12" i="41" s="1"/>
  <c r="AI9" i="41"/>
  <c r="L44" i="31"/>
  <c r="Z9" i="30"/>
  <c r="Z13" i="30"/>
  <c r="Z24" i="30"/>
  <c r="Z34" i="30"/>
  <c r="Z45" i="30"/>
  <c r="Z35" i="30"/>
  <c r="AA20" i="30"/>
  <c r="AA10" i="30"/>
  <c r="AA21" i="30"/>
  <c r="AA33" i="30"/>
  <c r="AA46" i="30"/>
  <c r="AA48" i="30"/>
  <c r="Z10" i="30"/>
  <c r="Z21" i="30"/>
  <c r="Z11" i="30"/>
  <c r="Z42" i="30"/>
  <c r="Z32" i="30"/>
  <c r="Z43" i="30"/>
  <c r="AA18" i="30"/>
  <c r="AA30" i="30"/>
  <c r="AA29" i="30"/>
  <c r="AA15" i="30"/>
  <c r="AA37" i="30"/>
  <c r="AA43" i="30"/>
  <c r="Z6" i="30"/>
  <c r="Z25" i="30"/>
  <c r="Z15" i="30"/>
  <c r="Z46" i="30"/>
  <c r="Z36" i="30"/>
  <c r="Z47" i="30"/>
  <c r="AA8" i="30"/>
  <c r="AA31" i="30"/>
  <c r="AA36" i="30"/>
  <c r="AA19" i="30"/>
  <c r="AA41" i="30"/>
  <c r="AA47" i="30"/>
  <c r="Z5" i="30"/>
  <c r="Z17" i="30"/>
  <c r="Z28" i="30"/>
  <c r="Z38" i="30"/>
  <c r="Z49" i="30"/>
  <c r="Z39" i="30"/>
  <c r="Z14" i="30"/>
  <c r="Z29" i="30"/>
  <c r="Z19" i="30"/>
  <c r="Z50" i="30"/>
  <c r="Z40" i="30"/>
  <c r="Z51" i="30"/>
  <c r="AA16" i="30"/>
  <c r="AA22" i="30"/>
  <c r="AA35" i="30"/>
  <c r="AA23" i="30"/>
  <c r="AA45" i="30"/>
  <c r="AA51" i="30"/>
  <c r="Z18" i="30"/>
  <c r="Z12" i="30"/>
  <c r="Z23" i="30"/>
  <c r="Z33" i="30"/>
  <c r="Z44" i="30"/>
  <c r="Z8" i="30"/>
  <c r="AA11" i="30"/>
  <c r="AA26" i="30"/>
  <c r="AA24" i="30"/>
  <c r="AA27" i="30"/>
  <c r="AA49" i="30"/>
  <c r="Z22" i="30"/>
  <c r="Z16" i="30"/>
  <c r="Z27" i="30"/>
  <c r="Z37" i="30"/>
  <c r="Z48" i="30"/>
  <c r="AA5" i="30"/>
  <c r="AA7" i="30"/>
  <c r="AA13" i="30"/>
  <c r="AA28" i="30"/>
  <c r="AA32" i="30"/>
  <c r="F10" i="46"/>
  <c r="C10" i="46"/>
  <c r="I10" i="46"/>
  <c r="G10" i="46"/>
  <c r="F10" i="45"/>
  <c r="M10" i="45"/>
  <c r="B10" i="45"/>
  <c r="B8" i="45"/>
  <c r="V10" i="45"/>
  <c r="E10" i="46"/>
  <c r="P10" i="45"/>
  <c r="C10" i="45"/>
  <c r="C8" i="45"/>
  <c r="L10" i="45"/>
  <c r="D10" i="46"/>
  <c r="U10" i="45"/>
  <c r="E10" i="45"/>
  <c r="K10" i="45"/>
  <c r="D10" i="45"/>
  <c r="J10" i="45"/>
  <c r="R10" i="45"/>
  <c r="S10" i="45"/>
  <c r="H10" i="46"/>
  <c r="T10" i="45"/>
  <c r="H10" i="45"/>
  <c r="G10" i="45"/>
  <c r="G8" i="45"/>
  <c r="J10" i="46"/>
  <c r="I10" i="45"/>
  <c r="O10" i="45"/>
  <c r="N10" i="45"/>
  <c r="K10" i="46"/>
  <c r="B10" i="46"/>
  <c r="Q10" i="45"/>
  <c r="W10" i="45"/>
  <c r="X10" i="41"/>
  <c r="AF10" i="41" s="1"/>
  <c r="AJ9" i="37"/>
  <c r="AT9" i="37"/>
  <c r="AO9" i="37"/>
  <c r="L44" i="33"/>
  <c r="L48" i="33" s="1"/>
  <c r="AL56" i="30"/>
  <c r="AL56" i="29"/>
  <c r="AL58" i="27"/>
  <c r="AL56" i="28"/>
  <c r="AB56" i="30"/>
  <c r="AB56" i="29"/>
  <c r="AB58" i="27"/>
  <c r="AB56" i="28"/>
  <c r="AL55" i="30"/>
  <c r="AL55" i="29"/>
  <c r="AL55" i="28"/>
  <c r="AL57" i="27"/>
  <c r="R46" i="34"/>
  <c r="R46" i="33"/>
  <c r="R46" i="31"/>
  <c r="R46" i="32"/>
  <c r="AL54" i="29"/>
  <c r="AL54" i="30"/>
  <c r="AL54" i="28"/>
  <c r="AH58" i="29"/>
  <c r="W54" i="29"/>
  <c r="W58" i="29" s="1"/>
  <c r="W54" i="30"/>
  <c r="W54" i="28"/>
  <c r="Q44" i="34"/>
  <c r="Q44" i="33"/>
  <c r="Q48" i="33" s="1"/>
  <c r="Q47" i="33" s="1"/>
  <c r="Q44" i="31"/>
  <c r="Q44" i="32"/>
  <c r="Q48" i="32" s="1"/>
  <c r="Q47" i="32" s="1"/>
  <c r="D36" i="5"/>
  <c r="M64" i="27"/>
  <c r="M70" i="27" s="1"/>
  <c r="D34" i="5"/>
  <c r="L8" i="46" l="1"/>
  <c r="Y47" i="33"/>
  <c r="Y47" i="32"/>
  <c r="AK88" i="43"/>
  <c r="D6" i="45" s="1"/>
  <c r="BC88" i="43"/>
  <c r="V6" i="45" s="1"/>
  <c r="AR88" i="43"/>
  <c r="K6" i="45" s="1"/>
  <c r="AY88" i="43"/>
  <c r="R6" i="45" s="1"/>
  <c r="AU88" i="43"/>
  <c r="N6" i="45" s="1"/>
  <c r="AQ88" i="43"/>
  <c r="J6" i="45" s="1"/>
  <c r="AM88" i="43"/>
  <c r="F6" i="45" s="1"/>
  <c r="BB88" i="43"/>
  <c r="U6" i="45" s="1"/>
  <c r="AI88" i="43"/>
  <c r="B6" i="45" s="1"/>
  <c r="AN88" i="43"/>
  <c r="G6" i="45" s="1"/>
  <c r="AT88" i="43"/>
  <c r="M6" i="45" s="1"/>
  <c r="AX88" i="43"/>
  <c r="Q6" i="45" s="1"/>
  <c r="AJ88" i="43"/>
  <c r="C6" i="45" s="1"/>
  <c r="AL88" i="43"/>
  <c r="E6" i="45" s="1"/>
  <c r="AP88" i="43"/>
  <c r="I6" i="45" s="1"/>
  <c r="BD88" i="43"/>
  <c r="W6" i="45" s="1"/>
  <c r="BA88" i="43"/>
  <c r="T6" i="45" s="1"/>
  <c r="AW88" i="43"/>
  <c r="P6" i="45" s="1"/>
  <c r="AZ88" i="43"/>
  <c r="S6" i="45" s="1"/>
  <c r="AS88" i="43"/>
  <c r="L6" i="45" s="1"/>
  <c r="AO88" i="43"/>
  <c r="H6" i="45" s="1"/>
  <c r="AV88" i="43"/>
  <c r="O6" i="45" s="1"/>
  <c r="AE79" i="44"/>
  <c r="J6" i="46" s="1"/>
  <c r="AF79" i="44"/>
  <c r="K6" i="46" s="1"/>
  <c r="X79" i="44"/>
  <c r="C6" i="46" s="1"/>
  <c r="AB79" i="44"/>
  <c r="G6" i="46" s="1"/>
  <c r="AA79" i="44"/>
  <c r="F6" i="46" s="1"/>
  <c r="Y79" i="44"/>
  <c r="D6" i="46" s="1"/>
  <c r="Z79" i="44"/>
  <c r="E6" i="46" s="1"/>
  <c r="AC79" i="44"/>
  <c r="H6" i="46" s="1"/>
  <c r="W79" i="44"/>
  <c r="B6" i="46" s="1"/>
  <c r="AD79" i="44"/>
  <c r="I6" i="46" s="1"/>
  <c r="M39" i="27"/>
  <c r="M23" i="27"/>
  <c r="M44" i="27"/>
  <c r="M24" i="27"/>
  <c r="M41" i="27"/>
  <c r="U55" i="27"/>
  <c r="U60" i="27" s="1"/>
  <c r="M46" i="27"/>
  <c r="M50" i="27"/>
  <c r="M49" i="27"/>
  <c r="AE55" i="27"/>
  <c r="AE60" i="27" s="1"/>
  <c r="M43" i="27"/>
  <c r="O55" i="27"/>
  <c r="O60" i="27" s="1"/>
  <c r="M48" i="27"/>
  <c r="Q55" i="27"/>
  <c r="Q60" i="27" s="1"/>
  <c r="M45" i="27"/>
  <c r="AC55" i="27"/>
  <c r="AC60" i="27" s="1"/>
  <c r="V55" i="27"/>
  <c r="M47" i="27"/>
  <c r="M8" i="27"/>
  <c r="L55" i="27"/>
  <c r="L60" i="27" s="1"/>
  <c r="X55" i="27"/>
  <c r="X60" i="27" s="1"/>
  <c r="M18" i="27"/>
  <c r="Z55" i="27"/>
  <c r="M51" i="27"/>
  <c r="M12" i="27"/>
  <c r="AH55" i="27"/>
  <c r="AH60" i="27" s="1"/>
  <c r="M14" i="27"/>
  <c r="R55" i="27"/>
  <c r="R60" i="27" s="1"/>
  <c r="M28" i="27"/>
  <c r="AF55" i="27"/>
  <c r="AF60" i="27" s="1"/>
  <c r="M20" i="27"/>
  <c r="M13" i="27"/>
  <c r="M30" i="27"/>
  <c r="AA55" i="27"/>
  <c r="M32" i="27"/>
  <c r="M29" i="27"/>
  <c r="M34" i="27"/>
  <c r="M22" i="27"/>
  <c r="M21" i="27"/>
  <c r="M31" i="27"/>
  <c r="M7" i="27"/>
  <c r="M36" i="27"/>
  <c r="M11" i="27"/>
  <c r="M33" i="27"/>
  <c r="M25" i="27"/>
  <c r="M38" i="27"/>
  <c r="M35" i="27"/>
  <c r="M17" i="27"/>
  <c r="M40" i="27"/>
  <c r="M19" i="27"/>
  <c r="M37" i="27"/>
  <c r="S55" i="27"/>
  <c r="S60" i="27" s="1"/>
  <c r="M26" i="27"/>
  <c r="W55" i="27"/>
  <c r="W60" i="27" s="1"/>
  <c r="M42" i="27"/>
  <c r="P55" i="27"/>
  <c r="P60" i="27" s="1"/>
  <c r="M27" i="27"/>
  <c r="Y55" i="27"/>
  <c r="Q43" i="31"/>
  <c r="Q48" i="31" s="1"/>
  <c r="M43" i="31"/>
  <c r="P43" i="31"/>
  <c r="S47" i="31"/>
  <c r="T43" i="31"/>
  <c r="S43" i="31"/>
  <c r="V43" i="31"/>
  <c r="W43" i="31"/>
  <c r="W48" i="31" s="1"/>
  <c r="Y43" i="31"/>
  <c r="Y48" i="31" s="1"/>
  <c r="Z43" i="31"/>
  <c r="O43" i="31"/>
  <c r="O47" i="31"/>
  <c r="N47" i="31"/>
  <c r="M47" i="31"/>
  <c r="U47" i="31"/>
  <c r="T47" i="31"/>
  <c r="R43" i="31"/>
  <c r="W47" i="31"/>
  <c r="X43" i="31"/>
  <c r="U43" i="31"/>
  <c r="U48" i="31" s="1"/>
  <c r="N43" i="31"/>
  <c r="N48" i="31" s="1"/>
  <c r="L43" i="31"/>
  <c r="AA53" i="28"/>
  <c r="AA58" i="28" s="1"/>
  <c r="Z53" i="28"/>
  <c r="Z58" i="28" s="1"/>
  <c r="AG53" i="28"/>
  <c r="AF53" i="28"/>
  <c r="AE53" i="28"/>
  <c r="W43" i="32"/>
  <c r="X43" i="32"/>
  <c r="L47" i="31"/>
  <c r="L47" i="33" s="1"/>
  <c r="L44" i="32"/>
  <c r="L48" i="32" s="1"/>
  <c r="N56" i="27"/>
  <c r="N54" i="30" s="1"/>
  <c r="AA53" i="30"/>
  <c r="L44" i="34"/>
  <c r="AI43" i="28"/>
  <c r="AI51" i="28"/>
  <c r="AI39" i="28"/>
  <c r="AI24" i="28"/>
  <c r="AI6" i="28"/>
  <c r="AI35" i="28"/>
  <c r="AI19" i="28"/>
  <c r="AI8" i="28"/>
  <c r="AI22" i="28"/>
  <c r="AI47" i="28"/>
  <c r="AI25" i="28"/>
  <c r="AI7" i="28"/>
  <c r="AI42" i="28"/>
  <c r="AI48" i="28"/>
  <c r="AI36" i="28"/>
  <c r="AI20" i="28"/>
  <c r="AI50" i="28"/>
  <c r="AI31" i="28"/>
  <c r="AI15" i="28"/>
  <c r="AI34" i="28"/>
  <c r="AI18" i="28"/>
  <c r="AI37" i="28"/>
  <c r="AI21" i="28"/>
  <c r="AI13" i="28"/>
  <c r="AI45" i="28"/>
  <c r="AI41" i="28"/>
  <c r="AI32" i="28"/>
  <c r="AI16" i="28"/>
  <c r="AI49" i="28"/>
  <c r="AI27" i="28"/>
  <c r="AI12" i="28"/>
  <c r="AI30" i="28"/>
  <c r="AI14" i="28"/>
  <c r="AI33" i="28"/>
  <c r="AI17" i="28"/>
  <c r="AI46" i="28"/>
  <c r="AI38" i="28"/>
  <c r="AI40" i="28"/>
  <c r="AI28" i="28"/>
  <c r="AI9" i="28"/>
  <c r="AI44" i="28"/>
  <c r="AI23" i="28"/>
  <c r="AI5" i="28"/>
  <c r="AI26" i="28"/>
  <c r="AI11" i="28"/>
  <c r="AI29" i="28"/>
  <c r="AI10" i="28"/>
  <c r="Z53" i="30"/>
  <c r="L10" i="46"/>
  <c r="X8" i="45"/>
  <c r="X10" i="45"/>
  <c r="Y10" i="32"/>
  <c r="Y7" i="32"/>
  <c r="Y9" i="32"/>
  <c r="Y18" i="32"/>
  <c r="Y15" i="32"/>
  <c r="Y6" i="32"/>
  <c r="Y8" i="32"/>
  <c r="Y5" i="32"/>
  <c r="Y28" i="32"/>
  <c r="Y36" i="32"/>
  <c r="Y16" i="32"/>
  <c r="Y27" i="32"/>
  <c r="Y22" i="32"/>
  <c r="Y24" i="32"/>
  <c r="Y19" i="32"/>
  <c r="Y35" i="32"/>
  <c r="Y30" i="32"/>
  <c r="Y32" i="32"/>
  <c r="Y33" i="32"/>
  <c r="Y14" i="32"/>
  <c r="Y38" i="32"/>
  <c r="Y40" i="32"/>
  <c r="Y41" i="32"/>
  <c r="Y11" i="32"/>
  <c r="Y13" i="32"/>
  <c r="Y23" i="32"/>
  <c r="Y26" i="32"/>
  <c r="Y21" i="32"/>
  <c r="Y31" i="32"/>
  <c r="Y20" i="32"/>
  <c r="Y17" i="32"/>
  <c r="Y34" i="32"/>
  <c r="Y29" i="32"/>
  <c r="Y39" i="32"/>
  <c r="Y12" i="32"/>
  <c r="Y25" i="32"/>
  <c r="Y37" i="32"/>
  <c r="R44" i="34"/>
  <c r="R44" i="33"/>
  <c r="R44" i="32"/>
  <c r="R44" i="31"/>
  <c r="N54" i="29"/>
  <c r="N58" i="29" s="1"/>
  <c r="N54" i="28"/>
  <c r="D45" i="5"/>
  <c r="P44" i="34"/>
  <c r="P44" i="33"/>
  <c r="P44" i="31"/>
  <c r="P44" i="32"/>
  <c r="N7" i="32"/>
  <c r="N9" i="32"/>
  <c r="N6" i="32"/>
  <c r="N8" i="32"/>
  <c r="N15" i="32"/>
  <c r="N10" i="32"/>
  <c r="N5" i="32"/>
  <c r="N17" i="32"/>
  <c r="N11" i="32"/>
  <c r="N41" i="32"/>
  <c r="N20" i="32"/>
  <c r="N22" i="32"/>
  <c r="N27" i="32"/>
  <c r="N14" i="32"/>
  <c r="N19" i="32"/>
  <c r="N38" i="32"/>
  <c r="N24" i="32"/>
  <c r="N18" i="32"/>
  <c r="N35" i="32"/>
  <c r="N13" i="32"/>
  <c r="N32" i="32"/>
  <c r="N30" i="32"/>
  <c r="N23" i="32"/>
  <c r="N40" i="32"/>
  <c r="N16" i="32"/>
  <c r="N12" i="32"/>
  <c r="N31" i="32"/>
  <c r="N28" i="32"/>
  <c r="N29" i="32"/>
  <c r="N21" i="32"/>
  <c r="N39" i="32"/>
  <c r="N25" i="32"/>
  <c r="N26" i="32"/>
  <c r="N36" i="32"/>
  <c r="N37" i="32"/>
  <c r="N33" i="32"/>
  <c r="N34" i="32"/>
  <c r="U15" i="32"/>
  <c r="U8" i="32"/>
  <c r="U5" i="32"/>
  <c r="U10" i="32"/>
  <c r="U7" i="32"/>
  <c r="U9" i="32"/>
  <c r="U6" i="32"/>
  <c r="U33" i="32"/>
  <c r="U28" i="32"/>
  <c r="U30" i="32"/>
  <c r="U23" i="32"/>
  <c r="U13" i="32"/>
  <c r="U41" i="32"/>
  <c r="U36" i="32"/>
  <c r="U38" i="32"/>
  <c r="U31" i="32"/>
  <c r="U17" i="32"/>
  <c r="U12" i="32"/>
  <c r="U24" i="32"/>
  <c r="U39" i="32"/>
  <c r="U18" i="32"/>
  <c r="U11" i="32"/>
  <c r="U21" i="32"/>
  <c r="U32" i="32"/>
  <c r="U27" i="32"/>
  <c r="U29" i="32"/>
  <c r="U26" i="32"/>
  <c r="U20" i="32"/>
  <c r="U16" i="32"/>
  <c r="U40" i="32"/>
  <c r="U35" i="32"/>
  <c r="U37" i="32"/>
  <c r="U14" i="32"/>
  <c r="U19" i="32"/>
  <c r="U25" i="32"/>
  <c r="U34" i="32"/>
  <c r="U22" i="32"/>
  <c r="L47" i="32"/>
  <c r="D10" i="5"/>
  <c r="T56" i="27" s="1"/>
  <c r="X6" i="45" l="1"/>
  <c r="L6" i="46"/>
  <c r="Q9" i="32"/>
  <c r="Q18" i="32"/>
  <c r="Q24" i="32"/>
  <c r="Q41" i="32"/>
  <c r="Q13" i="32"/>
  <c r="Q6" i="32"/>
  <c r="Q36" i="32"/>
  <c r="Q33" i="32"/>
  <c r="Q26" i="32"/>
  <c r="Q11" i="32"/>
  <c r="Q8" i="32"/>
  <c r="Q17" i="32"/>
  <c r="Q21" i="32"/>
  <c r="Q37" i="32"/>
  <c r="Q22" i="32"/>
  <c r="Q15" i="32"/>
  <c r="Q27" i="32"/>
  <c r="Q16" i="32"/>
  <c r="Q31" i="32"/>
  <c r="Q14" i="32"/>
  <c r="Q10" i="32"/>
  <c r="Q25" i="32"/>
  <c r="Q29" i="32"/>
  <c r="Q40" i="32"/>
  <c r="Q28" i="32"/>
  <c r="Q5" i="32"/>
  <c r="Q12" i="32"/>
  <c r="Q38" i="32"/>
  <c r="Q19" i="32"/>
  <c r="Q7" i="32"/>
  <c r="Q35" i="32"/>
  <c r="Q23" i="32"/>
  <c r="Q34" i="32"/>
  <c r="Q20" i="32"/>
  <c r="Q30" i="32"/>
  <c r="Q32" i="32"/>
  <c r="Q39" i="32"/>
  <c r="M48" i="31"/>
  <c r="S20" i="28"/>
  <c r="S5" i="28"/>
  <c r="S33" i="28"/>
  <c r="S38" i="28"/>
  <c r="S28" i="28"/>
  <c r="S24" i="28"/>
  <c r="S16" i="28"/>
  <c r="S18" i="28"/>
  <c r="S42" i="28"/>
  <c r="S48" i="28"/>
  <c r="S37" i="28"/>
  <c r="S34" i="28"/>
  <c r="S25" i="28"/>
  <c r="S9" i="28"/>
  <c r="S35" i="28"/>
  <c r="S40" i="28"/>
  <c r="S22" i="28"/>
  <c r="S27" i="28"/>
  <c r="S17" i="28"/>
  <c r="S19" i="28"/>
  <c r="S44" i="28"/>
  <c r="S41" i="28"/>
  <c r="S31" i="28"/>
  <c r="S36" i="28"/>
  <c r="S7" i="28"/>
  <c r="S32" i="28"/>
  <c r="S6" i="28"/>
  <c r="S13" i="28"/>
  <c r="S43" i="28"/>
  <c r="S47" i="28"/>
  <c r="S26" i="28"/>
  <c r="S30" i="28"/>
  <c r="S14" i="28"/>
  <c r="S15" i="28"/>
  <c r="S50" i="28"/>
  <c r="S45" i="28"/>
  <c r="S51" i="28"/>
  <c r="S12" i="28"/>
  <c r="S23" i="28"/>
  <c r="S11" i="28"/>
  <c r="S49" i="28"/>
  <c r="S46" i="28"/>
  <c r="S8" i="28"/>
  <c r="S10" i="28"/>
  <c r="S21" i="28"/>
  <c r="S29" i="28"/>
  <c r="S39" i="28"/>
  <c r="R18" i="28"/>
  <c r="R18" i="30" s="1"/>
  <c r="R10" i="28"/>
  <c r="R10" i="30" s="1"/>
  <c r="R9" i="28"/>
  <c r="R9" i="30" s="1"/>
  <c r="R35" i="28"/>
  <c r="R35" i="30" s="1"/>
  <c r="R30" i="28"/>
  <c r="R30" i="30" s="1"/>
  <c r="R49" i="28"/>
  <c r="R49" i="30" s="1"/>
  <c r="R11" i="28"/>
  <c r="R11" i="30" s="1"/>
  <c r="R7" i="28"/>
  <c r="R7" i="30" s="1"/>
  <c r="R27" i="28"/>
  <c r="R27" i="30" s="1"/>
  <c r="R45" i="28"/>
  <c r="R45" i="30" s="1"/>
  <c r="R31" i="28"/>
  <c r="R31" i="30" s="1"/>
  <c r="R36" i="28"/>
  <c r="R36" i="30" s="1"/>
  <c r="R8" i="28"/>
  <c r="R8" i="30" s="1"/>
  <c r="R28" i="28"/>
  <c r="R28" i="30" s="1"/>
  <c r="R23" i="28"/>
  <c r="R23" i="30" s="1"/>
  <c r="R34" i="28"/>
  <c r="R34" i="30" s="1"/>
  <c r="R40" i="28"/>
  <c r="R40" i="30" s="1"/>
  <c r="R46" i="28"/>
  <c r="R46" i="30" s="1"/>
  <c r="R25" i="28"/>
  <c r="R25" i="30" s="1"/>
  <c r="R16" i="28"/>
  <c r="R16" i="30" s="1"/>
  <c r="R12" i="28"/>
  <c r="R12" i="30" s="1"/>
  <c r="R33" i="28"/>
  <c r="R33" i="30" s="1"/>
  <c r="R38" i="28"/>
  <c r="R38" i="30" s="1"/>
  <c r="R26" i="28"/>
  <c r="R26" i="30" s="1"/>
  <c r="R21" i="28"/>
  <c r="R21" i="30" s="1"/>
  <c r="R13" i="28"/>
  <c r="R13" i="30" s="1"/>
  <c r="R5" i="28"/>
  <c r="R42" i="28"/>
  <c r="R42" i="30" s="1"/>
  <c r="R39" i="28"/>
  <c r="R39" i="30" s="1"/>
  <c r="R14" i="28"/>
  <c r="R14" i="30" s="1"/>
  <c r="R37" i="28"/>
  <c r="R37" i="30" s="1"/>
  <c r="R44" i="28"/>
  <c r="R44" i="30" s="1"/>
  <c r="R29" i="28"/>
  <c r="R29" i="30" s="1"/>
  <c r="R43" i="28"/>
  <c r="R43" i="30" s="1"/>
  <c r="R17" i="28"/>
  <c r="R17" i="30" s="1"/>
  <c r="R32" i="28"/>
  <c r="R32" i="30" s="1"/>
  <c r="R24" i="28"/>
  <c r="R24" i="30" s="1"/>
  <c r="R51" i="28"/>
  <c r="R51" i="30" s="1"/>
  <c r="R20" i="28"/>
  <c r="R20" i="30" s="1"/>
  <c r="R41" i="28"/>
  <c r="R41" i="30" s="1"/>
  <c r="R6" i="28"/>
  <c r="R6" i="30" s="1"/>
  <c r="R50" i="28"/>
  <c r="R50" i="30" s="1"/>
  <c r="R48" i="28"/>
  <c r="R48" i="30" s="1"/>
  <c r="R19" i="28"/>
  <c r="R19" i="30" s="1"/>
  <c r="R22" i="28"/>
  <c r="R22" i="30" s="1"/>
  <c r="R15" i="28"/>
  <c r="R15" i="30" s="1"/>
  <c r="R47" i="28"/>
  <c r="R47" i="30" s="1"/>
  <c r="L23" i="28"/>
  <c r="L23" i="30" s="1"/>
  <c r="L21" i="28"/>
  <c r="L49" i="28"/>
  <c r="L49" i="30" s="1"/>
  <c r="L18" i="28"/>
  <c r="L11" i="28"/>
  <c r="L11" i="30" s="1"/>
  <c r="L28" i="28"/>
  <c r="L28" i="30" s="1"/>
  <c r="L15" i="28"/>
  <c r="L15" i="30" s="1"/>
  <c r="L10" i="28"/>
  <c r="L10" i="30" s="1"/>
  <c r="L36" i="28"/>
  <c r="L36" i="30" s="1"/>
  <c r="L35" i="28"/>
  <c r="L35" i="30" s="1"/>
  <c r="L32" i="28"/>
  <c r="L32" i="30" s="1"/>
  <c r="L24" i="28"/>
  <c r="L24" i="30" s="1"/>
  <c r="L5" i="28"/>
  <c r="L41" i="28"/>
  <c r="L41" i="30" s="1"/>
  <c r="L46" i="28"/>
  <c r="L46" i="30" s="1"/>
  <c r="L45" i="28"/>
  <c r="L45" i="30" s="1"/>
  <c r="L33" i="28"/>
  <c r="L33" i="30" s="1"/>
  <c r="L6" i="28"/>
  <c r="L8" i="28"/>
  <c r="L8" i="30" s="1"/>
  <c r="L38" i="28"/>
  <c r="L25" i="28"/>
  <c r="L25" i="30" s="1"/>
  <c r="L34" i="28"/>
  <c r="L30" i="28"/>
  <c r="L30" i="30" s="1"/>
  <c r="L9" i="28"/>
  <c r="L14" i="28"/>
  <c r="L14" i="30" s="1"/>
  <c r="L39" i="28"/>
  <c r="L19" i="28"/>
  <c r="L19" i="30" s="1"/>
  <c r="L43" i="28"/>
  <c r="L31" i="28"/>
  <c r="L31" i="30" s="1"/>
  <c r="L13" i="28"/>
  <c r="L13" i="30" s="1"/>
  <c r="L47" i="28"/>
  <c r="L47" i="30" s="1"/>
  <c r="L40" i="28"/>
  <c r="L27" i="28"/>
  <c r="L27" i="30" s="1"/>
  <c r="L44" i="28"/>
  <c r="L26" i="28"/>
  <c r="L26" i="30" s="1"/>
  <c r="L20" i="28"/>
  <c r="L20" i="30" s="1"/>
  <c r="L37" i="28"/>
  <c r="L22" i="28"/>
  <c r="L22" i="30" s="1"/>
  <c r="L12" i="28"/>
  <c r="L12" i="30" s="1"/>
  <c r="L17" i="28"/>
  <c r="L17" i="30" s="1"/>
  <c r="L29" i="28"/>
  <c r="L50" i="28"/>
  <c r="L50" i="30" s="1"/>
  <c r="L7" i="28"/>
  <c r="L7" i="30" s="1"/>
  <c r="L16" i="28"/>
  <c r="L16" i="30" s="1"/>
  <c r="L48" i="28"/>
  <c r="L48" i="30" s="1"/>
  <c r="L51" i="28"/>
  <c r="L51" i="30" s="1"/>
  <c r="L42" i="28"/>
  <c r="L42" i="30" s="1"/>
  <c r="O15" i="28"/>
  <c r="O15" i="30" s="1"/>
  <c r="O17" i="28"/>
  <c r="O17" i="30" s="1"/>
  <c r="O39" i="28"/>
  <c r="O23" i="28"/>
  <c r="O23" i="30" s="1"/>
  <c r="O42" i="28"/>
  <c r="O12" i="28"/>
  <c r="O12" i="30" s="1"/>
  <c r="O10" i="28"/>
  <c r="O10" i="30" s="1"/>
  <c r="O28" i="28"/>
  <c r="O28" i="30" s="1"/>
  <c r="O24" i="28"/>
  <c r="O24" i="30" s="1"/>
  <c r="O43" i="28"/>
  <c r="O43" i="30" s="1"/>
  <c r="O49" i="28"/>
  <c r="O49" i="30" s="1"/>
  <c r="O5" i="28"/>
  <c r="O7" i="28"/>
  <c r="O7" i="30" s="1"/>
  <c r="O37" i="28"/>
  <c r="O37" i="30" s="1"/>
  <c r="O34" i="28"/>
  <c r="O34" i="30" s="1"/>
  <c r="O30" i="28"/>
  <c r="O30" i="30" s="1"/>
  <c r="O46" i="28"/>
  <c r="O46" i="30" s="1"/>
  <c r="O8" i="28"/>
  <c r="O8" i="30" s="1"/>
  <c r="O13" i="28"/>
  <c r="O13" i="30" s="1"/>
  <c r="O27" i="28"/>
  <c r="O27" i="30" s="1"/>
  <c r="O21" i="28"/>
  <c r="O21" i="30" s="1"/>
  <c r="O50" i="28"/>
  <c r="O50" i="30" s="1"/>
  <c r="O9" i="28"/>
  <c r="O9" i="30" s="1"/>
  <c r="O14" i="28"/>
  <c r="O14" i="30" s="1"/>
  <c r="O6" i="28"/>
  <c r="O6" i="30" s="1"/>
  <c r="O36" i="28"/>
  <c r="O36" i="30" s="1"/>
  <c r="O32" i="28"/>
  <c r="O32" i="30" s="1"/>
  <c r="O51" i="28"/>
  <c r="O51" i="30" s="1"/>
  <c r="O20" i="28"/>
  <c r="O20" i="30" s="1"/>
  <c r="O33" i="28"/>
  <c r="O33" i="30" s="1"/>
  <c r="O16" i="28"/>
  <c r="O16" i="30" s="1"/>
  <c r="O40" i="28"/>
  <c r="O40" i="30" s="1"/>
  <c r="O29" i="28"/>
  <c r="O29" i="30" s="1"/>
  <c r="O41" i="28"/>
  <c r="O41" i="30" s="1"/>
  <c r="O47" i="28"/>
  <c r="O47" i="30" s="1"/>
  <c r="O38" i="28"/>
  <c r="O38" i="30" s="1"/>
  <c r="O26" i="28"/>
  <c r="O26" i="30" s="1"/>
  <c r="O11" i="28"/>
  <c r="O11" i="30" s="1"/>
  <c r="O19" i="28"/>
  <c r="O19" i="30" s="1"/>
  <c r="O48" i="28"/>
  <c r="O48" i="30" s="1"/>
  <c r="O31" i="28"/>
  <c r="O31" i="30" s="1"/>
  <c r="O18" i="28"/>
  <c r="O18" i="30" s="1"/>
  <c r="O45" i="28"/>
  <c r="O45" i="30" s="1"/>
  <c r="O22" i="28"/>
  <c r="O22" i="30" s="1"/>
  <c r="O35" i="28"/>
  <c r="O35" i="30" s="1"/>
  <c r="O25" i="28"/>
  <c r="O25" i="30" s="1"/>
  <c r="O44" i="28"/>
  <c r="O44" i="30" s="1"/>
  <c r="Z43" i="29"/>
  <c r="Y43" i="43" s="1"/>
  <c r="Y95" i="43" s="1"/>
  <c r="Z47" i="29"/>
  <c r="Y47" i="43" s="1"/>
  <c r="Y99" i="43" s="1"/>
  <c r="Z46" i="29"/>
  <c r="Y46" i="43" s="1"/>
  <c r="Y98" i="43" s="1"/>
  <c r="Z24" i="29"/>
  <c r="Y24" i="43" s="1"/>
  <c r="Y76" i="43" s="1"/>
  <c r="Z15" i="29"/>
  <c r="Y15" i="43" s="1"/>
  <c r="Y67" i="43" s="1"/>
  <c r="Z12" i="29"/>
  <c r="Y12" i="43" s="1"/>
  <c r="Y64" i="43" s="1"/>
  <c r="Z42" i="29"/>
  <c r="Y42" i="43" s="1"/>
  <c r="Y94" i="43" s="1"/>
  <c r="Z39" i="29"/>
  <c r="Y39" i="43" s="1"/>
  <c r="Y91" i="43" s="1"/>
  <c r="Z22" i="29"/>
  <c r="Y22" i="43" s="1"/>
  <c r="Y74" i="43" s="1"/>
  <c r="Z9" i="29"/>
  <c r="Y9" i="43" s="1"/>
  <c r="Y61" i="43" s="1"/>
  <c r="Z14" i="29"/>
  <c r="Y14" i="43" s="1"/>
  <c r="Y66" i="43" s="1"/>
  <c r="Z51" i="29"/>
  <c r="Y51" i="43" s="1"/>
  <c r="Y103" i="43" s="1"/>
  <c r="Z41" i="29"/>
  <c r="Y41" i="43" s="1"/>
  <c r="Y93" i="43" s="1"/>
  <c r="Z45" i="29"/>
  <c r="Y45" i="43" s="1"/>
  <c r="Y97" i="43" s="1"/>
  <c r="Z50" i="29"/>
  <c r="Y50" i="43" s="1"/>
  <c r="Y102" i="43" s="1"/>
  <c r="Z8" i="29"/>
  <c r="Y8" i="43" s="1"/>
  <c r="Y60" i="43" s="1"/>
  <c r="Z13" i="29"/>
  <c r="Y13" i="43" s="1"/>
  <c r="Y65" i="43" s="1"/>
  <c r="Z44" i="29"/>
  <c r="Y44" i="43" s="1"/>
  <c r="Y96" i="43" s="1"/>
  <c r="Z33" i="29"/>
  <c r="Y33" i="43" s="1"/>
  <c r="Y85" i="43" s="1"/>
  <c r="Z37" i="29"/>
  <c r="Y37" i="43" s="1"/>
  <c r="Y89" i="43" s="1"/>
  <c r="Z38" i="29"/>
  <c r="Y38" i="43" s="1"/>
  <c r="Y90" i="43" s="1"/>
  <c r="Z35" i="29"/>
  <c r="Y35" i="43" s="1"/>
  <c r="Y87" i="43" s="1"/>
  <c r="Z6" i="29"/>
  <c r="Y6" i="43" s="1"/>
  <c r="Y58" i="43" s="1"/>
  <c r="Z28" i="29"/>
  <c r="Y28" i="43" s="1"/>
  <c r="Y80" i="43" s="1"/>
  <c r="Z20" i="29"/>
  <c r="Y20" i="43" s="1"/>
  <c r="Y72" i="43" s="1"/>
  <c r="Z5" i="29"/>
  <c r="Z23" i="29"/>
  <c r="Y23" i="43" s="1"/>
  <c r="Y75" i="43" s="1"/>
  <c r="Z34" i="29"/>
  <c r="Y34" i="43" s="1"/>
  <c r="Y86" i="43" s="1"/>
  <c r="Z11" i="29"/>
  <c r="Y11" i="43" s="1"/>
  <c r="Y63" i="43" s="1"/>
  <c r="Z7" i="29"/>
  <c r="Y7" i="43" s="1"/>
  <c r="Y59" i="43" s="1"/>
  <c r="Z18" i="29"/>
  <c r="Y18" i="43" s="1"/>
  <c r="Y70" i="43" s="1"/>
  <c r="Z25" i="29"/>
  <c r="Y25" i="43" s="1"/>
  <c r="Y77" i="43" s="1"/>
  <c r="Z19" i="29"/>
  <c r="Y19" i="43" s="1"/>
  <c r="Y71" i="43" s="1"/>
  <c r="Z32" i="29"/>
  <c r="Y32" i="43" s="1"/>
  <c r="Y84" i="43" s="1"/>
  <c r="Z40" i="29"/>
  <c r="Y40" i="43" s="1"/>
  <c r="Y92" i="43" s="1"/>
  <c r="Z27" i="29"/>
  <c r="Y27" i="43" s="1"/>
  <c r="Y79" i="43" s="1"/>
  <c r="Z10" i="29"/>
  <c r="Y10" i="43" s="1"/>
  <c r="Y62" i="43" s="1"/>
  <c r="Z48" i="29"/>
  <c r="Y48" i="43" s="1"/>
  <c r="Y100" i="43" s="1"/>
  <c r="Z49" i="29"/>
  <c r="Y49" i="43" s="1"/>
  <c r="Y101" i="43" s="1"/>
  <c r="Z31" i="29"/>
  <c r="Y31" i="43" s="1"/>
  <c r="Y83" i="43" s="1"/>
  <c r="Z17" i="29"/>
  <c r="Y17" i="43" s="1"/>
  <c r="Y69" i="43" s="1"/>
  <c r="Z36" i="29"/>
  <c r="Y36" i="43" s="1"/>
  <c r="Y88" i="43" s="1"/>
  <c r="Z29" i="29"/>
  <c r="Y29" i="43" s="1"/>
  <c r="Y81" i="43" s="1"/>
  <c r="Z30" i="29"/>
  <c r="Y30" i="43" s="1"/>
  <c r="Y82" i="43" s="1"/>
  <c r="Z21" i="29"/>
  <c r="Y21" i="43" s="1"/>
  <c r="Y73" i="43" s="1"/>
  <c r="Z26" i="29"/>
  <c r="Y26" i="43" s="1"/>
  <c r="Y78" i="43" s="1"/>
  <c r="Z16" i="29"/>
  <c r="Y16" i="43" s="1"/>
  <c r="Y68" i="43" s="1"/>
  <c r="T47" i="32"/>
  <c r="T47" i="33"/>
  <c r="AH20" i="28"/>
  <c r="AH8" i="28"/>
  <c r="AH43" i="28"/>
  <c r="AH24" i="28"/>
  <c r="AH28" i="28"/>
  <c r="AH48" i="28"/>
  <c r="AH16" i="28"/>
  <c r="AH18" i="28"/>
  <c r="AH37" i="28"/>
  <c r="AH34" i="28"/>
  <c r="AH39" i="28"/>
  <c r="AH50" i="28"/>
  <c r="AH9" i="28"/>
  <c r="AH14" i="28"/>
  <c r="AH21" i="28"/>
  <c r="AH46" i="28"/>
  <c r="AH49" i="28"/>
  <c r="AH35" i="28"/>
  <c r="AH15" i="28"/>
  <c r="AH15" i="30" s="1"/>
  <c r="AH17" i="28"/>
  <c r="AH17" i="30" s="1"/>
  <c r="AH30" i="28"/>
  <c r="AH33" i="28"/>
  <c r="AH33" i="30" s="1"/>
  <c r="AH42" i="28"/>
  <c r="AH42" i="30" s="1"/>
  <c r="AH38" i="28"/>
  <c r="AH38" i="30" s="1"/>
  <c r="AH12" i="28"/>
  <c r="AH12" i="30" s="1"/>
  <c r="AH10" i="28"/>
  <c r="AH10" i="30" s="1"/>
  <c r="AH32" i="28"/>
  <c r="AH32" i="30" s="1"/>
  <c r="AH31" i="28"/>
  <c r="AH27" i="28"/>
  <c r="AH27" i="30" s="1"/>
  <c r="AH5" i="28"/>
  <c r="AH47" i="28"/>
  <c r="AH11" i="28"/>
  <c r="AH41" i="28"/>
  <c r="AH25" i="28"/>
  <c r="AH36" i="28"/>
  <c r="AH7" i="28"/>
  <c r="AH40" i="28"/>
  <c r="AH23" i="28"/>
  <c r="AH44" i="28"/>
  <c r="AH44" i="30" s="1"/>
  <c r="AH13" i="28"/>
  <c r="AH13" i="30" s="1"/>
  <c r="AH26" i="28"/>
  <c r="AH29" i="28"/>
  <c r="AH6" i="28"/>
  <c r="AH45" i="28"/>
  <c r="AH45" i="30" s="1"/>
  <c r="AH51" i="28"/>
  <c r="AH19" i="28"/>
  <c r="AH22" i="28"/>
  <c r="AA42" i="29"/>
  <c r="Z42" i="43" s="1"/>
  <c r="Z94" i="43" s="1"/>
  <c r="AA47" i="29"/>
  <c r="Z47" i="43" s="1"/>
  <c r="Z99" i="43" s="1"/>
  <c r="AA44" i="29"/>
  <c r="Z44" i="43" s="1"/>
  <c r="Z96" i="43" s="1"/>
  <c r="AA9" i="29"/>
  <c r="Z9" i="43" s="1"/>
  <c r="Z61" i="43" s="1"/>
  <c r="AA15" i="29"/>
  <c r="Z15" i="43" s="1"/>
  <c r="Z67" i="43" s="1"/>
  <c r="AA12" i="29"/>
  <c r="Z12" i="43" s="1"/>
  <c r="Z64" i="43" s="1"/>
  <c r="AA49" i="29"/>
  <c r="Z49" i="43" s="1"/>
  <c r="Z101" i="43" s="1"/>
  <c r="AA39" i="29"/>
  <c r="Z39" i="43" s="1"/>
  <c r="Z91" i="43" s="1"/>
  <c r="AA36" i="29"/>
  <c r="Z36" i="43" s="1"/>
  <c r="Z88" i="43" s="1"/>
  <c r="AA45" i="29"/>
  <c r="Z45" i="43" s="1"/>
  <c r="Z97" i="43" s="1"/>
  <c r="AA14" i="29"/>
  <c r="Z14" i="43" s="1"/>
  <c r="Z66" i="43" s="1"/>
  <c r="AA11" i="29"/>
  <c r="Z11" i="43" s="1"/>
  <c r="Z63" i="43" s="1"/>
  <c r="AA41" i="29"/>
  <c r="Z41" i="43" s="1"/>
  <c r="Z93" i="43" s="1"/>
  <c r="AA50" i="29"/>
  <c r="Z50" i="43" s="1"/>
  <c r="Z102" i="43" s="1"/>
  <c r="AA28" i="29"/>
  <c r="Z28" i="43" s="1"/>
  <c r="Z80" i="43" s="1"/>
  <c r="AA34" i="29"/>
  <c r="Z34" i="43" s="1"/>
  <c r="Z86" i="43" s="1"/>
  <c r="AA7" i="29"/>
  <c r="Z7" i="43" s="1"/>
  <c r="Z59" i="43" s="1"/>
  <c r="AA5" i="29"/>
  <c r="AA43" i="29"/>
  <c r="Z43" i="43" s="1"/>
  <c r="Z95" i="43" s="1"/>
  <c r="AA40" i="29"/>
  <c r="Z40" i="43" s="1"/>
  <c r="Z92" i="43" s="1"/>
  <c r="AA30" i="29"/>
  <c r="Z30" i="43" s="1"/>
  <c r="Z82" i="43" s="1"/>
  <c r="AA21" i="29"/>
  <c r="Z21" i="43" s="1"/>
  <c r="Z73" i="43" s="1"/>
  <c r="AA16" i="29"/>
  <c r="Z16" i="43" s="1"/>
  <c r="Z68" i="43" s="1"/>
  <c r="AA18" i="29"/>
  <c r="Z18" i="43" s="1"/>
  <c r="Z70" i="43" s="1"/>
  <c r="AA35" i="29"/>
  <c r="Z35" i="43" s="1"/>
  <c r="Z87" i="43" s="1"/>
  <c r="AA32" i="29"/>
  <c r="Z32" i="43" s="1"/>
  <c r="Z84" i="43" s="1"/>
  <c r="AA22" i="29"/>
  <c r="Z22" i="43" s="1"/>
  <c r="Z74" i="43" s="1"/>
  <c r="AA19" i="29"/>
  <c r="Z19" i="43" s="1"/>
  <c r="Z71" i="43" s="1"/>
  <c r="AA8" i="29"/>
  <c r="Z8" i="43" s="1"/>
  <c r="Z60" i="43" s="1"/>
  <c r="AA13" i="29"/>
  <c r="Z13" i="43" s="1"/>
  <c r="Z65" i="43" s="1"/>
  <c r="AA38" i="29"/>
  <c r="Z38" i="43" s="1"/>
  <c r="Z90" i="43" s="1"/>
  <c r="AA31" i="29"/>
  <c r="Z31" i="43" s="1"/>
  <c r="Z83" i="43" s="1"/>
  <c r="AA51" i="29"/>
  <c r="Z51" i="43" s="1"/>
  <c r="Z103" i="43" s="1"/>
  <c r="AA26" i="29"/>
  <c r="Z26" i="43" s="1"/>
  <c r="Z78" i="43" s="1"/>
  <c r="AA20" i="29"/>
  <c r="Z20" i="43" s="1"/>
  <c r="Z72" i="43" s="1"/>
  <c r="AA48" i="29"/>
  <c r="Z48" i="43" s="1"/>
  <c r="Z100" i="43" s="1"/>
  <c r="AA6" i="29"/>
  <c r="Z6" i="43" s="1"/>
  <c r="Z58" i="43" s="1"/>
  <c r="AA27" i="29"/>
  <c r="Z27" i="43" s="1"/>
  <c r="Z79" i="43" s="1"/>
  <c r="AA23" i="29"/>
  <c r="Z23" i="43" s="1"/>
  <c r="Z75" i="43" s="1"/>
  <c r="AA33" i="29"/>
  <c r="Z33" i="43" s="1"/>
  <c r="Z85" i="43" s="1"/>
  <c r="AA10" i="29"/>
  <c r="Z10" i="43" s="1"/>
  <c r="Z62" i="43" s="1"/>
  <c r="AA25" i="29"/>
  <c r="Z25" i="43" s="1"/>
  <c r="Z77" i="43" s="1"/>
  <c r="AA29" i="29"/>
  <c r="Z29" i="43" s="1"/>
  <c r="Z81" i="43" s="1"/>
  <c r="AA24" i="29"/>
  <c r="Z24" i="43" s="1"/>
  <c r="Z76" i="43" s="1"/>
  <c r="AA17" i="29"/>
  <c r="Z17" i="43" s="1"/>
  <c r="Z69" i="43" s="1"/>
  <c r="AA46" i="29"/>
  <c r="Z46" i="43" s="1"/>
  <c r="Z98" i="43" s="1"/>
  <c r="AA37" i="29"/>
  <c r="Z37" i="43" s="1"/>
  <c r="Z89" i="43" s="1"/>
  <c r="U47" i="32"/>
  <c r="U47" i="33"/>
  <c r="Y56" i="27"/>
  <c r="V56" i="27"/>
  <c r="V60" i="27"/>
  <c r="M47" i="32"/>
  <c r="M47" i="33"/>
  <c r="S48" i="31"/>
  <c r="P5" i="28"/>
  <c r="P25" i="28"/>
  <c r="P25" i="30" s="1"/>
  <c r="P16" i="28"/>
  <c r="P16" i="30" s="1"/>
  <c r="P33" i="28"/>
  <c r="P33" i="30" s="1"/>
  <c r="P36" i="28"/>
  <c r="P36" i="30" s="1"/>
  <c r="P42" i="28"/>
  <c r="P42" i="30" s="1"/>
  <c r="P26" i="28"/>
  <c r="P26" i="30" s="1"/>
  <c r="P21" i="28"/>
  <c r="P21" i="30" s="1"/>
  <c r="P13" i="28"/>
  <c r="P13" i="30" s="1"/>
  <c r="P31" i="28"/>
  <c r="P31" i="30" s="1"/>
  <c r="P37" i="28"/>
  <c r="P37" i="30" s="1"/>
  <c r="P43" i="28"/>
  <c r="P43" i="30" s="1"/>
  <c r="P22" i="28"/>
  <c r="P22" i="30" s="1"/>
  <c r="P17" i="28"/>
  <c r="P17" i="30" s="1"/>
  <c r="P6" i="28"/>
  <c r="P6" i="30" s="1"/>
  <c r="P41" i="28"/>
  <c r="P41" i="30" s="1"/>
  <c r="P46" i="28"/>
  <c r="P46" i="30" s="1"/>
  <c r="P19" i="28"/>
  <c r="P19" i="30" s="1"/>
  <c r="P8" i="28"/>
  <c r="P8" i="30" s="1"/>
  <c r="P28" i="28"/>
  <c r="P28" i="30" s="1"/>
  <c r="P50" i="28"/>
  <c r="P50" i="30" s="1"/>
  <c r="P49" i="28"/>
  <c r="P49" i="30" s="1"/>
  <c r="P44" i="28"/>
  <c r="P44" i="30" s="1"/>
  <c r="P15" i="28"/>
  <c r="P14" i="28"/>
  <c r="P24" i="28"/>
  <c r="P51" i="28"/>
  <c r="P38" i="28"/>
  <c r="P45" i="28"/>
  <c r="P29" i="28"/>
  <c r="P29" i="30" s="1"/>
  <c r="P39" i="28"/>
  <c r="P39" i="30" s="1"/>
  <c r="P10" i="28"/>
  <c r="P10" i="30" s="1"/>
  <c r="P47" i="28"/>
  <c r="P47" i="30" s="1"/>
  <c r="P7" i="28"/>
  <c r="P7" i="30" s="1"/>
  <c r="P34" i="28"/>
  <c r="P34" i="30" s="1"/>
  <c r="P27" i="28"/>
  <c r="P27" i="30" s="1"/>
  <c r="P20" i="28"/>
  <c r="P20" i="30" s="1"/>
  <c r="P35" i="28"/>
  <c r="P35" i="30" s="1"/>
  <c r="P23" i="28"/>
  <c r="P23" i="30" s="1"/>
  <c r="P48" i="28"/>
  <c r="P48" i="30" s="1"/>
  <c r="P9" i="28"/>
  <c r="P9" i="30" s="1"/>
  <c r="P32" i="28"/>
  <c r="P18" i="28"/>
  <c r="P18" i="30" s="1"/>
  <c r="P12" i="28"/>
  <c r="P12" i="30" s="1"/>
  <c r="P40" i="28"/>
  <c r="P40" i="30" s="1"/>
  <c r="P11" i="28"/>
  <c r="P11" i="30" s="1"/>
  <c r="P30" i="28"/>
  <c r="P30" i="30" s="1"/>
  <c r="M55" i="27"/>
  <c r="M60" i="27" s="1"/>
  <c r="AC25" i="28"/>
  <c r="AC9" i="28"/>
  <c r="AC11" i="28"/>
  <c r="AC42" i="28"/>
  <c r="AC43" i="28"/>
  <c r="AC30" i="28"/>
  <c r="AC17" i="28"/>
  <c r="AC19" i="28"/>
  <c r="AC39" i="28"/>
  <c r="AC50" i="28"/>
  <c r="AC28" i="28"/>
  <c r="AC49" i="28"/>
  <c r="AC10" i="28"/>
  <c r="AC15" i="28"/>
  <c r="AC48" i="28"/>
  <c r="AC27" i="28"/>
  <c r="AC21" i="28"/>
  <c r="AC31" i="28"/>
  <c r="AC16" i="28"/>
  <c r="AC8" i="28"/>
  <c r="AC47" i="28"/>
  <c r="AC46" i="28"/>
  <c r="AC32" i="28"/>
  <c r="AC29" i="28"/>
  <c r="AC13" i="28"/>
  <c r="AC18" i="28"/>
  <c r="AC34" i="28"/>
  <c r="AC23" i="28"/>
  <c r="AC51" i="28"/>
  <c r="AC38" i="28"/>
  <c r="AC37" i="28"/>
  <c r="AC40" i="28"/>
  <c r="AC7" i="28"/>
  <c r="AC45" i="28"/>
  <c r="AC44" i="28"/>
  <c r="AC20" i="28"/>
  <c r="AC24" i="28"/>
  <c r="AC6" i="28"/>
  <c r="AC35" i="28"/>
  <c r="AC33" i="28"/>
  <c r="AC12" i="28"/>
  <c r="AC22" i="28"/>
  <c r="AC5" i="28"/>
  <c r="AC41" i="28"/>
  <c r="AC14" i="28"/>
  <c r="AC26" i="28"/>
  <c r="AC36" i="28"/>
  <c r="N47" i="33"/>
  <c r="N47" i="32"/>
  <c r="T48" i="31"/>
  <c r="O47" i="32"/>
  <c r="O47" i="33"/>
  <c r="S47" i="32"/>
  <c r="S47" i="33"/>
  <c r="W38" i="28"/>
  <c r="W38" i="30" s="1"/>
  <c r="W32" i="28"/>
  <c r="W32" i="30" s="1"/>
  <c r="W9" i="28"/>
  <c r="W9" i="30" s="1"/>
  <c r="W12" i="28"/>
  <c r="W12" i="30" s="1"/>
  <c r="W8" i="28"/>
  <c r="W8" i="30" s="1"/>
  <c r="W17" i="28"/>
  <c r="W17" i="30" s="1"/>
  <c r="W51" i="28"/>
  <c r="W51" i="30" s="1"/>
  <c r="W28" i="28"/>
  <c r="W28" i="30" s="1"/>
  <c r="W47" i="28"/>
  <c r="W47" i="30" s="1"/>
  <c r="W5" i="28"/>
  <c r="W39" i="28"/>
  <c r="W39" i="30" s="1"/>
  <c r="W10" i="28"/>
  <c r="W10" i="30" s="1"/>
  <c r="W48" i="28"/>
  <c r="W48" i="30" s="1"/>
  <c r="W24" i="28"/>
  <c r="W24" i="30" s="1"/>
  <c r="W35" i="28"/>
  <c r="W35" i="30" s="1"/>
  <c r="W34" i="28"/>
  <c r="W34" i="30" s="1"/>
  <c r="W14" i="28"/>
  <c r="W14" i="30" s="1"/>
  <c r="W7" i="28"/>
  <c r="W7" i="30" s="1"/>
  <c r="W43" i="28"/>
  <c r="W43" i="30" s="1"/>
  <c r="W50" i="28"/>
  <c r="W50" i="30" s="1"/>
  <c r="W13" i="28"/>
  <c r="W13" i="30" s="1"/>
  <c r="W23" i="28"/>
  <c r="W23" i="30" s="1"/>
  <c r="W22" i="28"/>
  <c r="W22" i="30" s="1"/>
  <c r="W29" i="28"/>
  <c r="W29" i="30" s="1"/>
  <c r="W49" i="28"/>
  <c r="W49" i="30" s="1"/>
  <c r="W40" i="28"/>
  <c r="W6" i="28"/>
  <c r="W6" i="30" s="1"/>
  <c r="W19" i="28"/>
  <c r="W19" i="30" s="1"/>
  <c r="W18" i="28"/>
  <c r="W18" i="30" s="1"/>
  <c r="W25" i="28"/>
  <c r="W25" i="30" s="1"/>
  <c r="W31" i="28"/>
  <c r="W21" i="28"/>
  <c r="W21" i="30" s="1"/>
  <c r="W42" i="28"/>
  <c r="W42" i="30" s="1"/>
  <c r="W27" i="28"/>
  <c r="W44" i="28"/>
  <c r="W44" i="30" s="1"/>
  <c r="W45" i="28"/>
  <c r="W15" i="28"/>
  <c r="W15" i="30" s="1"/>
  <c r="W41" i="28"/>
  <c r="W30" i="28"/>
  <c r="W30" i="30" s="1"/>
  <c r="W36" i="28"/>
  <c r="W36" i="30" s="1"/>
  <c r="W26" i="28"/>
  <c r="W26" i="30" s="1"/>
  <c r="W16" i="28"/>
  <c r="W16" i="30" s="1"/>
  <c r="W20" i="28"/>
  <c r="W20" i="30" s="1"/>
  <c r="W11" i="28"/>
  <c r="W11" i="30" s="1"/>
  <c r="W37" i="28"/>
  <c r="W46" i="28"/>
  <c r="W46" i="30" s="1"/>
  <c r="W33" i="28"/>
  <c r="Q22" i="28"/>
  <c r="Q16" i="28"/>
  <c r="Q16" i="30" s="1"/>
  <c r="Q11" i="28"/>
  <c r="Q20" i="28"/>
  <c r="Q20" i="30" s="1"/>
  <c r="Q46" i="28"/>
  <c r="Q17" i="28"/>
  <c r="Q17" i="30" s="1"/>
  <c r="Q8" i="28"/>
  <c r="Q13" i="28"/>
  <c r="Q32" i="28"/>
  <c r="Q25" i="28"/>
  <c r="Q47" i="28"/>
  <c r="Q35" i="28"/>
  <c r="Q14" i="28"/>
  <c r="Q6" i="28"/>
  <c r="Q41" i="28"/>
  <c r="Q38" i="28"/>
  <c r="Q34" i="28"/>
  <c r="Q12" i="28"/>
  <c r="Q10" i="28"/>
  <c r="Q10" i="30" s="1"/>
  <c r="Q23" i="28"/>
  <c r="Q23" i="30" s="1"/>
  <c r="Q31" i="28"/>
  <c r="Q31" i="30" s="1"/>
  <c r="Q18" i="28"/>
  <c r="Q18" i="30" s="1"/>
  <c r="Q42" i="28"/>
  <c r="Q42" i="30" s="1"/>
  <c r="Q7" i="28"/>
  <c r="Q7" i="30" s="1"/>
  <c r="Q28" i="28"/>
  <c r="Q28" i="30" s="1"/>
  <c r="Q15" i="28"/>
  <c r="Q15" i="30" s="1"/>
  <c r="Q40" i="28"/>
  <c r="Q40" i="30" s="1"/>
  <c r="Q36" i="28"/>
  <c r="Q50" i="28"/>
  <c r="Q50" i="30" s="1"/>
  <c r="Q45" i="28"/>
  <c r="Q37" i="28"/>
  <c r="Q37" i="30" s="1"/>
  <c r="Q51" i="28"/>
  <c r="Q51" i="30" s="1"/>
  <c r="Q19" i="28"/>
  <c r="Q19" i="30" s="1"/>
  <c r="Q26" i="28"/>
  <c r="Q26" i="30" s="1"/>
  <c r="Q33" i="28"/>
  <c r="Q30" i="28"/>
  <c r="Q30" i="30" s="1"/>
  <c r="Q29" i="28"/>
  <c r="Q29" i="30" s="1"/>
  <c r="Q49" i="28"/>
  <c r="Q49" i="30" s="1"/>
  <c r="Q43" i="28"/>
  <c r="Q39" i="28"/>
  <c r="Q21" i="28"/>
  <c r="Q24" i="28"/>
  <c r="Q24" i="30" s="1"/>
  <c r="Q48" i="28"/>
  <c r="Q9" i="28"/>
  <c r="Q27" i="28"/>
  <c r="Q27" i="30" s="1"/>
  <c r="Q44" i="28"/>
  <c r="Q44" i="30" s="1"/>
  <c r="Q5" i="28"/>
  <c r="U39" i="28"/>
  <c r="U39" i="30" s="1"/>
  <c r="U25" i="28"/>
  <c r="U25" i="30" s="1"/>
  <c r="U24" i="28"/>
  <c r="U24" i="30" s="1"/>
  <c r="U35" i="28"/>
  <c r="U35" i="30" s="1"/>
  <c r="U34" i="28"/>
  <c r="U34" i="30" s="1"/>
  <c r="U50" i="28"/>
  <c r="U50" i="30" s="1"/>
  <c r="U49" i="28"/>
  <c r="U49" i="30" s="1"/>
  <c r="U21" i="28"/>
  <c r="U21" i="30" s="1"/>
  <c r="U20" i="28"/>
  <c r="U20" i="30" s="1"/>
  <c r="U31" i="28"/>
  <c r="U31" i="30" s="1"/>
  <c r="U30" i="28"/>
  <c r="U30" i="30" s="1"/>
  <c r="U38" i="28"/>
  <c r="U38" i="30" s="1"/>
  <c r="U47" i="28"/>
  <c r="U47" i="30" s="1"/>
  <c r="U45" i="28"/>
  <c r="U45" i="30" s="1"/>
  <c r="U7" i="28"/>
  <c r="U7" i="30" s="1"/>
  <c r="U6" i="28"/>
  <c r="U6" i="30" s="1"/>
  <c r="U19" i="28"/>
  <c r="U19" i="30" s="1"/>
  <c r="U18" i="28"/>
  <c r="U18" i="30" s="1"/>
  <c r="U44" i="28"/>
  <c r="U44" i="30" s="1"/>
  <c r="U37" i="28"/>
  <c r="U37" i="30" s="1"/>
  <c r="U36" i="28"/>
  <c r="U36" i="30" s="1"/>
  <c r="U48" i="28"/>
  <c r="U48" i="30" s="1"/>
  <c r="U15" i="28"/>
  <c r="U15" i="30" s="1"/>
  <c r="U11" i="28"/>
  <c r="U46" i="28"/>
  <c r="U46" i="30" s="1"/>
  <c r="U28" i="28"/>
  <c r="U28" i="30" s="1"/>
  <c r="U42" i="28"/>
  <c r="U42" i="30" s="1"/>
  <c r="U16" i="28"/>
  <c r="U16" i="30" s="1"/>
  <c r="U26" i="28"/>
  <c r="U26" i="30" s="1"/>
  <c r="U41" i="28"/>
  <c r="U41" i="30" s="1"/>
  <c r="U22" i="28"/>
  <c r="U22" i="30" s="1"/>
  <c r="U23" i="28"/>
  <c r="U23" i="30" s="1"/>
  <c r="U13" i="28"/>
  <c r="U13" i="30" s="1"/>
  <c r="U33" i="28"/>
  <c r="U33" i="30" s="1"/>
  <c r="U9" i="28"/>
  <c r="U9" i="30" s="1"/>
  <c r="U8" i="28"/>
  <c r="U8" i="30" s="1"/>
  <c r="U29" i="28"/>
  <c r="U29" i="30" s="1"/>
  <c r="U51" i="28"/>
  <c r="U51" i="30" s="1"/>
  <c r="U40" i="28"/>
  <c r="U40" i="30" s="1"/>
  <c r="U17" i="28"/>
  <c r="U17" i="30" s="1"/>
  <c r="U27" i="28"/>
  <c r="U27" i="30" s="1"/>
  <c r="U14" i="28"/>
  <c r="U14" i="30" s="1"/>
  <c r="U43" i="28"/>
  <c r="U32" i="28"/>
  <c r="U32" i="30" s="1"/>
  <c r="U12" i="28"/>
  <c r="U12" i="30" s="1"/>
  <c r="U5" i="28"/>
  <c r="U10" i="28"/>
  <c r="U10" i="30" s="1"/>
  <c r="O48" i="31"/>
  <c r="X47" i="28"/>
  <c r="X19" i="28"/>
  <c r="X22" i="28"/>
  <c r="X37" i="28"/>
  <c r="X50" i="28"/>
  <c r="X6" i="28"/>
  <c r="X44" i="28"/>
  <c r="X44" i="30" s="1"/>
  <c r="X15" i="28"/>
  <c r="X18" i="28"/>
  <c r="X33" i="28"/>
  <c r="X36" i="28"/>
  <c r="X36" i="30" s="1"/>
  <c r="X46" i="28"/>
  <c r="X46" i="30" s="1"/>
  <c r="X43" i="28"/>
  <c r="X43" i="30" s="1"/>
  <c r="X12" i="28"/>
  <c r="X12" i="30" s="1"/>
  <c r="X11" i="28"/>
  <c r="X11" i="30" s="1"/>
  <c r="X29" i="28"/>
  <c r="X29" i="30" s="1"/>
  <c r="X32" i="28"/>
  <c r="X32" i="30" s="1"/>
  <c r="X48" i="28"/>
  <c r="X31" i="28"/>
  <c r="X34" i="28"/>
  <c r="X14" i="28"/>
  <c r="X17" i="28"/>
  <c r="X20" i="28"/>
  <c r="X45" i="28"/>
  <c r="X27" i="28"/>
  <c r="X30" i="28"/>
  <c r="X49" i="28"/>
  <c r="X10" i="28"/>
  <c r="X16" i="28"/>
  <c r="X9" i="28"/>
  <c r="X9" i="30" s="1"/>
  <c r="X42" i="28"/>
  <c r="X35" i="28"/>
  <c r="X35" i="30" s="1"/>
  <c r="X25" i="28"/>
  <c r="X25" i="30" s="1"/>
  <c r="X23" i="28"/>
  <c r="X21" i="28"/>
  <c r="X21" i="30" s="1"/>
  <c r="X5" i="28"/>
  <c r="X7" i="28"/>
  <c r="X40" i="28"/>
  <c r="X40" i="30" s="1"/>
  <c r="X28" i="28"/>
  <c r="X28" i="30" s="1"/>
  <c r="X13" i="28"/>
  <c r="X38" i="28"/>
  <c r="X38" i="30" s="1"/>
  <c r="X26" i="28"/>
  <c r="X24" i="28"/>
  <c r="X24" i="30" s="1"/>
  <c r="X51" i="28"/>
  <c r="X51" i="30" s="1"/>
  <c r="X8" i="28"/>
  <c r="X8" i="30" s="1"/>
  <c r="X41" i="28"/>
  <c r="X39" i="28"/>
  <c r="X39" i="30" s="1"/>
  <c r="AI9" i="30"/>
  <c r="AI30" i="30"/>
  <c r="AI13" i="30"/>
  <c r="AI20" i="30"/>
  <c r="AI8" i="30"/>
  <c r="AI10" i="30"/>
  <c r="AI5" i="30"/>
  <c r="AI53" i="28"/>
  <c r="AI58" i="28" s="1"/>
  <c r="AI9" i="29" s="1"/>
  <c r="AE9" i="43" s="1"/>
  <c r="AE61" i="43" s="1"/>
  <c r="AI28" i="30"/>
  <c r="AI17" i="30"/>
  <c r="AI12" i="30"/>
  <c r="AI32" i="30"/>
  <c r="AI21" i="30"/>
  <c r="AI15" i="30"/>
  <c r="AI36" i="30"/>
  <c r="AI25" i="30"/>
  <c r="AI19" i="30"/>
  <c r="AI39" i="30"/>
  <c r="AI29" i="30"/>
  <c r="AI23" i="30"/>
  <c r="AI40" i="30"/>
  <c r="AI40" i="29"/>
  <c r="AI33" i="30"/>
  <c r="AI33" i="29"/>
  <c r="AI27" i="30"/>
  <c r="AI27" i="29"/>
  <c r="AI41" i="30"/>
  <c r="AI37" i="30"/>
  <c r="AI37" i="29"/>
  <c r="AE37" i="43" s="1"/>
  <c r="AE89" i="43" s="1"/>
  <c r="AI31" i="30"/>
  <c r="AI31" i="29"/>
  <c r="AI48" i="30"/>
  <c r="AI48" i="29"/>
  <c r="AE48" i="43" s="1"/>
  <c r="AE100" i="43" s="1"/>
  <c r="AI47" i="30"/>
  <c r="AI35" i="30"/>
  <c r="AI35" i="29"/>
  <c r="AE35" i="43" s="1"/>
  <c r="AE87" i="43" s="1"/>
  <c r="AI51" i="30"/>
  <c r="AI51" i="29"/>
  <c r="L48" i="31"/>
  <c r="AI26" i="30"/>
  <c r="AI46" i="30"/>
  <c r="AI16" i="30"/>
  <c r="AI16" i="29"/>
  <c r="AI34" i="30"/>
  <c r="AI7" i="30"/>
  <c r="AI24" i="30"/>
  <c r="AI11" i="30"/>
  <c r="AI11" i="29"/>
  <c r="AE11" i="43" s="1"/>
  <c r="AE63" i="43" s="1"/>
  <c r="AI44" i="30"/>
  <c r="AI44" i="29"/>
  <c r="AI38" i="30"/>
  <c r="AI38" i="29"/>
  <c r="AE38" i="43" s="1"/>
  <c r="AE90" i="43" s="1"/>
  <c r="AI14" i="30"/>
  <c r="AI14" i="29"/>
  <c r="AI49" i="30"/>
  <c r="AI49" i="29"/>
  <c r="AI45" i="30"/>
  <c r="AI45" i="29"/>
  <c r="AI18" i="30"/>
  <c r="AI18" i="29"/>
  <c r="AI50" i="30"/>
  <c r="AI42" i="30"/>
  <c r="AI42" i="29"/>
  <c r="AI22" i="30"/>
  <c r="AI22" i="29"/>
  <c r="AE22" i="43" s="1"/>
  <c r="AE74" i="43" s="1"/>
  <c r="AI6" i="30"/>
  <c r="AI6" i="29"/>
  <c r="AI43" i="30"/>
  <c r="F34" i="5"/>
  <c r="L46" i="34"/>
  <c r="L46" i="32"/>
  <c r="L46" i="31"/>
  <c r="L46" i="33"/>
  <c r="U40" i="33"/>
  <c r="U40" i="34"/>
  <c r="U11" i="33"/>
  <c r="U11" i="34"/>
  <c r="U36" i="33"/>
  <c r="U36" i="34"/>
  <c r="U9" i="33"/>
  <c r="U9" i="34"/>
  <c r="N25" i="33"/>
  <c r="N25" i="34"/>
  <c r="N40" i="33"/>
  <c r="N40" i="34"/>
  <c r="N38" i="33"/>
  <c r="N38" i="34"/>
  <c r="N17" i="33"/>
  <c r="N17" i="34"/>
  <c r="E34" i="5"/>
  <c r="L45" i="34"/>
  <c r="L45" i="32"/>
  <c r="L45" i="33"/>
  <c r="L45" i="31"/>
  <c r="U22" i="33"/>
  <c r="S22" i="44" s="1"/>
  <c r="S64" i="44" s="1"/>
  <c r="U22" i="34"/>
  <c r="U16" i="33"/>
  <c r="U16" i="34"/>
  <c r="U18" i="33"/>
  <c r="U18" i="34"/>
  <c r="U41" i="33"/>
  <c r="S41" i="44" s="1"/>
  <c r="S83" i="44" s="1"/>
  <c r="U41" i="34"/>
  <c r="U7" i="33"/>
  <c r="S7" i="44" s="1"/>
  <c r="S49" i="44" s="1"/>
  <c r="U7" i="34"/>
  <c r="N39" i="33"/>
  <c r="N39" i="34"/>
  <c r="N23" i="33"/>
  <c r="N23" i="34"/>
  <c r="N19" i="33"/>
  <c r="N19" i="34"/>
  <c r="Z29" i="32"/>
  <c r="Y29" i="33"/>
  <c r="Z29" i="33" s="1"/>
  <c r="Y29" i="34"/>
  <c r="Z29" i="34" s="1"/>
  <c r="Z13" i="32"/>
  <c r="Y13" i="33"/>
  <c r="Z13" i="33" s="1"/>
  <c r="Y13" i="34"/>
  <c r="Z13" i="34" s="1"/>
  <c r="Y30" i="33"/>
  <c r="Z30" i="33" s="1"/>
  <c r="Z30" i="32"/>
  <c r="Y30" i="34"/>
  <c r="Z30" i="34" s="1"/>
  <c r="Z28" i="32"/>
  <c r="Y28" i="33"/>
  <c r="Z28" i="33" s="1"/>
  <c r="Y28" i="34"/>
  <c r="Z28" i="34" s="1"/>
  <c r="Y10" i="33"/>
  <c r="Z10" i="33" s="1"/>
  <c r="Z10" i="32"/>
  <c r="Y10" i="34"/>
  <c r="Z10" i="34" s="1"/>
  <c r="T54" i="30"/>
  <c r="T54" i="29"/>
  <c r="T54" i="28"/>
  <c r="N55" i="30"/>
  <c r="N55" i="29"/>
  <c r="N55" i="28"/>
  <c r="N56" i="30"/>
  <c r="N56" i="29"/>
  <c r="N56" i="28"/>
  <c r="U14" i="33"/>
  <c r="U14" i="34"/>
  <c r="U27" i="33"/>
  <c r="U27" i="34"/>
  <c r="U17" i="33"/>
  <c r="U17" i="34"/>
  <c r="U28" i="33"/>
  <c r="U28" i="34"/>
  <c r="U15" i="33"/>
  <c r="U15" i="34"/>
  <c r="N37" i="33"/>
  <c r="N37" i="44" s="1"/>
  <c r="N79" i="44" s="1"/>
  <c r="N37" i="34"/>
  <c r="N31" i="33"/>
  <c r="N31" i="34"/>
  <c r="N35" i="33"/>
  <c r="N35" i="34"/>
  <c r="N20" i="33"/>
  <c r="N20" i="34"/>
  <c r="N6" i="33"/>
  <c r="N6" i="44" s="1"/>
  <c r="N48" i="44" s="1"/>
  <c r="N6" i="34"/>
  <c r="U34" i="33"/>
  <c r="U34" i="34"/>
  <c r="U20" i="33"/>
  <c r="U20" i="34"/>
  <c r="U39" i="33"/>
  <c r="U39" i="34"/>
  <c r="U13" i="33"/>
  <c r="U13" i="34"/>
  <c r="U10" i="33"/>
  <c r="U10" i="34"/>
  <c r="N21" i="33"/>
  <c r="N21" i="34"/>
  <c r="N30" i="33"/>
  <c r="N30" i="34"/>
  <c r="N14" i="33"/>
  <c r="N14" i="34"/>
  <c r="N10" i="33"/>
  <c r="N10" i="34"/>
  <c r="Z25" i="32"/>
  <c r="Y25" i="33"/>
  <c r="Z25" i="33" s="1"/>
  <c r="Y25" i="34"/>
  <c r="Z25" i="34" s="1"/>
  <c r="Z21" i="32"/>
  <c r="Y21" i="33"/>
  <c r="Z21" i="33" s="1"/>
  <c r="Y21" i="34"/>
  <c r="Z21" i="34" s="1"/>
  <c r="Y14" i="33"/>
  <c r="Z14" i="33" s="1"/>
  <c r="Z14" i="32"/>
  <c r="Y14" i="34"/>
  <c r="Z14" i="34" s="1"/>
  <c r="Z27" i="32"/>
  <c r="Y27" i="33"/>
  <c r="Z27" i="33" s="1"/>
  <c r="Y27" i="34"/>
  <c r="Z27" i="34" s="1"/>
  <c r="Y18" i="33"/>
  <c r="Z18" i="33" s="1"/>
  <c r="Z18" i="32"/>
  <c r="Y18" i="34"/>
  <c r="Z18" i="34" s="1"/>
  <c r="Q19" i="33"/>
  <c r="R19" i="33" s="1"/>
  <c r="R19" i="32"/>
  <c r="Q19" i="34"/>
  <c r="R19" i="34" s="1"/>
  <c r="R38" i="32"/>
  <c r="Q38" i="33"/>
  <c r="R38" i="33" s="1"/>
  <c r="Q38" i="34"/>
  <c r="R38" i="34" s="1"/>
  <c r="R12" i="32"/>
  <c r="Q12" i="33"/>
  <c r="R12" i="33" s="1"/>
  <c r="Q12" i="34"/>
  <c r="R12" i="34" s="1"/>
  <c r="Q5" i="33"/>
  <c r="P5" i="44" s="1"/>
  <c r="P47" i="44" s="1"/>
  <c r="R5" i="32"/>
  <c r="Q43" i="32"/>
  <c r="Q5" i="34"/>
  <c r="U25" i="33"/>
  <c r="U25" i="34"/>
  <c r="U26" i="33"/>
  <c r="U26" i="34"/>
  <c r="U24" i="33"/>
  <c r="U24" i="34"/>
  <c r="U23" i="33"/>
  <c r="U23" i="34"/>
  <c r="U5" i="33"/>
  <c r="U5" i="34"/>
  <c r="U43" i="32"/>
  <c r="N34" i="33"/>
  <c r="N34" i="34"/>
  <c r="N29" i="33"/>
  <c r="N29" i="34"/>
  <c r="N32" i="33"/>
  <c r="N32" i="34"/>
  <c r="N27" i="33"/>
  <c r="N27" i="34"/>
  <c r="N15" i="33"/>
  <c r="N15" i="34"/>
  <c r="Y12" i="33"/>
  <c r="Z12" i="33" s="1"/>
  <c r="Z12" i="32"/>
  <c r="Y12" i="34"/>
  <c r="Z12" i="34" s="1"/>
  <c r="Y26" i="33"/>
  <c r="Z26" i="33" s="1"/>
  <c r="Z26" i="32"/>
  <c r="Y26" i="34"/>
  <c r="Z26" i="34" s="1"/>
  <c r="Z33" i="32"/>
  <c r="Y33" i="33"/>
  <c r="Z33" i="33" s="1"/>
  <c r="Y33" i="34"/>
  <c r="Z33" i="34" s="1"/>
  <c r="Z16" i="32"/>
  <c r="Y16" i="33"/>
  <c r="Z16" i="33" s="1"/>
  <c r="Y16" i="34"/>
  <c r="Z16" i="34" s="1"/>
  <c r="Z9" i="32"/>
  <c r="Y9" i="33"/>
  <c r="Z9" i="33" s="1"/>
  <c r="Y9" i="34"/>
  <c r="Z9" i="34" s="1"/>
  <c r="R28" i="32"/>
  <c r="Q28" i="33"/>
  <c r="R28" i="33" s="1"/>
  <c r="Q28" i="34"/>
  <c r="R28" i="34" s="1"/>
  <c r="R40" i="32"/>
  <c r="Q40" i="33"/>
  <c r="R40" i="33" s="1"/>
  <c r="Q40" i="34"/>
  <c r="R40" i="34" s="1"/>
  <c r="Q29" i="33"/>
  <c r="R29" i="33" s="1"/>
  <c r="R29" i="32"/>
  <c r="Q29" i="34"/>
  <c r="R29" i="34" s="1"/>
  <c r="R25" i="32"/>
  <c r="Q25" i="33"/>
  <c r="R25" i="33" s="1"/>
  <c r="Q25" i="34"/>
  <c r="R25" i="34" s="1"/>
  <c r="R10" i="32"/>
  <c r="Q10" i="33"/>
  <c r="R10" i="33" s="1"/>
  <c r="Q10" i="34"/>
  <c r="R10" i="34" s="1"/>
  <c r="U19" i="33"/>
  <c r="U19" i="34"/>
  <c r="U29" i="33"/>
  <c r="U29" i="34"/>
  <c r="U12" i="33"/>
  <c r="U12" i="34"/>
  <c r="U30" i="33"/>
  <c r="U30" i="34"/>
  <c r="U8" i="33"/>
  <c r="U8" i="34"/>
  <c r="N33" i="33"/>
  <c r="N33" i="34"/>
  <c r="N28" i="33"/>
  <c r="N28" i="34"/>
  <c r="N13" i="33"/>
  <c r="N13" i="44" s="1"/>
  <c r="N55" i="44" s="1"/>
  <c r="N13" i="34"/>
  <c r="N22" i="33"/>
  <c r="N22" i="34"/>
  <c r="N8" i="33"/>
  <c r="N8" i="34"/>
  <c r="AA44" i="34"/>
  <c r="AA44" i="33"/>
  <c r="W48" i="33" s="1"/>
  <c r="AA44" i="31"/>
  <c r="AA44" i="32"/>
  <c r="Z39" i="32"/>
  <c r="Y39" i="33"/>
  <c r="Z39" i="33" s="1"/>
  <c r="Y39" i="34"/>
  <c r="Z39" i="34" s="1"/>
  <c r="Z23" i="32"/>
  <c r="Y23" i="33"/>
  <c r="Z23" i="33" s="1"/>
  <c r="Y23" i="34"/>
  <c r="Z23" i="34" s="1"/>
  <c r="Z32" i="32"/>
  <c r="Y32" i="33"/>
  <c r="Z32" i="33" s="1"/>
  <c r="Y32" i="34"/>
  <c r="Z32" i="34" s="1"/>
  <c r="Z36" i="32"/>
  <c r="Y36" i="33"/>
  <c r="Z36" i="33" s="1"/>
  <c r="Y36" i="34"/>
  <c r="Z36" i="34" s="1"/>
  <c r="Z7" i="32"/>
  <c r="Y7" i="33"/>
  <c r="Z7" i="33" s="1"/>
  <c r="Y7" i="34"/>
  <c r="Z7" i="34" s="1"/>
  <c r="Q14" i="33"/>
  <c r="R14" i="33" s="1"/>
  <c r="R14" i="32"/>
  <c r="Q14" i="34"/>
  <c r="R14" i="34" s="1"/>
  <c r="R31" i="32"/>
  <c r="Q31" i="33"/>
  <c r="R31" i="33" s="1"/>
  <c r="Q31" i="34"/>
  <c r="R31" i="34" s="1"/>
  <c r="R16" i="32"/>
  <c r="Q16" i="33"/>
  <c r="R16" i="33" s="1"/>
  <c r="Q16" i="34"/>
  <c r="R16" i="34" s="1"/>
  <c r="R27" i="32"/>
  <c r="Q27" i="33"/>
  <c r="R27" i="33" s="1"/>
  <c r="Q27" i="34"/>
  <c r="R27" i="34" s="1"/>
  <c r="Q15" i="33"/>
  <c r="R15" i="33" s="1"/>
  <c r="R15" i="32"/>
  <c r="Q15" i="34"/>
  <c r="R15" i="34" s="1"/>
  <c r="R22" i="32"/>
  <c r="Q22" i="33"/>
  <c r="R22" i="33" s="1"/>
  <c r="Q22" i="34"/>
  <c r="R22" i="34" s="1"/>
  <c r="Q37" i="33"/>
  <c r="R37" i="33" s="1"/>
  <c r="R37" i="32"/>
  <c r="Q37" i="34"/>
  <c r="R37" i="34" s="1"/>
  <c r="Q21" i="33"/>
  <c r="R21" i="33" s="1"/>
  <c r="R21" i="32"/>
  <c r="Q21" i="34"/>
  <c r="R21" i="34" s="1"/>
  <c r="R17" i="32"/>
  <c r="Q17" i="33"/>
  <c r="R17" i="33" s="1"/>
  <c r="Q17" i="34"/>
  <c r="R17" i="34" s="1"/>
  <c r="R8" i="32"/>
  <c r="Q8" i="33"/>
  <c r="R8" i="33" s="1"/>
  <c r="Q8" i="34"/>
  <c r="R8" i="34" s="1"/>
  <c r="U37" i="33"/>
  <c r="U37" i="34"/>
  <c r="U32" i="33"/>
  <c r="U32" i="34"/>
  <c r="U31" i="33"/>
  <c r="U31" i="34"/>
  <c r="U33" i="33"/>
  <c r="U33" i="34"/>
  <c r="N36" i="33"/>
  <c r="N36" i="34"/>
  <c r="N12" i="33"/>
  <c r="N12" i="34"/>
  <c r="N18" i="33"/>
  <c r="N18" i="34"/>
  <c r="N41" i="33"/>
  <c r="N41" i="34"/>
  <c r="N9" i="33"/>
  <c r="N9" i="34"/>
  <c r="Z34" i="32"/>
  <c r="Y34" i="33"/>
  <c r="Z34" i="33" s="1"/>
  <c r="Y34" i="34"/>
  <c r="Z34" i="34" s="1"/>
  <c r="Z11" i="32"/>
  <c r="Y11" i="33"/>
  <c r="Z11" i="33" s="1"/>
  <c r="Y11" i="34"/>
  <c r="Z11" i="34" s="1"/>
  <c r="Z35" i="32"/>
  <c r="Y35" i="33"/>
  <c r="Z35" i="33" s="1"/>
  <c r="Y35" i="34"/>
  <c r="Z35" i="34" s="1"/>
  <c r="Z5" i="32"/>
  <c r="Y5" i="33"/>
  <c r="U5" i="44" s="1"/>
  <c r="U47" i="44" s="1"/>
  <c r="Y43" i="32"/>
  <c r="Y5" i="34"/>
  <c r="R11" i="32"/>
  <c r="Q11" i="33"/>
  <c r="R11" i="33" s="1"/>
  <c r="Q11" i="34"/>
  <c r="R11" i="34" s="1"/>
  <c r="R26" i="32"/>
  <c r="Q26" i="33"/>
  <c r="R26" i="33" s="1"/>
  <c r="Q26" i="34"/>
  <c r="R26" i="34" s="1"/>
  <c r="R33" i="32"/>
  <c r="Q33" i="33"/>
  <c r="R33" i="33" s="1"/>
  <c r="Q33" i="34"/>
  <c r="R33" i="34" s="1"/>
  <c r="R36" i="32"/>
  <c r="Q36" i="33"/>
  <c r="R36" i="33" s="1"/>
  <c r="Q36" i="34"/>
  <c r="R36" i="34" s="1"/>
  <c r="R6" i="32"/>
  <c r="Q6" i="33"/>
  <c r="R6" i="33" s="1"/>
  <c r="Q6" i="34"/>
  <c r="R6" i="34" s="1"/>
  <c r="U35" i="33"/>
  <c r="S35" i="44" s="1"/>
  <c r="S77" i="44" s="1"/>
  <c r="U35" i="34"/>
  <c r="U21" i="33"/>
  <c r="U21" i="34"/>
  <c r="U38" i="33"/>
  <c r="U38" i="34"/>
  <c r="U6" i="33"/>
  <c r="S6" i="44" s="1"/>
  <c r="S48" i="44" s="1"/>
  <c r="U6" i="34"/>
  <c r="N26" i="33"/>
  <c r="N26" i="34"/>
  <c r="N16" i="33"/>
  <c r="N16" i="34"/>
  <c r="N24" i="33"/>
  <c r="N24" i="34"/>
  <c r="N11" i="33"/>
  <c r="N11" i="34"/>
  <c r="N7" i="33"/>
  <c r="N7" i="34"/>
  <c r="Z17" i="32"/>
  <c r="Y17" i="33"/>
  <c r="Z17" i="33" s="1"/>
  <c r="Y17" i="34"/>
  <c r="Z17" i="34" s="1"/>
  <c r="Z41" i="32"/>
  <c r="Y41" i="33"/>
  <c r="Z41" i="33" s="1"/>
  <c r="Y41" i="34"/>
  <c r="Z41" i="34" s="1"/>
  <c r="Z19" i="32"/>
  <c r="Y19" i="33"/>
  <c r="Z19" i="33" s="1"/>
  <c r="Y19" i="34"/>
  <c r="Z19" i="34" s="1"/>
  <c r="Z8" i="32"/>
  <c r="Y8" i="33"/>
  <c r="Z8" i="33" s="1"/>
  <c r="Y8" i="34"/>
  <c r="Z8" i="34" s="1"/>
  <c r="Q13" i="33"/>
  <c r="R13" i="33" s="1"/>
  <c r="R13" i="32"/>
  <c r="Q13" i="34"/>
  <c r="R13" i="34" s="1"/>
  <c r="R41" i="32"/>
  <c r="Q41" i="33"/>
  <c r="R41" i="33" s="1"/>
  <c r="Q41" i="34"/>
  <c r="R41" i="34" s="1"/>
  <c r="R24" i="32"/>
  <c r="Q24" i="33"/>
  <c r="R24" i="33" s="1"/>
  <c r="Q24" i="34"/>
  <c r="R24" i="34" s="1"/>
  <c r="R18" i="32"/>
  <c r="Q18" i="33"/>
  <c r="R18" i="33" s="1"/>
  <c r="Q18" i="34"/>
  <c r="R18" i="34" s="1"/>
  <c r="R9" i="32"/>
  <c r="Q9" i="33"/>
  <c r="R9" i="33" s="1"/>
  <c r="Q9" i="34"/>
  <c r="R9" i="34" s="1"/>
  <c r="Y20" i="33"/>
  <c r="Z20" i="33" s="1"/>
  <c r="Z20" i="32"/>
  <c r="Y20" i="34"/>
  <c r="Z20" i="34" s="1"/>
  <c r="Z40" i="32"/>
  <c r="Y40" i="33"/>
  <c r="Z40" i="33" s="1"/>
  <c r="Y40" i="34"/>
  <c r="Z40" i="34" s="1"/>
  <c r="Z24" i="32"/>
  <c r="Y24" i="33"/>
  <c r="Z24" i="33" s="1"/>
  <c r="Y24" i="34"/>
  <c r="Z24" i="34" s="1"/>
  <c r="Y6" i="33"/>
  <c r="Z6" i="33" s="1"/>
  <c r="Z6" i="32"/>
  <c r="Y6" i="34"/>
  <c r="Z6" i="34" s="1"/>
  <c r="R39" i="32"/>
  <c r="Q39" i="33"/>
  <c r="R39" i="33" s="1"/>
  <c r="Q39" i="34"/>
  <c r="R39" i="34" s="1"/>
  <c r="R32" i="32"/>
  <c r="Q32" i="33"/>
  <c r="R32" i="33" s="1"/>
  <c r="Q32" i="34"/>
  <c r="R32" i="34" s="1"/>
  <c r="R30" i="32"/>
  <c r="Q30" i="33"/>
  <c r="R30" i="33" s="1"/>
  <c r="Q30" i="34"/>
  <c r="R30" i="34" s="1"/>
  <c r="R20" i="32"/>
  <c r="Q20" i="33"/>
  <c r="R20" i="33" s="1"/>
  <c r="Q20" i="34"/>
  <c r="R20" i="34" s="1"/>
  <c r="N5" i="33"/>
  <c r="N43" i="32"/>
  <c r="N5" i="34"/>
  <c r="Z37" i="32"/>
  <c r="Y37" i="33"/>
  <c r="Z37" i="33" s="1"/>
  <c r="Y37" i="34"/>
  <c r="Z37" i="34" s="1"/>
  <c r="Z31" i="32"/>
  <c r="Y31" i="33"/>
  <c r="Z31" i="33" s="1"/>
  <c r="Y31" i="34"/>
  <c r="Z31" i="34" s="1"/>
  <c r="Z38" i="32"/>
  <c r="Y38" i="33"/>
  <c r="Z38" i="33" s="1"/>
  <c r="Y38" i="34"/>
  <c r="Z38" i="34" s="1"/>
  <c r="Y22" i="33"/>
  <c r="Z22" i="33" s="1"/>
  <c r="Z22" i="32"/>
  <c r="Y22" i="34"/>
  <c r="Z22" i="34" s="1"/>
  <c r="Z15" i="32"/>
  <c r="Y15" i="33"/>
  <c r="Z15" i="33" s="1"/>
  <c r="Y15" i="34"/>
  <c r="Z15" i="34" s="1"/>
  <c r="R34" i="32"/>
  <c r="Q34" i="33"/>
  <c r="R34" i="33" s="1"/>
  <c r="Q34" i="34"/>
  <c r="R34" i="34" s="1"/>
  <c r="R23" i="32"/>
  <c r="Q23" i="33"/>
  <c r="R23" i="33" s="1"/>
  <c r="Q23" i="34"/>
  <c r="R23" i="34" s="1"/>
  <c r="R35" i="32"/>
  <c r="Q35" i="33"/>
  <c r="R35" i="33" s="1"/>
  <c r="Q35" i="34"/>
  <c r="R35" i="34" s="1"/>
  <c r="Q7" i="33"/>
  <c r="R7" i="33" s="1"/>
  <c r="R7" i="32"/>
  <c r="Q7" i="34"/>
  <c r="R7" i="34" s="1"/>
  <c r="E10" i="5"/>
  <c r="N57" i="27"/>
  <c r="F10" i="5"/>
  <c r="F46" i="5" s="1"/>
  <c r="N58" i="27"/>
  <c r="D46" i="5"/>
  <c r="D29" i="5"/>
  <c r="F29" i="5"/>
  <c r="S8" i="44" l="1"/>
  <c r="S50" i="44" s="1"/>
  <c r="S19" i="44"/>
  <c r="S61" i="44" s="1"/>
  <c r="S5" i="44"/>
  <c r="S47" i="44" s="1"/>
  <c r="S25" i="44"/>
  <c r="S67" i="44" s="1"/>
  <c r="S28" i="44"/>
  <c r="S70" i="44" s="1"/>
  <c r="AI43" i="29"/>
  <c r="AI50" i="29"/>
  <c r="AE50" i="43" s="1"/>
  <c r="AE102" i="43" s="1"/>
  <c r="X49" i="30"/>
  <c r="X31" i="30"/>
  <c r="X22" i="30"/>
  <c r="U43" i="30"/>
  <c r="Q12" i="30"/>
  <c r="Q25" i="30"/>
  <c r="AC36" i="30"/>
  <c r="AD36" i="30" s="1"/>
  <c r="AD36" i="28"/>
  <c r="AC35" i="30"/>
  <c r="AD35" i="30" s="1"/>
  <c r="AD35" i="28"/>
  <c r="AC37" i="30"/>
  <c r="AD37" i="30" s="1"/>
  <c r="AD37" i="28"/>
  <c r="AD32" i="28"/>
  <c r="AC32" i="30"/>
  <c r="AD32" i="30" s="1"/>
  <c r="AD48" i="28"/>
  <c r="AC48" i="30"/>
  <c r="AD48" i="30" s="1"/>
  <c r="AC17" i="30"/>
  <c r="AD17" i="30" s="1"/>
  <c r="AD17" i="28"/>
  <c r="AH51" i="30"/>
  <c r="AH40" i="30"/>
  <c r="AH30" i="30"/>
  <c r="AH9" i="30"/>
  <c r="AH28" i="30"/>
  <c r="O42" i="30"/>
  <c r="L43" i="30"/>
  <c r="L38" i="30"/>
  <c r="L18" i="30"/>
  <c r="R53" i="28"/>
  <c r="R5" i="30"/>
  <c r="R53" i="30" s="1"/>
  <c r="S53" i="28"/>
  <c r="AI47" i="29"/>
  <c r="AI41" i="29"/>
  <c r="X26" i="30"/>
  <c r="X23" i="30"/>
  <c r="X30" i="30"/>
  <c r="X48" i="30"/>
  <c r="X33" i="30"/>
  <c r="X19" i="30"/>
  <c r="Q21" i="30"/>
  <c r="Q34" i="30"/>
  <c r="Q32" i="30"/>
  <c r="Q22" i="30"/>
  <c r="AD26" i="28"/>
  <c r="AC26" i="30"/>
  <c r="AD26" i="30" s="1"/>
  <c r="AC6" i="30"/>
  <c r="AD6" i="30" s="1"/>
  <c r="AD6" i="28"/>
  <c r="AC38" i="30"/>
  <c r="AD38" i="30" s="1"/>
  <c r="AD38" i="28"/>
  <c r="AD46" i="28"/>
  <c r="AC46" i="30"/>
  <c r="AD46" i="30" s="1"/>
  <c r="AD15" i="28"/>
  <c r="AC15" i="30"/>
  <c r="AD15" i="30" s="1"/>
  <c r="AD30" i="28"/>
  <c r="AC30" i="30"/>
  <c r="AD30" i="30" s="1"/>
  <c r="AH7" i="30"/>
  <c r="AH31" i="30"/>
  <c r="AH50" i="30"/>
  <c r="AH24" i="30"/>
  <c r="O5" i="30"/>
  <c r="O53" i="28"/>
  <c r="O58" i="28" s="1"/>
  <c r="AI26" i="29"/>
  <c r="X27" i="30"/>
  <c r="X18" i="30"/>
  <c r="X47" i="30"/>
  <c r="Q39" i="30"/>
  <c r="Q38" i="30"/>
  <c r="Q13" i="30"/>
  <c r="W33" i="30"/>
  <c r="W31" i="30"/>
  <c r="AC14" i="30"/>
  <c r="AD14" i="30" s="1"/>
  <c r="AD14" i="28"/>
  <c r="AC24" i="30"/>
  <c r="AD24" i="30" s="1"/>
  <c r="AD24" i="28"/>
  <c r="AD51" i="28"/>
  <c r="AC51" i="30"/>
  <c r="AD51" i="30" s="1"/>
  <c r="AC47" i="30"/>
  <c r="AD47" i="30" s="1"/>
  <c r="AD47" i="28"/>
  <c r="AD10" i="28"/>
  <c r="AC10" i="30"/>
  <c r="AD10" i="30" s="1"/>
  <c r="AD43" i="28"/>
  <c r="AC43" i="30"/>
  <c r="AD43" i="30" s="1"/>
  <c r="P45" i="30"/>
  <c r="V39" i="28"/>
  <c r="V44" i="28"/>
  <c r="V38" i="28"/>
  <c r="V28" i="28"/>
  <c r="V40" i="28"/>
  <c r="V5" i="28"/>
  <c r="V14" i="28"/>
  <c r="V51" i="28"/>
  <c r="V24" i="28"/>
  <c r="V48" i="28"/>
  <c r="V6" i="28"/>
  <c r="V15" i="28"/>
  <c r="V8" i="28"/>
  <c r="V10" i="28"/>
  <c r="V45" i="28"/>
  <c r="V9" i="28"/>
  <c r="V12" i="28"/>
  <c r="V43" i="28"/>
  <c r="V7" i="28"/>
  <c r="V47" i="28"/>
  <c r="V41" i="28"/>
  <c r="V34" i="28"/>
  <c r="V37" i="28"/>
  <c r="V36" i="28"/>
  <c r="V35" i="28"/>
  <c r="V30" i="28"/>
  <c r="V33" i="28"/>
  <c r="V50" i="28"/>
  <c r="V32" i="28"/>
  <c r="V31" i="28"/>
  <c r="V26" i="28"/>
  <c r="V29" i="28"/>
  <c r="V46" i="28"/>
  <c r="V20" i="28"/>
  <c r="V27" i="28"/>
  <c r="V22" i="28"/>
  <c r="V25" i="28"/>
  <c r="V49" i="28"/>
  <c r="V16" i="28"/>
  <c r="V23" i="28"/>
  <c r="V18" i="28"/>
  <c r="V21" i="28"/>
  <c r="V42" i="28"/>
  <c r="V13" i="28"/>
  <c r="V19" i="28"/>
  <c r="V11" i="28"/>
  <c r="V17" i="28"/>
  <c r="AH6" i="30"/>
  <c r="AH36" i="30"/>
  <c r="AH39" i="30"/>
  <c r="AH43" i="30"/>
  <c r="O39" i="29"/>
  <c r="O39" i="43" s="1"/>
  <c r="O91" i="43" s="1"/>
  <c r="O39" i="30"/>
  <c r="L44" i="30"/>
  <c r="L39" i="30"/>
  <c r="L6" i="30"/>
  <c r="L21" i="30"/>
  <c r="M15" i="32"/>
  <c r="M11" i="32"/>
  <c r="M27" i="32"/>
  <c r="M40" i="32"/>
  <c r="M12" i="32"/>
  <c r="M38" i="32"/>
  <c r="M13" i="32"/>
  <c r="M14" i="32"/>
  <c r="M10" i="32"/>
  <c r="M33" i="32"/>
  <c r="M16" i="32"/>
  <c r="M19" i="32"/>
  <c r="M23" i="32"/>
  <c r="M5" i="32"/>
  <c r="M36" i="32"/>
  <c r="M20" i="32"/>
  <c r="M31" i="32"/>
  <c r="M17" i="32"/>
  <c r="M7" i="32"/>
  <c r="M30" i="32"/>
  <c r="M29" i="32"/>
  <c r="M32" i="32"/>
  <c r="M18" i="32"/>
  <c r="M9" i="32"/>
  <c r="M25" i="32"/>
  <c r="M37" i="32"/>
  <c r="M34" i="32"/>
  <c r="M28" i="32"/>
  <c r="M6" i="32"/>
  <c r="M21" i="32"/>
  <c r="M24" i="32"/>
  <c r="M35" i="32"/>
  <c r="M22" i="32"/>
  <c r="M8" i="32"/>
  <c r="M41" i="32"/>
  <c r="M26" i="32"/>
  <c r="M39" i="32"/>
  <c r="X13" i="30"/>
  <c r="X45" i="30"/>
  <c r="X15" i="30"/>
  <c r="O10" i="32"/>
  <c r="O27" i="32"/>
  <c r="O25" i="32"/>
  <c r="O37" i="32"/>
  <c r="O7" i="32"/>
  <c r="O41" i="32"/>
  <c r="O13" i="32"/>
  <c r="O20" i="32"/>
  <c r="O14" i="32"/>
  <c r="O9" i="32"/>
  <c r="O28" i="32"/>
  <c r="O35" i="32"/>
  <c r="O21" i="32"/>
  <c r="O40" i="32"/>
  <c r="O8" i="32"/>
  <c r="O39" i="32"/>
  <c r="O17" i="32"/>
  <c r="O26" i="32"/>
  <c r="O22" i="32"/>
  <c r="O15" i="32"/>
  <c r="O19" i="32"/>
  <c r="O24" i="32"/>
  <c r="O18" i="32"/>
  <c r="O31" i="32"/>
  <c r="O23" i="32"/>
  <c r="O32" i="32"/>
  <c r="O30" i="32"/>
  <c r="O34" i="32"/>
  <c r="O36" i="32"/>
  <c r="O33" i="32"/>
  <c r="O38" i="32"/>
  <c r="O29" i="32"/>
  <c r="O11" i="32"/>
  <c r="O6" i="32"/>
  <c r="O12" i="32"/>
  <c r="O5" i="32"/>
  <c r="O16" i="32"/>
  <c r="U11" i="30"/>
  <c r="Q5" i="30"/>
  <c r="Q53" i="28"/>
  <c r="Q58" i="28" s="1"/>
  <c r="Q39" i="29" s="1"/>
  <c r="Q39" i="43" s="1"/>
  <c r="Q91" i="43" s="1"/>
  <c r="Q43" i="30"/>
  <c r="Q41" i="30"/>
  <c r="Q8" i="30"/>
  <c r="W41" i="30"/>
  <c r="AD41" i="28"/>
  <c r="AC41" i="30"/>
  <c r="AD41" i="30" s="1"/>
  <c r="AD20" i="28"/>
  <c r="AC20" i="30"/>
  <c r="AD20" i="30" s="1"/>
  <c r="AC23" i="30"/>
  <c r="AD23" i="30" s="1"/>
  <c r="AD23" i="28"/>
  <c r="AD8" i="28"/>
  <c r="AC8" i="30"/>
  <c r="AD8" i="30" s="1"/>
  <c r="AD49" i="28"/>
  <c r="AC49" i="30"/>
  <c r="AD49" i="30" s="1"/>
  <c r="AD42" i="28"/>
  <c r="AC42" i="30"/>
  <c r="AD42" i="30" s="1"/>
  <c r="P38" i="30"/>
  <c r="V54" i="28"/>
  <c r="V54" i="29"/>
  <c r="V58" i="29" s="1"/>
  <c r="V54" i="30"/>
  <c r="AH29" i="30"/>
  <c r="AH25" i="30"/>
  <c r="AH35" i="30"/>
  <c r="AH34" i="30"/>
  <c r="AH8" i="30"/>
  <c r="O11" i="45"/>
  <c r="L29" i="30"/>
  <c r="AI7" i="29"/>
  <c r="AE7" i="43" s="1"/>
  <c r="AE59" i="43" s="1"/>
  <c r="X42" i="30"/>
  <c r="X20" i="30"/>
  <c r="Q45" i="30"/>
  <c r="Q6" i="30"/>
  <c r="Q6" i="29"/>
  <c r="Q6" i="43" s="1"/>
  <c r="Q58" i="43" s="1"/>
  <c r="W37" i="30"/>
  <c r="AC53" i="28"/>
  <c r="AC58" i="28" s="1"/>
  <c r="AC24" i="29" s="1"/>
  <c r="AC5" i="30"/>
  <c r="AD5" i="28"/>
  <c r="AD44" i="28"/>
  <c r="AC44" i="30"/>
  <c r="AD44" i="30" s="1"/>
  <c r="AC34" i="30"/>
  <c r="AD34" i="30" s="1"/>
  <c r="AD34" i="28"/>
  <c r="AD16" i="28"/>
  <c r="AC16" i="30"/>
  <c r="AD16" i="30" s="1"/>
  <c r="AD28" i="28"/>
  <c r="AC28" i="30"/>
  <c r="AD28" i="30" s="1"/>
  <c r="AD11" i="28"/>
  <c r="AC11" i="30"/>
  <c r="AD11" i="30" s="1"/>
  <c r="P51" i="30"/>
  <c r="Y60" i="27"/>
  <c r="Y54" i="29"/>
  <c r="Y58" i="29" s="1"/>
  <c r="Y54" i="30"/>
  <c r="Y54" i="28"/>
  <c r="Z5" i="43"/>
  <c r="Z57" i="43" s="1"/>
  <c r="AA53" i="29"/>
  <c r="AH26" i="30"/>
  <c r="AH41" i="30"/>
  <c r="AH49" i="30"/>
  <c r="AH37" i="30"/>
  <c r="AH20" i="30"/>
  <c r="Y5" i="43"/>
  <c r="Y57" i="43" s="1"/>
  <c r="Z53" i="29"/>
  <c r="L40" i="30"/>
  <c r="L9" i="30"/>
  <c r="X41" i="30"/>
  <c r="X17" i="30"/>
  <c r="X6" i="30"/>
  <c r="U5" i="30"/>
  <c r="U53" i="30" s="1"/>
  <c r="U53" i="28"/>
  <c r="U58" i="28" s="1"/>
  <c r="U48" i="29" s="1"/>
  <c r="T48" i="43" s="1"/>
  <c r="T100" i="43" s="1"/>
  <c r="Q14" i="29"/>
  <c r="Q14" i="43" s="1"/>
  <c r="Q66" i="43" s="1"/>
  <c r="Q14" i="30"/>
  <c r="Q46" i="30"/>
  <c r="W45" i="30"/>
  <c r="T7" i="32"/>
  <c r="T13" i="32"/>
  <c r="T27" i="32"/>
  <c r="T9" i="32"/>
  <c r="T33" i="32"/>
  <c r="T21" i="32"/>
  <c r="T28" i="32"/>
  <c r="T6" i="32"/>
  <c r="T29" i="32"/>
  <c r="T24" i="32"/>
  <c r="T15" i="32"/>
  <c r="T36" i="32"/>
  <c r="T16" i="32"/>
  <c r="T17" i="32"/>
  <c r="T14" i="32"/>
  <c r="T23" i="32"/>
  <c r="T8" i="32"/>
  <c r="T30" i="32"/>
  <c r="T18" i="32"/>
  <c r="T32" i="32"/>
  <c r="T20" i="32"/>
  <c r="T34" i="32"/>
  <c r="T35" i="32"/>
  <c r="T22" i="32"/>
  <c r="T25" i="32"/>
  <c r="T41" i="32"/>
  <c r="T11" i="32"/>
  <c r="T39" i="32"/>
  <c r="T37" i="32"/>
  <c r="T5" i="32"/>
  <c r="T10" i="32"/>
  <c r="T19" i="32"/>
  <c r="T12" i="32"/>
  <c r="T40" i="32"/>
  <c r="T38" i="32"/>
  <c r="T26" i="32"/>
  <c r="T31" i="32"/>
  <c r="AD22" i="28"/>
  <c r="AC22" i="30"/>
  <c r="AD22" i="30" s="1"/>
  <c r="AD45" i="28"/>
  <c r="AC45" i="30"/>
  <c r="AD45" i="30" s="1"/>
  <c r="AC18" i="30"/>
  <c r="AD18" i="30" s="1"/>
  <c r="AD18" i="28"/>
  <c r="AD31" i="28"/>
  <c r="AC31" i="30"/>
  <c r="AD31" i="30" s="1"/>
  <c r="AC50" i="30"/>
  <c r="AD50" i="30" s="1"/>
  <c r="AD50" i="28"/>
  <c r="AD9" i="28"/>
  <c r="AC9" i="30"/>
  <c r="AD9" i="30" s="1"/>
  <c r="P32" i="30"/>
  <c r="P24" i="30"/>
  <c r="P9" i="45"/>
  <c r="AH11" i="30"/>
  <c r="AH46" i="30"/>
  <c r="AH18" i="30"/>
  <c r="N25" i="44"/>
  <c r="N67" i="44" s="1"/>
  <c r="X7" i="30"/>
  <c r="X16" i="30"/>
  <c r="X14" i="30"/>
  <c r="X50" i="30"/>
  <c r="Q9" i="29"/>
  <c r="Q9" i="43" s="1"/>
  <c r="Q61" i="43" s="1"/>
  <c r="Q9" i="30"/>
  <c r="Q36" i="30"/>
  <c r="Q36" i="29"/>
  <c r="Q36" i="43" s="1"/>
  <c r="Q88" i="43" s="1"/>
  <c r="Q35" i="29"/>
  <c r="Q35" i="43" s="1"/>
  <c r="Q87" i="43" s="1"/>
  <c r="Q35" i="30"/>
  <c r="AD12" i="28"/>
  <c r="AC12" i="30"/>
  <c r="AD12" i="30" s="1"/>
  <c r="AD7" i="28"/>
  <c r="AC7" i="30"/>
  <c r="AD7" i="30" s="1"/>
  <c r="AD13" i="28"/>
  <c r="AC13" i="30"/>
  <c r="AD13" i="30" s="1"/>
  <c r="AD21" i="28"/>
  <c r="AC21" i="30"/>
  <c r="AD21" i="30" s="1"/>
  <c r="AD39" i="28"/>
  <c r="AC39" i="30"/>
  <c r="AD39" i="30" s="1"/>
  <c r="AD25" i="28"/>
  <c r="AC25" i="30"/>
  <c r="AD25" i="30" s="1"/>
  <c r="P14" i="30"/>
  <c r="P53" i="28"/>
  <c r="P58" i="28" s="1"/>
  <c r="P24" i="29" s="1"/>
  <c r="P5" i="30"/>
  <c r="AH22" i="30"/>
  <c r="AH47" i="30"/>
  <c r="AH21" i="30"/>
  <c r="AH16" i="30"/>
  <c r="L34" i="30"/>
  <c r="X53" i="28"/>
  <c r="X58" i="28" s="1"/>
  <c r="X49" i="29" s="1"/>
  <c r="W49" i="43" s="1"/>
  <c r="W101" i="43" s="1"/>
  <c r="X5" i="30"/>
  <c r="X10" i="30"/>
  <c r="X34" i="30"/>
  <c r="X37" i="30"/>
  <c r="Q48" i="29"/>
  <c r="Q48" i="43" s="1"/>
  <c r="Q100" i="43" s="1"/>
  <c r="Q48" i="30"/>
  <c r="Q33" i="29"/>
  <c r="Q33" i="30"/>
  <c r="Q47" i="29"/>
  <c r="Q47" i="43" s="1"/>
  <c r="Q99" i="43" s="1"/>
  <c r="Q47" i="30"/>
  <c r="Q11" i="30"/>
  <c r="W27" i="29"/>
  <c r="V27" i="43" s="1"/>
  <c r="V79" i="43" s="1"/>
  <c r="W27" i="30"/>
  <c r="W40" i="30"/>
  <c r="W5" i="30"/>
  <c r="W53" i="28"/>
  <c r="W58" i="28" s="1"/>
  <c r="W37" i="29" s="1"/>
  <c r="V37" i="43" s="1"/>
  <c r="V89" i="43" s="1"/>
  <c r="AC33" i="30"/>
  <c r="AD33" i="30" s="1"/>
  <c r="AD33" i="28"/>
  <c r="AD40" i="28"/>
  <c r="AC40" i="30"/>
  <c r="AD40" i="30" s="1"/>
  <c r="AD29" i="28"/>
  <c r="AC29" i="30"/>
  <c r="AD29" i="30" s="1"/>
  <c r="AC27" i="30"/>
  <c r="AD27" i="30" s="1"/>
  <c r="AD27" i="28"/>
  <c r="AC19" i="30"/>
  <c r="AD19" i="30" s="1"/>
  <c r="AD19" i="28"/>
  <c r="M28" i="28"/>
  <c r="M28" i="30" s="1"/>
  <c r="M41" i="28"/>
  <c r="M21" i="28"/>
  <c r="M8" i="28"/>
  <c r="M15" i="28"/>
  <c r="M33" i="28"/>
  <c r="M33" i="30" s="1"/>
  <c r="M40" i="28"/>
  <c r="M18" i="28"/>
  <c r="M11" i="28"/>
  <c r="M14" i="28"/>
  <c r="M27" i="28"/>
  <c r="M27" i="30" s="1"/>
  <c r="M51" i="28"/>
  <c r="M49" i="28"/>
  <c r="M49" i="30" s="1"/>
  <c r="M37" i="28"/>
  <c r="M37" i="30" s="1"/>
  <c r="M22" i="28"/>
  <c r="M35" i="28"/>
  <c r="M35" i="30" s="1"/>
  <c r="M24" i="28"/>
  <c r="M24" i="30" s="1"/>
  <c r="M31" i="28"/>
  <c r="M46" i="28"/>
  <c r="M46" i="30" s="1"/>
  <c r="M32" i="28"/>
  <c r="M45" i="28"/>
  <c r="M19" i="28"/>
  <c r="M34" i="28"/>
  <c r="M6" i="28"/>
  <c r="M17" i="28"/>
  <c r="M17" i="30" s="1"/>
  <c r="M48" i="28"/>
  <c r="M9" i="28"/>
  <c r="M38" i="28"/>
  <c r="M30" i="28"/>
  <c r="M30" i="30" s="1"/>
  <c r="M23" i="28"/>
  <c r="M23" i="30" s="1"/>
  <c r="M44" i="28"/>
  <c r="M36" i="28"/>
  <c r="M47" i="28"/>
  <c r="M12" i="28"/>
  <c r="M12" i="30" s="1"/>
  <c r="M20" i="28"/>
  <c r="M29" i="28"/>
  <c r="M39" i="28"/>
  <c r="M13" i="28"/>
  <c r="M42" i="28"/>
  <c r="M42" i="30" s="1"/>
  <c r="M26" i="28"/>
  <c r="M7" i="28"/>
  <c r="M50" i="28"/>
  <c r="M16" i="28"/>
  <c r="M5" i="28"/>
  <c r="M43" i="28"/>
  <c r="M10" i="28"/>
  <c r="M10" i="30" s="1"/>
  <c r="M25" i="28"/>
  <c r="P15" i="29"/>
  <c r="P15" i="30"/>
  <c r="S5" i="32"/>
  <c r="S24" i="32"/>
  <c r="S14" i="32"/>
  <c r="S40" i="32"/>
  <c r="S39" i="32"/>
  <c r="S10" i="32"/>
  <c r="S11" i="32"/>
  <c r="S18" i="32"/>
  <c r="S26" i="32"/>
  <c r="S33" i="32"/>
  <c r="S7" i="32"/>
  <c r="S22" i="32"/>
  <c r="S29" i="32"/>
  <c r="S35" i="32"/>
  <c r="S9" i="32"/>
  <c r="S19" i="32"/>
  <c r="S32" i="32"/>
  <c r="S12" i="32"/>
  <c r="S16" i="32"/>
  <c r="S20" i="32"/>
  <c r="S27" i="32"/>
  <c r="S28" i="32"/>
  <c r="S6" i="32"/>
  <c r="S17" i="32"/>
  <c r="S30" i="32"/>
  <c r="S34" i="32"/>
  <c r="S31" i="32"/>
  <c r="S15" i="32"/>
  <c r="S41" i="32"/>
  <c r="S21" i="32"/>
  <c r="S37" i="32"/>
  <c r="S25" i="32"/>
  <c r="S8" i="32"/>
  <c r="S13" i="32"/>
  <c r="S38" i="32"/>
  <c r="S23" i="32"/>
  <c r="S36" i="32"/>
  <c r="AH19" i="30"/>
  <c r="AH23" i="30"/>
  <c r="AH5" i="30"/>
  <c r="AH53" i="28"/>
  <c r="AH58" i="28" s="1"/>
  <c r="AH40" i="29" s="1"/>
  <c r="AD40" i="43" s="1"/>
  <c r="AD92" i="43" s="1"/>
  <c r="AH14" i="30"/>
  <c r="AH48" i="30"/>
  <c r="L37" i="29"/>
  <c r="L37" i="43" s="1"/>
  <c r="L89" i="43" s="1"/>
  <c r="L37" i="30"/>
  <c r="L53" i="28"/>
  <c r="L58" i="28" s="1"/>
  <c r="L5" i="30"/>
  <c r="L53" i="30" s="1"/>
  <c r="N26" i="44"/>
  <c r="N68" i="44" s="1"/>
  <c r="N8" i="44"/>
  <c r="N50" i="44" s="1"/>
  <c r="N33" i="44"/>
  <c r="N75" i="44" s="1"/>
  <c r="S12" i="44"/>
  <c r="S54" i="44" s="1"/>
  <c r="S24" i="44"/>
  <c r="S66" i="44" s="1"/>
  <c r="S16" i="44"/>
  <c r="S58" i="44" s="1"/>
  <c r="AE45" i="43"/>
  <c r="AE97" i="43" s="1"/>
  <c r="AI24" i="29"/>
  <c r="AI46" i="29"/>
  <c r="AE46" i="43" s="1"/>
  <c r="AE98" i="43" s="1"/>
  <c r="N5" i="44"/>
  <c r="N47" i="44" s="1"/>
  <c r="AI23" i="29"/>
  <c r="AE23" i="43" s="1"/>
  <c r="AE75" i="43" s="1"/>
  <c r="AI36" i="29"/>
  <c r="AE36" i="43" s="1"/>
  <c r="AE88" i="43" s="1"/>
  <c r="AI12" i="29"/>
  <c r="AE12" i="43" s="1"/>
  <c r="AE64" i="43" s="1"/>
  <c r="E41" i="5"/>
  <c r="E21" i="5"/>
  <c r="N17" i="44"/>
  <c r="N59" i="44" s="1"/>
  <c r="S40" i="44"/>
  <c r="S82" i="44" s="1"/>
  <c r="AI53" i="30"/>
  <c r="AI39" i="29"/>
  <c r="AI15" i="29"/>
  <c r="AE15" i="43" s="1"/>
  <c r="AE67" i="43" s="1"/>
  <c r="AI17" i="29"/>
  <c r="AE14" i="43"/>
  <c r="AE66" i="43" s="1"/>
  <c r="AI34" i="29"/>
  <c r="AE34" i="43" s="1"/>
  <c r="AE86" i="43" s="1"/>
  <c r="AE27" i="43"/>
  <c r="AE79" i="43" s="1"/>
  <c r="AI29" i="29"/>
  <c r="AE29" i="43" s="1"/>
  <c r="AE81" i="43" s="1"/>
  <c r="N38" i="44"/>
  <c r="N80" i="44" s="1"/>
  <c r="S9" i="44"/>
  <c r="S51" i="44" s="1"/>
  <c r="AE33" i="43"/>
  <c r="AE85" i="43" s="1"/>
  <c r="AI19" i="29"/>
  <c r="AE19" i="43" s="1"/>
  <c r="AE71" i="43" s="1"/>
  <c r="AI21" i="29"/>
  <c r="AE21" i="43" s="1"/>
  <c r="AE73" i="43" s="1"/>
  <c r="S18" i="44"/>
  <c r="S60" i="44" s="1"/>
  <c r="N35" i="44"/>
  <c r="N77" i="44" s="1"/>
  <c r="S27" i="44"/>
  <c r="S69" i="44" s="1"/>
  <c r="N40" i="44"/>
  <c r="N82" i="44" s="1"/>
  <c r="S36" i="44"/>
  <c r="S78" i="44" s="1"/>
  <c r="AI25" i="29"/>
  <c r="AE25" i="43" s="1"/>
  <c r="AE77" i="43" s="1"/>
  <c r="AI32" i="29"/>
  <c r="AI5" i="29"/>
  <c r="AE5" i="43" s="1"/>
  <c r="AE57" i="43" s="1"/>
  <c r="AI20" i="29"/>
  <c r="AE20" i="43" s="1"/>
  <c r="AE72" i="43" s="1"/>
  <c r="AI30" i="29"/>
  <c r="AE30" i="43" s="1"/>
  <c r="AE82" i="43" s="1"/>
  <c r="N41" i="44"/>
  <c r="N83" i="44" s="1"/>
  <c r="N12" i="44"/>
  <c r="N54" i="44" s="1"/>
  <c r="S31" i="44"/>
  <c r="S73" i="44" s="1"/>
  <c r="S37" i="44"/>
  <c r="S79" i="44" s="1"/>
  <c r="N29" i="44"/>
  <c r="N71" i="44" s="1"/>
  <c r="N10" i="44"/>
  <c r="N52" i="44" s="1"/>
  <c r="N30" i="44"/>
  <c r="N72" i="44" s="1"/>
  <c r="S10" i="44"/>
  <c r="S52" i="44" s="1"/>
  <c r="S39" i="44"/>
  <c r="S81" i="44" s="1"/>
  <c r="S34" i="44"/>
  <c r="S76" i="44" s="1"/>
  <c r="N19" i="44"/>
  <c r="N61" i="44" s="1"/>
  <c r="N39" i="44"/>
  <c r="N81" i="44" s="1"/>
  <c r="AE43" i="43"/>
  <c r="AE95" i="43" s="1"/>
  <c r="L15" i="32"/>
  <c r="L9" i="32"/>
  <c r="L18" i="32"/>
  <c r="L11" i="32"/>
  <c r="L32" i="32"/>
  <c r="L30" i="32"/>
  <c r="L17" i="32"/>
  <c r="L26" i="32"/>
  <c r="L34" i="32"/>
  <c r="L39" i="32"/>
  <c r="L8" i="32"/>
  <c r="L35" i="32"/>
  <c r="L41" i="32"/>
  <c r="L14" i="32"/>
  <c r="L7" i="32"/>
  <c r="L22" i="32"/>
  <c r="L16" i="32"/>
  <c r="L10" i="32"/>
  <c r="L6" i="32"/>
  <c r="L27" i="32"/>
  <c r="L38" i="32"/>
  <c r="L33" i="32"/>
  <c r="L40" i="32"/>
  <c r="L37" i="32"/>
  <c r="L23" i="32"/>
  <c r="L36" i="32"/>
  <c r="L5" i="32"/>
  <c r="L24" i="32"/>
  <c r="L20" i="32"/>
  <c r="L12" i="32"/>
  <c r="L31" i="32"/>
  <c r="L25" i="32"/>
  <c r="L29" i="32"/>
  <c r="L28" i="32"/>
  <c r="L19" i="32"/>
  <c r="L13" i="32"/>
  <c r="L21" i="32"/>
  <c r="AI28" i="29"/>
  <c r="AE28" i="43" s="1"/>
  <c r="AE80" i="43" s="1"/>
  <c r="N11" i="44"/>
  <c r="N53" i="44" s="1"/>
  <c r="S21" i="44"/>
  <c r="S63" i="44" s="1"/>
  <c r="N22" i="44"/>
  <c r="N64" i="44" s="1"/>
  <c r="N28" i="44"/>
  <c r="N70" i="44" s="1"/>
  <c r="S30" i="44"/>
  <c r="S72" i="44" s="1"/>
  <c r="S29" i="44"/>
  <c r="S71" i="44" s="1"/>
  <c r="S23" i="44"/>
  <c r="S65" i="44" s="1"/>
  <c r="S26" i="44"/>
  <c r="S68" i="44" s="1"/>
  <c r="N20" i="44"/>
  <c r="N62" i="44" s="1"/>
  <c r="N31" i="44"/>
  <c r="N73" i="44" s="1"/>
  <c r="S15" i="44"/>
  <c r="S57" i="44" s="1"/>
  <c r="S17" i="44"/>
  <c r="S59" i="44" s="1"/>
  <c r="S14" i="44"/>
  <c r="S56" i="44" s="1"/>
  <c r="S11" i="44"/>
  <c r="S53" i="44" s="1"/>
  <c r="I7" i="46" s="1"/>
  <c r="I13" i="46" s="1"/>
  <c r="AE6" i="43"/>
  <c r="AE58" i="43" s="1"/>
  <c r="AE42" i="43"/>
  <c r="AE94" i="43" s="1"/>
  <c r="AE44" i="43"/>
  <c r="AE96" i="43" s="1"/>
  <c r="AE16" i="43"/>
  <c r="AE68" i="43" s="1"/>
  <c r="AE51" i="43"/>
  <c r="AE103" i="43" s="1"/>
  <c r="AE47" i="43"/>
  <c r="AE99" i="43" s="1"/>
  <c r="AE40" i="43"/>
  <c r="AE92" i="43" s="1"/>
  <c r="AI10" i="29"/>
  <c r="AE10" i="43" s="1"/>
  <c r="AE62" i="43" s="1"/>
  <c r="AI8" i="29"/>
  <c r="AE8" i="43" s="1"/>
  <c r="AE60" i="43" s="1"/>
  <c r="AI13" i="29"/>
  <c r="AE13" i="43" s="1"/>
  <c r="AE65" i="43" s="1"/>
  <c r="N7" i="44"/>
  <c r="N49" i="44" s="1"/>
  <c r="S38" i="44"/>
  <c r="S80" i="44" s="1"/>
  <c r="N9" i="44"/>
  <c r="N51" i="44" s="1"/>
  <c r="S33" i="44"/>
  <c r="S75" i="44" s="1"/>
  <c r="S32" i="44"/>
  <c r="S74" i="44" s="1"/>
  <c r="N32" i="44"/>
  <c r="N74" i="44" s="1"/>
  <c r="N34" i="44"/>
  <c r="N76" i="44" s="1"/>
  <c r="N14" i="44"/>
  <c r="N56" i="44" s="1"/>
  <c r="N21" i="44"/>
  <c r="N63" i="44" s="1"/>
  <c r="S13" i="44"/>
  <c r="S55" i="44" s="1"/>
  <c r="S20" i="44"/>
  <c r="S62" i="44" s="1"/>
  <c r="N23" i="44"/>
  <c r="N65" i="44" s="1"/>
  <c r="AE18" i="43"/>
  <c r="AE70" i="43" s="1"/>
  <c r="AE49" i="43"/>
  <c r="AE101" i="43" s="1"/>
  <c r="AE24" i="43"/>
  <c r="AE76" i="43" s="1"/>
  <c r="AE26" i="43"/>
  <c r="AE78" i="43" s="1"/>
  <c r="AE31" i="43"/>
  <c r="AE83" i="43" s="1"/>
  <c r="AE41" i="43"/>
  <c r="AE93" i="43" s="1"/>
  <c r="AE39" i="43"/>
  <c r="AE91" i="43" s="1"/>
  <c r="AE32" i="43"/>
  <c r="AE84" i="43" s="1"/>
  <c r="AE17" i="43"/>
  <c r="AE69" i="43" s="1"/>
  <c r="I9" i="46"/>
  <c r="I11" i="46"/>
  <c r="D9" i="46"/>
  <c r="D11" i="46"/>
  <c r="P25" i="44"/>
  <c r="P67" i="44" s="1"/>
  <c r="U6" i="44"/>
  <c r="U48" i="44" s="1"/>
  <c r="K9" i="46" s="1"/>
  <c r="P13" i="44"/>
  <c r="P55" i="44" s="1"/>
  <c r="P17" i="44"/>
  <c r="P59" i="44" s="1"/>
  <c r="U34" i="44"/>
  <c r="U76" i="44" s="1"/>
  <c r="U30" i="44"/>
  <c r="U72" i="44" s="1"/>
  <c r="U32" i="44"/>
  <c r="U74" i="44" s="1"/>
  <c r="U21" i="44"/>
  <c r="U63" i="44" s="1"/>
  <c r="U37" i="44"/>
  <c r="U79" i="44" s="1"/>
  <c r="N16" i="44"/>
  <c r="N58" i="44" s="1"/>
  <c r="U41" i="44"/>
  <c r="U83" i="44" s="1"/>
  <c r="P29" i="44"/>
  <c r="P71" i="44" s="1"/>
  <c r="P12" i="44"/>
  <c r="P54" i="44" s="1"/>
  <c r="U24" i="44"/>
  <c r="U66" i="44" s="1"/>
  <c r="P21" i="44"/>
  <c r="P63" i="44" s="1"/>
  <c r="U13" i="44"/>
  <c r="U55" i="44" s="1"/>
  <c r="U23" i="44"/>
  <c r="U65" i="44" s="1"/>
  <c r="U25" i="44"/>
  <c r="U67" i="44" s="1"/>
  <c r="U17" i="44"/>
  <c r="U59" i="44" s="1"/>
  <c r="N18" i="44"/>
  <c r="N60" i="44" s="1"/>
  <c r="P40" i="44"/>
  <c r="P82" i="44" s="1"/>
  <c r="U9" i="44"/>
  <c r="U51" i="44" s="1"/>
  <c r="P38" i="44"/>
  <c r="P80" i="44" s="1"/>
  <c r="U40" i="44"/>
  <c r="U82" i="44" s="1"/>
  <c r="P37" i="44"/>
  <c r="P79" i="44" s="1"/>
  <c r="P15" i="44"/>
  <c r="P57" i="44" s="1"/>
  <c r="U29" i="44"/>
  <c r="U71" i="44" s="1"/>
  <c r="U39" i="44"/>
  <c r="U81" i="44" s="1"/>
  <c r="P28" i="44"/>
  <c r="P70" i="44" s="1"/>
  <c r="U16" i="44"/>
  <c r="U58" i="44" s="1"/>
  <c r="P19" i="44"/>
  <c r="P61" i="44" s="1"/>
  <c r="P7" i="44"/>
  <c r="P49" i="44" s="1"/>
  <c r="U20" i="44"/>
  <c r="U62" i="44" s="1"/>
  <c r="P6" i="44"/>
  <c r="P48" i="44" s="1"/>
  <c r="F9" i="46" s="1"/>
  <c r="P22" i="44"/>
  <c r="P64" i="44" s="1"/>
  <c r="P27" i="44"/>
  <c r="P69" i="44" s="1"/>
  <c r="N36" i="44"/>
  <c r="N78" i="44" s="1"/>
  <c r="U33" i="44"/>
  <c r="U75" i="44" s="1"/>
  <c r="P35" i="44"/>
  <c r="P77" i="44" s="1"/>
  <c r="P20" i="44"/>
  <c r="P62" i="44" s="1"/>
  <c r="P9" i="44"/>
  <c r="P51" i="44" s="1"/>
  <c r="P36" i="44"/>
  <c r="P78" i="44" s="1"/>
  <c r="P16" i="44"/>
  <c r="P58" i="44" s="1"/>
  <c r="U15" i="44"/>
  <c r="U57" i="44" s="1"/>
  <c r="U26" i="44"/>
  <c r="U68" i="44" s="1"/>
  <c r="P23" i="44"/>
  <c r="P65" i="44" s="1"/>
  <c r="P30" i="44"/>
  <c r="P72" i="44" s="1"/>
  <c r="P18" i="44"/>
  <c r="P60" i="44" s="1"/>
  <c r="P33" i="44"/>
  <c r="P75" i="44" s="1"/>
  <c r="P31" i="44"/>
  <c r="P73" i="44" s="1"/>
  <c r="N15" i="44"/>
  <c r="N57" i="44" s="1"/>
  <c r="U18" i="44"/>
  <c r="U60" i="44" s="1"/>
  <c r="U22" i="44"/>
  <c r="U64" i="44" s="1"/>
  <c r="U12" i="44"/>
  <c r="U54" i="44" s="1"/>
  <c r="P34" i="44"/>
  <c r="P76" i="44" s="1"/>
  <c r="P32" i="44"/>
  <c r="P74" i="44" s="1"/>
  <c r="P24" i="44"/>
  <c r="P66" i="44" s="1"/>
  <c r="P26" i="44"/>
  <c r="P68" i="44" s="1"/>
  <c r="P14" i="44"/>
  <c r="P56" i="44" s="1"/>
  <c r="U35" i="44"/>
  <c r="U77" i="44" s="1"/>
  <c r="U10" i="44"/>
  <c r="U52" i="44" s="1"/>
  <c r="U7" i="44"/>
  <c r="U49" i="44" s="1"/>
  <c r="N27" i="44"/>
  <c r="N69" i="44" s="1"/>
  <c r="U27" i="44"/>
  <c r="U69" i="44" s="1"/>
  <c r="U38" i="44"/>
  <c r="U80" i="44" s="1"/>
  <c r="U8" i="44"/>
  <c r="U50" i="44" s="1"/>
  <c r="P10" i="44"/>
  <c r="P52" i="44" s="1"/>
  <c r="P39" i="44"/>
  <c r="P81" i="44" s="1"/>
  <c r="P41" i="44"/>
  <c r="P83" i="44" s="1"/>
  <c r="P11" i="44"/>
  <c r="P53" i="44" s="1"/>
  <c r="P8" i="44"/>
  <c r="P50" i="44" s="1"/>
  <c r="U11" i="44"/>
  <c r="U53" i="44" s="1"/>
  <c r="U28" i="44"/>
  <c r="U70" i="44" s="1"/>
  <c r="U36" i="44"/>
  <c r="U78" i="44" s="1"/>
  <c r="U14" i="44"/>
  <c r="U56" i="44" s="1"/>
  <c r="U31" i="44"/>
  <c r="U73" i="44" s="1"/>
  <c r="N24" i="44"/>
  <c r="N66" i="44" s="1"/>
  <c r="U19" i="44"/>
  <c r="U61" i="44" s="1"/>
  <c r="N43" i="34"/>
  <c r="P45" i="34"/>
  <c r="P45" i="33"/>
  <c r="P45" i="31"/>
  <c r="P45" i="32"/>
  <c r="T57" i="27"/>
  <c r="T55" i="30"/>
  <c r="T55" i="29"/>
  <c r="T55" i="28"/>
  <c r="Z5" i="33"/>
  <c r="Z43" i="33" s="1"/>
  <c r="Y43" i="33"/>
  <c r="R43" i="32"/>
  <c r="N43" i="33"/>
  <c r="Z43" i="32"/>
  <c r="R5" i="33"/>
  <c r="R43" i="33" s="1"/>
  <c r="Q43" i="33"/>
  <c r="AM58" i="27"/>
  <c r="AM56" i="30"/>
  <c r="AM56" i="29"/>
  <c r="AM56" i="28"/>
  <c r="U43" i="34"/>
  <c r="F45" i="5"/>
  <c r="P46" i="34"/>
  <c r="P46" i="33"/>
  <c r="P46" i="31"/>
  <c r="P46" i="32"/>
  <c r="AM56" i="27"/>
  <c r="AM54" i="30"/>
  <c r="AM54" i="28"/>
  <c r="AM54" i="29" s="1"/>
  <c r="T58" i="27"/>
  <c r="T56" i="30"/>
  <c r="T56" i="29"/>
  <c r="T56" i="28"/>
  <c r="Z5" i="34"/>
  <c r="Z43" i="34" s="1"/>
  <c r="Y43" i="34"/>
  <c r="U43" i="33"/>
  <c r="R5" i="34"/>
  <c r="R43" i="34" s="1"/>
  <c r="Q43" i="34"/>
  <c r="AA24" i="43" l="1"/>
  <c r="AA76" i="43" s="1"/>
  <c r="AD24" i="29"/>
  <c r="L42" i="29"/>
  <c r="L42" i="43" s="1"/>
  <c r="L94" i="43" s="1"/>
  <c r="L30" i="29"/>
  <c r="L30" i="43" s="1"/>
  <c r="L82" i="43" s="1"/>
  <c r="L10" i="29"/>
  <c r="L10" i="43" s="1"/>
  <c r="L62" i="43" s="1"/>
  <c r="L45" i="29"/>
  <c r="L45" i="43" s="1"/>
  <c r="L97" i="43" s="1"/>
  <c r="L47" i="29"/>
  <c r="L47" i="43" s="1"/>
  <c r="L99" i="43" s="1"/>
  <c r="L19" i="29"/>
  <c r="L19" i="43" s="1"/>
  <c r="L71" i="43" s="1"/>
  <c r="L31" i="29"/>
  <c r="L31" i="43" s="1"/>
  <c r="L83" i="43" s="1"/>
  <c r="L28" i="29"/>
  <c r="L28" i="43" s="1"/>
  <c r="L80" i="43" s="1"/>
  <c r="L41" i="29"/>
  <c r="L41" i="43" s="1"/>
  <c r="L93" i="43" s="1"/>
  <c r="L27" i="29"/>
  <c r="L27" i="43" s="1"/>
  <c r="L79" i="43" s="1"/>
  <c r="L49" i="29"/>
  <c r="L49" i="43" s="1"/>
  <c r="L101" i="43" s="1"/>
  <c r="L48" i="29"/>
  <c r="L48" i="43" s="1"/>
  <c r="L100" i="43" s="1"/>
  <c r="L8" i="29"/>
  <c r="L8" i="43" s="1"/>
  <c r="L60" i="43" s="1"/>
  <c r="L35" i="29"/>
  <c r="L35" i="43" s="1"/>
  <c r="L87" i="43" s="1"/>
  <c r="L14" i="29"/>
  <c r="L14" i="43" s="1"/>
  <c r="L66" i="43" s="1"/>
  <c r="L7" i="29"/>
  <c r="L7" i="43" s="1"/>
  <c r="L59" i="43" s="1"/>
  <c r="L11" i="29"/>
  <c r="L11" i="43" s="1"/>
  <c r="L63" i="43" s="1"/>
  <c r="L25" i="29"/>
  <c r="L25" i="43" s="1"/>
  <c r="L77" i="43" s="1"/>
  <c r="L15" i="29"/>
  <c r="L15" i="43" s="1"/>
  <c r="L67" i="43" s="1"/>
  <c r="L33" i="29"/>
  <c r="L33" i="43" s="1"/>
  <c r="L85" i="43" s="1"/>
  <c r="L32" i="29"/>
  <c r="L32" i="43" s="1"/>
  <c r="L84" i="43" s="1"/>
  <c r="L51" i="29"/>
  <c r="L51" i="43" s="1"/>
  <c r="L103" i="43" s="1"/>
  <c r="L24" i="29"/>
  <c r="L24" i="43" s="1"/>
  <c r="L76" i="43" s="1"/>
  <c r="L16" i="29"/>
  <c r="L16" i="43" s="1"/>
  <c r="L68" i="43" s="1"/>
  <c r="L23" i="29"/>
  <c r="L23" i="43" s="1"/>
  <c r="L75" i="43" s="1"/>
  <c r="L13" i="29"/>
  <c r="L13" i="43" s="1"/>
  <c r="L65" i="43" s="1"/>
  <c r="L12" i="29"/>
  <c r="L12" i="43" s="1"/>
  <c r="L64" i="43" s="1"/>
  <c r="L20" i="29"/>
  <c r="L20" i="43" s="1"/>
  <c r="L72" i="43" s="1"/>
  <c r="L26" i="29"/>
  <c r="L26" i="43" s="1"/>
  <c r="L78" i="43" s="1"/>
  <c r="L46" i="29"/>
  <c r="L46" i="43" s="1"/>
  <c r="L98" i="43" s="1"/>
  <c r="L50" i="29"/>
  <c r="L50" i="43" s="1"/>
  <c r="L102" i="43" s="1"/>
  <c r="L36" i="29"/>
  <c r="L36" i="43" s="1"/>
  <c r="L88" i="43" s="1"/>
  <c r="L22" i="29"/>
  <c r="L22" i="43" s="1"/>
  <c r="L74" i="43" s="1"/>
  <c r="L17" i="29"/>
  <c r="L17" i="43" s="1"/>
  <c r="L69" i="43" s="1"/>
  <c r="L5" i="29"/>
  <c r="AH53" i="30"/>
  <c r="S13" i="34"/>
  <c r="V13" i="32"/>
  <c r="S13" i="33"/>
  <c r="V34" i="32"/>
  <c r="S34" i="33"/>
  <c r="S34" i="34"/>
  <c r="S12" i="33"/>
  <c r="S12" i="34"/>
  <c r="V12" i="32"/>
  <c r="S33" i="33"/>
  <c r="V33" i="32"/>
  <c r="S33" i="34"/>
  <c r="V24" i="32"/>
  <c r="S24" i="33"/>
  <c r="S24" i="34"/>
  <c r="M16" i="30"/>
  <c r="M20" i="30"/>
  <c r="M9" i="30"/>
  <c r="M21" i="30"/>
  <c r="W40" i="29"/>
  <c r="V40" i="43" s="1"/>
  <c r="V92" i="43" s="1"/>
  <c r="Q33" i="43"/>
  <c r="Q85" i="43" s="1"/>
  <c r="X10" i="29"/>
  <c r="W10" i="43" s="1"/>
  <c r="W62" i="43" s="1"/>
  <c r="AH21" i="29"/>
  <c r="AD21" i="43" s="1"/>
  <c r="AD73" i="43" s="1"/>
  <c r="P14" i="29"/>
  <c r="P14" i="43" s="1"/>
  <c r="P66" i="43" s="1"/>
  <c r="X16" i="29"/>
  <c r="W16" i="43" s="1"/>
  <c r="W68" i="43" s="1"/>
  <c r="AH11" i="29"/>
  <c r="AD11" i="43" s="1"/>
  <c r="AD63" i="43" s="1"/>
  <c r="T12" i="34"/>
  <c r="T12" i="33"/>
  <c r="R12" i="44" s="1"/>
  <c r="R54" i="44" s="1"/>
  <c r="T25" i="33"/>
  <c r="T25" i="34"/>
  <c r="T8" i="33"/>
  <c r="R8" i="44" s="1"/>
  <c r="R50" i="44" s="1"/>
  <c r="T8" i="34"/>
  <c r="T29" i="34"/>
  <c r="T29" i="33"/>
  <c r="R29" i="44" s="1"/>
  <c r="R71" i="44" s="1"/>
  <c r="T7" i="33"/>
  <c r="T7" i="34"/>
  <c r="P7" i="45"/>
  <c r="P13" i="45" s="1"/>
  <c r="P11" i="45"/>
  <c r="U8" i="29"/>
  <c r="T8" i="43" s="1"/>
  <c r="T60" i="43" s="1"/>
  <c r="AH35" i="29"/>
  <c r="AD35" i="43" s="1"/>
  <c r="AD87" i="43" s="1"/>
  <c r="W41" i="29"/>
  <c r="V41" i="43" s="1"/>
  <c r="V93" i="43" s="1"/>
  <c r="Q53" i="30"/>
  <c r="O29" i="33"/>
  <c r="O29" i="44" s="1"/>
  <c r="O71" i="44" s="1"/>
  <c r="O29" i="34"/>
  <c r="O31" i="33"/>
  <c r="O31" i="34"/>
  <c r="O39" i="33"/>
  <c r="O39" i="44" s="1"/>
  <c r="O81" i="44" s="1"/>
  <c r="O39" i="34"/>
  <c r="O20" i="33"/>
  <c r="O20" i="34"/>
  <c r="X15" i="29"/>
  <c r="W15" i="43" s="1"/>
  <c r="W67" i="43" s="1"/>
  <c r="M39" i="33"/>
  <c r="M39" i="44" s="1"/>
  <c r="M81" i="44" s="1"/>
  <c r="M39" i="34"/>
  <c r="M6" i="33"/>
  <c r="M6" i="44" s="1"/>
  <c r="M48" i="44" s="1"/>
  <c r="M6" i="34"/>
  <c r="M29" i="33"/>
  <c r="M29" i="34"/>
  <c r="M23" i="34"/>
  <c r="M23" i="33"/>
  <c r="M12" i="33"/>
  <c r="M12" i="44" s="1"/>
  <c r="M54" i="44" s="1"/>
  <c r="M12" i="34"/>
  <c r="L6" i="29"/>
  <c r="L6" i="43" s="1"/>
  <c r="L58" i="43" s="1"/>
  <c r="AH43" i="29"/>
  <c r="AD43" i="43" s="1"/>
  <c r="AD95" i="43" s="1"/>
  <c r="V11" i="30"/>
  <c r="V49" i="30"/>
  <c r="V31" i="30"/>
  <c r="V34" i="30"/>
  <c r="V10" i="30"/>
  <c r="V5" i="30"/>
  <c r="V53" i="28"/>
  <c r="V58" i="28" s="1"/>
  <c r="V19" i="29" s="1"/>
  <c r="U19" i="43" s="1"/>
  <c r="U71" i="43" s="1"/>
  <c r="W33" i="29"/>
  <c r="V33" i="43" s="1"/>
  <c r="V85" i="43" s="1"/>
  <c r="Q32" i="29"/>
  <c r="Q32" i="43" s="1"/>
  <c r="Q84" i="43" s="1"/>
  <c r="L18" i="29"/>
  <c r="L18" i="43" s="1"/>
  <c r="L70" i="43" s="1"/>
  <c r="AH28" i="29"/>
  <c r="AD28" i="43" s="1"/>
  <c r="AD80" i="43" s="1"/>
  <c r="Q12" i="29"/>
  <c r="Q12" i="43" s="1"/>
  <c r="Q64" i="43" s="1"/>
  <c r="V8" i="32"/>
  <c r="S8" i="33"/>
  <c r="S8" i="34"/>
  <c r="V8" i="34" s="1"/>
  <c r="V30" i="32"/>
  <c r="S30" i="33"/>
  <c r="S30" i="34"/>
  <c r="V32" i="32"/>
  <c r="S32" i="33"/>
  <c r="S32" i="34"/>
  <c r="V26" i="32"/>
  <c r="S26" i="33"/>
  <c r="S26" i="34"/>
  <c r="V5" i="32"/>
  <c r="S43" i="32"/>
  <c r="S5" i="34"/>
  <c r="S5" i="33"/>
  <c r="M50" i="30"/>
  <c r="M48" i="30"/>
  <c r="M31" i="30"/>
  <c r="M14" i="30"/>
  <c r="M41" i="30"/>
  <c r="X53" i="30"/>
  <c r="T19" i="33"/>
  <c r="T19" i="34"/>
  <c r="T22" i="33"/>
  <c r="R22" i="44" s="1"/>
  <c r="R64" i="44" s="1"/>
  <c r="T22" i="34"/>
  <c r="T23" i="33"/>
  <c r="R23" i="44" s="1"/>
  <c r="R65" i="44" s="1"/>
  <c r="T23" i="34"/>
  <c r="T6" i="34"/>
  <c r="T6" i="33"/>
  <c r="X6" i="29"/>
  <c r="W6" i="43" s="1"/>
  <c r="W58" i="43" s="1"/>
  <c r="AD53" i="28"/>
  <c r="Q45" i="29"/>
  <c r="Q45" i="43" s="1"/>
  <c r="Q97" i="43" s="1"/>
  <c r="P38" i="29"/>
  <c r="P38" i="43" s="1"/>
  <c r="P90" i="43" s="1"/>
  <c r="U11" i="29"/>
  <c r="T11" i="43" s="1"/>
  <c r="T63" i="43" s="1"/>
  <c r="O38" i="33"/>
  <c r="O38" i="34"/>
  <c r="O18" i="33"/>
  <c r="O18" i="44" s="1"/>
  <c r="O60" i="44" s="1"/>
  <c r="O18" i="34"/>
  <c r="O8" i="33"/>
  <c r="O8" i="34"/>
  <c r="O13" i="34"/>
  <c r="O13" i="33"/>
  <c r="O13" i="44" s="1"/>
  <c r="O55" i="44" s="1"/>
  <c r="M26" i="34"/>
  <c r="M26" i="33"/>
  <c r="M26" i="44" s="1"/>
  <c r="M68" i="44" s="1"/>
  <c r="M28" i="33"/>
  <c r="M28" i="44" s="1"/>
  <c r="M70" i="44" s="1"/>
  <c r="M28" i="34"/>
  <c r="M30" i="33"/>
  <c r="M30" i="34"/>
  <c r="M19" i="34"/>
  <c r="M19" i="33"/>
  <c r="M19" i="44" s="1"/>
  <c r="M61" i="44" s="1"/>
  <c r="M40" i="33"/>
  <c r="M40" i="34"/>
  <c r="V19" i="30"/>
  <c r="V25" i="29"/>
  <c r="V25" i="30"/>
  <c r="V32" i="30"/>
  <c r="V41" i="30"/>
  <c r="V8" i="30"/>
  <c r="V40" i="30"/>
  <c r="X18" i="29"/>
  <c r="W18" i="43" s="1"/>
  <c r="W70" i="43" s="1"/>
  <c r="AH24" i="29"/>
  <c r="AD24" i="43" s="1"/>
  <c r="AD76" i="43" s="1"/>
  <c r="Q10" i="29"/>
  <c r="Q10" i="43" s="1"/>
  <c r="Q62" i="43" s="1"/>
  <c r="AH23" i="29"/>
  <c r="AD23" i="43" s="1"/>
  <c r="AD75" i="43" s="1"/>
  <c r="V25" i="32"/>
  <c r="S25" i="34"/>
  <c r="V25" i="34" s="1"/>
  <c r="S25" i="33"/>
  <c r="V25" i="33" s="1"/>
  <c r="V17" i="32"/>
  <c r="S17" i="34"/>
  <c r="S17" i="33"/>
  <c r="V19" i="32"/>
  <c r="S19" i="33"/>
  <c r="S19" i="34"/>
  <c r="V19" i="34" s="1"/>
  <c r="S18" i="33"/>
  <c r="S18" i="34"/>
  <c r="V18" i="32"/>
  <c r="M7" i="30"/>
  <c r="M47" i="30"/>
  <c r="M11" i="30"/>
  <c r="X21" i="29"/>
  <c r="W21" i="43" s="1"/>
  <c r="W73" i="43" s="1"/>
  <c r="X28" i="29"/>
  <c r="W28" i="43" s="1"/>
  <c r="W80" i="43" s="1"/>
  <c r="X24" i="29"/>
  <c r="W24" i="43" s="1"/>
  <c r="W76" i="43" s="1"/>
  <c r="X11" i="29"/>
  <c r="W11" i="43" s="1"/>
  <c r="W63" i="43" s="1"/>
  <c r="X39" i="29"/>
  <c r="W39" i="43" s="1"/>
  <c r="W91" i="43" s="1"/>
  <c r="X29" i="29"/>
  <c r="W29" i="43" s="1"/>
  <c r="W81" i="43" s="1"/>
  <c r="X9" i="29"/>
  <c r="W9" i="43" s="1"/>
  <c r="W61" i="43" s="1"/>
  <c r="X44" i="29"/>
  <c r="W44" i="43" s="1"/>
  <c r="W96" i="43" s="1"/>
  <c r="X12" i="29"/>
  <c r="W12" i="43" s="1"/>
  <c r="W64" i="43" s="1"/>
  <c r="X38" i="29"/>
  <c r="W38" i="43" s="1"/>
  <c r="W90" i="43" s="1"/>
  <c r="X36" i="29"/>
  <c r="W36" i="43" s="1"/>
  <c r="W88" i="43" s="1"/>
  <c r="X46" i="29"/>
  <c r="W46" i="43" s="1"/>
  <c r="W98" i="43" s="1"/>
  <c r="X32" i="29"/>
  <c r="W32" i="43" s="1"/>
  <c r="W84" i="43" s="1"/>
  <c r="X8" i="29"/>
  <c r="W8" i="43" s="1"/>
  <c r="W60" i="43" s="1"/>
  <c r="X35" i="29"/>
  <c r="W35" i="43" s="1"/>
  <c r="W87" i="43" s="1"/>
  <c r="X5" i="29"/>
  <c r="X43" i="29"/>
  <c r="W43" i="43" s="1"/>
  <c r="W95" i="43" s="1"/>
  <c r="X25" i="29"/>
  <c r="W25" i="43" s="1"/>
  <c r="W77" i="43" s="1"/>
  <c r="X51" i="29"/>
  <c r="W51" i="43" s="1"/>
  <c r="W103" i="43" s="1"/>
  <c r="X40" i="29"/>
  <c r="W40" i="43" s="1"/>
  <c r="W92" i="43" s="1"/>
  <c r="AH47" i="29"/>
  <c r="AD47" i="43" s="1"/>
  <c r="AD99" i="43" s="1"/>
  <c r="X7" i="29"/>
  <c r="W7" i="43" s="1"/>
  <c r="W59" i="43" s="1"/>
  <c r="P15" i="45"/>
  <c r="P14" i="45"/>
  <c r="T10" i="33"/>
  <c r="T10" i="34"/>
  <c r="T35" i="33"/>
  <c r="R35" i="44" s="1"/>
  <c r="R77" i="44" s="1"/>
  <c r="T35" i="34"/>
  <c r="T14" i="34"/>
  <c r="T14" i="33"/>
  <c r="R14" i="44" s="1"/>
  <c r="R56" i="44" s="1"/>
  <c r="T28" i="33"/>
  <c r="T28" i="34"/>
  <c r="W45" i="29"/>
  <c r="V45" i="43" s="1"/>
  <c r="V97" i="43" s="1"/>
  <c r="L40" i="29"/>
  <c r="L40" i="43" s="1"/>
  <c r="L92" i="43" s="1"/>
  <c r="AH49" i="29"/>
  <c r="AD49" i="43" s="1"/>
  <c r="AD101" i="43" s="1"/>
  <c r="AD5" i="30"/>
  <c r="AD53" i="30" s="1"/>
  <c r="AC53" i="30"/>
  <c r="X20" i="29"/>
  <c r="W20" i="43" s="1"/>
  <c r="W72" i="43" s="1"/>
  <c r="L29" i="29"/>
  <c r="L29" i="43" s="1"/>
  <c r="L81" i="43" s="1"/>
  <c r="AH25" i="29"/>
  <c r="AD25" i="43" s="1"/>
  <c r="AD77" i="43" s="1"/>
  <c r="Q8" i="29"/>
  <c r="Q8" i="43" s="1"/>
  <c r="Q60" i="43" s="1"/>
  <c r="O33" i="33"/>
  <c r="O33" i="44" s="1"/>
  <c r="O75" i="44" s="1"/>
  <c r="O33" i="34"/>
  <c r="O24" i="34"/>
  <c r="O24" i="33"/>
  <c r="O24" i="44" s="1"/>
  <c r="O66" i="44" s="1"/>
  <c r="O40" i="33"/>
  <c r="O40" i="44" s="1"/>
  <c r="O82" i="44" s="1"/>
  <c r="O40" i="34"/>
  <c r="O41" i="33"/>
  <c r="O41" i="44" s="1"/>
  <c r="O83" i="44" s="1"/>
  <c r="O41" i="34"/>
  <c r="M41" i="33"/>
  <c r="M41" i="44" s="1"/>
  <c r="M83" i="44" s="1"/>
  <c r="M41" i="34"/>
  <c r="M34" i="33"/>
  <c r="M34" i="34"/>
  <c r="M7" i="33"/>
  <c r="M7" i="44" s="1"/>
  <c r="M49" i="44" s="1"/>
  <c r="M7" i="34"/>
  <c r="M16" i="34"/>
  <c r="M16" i="33"/>
  <c r="M27" i="33"/>
  <c r="M27" i="44" s="1"/>
  <c r="M69" i="44" s="1"/>
  <c r="M27" i="34"/>
  <c r="L39" i="29"/>
  <c r="L39" i="43" s="1"/>
  <c r="L91" i="43" s="1"/>
  <c r="AH39" i="29"/>
  <c r="AD39" i="43" s="1"/>
  <c r="AD91" i="43" s="1"/>
  <c r="V13" i="30"/>
  <c r="V22" i="30"/>
  <c r="V50" i="30"/>
  <c r="V47" i="30"/>
  <c r="V15" i="30"/>
  <c r="V28" i="30"/>
  <c r="Q13" i="29"/>
  <c r="Q13" i="43" s="1"/>
  <c r="Q65" i="43" s="1"/>
  <c r="Q34" i="29"/>
  <c r="Q34" i="43" s="1"/>
  <c r="Q86" i="43" s="1"/>
  <c r="X48" i="29"/>
  <c r="W48" i="43" s="1"/>
  <c r="W100" i="43" s="1"/>
  <c r="L38" i="29"/>
  <c r="L38" i="43" s="1"/>
  <c r="L90" i="43" s="1"/>
  <c r="AH9" i="29"/>
  <c r="AD9" i="43" s="1"/>
  <c r="AD61" i="43" s="1"/>
  <c r="U43" i="29"/>
  <c r="T43" i="43" s="1"/>
  <c r="T95" i="43" s="1"/>
  <c r="Q31" i="29"/>
  <c r="Q31" i="43" s="1"/>
  <c r="Q83" i="43" s="1"/>
  <c r="S37" i="34"/>
  <c r="V37" i="32"/>
  <c r="S37" i="33"/>
  <c r="S6" i="33"/>
  <c r="V6" i="33" s="1"/>
  <c r="S6" i="34"/>
  <c r="V6" i="32"/>
  <c r="S9" i="33"/>
  <c r="V9" i="32"/>
  <c r="S9" i="34"/>
  <c r="V11" i="32"/>
  <c r="S11" i="33"/>
  <c r="S11" i="34"/>
  <c r="P15" i="43"/>
  <c r="P67" i="43" s="1"/>
  <c r="M26" i="30"/>
  <c r="M36" i="30"/>
  <c r="M6" i="30"/>
  <c r="M18" i="30"/>
  <c r="T5" i="33"/>
  <c r="T43" i="32"/>
  <c r="T5" i="34"/>
  <c r="T34" i="34"/>
  <c r="T34" i="33"/>
  <c r="T17" i="34"/>
  <c r="T17" i="33"/>
  <c r="R17" i="44" s="1"/>
  <c r="R59" i="44" s="1"/>
  <c r="T21" i="33"/>
  <c r="T21" i="34"/>
  <c r="AH41" i="29"/>
  <c r="AD41" i="43" s="1"/>
  <c r="AD93" i="43" s="1"/>
  <c r="AC9" i="29"/>
  <c r="AC44" i="29"/>
  <c r="AC47" i="29"/>
  <c r="AC19" i="29"/>
  <c r="AC20" i="29"/>
  <c r="AC22" i="29"/>
  <c r="AC11" i="29"/>
  <c r="AC23" i="29"/>
  <c r="AC49" i="29"/>
  <c r="AC10" i="29"/>
  <c r="AC38" i="29"/>
  <c r="AC45" i="29"/>
  <c r="AC13" i="29"/>
  <c r="AC42" i="29"/>
  <c r="AC30" i="29"/>
  <c r="AC15" i="29"/>
  <c r="AC40" i="29"/>
  <c r="AC18" i="29"/>
  <c r="AC7" i="29"/>
  <c r="AC34" i="29"/>
  <c r="AC6" i="29"/>
  <c r="AC39" i="29"/>
  <c r="AC21" i="29"/>
  <c r="AC29" i="29"/>
  <c r="AC51" i="29"/>
  <c r="AC12" i="29"/>
  <c r="AC50" i="29"/>
  <c r="AC37" i="29"/>
  <c r="AC28" i="29"/>
  <c r="AC36" i="29"/>
  <c r="AC25" i="29"/>
  <c r="AC5" i="29"/>
  <c r="AC43" i="29"/>
  <c r="AC46" i="29"/>
  <c r="AC33" i="29"/>
  <c r="AC14" i="29"/>
  <c r="AC35" i="29"/>
  <c r="AC17" i="29"/>
  <c r="AC32" i="29"/>
  <c r="AC26" i="29"/>
  <c r="AC16" i="29"/>
  <c r="AC8" i="29"/>
  <c r="AC41" i="29"/>
  <c r="AC27" i="29"/>
  <c r="O16" i="33"/>
  <c r="O16" i="44" s="1"/>
  <c r="O58" i="44" s="1"/>
  <c r="O16" i="34"/>
  <c r="O36" i="33"/>
  <c r="O36" i="34"/>
  <c r="O19" i="33"/>
  <c r="O19" i="44" s="1"/>
  <c r="O61" i="44" s="1"/>
  <c r="O19" i="34"/>
  <c r="O21" i="33"/>
  <c r="O21" i="34"/>
  <c r="O7" i="33"/>
  <c r="O7" i="44" s="1"/>
  <c r="O49" i="44" s="1"/>
  <c r="O7" i="34"/>
  <c r="X45" i="29"/>
  <c r="W45" i="43" s="1"/>
  <c r="W97" i="43" s="1"/>
  <c r="M8" i="34"/>
  <c r="M8" i="33"/>
  <c r="M8" i="44" s="1"/>
  <c r="M50" i="44" s="1"/>
  <c r="M37" i="33"/>
  <c r="M37" i="44" s="1"/>
  <c r="M79" i="44" s="1"/>
  <c r="M37" i="34"/>
  <c r="M17" i="33"/>
  <c r="M17" i="34"/>
  <c r="M33" i="34"/>
  <c r="M33" i="33"/>
  <c r="M33" i="44" s="1"/>
  <c r="M75" i="44" s="1"/>
  <c r="M11" i="33"/>
  <c r="M11" i="34"/>
  <c r="AH36" i="29"/>
  <c r="AD36" i="43" s="1"/>
  <c r="AD88" i="43" s="1"/>
  <c r="V42" i="30"/>
  <c r="V27" i="30"/>
  <c r="V33" i="30"/>
  <c r="V7" i="30"/>
  <c r="V6" i="29"/>
  <c r="V6" i="30"/>
  <c r="V38" i="30"/>
  <c r="AH50" i="29"/>
  <c r="AD50" i="43" s="1"/>
  <c r="AD102" i="43" s="1"/>
  <c r="Q21" i="29"/>
  <c r="Q21" i="43" s="1"/>
  <c r="Q73" i="43" s="1"/>
  <c r="X30" i="29"/>
  <c r="W30" i="43" s="1"/>
  <c r="W82" i="43" s="1"/>
  <c r="W7" i="29"/>
  <c r="V7" i="43" s="1"/>
  <c r="V59" i="43" s="1"/>
  <c r="Q25" i="44"/>
  <c r="Q67" i="44" s="1"/>
  <c r="AH48" i="29"/>
  <c r="AD48" i="43" s="1"/>
  <c r="AD100" i="43" s="1"/>
  <c r="AH19" i="29"/>
  <c r="AD19" i="43" s="1"/>
  <c r="AD71" i="43" s="1"/>
  <c r="V21" i="32"/>
  <c r="S21" i="33"/>
  <c r="S21" i="34"/>
  <c r="V21" i="34" s="1"/>
  <c r="S28" i="34"/>
  <c r="V28" i="34" s="1"/>
  <c r="V28" i="32"/>
  <c r="S28" i="33"/>
  <c r="V35" i="32"/>
  <c r="S35" i="33"/>
  <c r="S35" i="34"/>
  <c r="V35" i="34" s="1"/>
  <c r="V10" i="32"/>
  <c r="S10" i="33"/>
  <c r="S10" i="34"/>
  <c r="M25" i="30"/>
  <c r="M44" i="30"/>
  <c r="M34" i="30"/>
  <c r="M22" i="30"/>
  <c r="M40" i="30"/>
  <c r="Q11" i="29"/>
  <c r="Q11" i="43" s="1"/>
  <c r="Q63" i="43" s="1"/>
  <c r="X37" i="29"/>
  <c r="W37" i="43" s="1"/>
  <c r="W89" i="43" s="1"/>
  <c r="L34" i="29"/>
  <c r="L34" i="43" s="1"/>
  <c r="L86" i="43" s="1"/>
  <c r="AH22" i="29"/>
  <c r="AD22" i="43" s="1"/>
  <c r="AD74" i="43" s="1"/>
  <c r="X50" i="29"/>
  <c r="W50" i="43" s="1"/>
  <c r="W102" i="43" s="1"/>
  <c r="AC31" i="29"/>
  <c r="T31" i="33"/>
  <c r="T31" i="34"/>
  <c r="T37" i="33"/>
  <c r="R37" i="44" s="1"/>
  <c r="R79" i="44" s="1"/>
  <c r="T37" i="34"/>
  <c r="T20" i="33"/>
  <c r="T20" i="34"/>
  <c r="T16" i="34"/>
  <c r="T16" i="33"/>
  <c r="T33" i="33"/>
  <c r="T33" i="34"/>
  <c r="Q46" i="29"/>
  <c r="Q46" i="43" s="1"/>
  <c r="Q98" i="43" s="1"/>
  <c r="X17" i="29"/>
  <c r="W17" i="43" s="1"/>
  <c r="W69" i="43" s="1"/>
  <c r="O7" i="45"/>
  <c r="O13" i="45" s="1"/>
  <c r="O9" i="45"/>
  <c r="Y8" i="28"/>
  <c r="Y13" i="28"/>
  <c r="Y30" i="28"/>
  <c r="Y27" i="28"/>
  <c r="Y45" i="28"/>
  <c r="Y24" i="28"/>
  <c r="Y14" i="28"/>
  <c r="Y6" i="28"/>
  <c r="Y6" i="30" s="1"/>
  <c r="AB6" i="30" s="1"/>
  <c r="Y39" i="28"/>
  <c r="Y36" i="28"/>
  <c r="Y32" i="28"/>
  <c r="Y19" i="28"/>
  <c r="Y25" i="28"/>
  <c r="Y9" i="28"/>
  <c r="Y49" i="28"/>
  <c r="Y37" i="28"/>
  <c r="Y43" i="28"/>
  <c r="Y15" i="28"/>
  <c r="Y17" i="28"/>
  <c r="Y22" i="28"/>
  <c r="Y28" i="28"/>
  <c r="Y46" i="28"/>
  <c r="Y42" i="28"/>
  <c r="Y12" i="28"/>
  <c r="Y10" i="28"/>
  <c r="Y33" i="28"/>
  <c r="Y29" i="28"/>
  <c r="Y23" i="28"/>
  <c r="Y40" i="28"/>
  <c r="Y5" i="28"/>
  <c r="Y7" i="28"/>
  <c r="Y21" i="28"/>
  <c r="Y38" i="28"/>
  <c r="Y34" i="28"/>
  <c r="Y51" i="28"/>
  <c r="Y18" i="28"/>
  <c r="Y20" i="28"/>
  <c r="Y31" i="28"/>
  <c r="Y47" i="28"/>
  <c r="Y35" i="28"/>
  <c r="Y50" i="28"/>
  <c r="Y11" i="28"/>
  <c r="Y16" i="28"/>
  <c r="Y41" i="28"/>
  <c r="Y26" i="28"/>
  <c r="Y44" i="28"/>
  <c r="Y48" i="28"/>
  <c r="AH8" i="29"/>
  <c r="AD8" i="43" s="1"/>
  <c r="AD60" i="43" s="1"/>
  <c r="AH29" i="29"/>
  <c r="AD29" i="43" s="1"/>
  <c r="AD81" i="43" s="1"/>
  <c r="Q41" i="29"/>
  <c r="Q41" i="43" s="1"/>
  <c r="Q93" i="43" s="1"/>
  <c r="O5" i="33"/>
  <c r="O5" i="34"/>
  <c r="O43" i="32"/>
  <c r="O34" i="33"/>
  <c r="O34" i="44" s="1"/>
  <c r="O76" i="44" s="1"/>
  <c r="O34" i="34"/>
  <c r="O15" i="33"/>
  <c r="O15" i="44" s="1"/>
  <c r="O57" i="44" s="1"/>
  <c r="O15" i="34"/>
  <c r="O35" i="33"/>
  <c r="O35" i="34"/>
  <c r="O37" i="33"/>
  <c r="O37" i="34"/>
  <c r="X13" i="29"/>
  <c r="W13" i="43" s="1"/>
  <c r="W65" i="43" s="1"/>
  <c r="M22" i="33"/>
  <c r="M22" i="34"/>
  <c r="M25" i="34"/>
  <c r="M25" i="33"/>
  <c r="M31" i="33"/>
  <c r="M31" i="34"/>
  <c r="M10" i="34"/>
  <c r="M10" i="33"/>
  <c r="M15" i="33"/>
  <c r="M15" i="34"/>
  <c r="L44" i="29"/>
  <c r="L44" i="43" s="1"/>
  <c r="L96" i="43" s="1"/>
  <c r="V21" i="30"/>
  <c r="V20" i="30"/>
  <c r="V30" i="30"/>
  <c r="V43" i="30"/>
  <c r="V48" i="30"/>
  <c r="V44" i="29"/>
  <c r="V44" i="30"/>
  <c r="Q38" i="29"/>
  <c r="Q38" i="43" s="1"/>
  <c r="Q90" i="43" s="1"/>
  <c r="X27" i="29"/>
  <c r="W27" i="43" s="1"/>
  <c r="W79" i="43" s="1"/>
  <c r="L43" i="29"/>
  <c r="L43" i="43" s="1"/>
  <c r="L95" i="43" s="1"/>
  <c r="AH30" i="29"/>
  <c r="AD30" i="43" s="1"/>
  <c r="AD82" i="43" s="1"/>
  <c r="X22" i="29"/>
  <c r="W22" i="43" s="1"/>
  <c r="W74" i="43" s="1"/>
  <c r="Q40" i="29"/>
  <c r="Q40" i="43" s="1"/>
  <c r="Q92" i="43" s="1"/>
  <c r="AH14" i="29"/>
  <c r="AD14" i="43" s="1"/>
  <c r="AD66" i="43" s="1"/>
  <c r="S36" i="33"/>
  <c r="S36" i="34"/>
  <c r="V36" i="34" s="1"/>
  <c r="V36" i="32"/>
  <c r="S41" i="33"/>
  <c r="S41" i="34"/>
  <c r="V41" i="32"/>
  <c r="V27" i="32"/>
  <c r="S27" i="33"/>
  <c r="S27" i="34"/>
  <c r="V29" i="32"/>
  <c r="S29" i="33"/>
  <c r="S29" i="34"/>
  <c r="V29" i="34" s="1"/>
  <c r="S39" i="33"/>
  <c r="V39" i="32"/>
  <c r="S39" i="34"/>
  <c r="V39" i="34" s="1"/>
  <c r="M13" i="30"/>
  <c r="M19" i="30"/>
  <c r="W51" i="29"/>
  <c r="V51" i="43" s="1"/>
  <c r="V103" i="43" s="1"/>
  <c r="W35" i="29"/>
  <c r="V35" i="43" s="1"/>
  <c r="V87" i="43" s="1"/>
  <c r="W43" i="29"/>
  <c r="V43" i="43" s="1"/>
  <c r="V95" i="43" s="1"/>
  <c r="W16" i="29"/>
  <c r="V16" i="43" s="1"/>
  <c r="V68" i="43" s="1"/>
  <c r="W17" i="29"/>
  <c r="V17" i="43" s="1"/>
  <c r="V69" i="43" s="1"/>
  <c r="W14" i="29"/>
  <c r="V14" i="43" s="1"/>
  <c r="V66" i="43" s="1"/>
  <c r="W22" i="29"/>
  <c r="V22" i="43" s="1"/>
  <c r="V74" i="43" s="1"/>
  <c r="W26" i="29"/>
  <c r="V26" i="43" s="1"/>
  <c r="V78" i="43" s="1"/>
  <c r="W19" i="29"/>
  <c r="V19" i="43" s="1"/>
  <c r="V71" i="43" s="1"/>
  <c r="W50" i="29"/>
  <c r="V50" i="43" s="1"/>
  <c r="V102" i="43" s="1"/>
  <c r="W11" i="29"/>
  <c r="V11" i="43" s="1"/>
  <c r="V63" i="43" s="1"/>
  <c r="W23" i="29"/>
  <c r="V23" i="43" s="1"/>
  <c r="V75" i="43" s="1"/>
  <c r="W36" i="29"/>
  <c r="V36" i="43" s="1"/>
  <c r="V88" i="43" s="1"/>
  <c r="W15" i="29"/>
  <c r="V15" i="43" s="1"/>
  <c r="V67" i="43" s="1"/>
  <c r="W29" i="29"/>
  <c r="V29" i="43" s="1"/>
  <c r="V81" i="43" s="1"/>
  <c r="W10" i="29"/>
  <c r="V10" i="43" s="1"/>
  <c r="V62" i="43" s="1"/>
  <c r="W49" i="29"/>
  <c r="V49" i="43" s="1"/>
  <c r="V101" i="43" s="1"/>
  <c r="W46" i="29"/>
  <c r="V46" i="43" s="1"/>
  <c r="V98" i="43" s="1"/>
  <c r="W30" i="29"/>
  <c r="V30" i="43" s="1"/>
  <c r="V82" i="43" s="1"/>
  <c r="W6" i="29"/>
  <c r="V6" i="43" s="1"/>
  <c r="V58" i="43" s="1"/>
  <c r="W48" i="29"/>
  <c r="V48" i="43" s="1"/>
  <c r="V100" i="43" s="1"/>
  <c r="W24" i="29"/>
  <c r="V24" i="43" s="1"/>
  <c r="V76" i="43" s="1"/>
  <c r="W18" i="29"/>
  <c r="V18" i="43" s="1"/>
  <c r="V70" i="43" s="1"/>
  <c r="W28" i="29"/>
  <c r="V28" i="43" s="1"/>
  <c r="V80" i="43" s="1"/>
  <c r="W25" i="29"/>
  <c r="V25" i="43" s="1"/>
  <c r="V77" i="43" s="1"/>
  <c r="W20" i="29"/>
  <c r="V20" i="43" s="1"/>
  <c r="V72" i="43" s="1"/>
  <c r="W34" i="29"/>
  <c r="V34" i="43" s="1"/>
  <c r="V86" i="43" s="1"/>
  <c r="W32" i="29"/>
  <c r="V32" i="43" s="1"/>
  <c r="V84" i="43" s="1"/>
  <c r="W12" i="29"/>
  <c r="V12" i="43" s="1"/>
  <c r="V64" i="43" s="1"/>
  <c r="W21" i="29"/>
  <c r="V21" i="43" s="1"/>
  <c r="V73" i="43" s="1"/>
  <c r="W13" i="29"/>
  <c r="V13" i="43" s="1"/>
  <c r="V65" i="43" s="1"/>
  <c r="W44" i="29"/>
  <c r="V44" i="43" s="1"/>
  <c r="V96" i="43" s="1"/>
  <c r="W5" i="29"/>
  <c r="W38" i="29"/>
  <c r="V38" i="43" s="1"/>
  <c r="V90" i="43" s="1"/>
  <c r="W8" i="29"/>
  <c r="V8" i="43" s="1"/>
  <c r="V60" i="43" s="1"/>
  <c r="W39" i="29"/>
  <c r="V39" i="43" s="1"/>
  <c r="V91" i="43" s="1"/>
  <c r="W47" i="29"/>
  <c r="V47" i="43" s="1"/>
  <c r="V99" i="43" s="1"/>
  <c r="W42" i="29"/>
  <c r="V42" i="43" s="1"/>
  <c r="V94" i="43" s="1"/>
  <c r="W9" i="29"/>
  <c r="V9" i="43" s="1"/>
  <c r="V61" i="43" s="1"/>
  <c r="P53" i="30"/>
  <c r="AH18" i="29"/>
  <c r="AD18" i="43" s="1"/>
  <c r="AD70" i="43" s="1"/>
  <c r="T26" i="33"/>
  <c r="T26" i="34"/>
  <c r="T39" i="33"/>
  <c r="R39" i="44" s="1"/>
  <c r="R81" i="44" s="1"/>
  <c r="T39" i="34"/>
  <c r="T32" i="33"/>
  <c r="R32" i="44" s="1"/>
  <c r="R74" i="44" s="1"/>
  <c r="T32" i="34"/>
  <c r="T36" i="34"/>
  <c r="T36" i="33"/>
  <c r="T9" i="33"/>
  <c r="T9" i="34"/>
  <c r="AH20" i="29"/>
  <c r="AD20" i="43" s="1"/>
  <c r="AD72" i="43" s="1"/>
  <c r="X42" i="29"/>
  <c r="W42" i="43" s="1"/>
  <c r="W94" i="43" s="1"/>
  <c r="Q43" i="29"/>
  <c r="Q43" i="43" s="1"/>
  <c r="Q95" i="43" s="1"/>
  <c r="O12" i="33"/>
  <c r="O12" i="44" s="1"/>
  <c r="O54" i="44" s="1"/>
  <c r="O12" i="34"/>
  <c r="O30" i="33"/>
  <c r="O30" i="34"/>
  <c r="O22" i="33"/>
  <c r="O22" i="44" s="1"/>
  <c r="O64" i="44" s="1"/>
  <c r="O22" i="34"/>
  <c r="O28" i="33"/>
  <c r="O28" i="34"/>
  <c r="O25" i="34"/>
  <c r="O25" i="33"/>
  <c r="M35" i="34"/>
  <c r="M35" i="33"/>
  <c r="M35" i="44" s="1"/>
  <c r="M77" i="44" s="1"/>
  <c r="M9" i="33"/>
  <c r="M9" i="44" s="1"/>
  <c r="M51" i="44" s="1"/>
  <c r="M9" i="34"/>
  <c r="M20" i="33"/>
  <c r="M20" i="34"/>
  <c r="M14" i="33"/>
  <c r="M14" i="44" s="1"/>
  <c r="M56" i="44" s="1"/>
  <c r="M14" i="34"/>
  <c r="AH6" i="29"/>
  <c r="AD6" i="43" s="1"/>
  <c r="AD58" i="43" s="1"/>
  <c r="V18" i="29"/>
  <c r="V18" i="30"/>
  <c r="V46" i="30"/>
  <c r="V35" i="30"/>
  <c r="V12" i="30"/>
  <c r="V24" i="30"/>
  <c r="V39" i="29"/>
  <c r="U39" i="43" s="1"/>
  <c r="U91" i="43" s="1"/>
  <c r="V39" i="30"/>
  <c r="AH31" i="29"/>
  <c r="AD31" i="43" s="1"/>
  <c r="AD83" i="43" s="1"/>
  <c r="Q22" i="29"/>
  <c r="Q22" i="43" s="1"/>
  <c r="Q74" i="43" s="1"/>
  <c r="X19" i="29"/>
  <c r="W19" i="43" s="1"/>
  <c r="W71" i="43" s="1"/>
  <c r="X23" i="29"/>
  <c r="W23" i="43" s="1"/>
  <c r="W75" i="43" s="1"/>
  <c r="AC48" i="29"/>
  <c r="S23" i="33"/>
  <c r="V23" i="32"/>
  <c r="S23" i="34"/>
  <c r="V23" i="34" s="1"/>
  <c r="S15" i="33"/>
  <c r="V15" i="32"/>
  <c r="S15" i="34"/>
  <c r="V15" i="34" s="1"/>
  <c r="V20" i="32"/>
  <c r="S20" i="33"/>
  <c r="S20" i="34"/>
  <c r="V20" i="34" s="1"/>
  <c r="S22" i="33"/>
  <c r="S22" i="34"/>
  <c r="V22" i="34" s="1"/>
  <c r="V22" i="32"/>
  <c r="V40" i="32"/>
  <c r="S40" i="34"/>
  <c r="S40" i="33"/>
  <c r="M43" i="30"/>
  <c r="M39" i="30"/>
  <c r="M45" i="30"/>
  <c r="M15" i="30"/>
  <c r="W53" i="30"/>
  <c r="X34" i="29"/>
  <c r="W34" i="43" s="1"/>
  <c r="W86" i="43" s="1"/>
  <c r="AH16" i="29"/>
  <c r="AD16" i="43" s="1"/>
  <c r="AD68" i="43" s="1"/>
  <c r="P30" i="29"/>
  <c r="P30" i="43" s="1"/>
  <c r="P82" i="43" s="1"/>
  <c r="P31" i="29"/>
  <c r="P31" i="43" s="1"/>
  <c r="P83" i="43" s="1"/>
  <c r="P8" i="29"/>
  <c r="P8" i="43" s="1"/>
  <c r="P60" i="43" s="1"/>
  <c r="P28" i="29"/>
  <c r="P13" i="29"/>
  <c r="P13" i="43" s="1"/>
  <c r="P65" i="43" s="1"/>
  <c r="P22" i="29"/>
  <c r="P41" i="29"/>
  <c r="P41" i="43" s="1"/>
  <c r="P93" i="43" s="1"/>
  <c r="P48" i="29"/>
  <c r="P48" i="43" s="1"/>
  <c r="P100" i="43" s="1"/>
  <c r="P29" i="29"/>
  <c r="P33" i="29"/>
  <c r="P33" i="43" s="1"/>
  <c r="P85" i="43" s="1"/>
  <c r="P11" i="29"/>
  <c r="P11" i="43" s="1"/>
  <c r="P63" i="43" s="1"/>
  <c r="P19" i="29"/>
  <c r="P19" i="43" s="1"/>
  <c r="P71" i="43" s="1"/>
  <c r="P37" i="29"/>
  <c r="P37" i="43" s="1"/>
  <c r="P89" i="43" s="1"/>
  <c r="P5" i="29"/>
  <c r="P21" i="29"/>
  <c r="P23" i="29"/>
  <c r="P17" i="29"/>
  <c r="P17" i="43" s="1"/>
  <c r="P69" i="43" s="1"/>
  <c r="P47" i="29"/>
  <c r="P47" i="43" s="1"/>
  <c r="P99" i="43" s="1"/>
  <c r="P43" i="29"/>
  <c r="P43" i="43" s="1"/>
  <c r="P95" i="43" s="1"/>
  <c r="P25" i="29"/>
  <c r="P25" i="43" s="1"/>
  <c r="P77" i="43" s="1"/>
  <c r="P44" i="29"/>
  <c r="P44" i="43" s="1"/>
  <c r="P96" i="43" s="1"/>
  <c r="P34" i="29"/>
  <c r="P34" i="43" s="1"/>
  <c r="P86" i="43" s="1"/>
  <c r="P40" i="29"/>
  <c r="P40" i="43" s="1"/>
  <c r="P92" i="43" s="1"/>
  <c r="P49" i="29"/>
  <c r="P49" i="43" s="1"/>
  <c r="P101" i="43" s="1"/>
  <c r="P50" i="29"/>
  <c r="P50" i="43" s="1"/>
  <c r="P102" i="43" s="1"/>
  <c r="P12" i="29"/>
  <c r="P12" i="43" s="1"/>
  <c r="P64" i="43" s="1"/>
  <c r="P18" i="29"/>
  <c r="P18" i="43" s="1"/>
  <c r="P70" i="43" s="1"/>
  <c r="P7" i="29"/>
  <c r="P7" i="43" s="1"/>
  <c r="P59" i="43" s="1"/>
  <c r="P20" i="29"/>
  <c r="P20" i="43" s="1"/>
  <c r="P72" i="43" s="1"/>
  <c r="P36" i="29"/>
  <c r="P36" i="43" s="1"/>
  <c r="P88" i="43" s="1"/>
  <c r="P39" i="29"/>
  <c r="P39" i="43" s="1"/>
  <c r="P91" i="43" s="1"/>
  <c r="P42" i="29"/>
  <c r="P42" i="43" s="1"/>
  <c r="P94" i="43" s="1"/>
  <c r="P16" i="29"/>
  <c r="P16" i="43" s="1"/>
  <c r="P68" i="43" s="1"/>
  <c r="P10" i="29"/>
  <c r="P10" i="43" s="1"/>
  <c r="P62" i="43" s="1"/>
  <c r="P46" i="29"/>
  <c r="P46" i="43" s="1"/>
  <c r="P98" i="43" s="1"/>
  <c r="P27" i="29"/>
  <c r="P35" i="29"/>
  <c r="P35" i="43" s="1"/>
  <c r="P87" i="43" s="1"/>
  <c r="P9" i="29"/>
  <c r="P9" i="43" s="1"/>
  <c r="P61" i="43" s="1"/>
  <c r="P6" i="29"/>
  <c r="P6" i="43" s="1"/>
  <c r="P58" i="43" s="1"/>
  <c r="P26" i="29"/>
  <c r="X14" i="29"/>
  <c r="W14" i="43" s="1"/>
  <c r="W66" i="43" s="1"/>
  <c r="P32" i="29"/>
  <c r="P32" i="43" s="1"/>
  <c r="P84" i="43" s="1"/>
  <c r="T38" i="33"/>
  <c r="R38" i="44" s="1"/>
  <c r="R80" i="44" s="1"/>
  <c r="T38" i="34"/>
  <c r="T11" i="33"/>
  <c r="T11" i="34"/>
  <c r="T18" i="33"/>
  <c r="R18" i="44" s="1"/>
  <c r="R60" i="44" s="1"/>
  <c r="T18" i="34"/>
  <c r="T15" i="34"/>
  <c r="T15" i="33"/>
  <c r="R15" i="44" s="1"/>
  <c r="R57" i="44" s="1"/>
  <c r="T27" i="34"/>
  <c r="T27" i="33"/>
  <c r="X41" i="29"/>
  <c r="W41" i="43" s="1"/>
  <c r="W93" i="43" s="1"/>
  <c r="AH26" i="29"/>
  <c r="AD26" i="43" s="1"/>
  <c r="AD78" i="43" s="1"/>
  <c r="P51" i="29"/>
  <c r="P51" i="43" s="1"/>
  <c r="P103" i="43" s="1"/>
  <c r="O6" i="33"/>
  <c r="O6" i="44" s="1"/>
  <c r="O48" i="44" s="1"/>
  <c r="O6" i="34"/>
  <c r="O32" i="33"/>
  <c r="O32" i="34"/>
  <c r="O26" i="33"/>
  <c r="O26" i="44" s="1"/>
  <c r="O68" i="44" s="1"/>
  <c r="O26" i="34"/>
  <c r="O9" i="33"/>
  <c r="O9" i="44" s="1"/>
  <c r="O51" i="44" s="1"/>
  <c r="O9" i="34"/>
  <c r="O27" i="33"/>
  <c r="O27" i="44" s="1"/>
  <c r="O69" i="44" s="1"/>
  <c r="O27" i="34"/>
  <c r="M24" i="33"/>
  <c r="M24" i="34"/>
  <c r="M18" i="33"/>
  <c r="M18" i="44" s="1"/>
  <c r="M60" i="44" s="1"/>
  <c r="M18" i="34"/>
  <c r="M36" i="33"/>
  <c r="M36" i="44" s="1"/>
  <c r="M78" i="44" s="1"/>
  <c r="M36" i="34"/>
  <c r="M13" i="33"/>
  <c r="M13" i="44" s="1"/>
  <c r="M55" i="44" s="1"/>
  <c r="M13" i="34"/>
  <c r="L21" i="29"/>
  <c r="L21" i="43" s="1"/>
  <c r="L73" i="43" s="1"/>
  <c r="V23" i="30"/>
  <c r="V29" i="30"/>
  <c r="V36" i="30"/>
  <c r="V9" i="30"/>
  <c r="V51" i="30"/>
  <c r="W31" i="29"/>
  <c r="V31" i="43" s="1"/>
  <c r="V83" i="43" s="1"/>
  <c r="O8" i="29"/>
  <c r="O8" i="43" s="1"/>
  <c r="O60" i="43" s="1"/>
  <c r="O20" i="29"/>
  <c r="O20" i="43" s="1"/>
  <c r="O72" i="43" s="1"/>
  <c r="O27" i="29"/>
  <c r="O27" i="43" s="1"/>
  <c r="O79" i="43" s="1"/>
  <c r="O23" i="29"/>
  <c r="O23" i="43" s="1"/>
  <c r="O75" i="43" s="1"/>
  <c r="O14" i="29"/>
  <c r="O14" i="43" s="1"/>
  <c r="O66" i="43" s="1"/>
  <c r="O24" i="29"/>
  <c r="O24" i="43" s="1"/>
  <c r="O76" i="43" s="1"/>
  <c r="O46" i="29"/>
  <c r="O46" i="43" s="1"/>
  <c r="O98" i="43" s="1"/>
  <c r="O43" i="29"/>
  <c r="O43" i="43" s="1"/>
  <c r="O95" i="43" s="1"/>
  <c r="O35" i="29"/>
  <c r="O35" i="43" s="1"/>
  <c r="O87" i="43" s="1"/>
  <c r="O36" i="29"/>
  <c r="O36" i="43" s="1"/>
  <c r="O88" i="43" s="1"/>
  <c r="O6" i="29"/>
  <c r="O6" i="43" s="1"/>
  <c r="O58" i="43" s="1"/>
  <c r="O41" i="29"/>
  <c r="O41" i="43" s="1"/>
  <c r="O93" i="43" s="1"/>
  <c r="O48" i="29"/>
  <c r="O48" i="43" s="1"/>
  <c r="O100" i="43" s="1"/>
  <c r="O50" i="29"/>
  <c r="O50" i="43" s="1"/>
  <c r="O102" i="43" s="1"/>
  <c r="O26" i="29"/>
  <c r="O26" i="43" s="1"/>
  <c r="O78" i="43" s="1"/>
  <c r="O31" i="29"/>
  <c r="O31" i="43" s="1"/>
  <c r="O83" i="43" s="1"/>
  <c r="O11" i="29"/>
  <c r="O11" i="43" s="1"/>
  <c r="O63" i="43" s="1"/>
  <c r="O17" i="29"/>
  <c r="O17" i="43" s="1"/>
  <c r="O69" i="43" s="1"/>
  <c r="O19" i="29"/>
  <c r="O19" i="43" s="1"/>
  <c r="O71" i="43" s="1"/>
  <c r="O16" i="29"/>
  <c r="O16" i="43" s="1"/>
  <c r="O68" i="43" s="1"/>
  <c r="O34" i="29"/>
  <c r="O34" i="43" s="1"/>
  <c r="O86" i="43" s="1"/>
  <c r="O25" i="29"/>
  <c r="O25" i="43" s="1"/>
  <c r="O77" i="43" s="1"/>
  <c r="O15" i="29"/>
  <c r="O15" i="43" s="1"/>
  <c r="O67" i="43" s="1"/>
  <c r="O28" i="29"/>
  <c r="O28" i="43" s="1"/>
  <c r="O80" i="43" s="1"/>
  <c r="O13" i="29"/>
  <c r="O13" i="43" s="1"/>
  <c r="O65" i="43" s="1"/>
  <c r="O30" i="29"/>
  <c r="O30" i="43" s="1"/>
  <c r="O82" i="43" s="1"/>
  <c r="O33" i="29"/>
  <c r="O33" i="43" s="1"/>
  <c r="O85" i="43" s="1"/>
  <c r="O32" i="29"/>
  <c r="O32" i="43" s="1"/>
  <c r="O84" i="43" s="1"/>
  <c r="O38" i="29"/>
  <c r="O38" i="43" s="1"/>
  <c r="O90" i="43" s="1"/>
  <c r="O12" i="29"/>
  <c r="O12" i="43" s="1"/>
  <c r="O64" i="43" s="1"/>
  <c r="O47" i="29"/>
  <c r="O47" i="43" s="1"/>
  <c r="O99" i="43" s="1"/>
  <c r="O5" i="29"/>
  <c r="O21" i="29"/>
  <c r="O21" i="43" s="1"/>
  <c r="O73" i="43" s="1"/>
  <c r="O9" i="29"/>
  <c r="O9" i="43" s="1"/>
  <c r="O61" i="43" s="1"/>
  <c r="O49" i="29"/>
  <c r="O49" i="43" s="1"/>
  <c r="O101" i="43" s="1"/>
  <c r="O45" i="29"/>
  <c r="O45" i="43" s="1"/>
  <c r="O97" i="43" s="1"/>
  <c r="O40" i="29"/>
  <c r="O40" i="43" s="1"/>
  <c r="O92" i="43" s="1"/>
  <c r="O44" i="29"/>
  <c r="O44" i="43" s="1"/>
  <c r="O96" i="43" s="1"/>
  <c r="O29" i="29"/>
  <c r="O29" i="43" s="1"/>
  <c r="O81" i="43" s="1"/>
  <c r="O10" i="29"/>
  <c r="O10" i="43" s="1"/>
  <c r="O62" i="43" s="1"/>
  <c r="O51" i="29"/>
  <c r="O51" i="43" s="1"/>
  <c r="O103" i="43" s="1"/>
  <c r="O18" i="29"/>
  <c r="O18" i="43" s="1"/>
  <c r="O70" i="43" s="1"/>
  <c r="O37" i="29"/>
  <c r="O37" i="43" s="1"/>
  <c r="O89" i="43" s="1"/>
  <c r="O22" i="29"/>
  <c r="O22" i="43" s="1"/>
  <c r="O74" i="43" s="1"/>
  <c r="O7" i="29"/>
  <c r="O7" i="43" s="1"/>
  <c r="O59" i="43" s="1"/>
  <c r="S58" i="28"/>
  <c r="R58" i="28"/>
  <c r="O42" i="29"/>
  <c r="O42" i="43" s="1"/>
  <c r="O94" i="43" s="1"/>
  <c r="AH44" i="29"/>
  <c r="AD44" i="43" s="1"/>
  <c r="AD96" i="43" s="1"/>
  <c r="AH13" i="29"/>
  <c r="AD13" i="43" s="1"/>
  <c r="AD65" i="43" s="1"/>
  <c r="AH42" i="29"/>
  <c r="AD42" i="43" s="1"/>
  <c r="AD94" i="43" s="1"/>
  <c r="AH27" i="29"/>
  <c r="AD27" i="43" s="1"/>
  <c r="AD79" i="43" s="1"/>
  <c r="AH45" i="29"/>
  <c r="AD45" i="43" s="1"/>
  <c r="AD97" i="43" s="1"/>
  <c r="AH5" i="29"/>
  <c r="AH17" i="29"/>
  <c r="AD17" i="43" s="1"/>
  <c r="AD69" i="43" s="1"/>
  <c r="AH32" i="29"/>
  <c r="AD32" i="43" s="1"/>
  <c r="AD84" i="43" s="1"/>
  <c r="AH33" i="29"/>
  <c r="AD33" i="43" s="1"/>
  <c r="AD85" i="43" s="1"/>
  <c r="AH38" i="29"/>
  <c r="AD38" i="43" s="1"/>
  <c r="AD90" i="43" s="1"/>
  <c r="AH15" i="29"/>
  <c r="AD15" i="43" s="1"/>
  <c r="AD67" i="43" s="1"/>
  <c r="AH10" i="29"/>
  <c r="AD10" i="43" s="1"/>
  <c r="AD62" i="43" s="1"/>
  <c r="AH12" i="29"/>
  <c r="AD12" i="43" s="1"/>
  <c r="AD64" i="43" s="1"/>
  <c r="V38" i="32"/>
  <c r="S38" i="33"/>
  <c r="S38" i="34"/>
  <c r="V38" i="34" s="1"/>
  <c r="S31" i="34"/>
  <c r="V31" i="34" s="1"/>
  <c r="V31" i="32"/>
  <c r="S31" i="33"/>
  <c r="S16" i="33"/>
  <c r="S16" i="34"/>
  <c r="V16" i="34" s="1"/>
  <c r="V16" i="32"/>
  <c r="S7" i="33"/>
  <c r="V7" i="33" s="1"/>
  <c r="V7" i="32"/>
  <c r="S7" i="34"/>
  <c r="V7" i="34" s="1"/>
  <c r="V14" i="32"/>
  <c r="S14" i="33"/>
  <c r="S14" i="34"/>
  <c r="V14" i="34" s="1"/>
  <c r="M5" i="30"/>
  <c r="M53" i="28"/>
  <c r="M58" i="28" s="1"/>
  <c r="M21" i="29" s="1"/>
  <c r="M21" i="43" s="1"/>
  <c r="M73" i="43" s="1"/>
  <c r="M29" i="30"/>
  <c r="M38" i="30"/>
  <c r="M32" i="30"/>
  <c r="M51" i="30"/>
  <c r="M8" i="30"/>
  <c r="AH46" i="29"/>
  <c r="AD46" i="43" s="1"/>
  <c r="AD98" i="43" s="1"/>
  <c r="T40" i="33"/>
  <c r="T40" i="34"/>
  <c r="T41" i="34"/>
  <c r="T41" i="33"/>
  <c r="T30" i="34"/>
  <c r="T30" i="33"/>
  <c r="T24" i="34"/>
  <c r="T24" i="33"/>
  <c r="T13" i="33"/>
  <c r="T13" i="34"/>
  <c r="U24" i="29"/>
  <c r="T24" i="43" s="1"/>
  <c r="T76" i="43" s="1"/>
  <c r="U14" i="29"/>
  <c r="T14" i="43" s="1"/>
  <c r="T66" i="43" s="1"/>
  <c r="U30" i="29"/>
  <c r="T30" i="43" s="1"/>
  <c r="T82" i="43" s="1"/>
  <c r="U36" i="29"/>
  <c r="T36" i="43" s="1"/>
  <c r="T88" i="43" s="1"/>
  <c r="U5" i="29"/>
  <c r="U31" i="29"/>
  <c r="T31" i="43" s="1"/>
  <c r="T83" i="43" s="1"/>
  <c r="U38" i="29"/>
  <c r="T38" i="43" s="1"/>
  <c r="T90" i="43" s="1"/>
  <c r="U21" i="29"/>
  <c r="T21" i="43" s="1"/>
  <c r="T73" i="43" s="1"/>
  <c r="U7" i="29"/>
  <c r="T7" i="43" s="1"/>
  <c r="T59" i="43" s="1"/>
  <c r="U44" i="29"/>
  <c r="T44" i="43" s="1"/>
  <c r="T96" i="43" s="1"/>
  <c r="U6" i="29"/>
  <c r="T6" i="43" s="1"/>
  <c r="T58" i="43" s="1"/>
  <c r="U50" i="29"/>
  <c r="T50" i="43" s="1"/>
  <c r="T102" i="43" s="1"/>
  <c r="U19" i="29"/>
  <c r="T19" i="43" s="1"/>
  <c r="T71" i="43" s="1"/>
  <c r="U22" i="29"/>
  <c r="T22" i="43" s="1"/>
  <c r="T74" i="43" s="1"/>
  <c r="U33" i="29"/>
  <c r="T33" i="43" s="1"/>
  <c r="T85" i="43" s="1"/>
  <c r="U27" i="29"/>
  <c r="T27" i="43" s="1"/>
  <c r="T79" i="43" s="1"/>
  <c r="U39" i="29"/>
  <c r="T39" i="43" s="1"/>
  <c r="T91" i="43" s="1"/>
  <c r="U26" i="29"/>
  <c r="T26" i="43" s="1"/>
  <c r="T78" i="43" s="1"/>
  <c r="U10" i="29"/>
  <c r="T10" i="43" s="1"/>
  <c r="T62" i="43" s="1"/>
  <c r="U9" i="29"/>
  <c r="T9" i="43" s="1"/>
  <c r="T61" i="43" s="1"/>
  <c r="U42" i="29"/>
  <c r="T42" i="43" s="1"/>
  <c r="T94" i="43" s="1"/>
  <c r="U32" i="29"/>
  <c r="T32" i="43" s="1"/>
  <c r="T84" i="43" s="1"/>
  <c r="U17" i="29"/>
  <c r="T17" i="43" s="1"/>
  <c r="T69" i="43" s="1"/>
  <c r="U25" i="29"/>
  <c r="T25" i="43" s="1"/>
  <c r="T77" i="43" s="1"/>
  <c r="U16" i="29"/>
  <c r="T16" i="43" s="1"/>
  <c r="T68" i="43" s="1"/>
  <c r="U15" i="29"/>
  <c r="T15" i="43" s="1"/>
  <c r="T67" i="43" s="1"/>
  <c r="U49" i="29"/>
  <c r="T49" i="43" s="1"/>
  <c r="T101" i="43" s="1"/>
  <c r="U47" i="29"/>
  <c r="T47" i="43" s="1"/>
  <c r="T99" i="43" s="1"/>
  <c r="U34" i="29"/>
  <c r="T34" i="43" s="1"/>
  <c r="T86" i="43" s="1"/>
  <c r="U51" i="29"/>
  <c r="T51" i="43" s="1"/>
  <c r="T103" i="43" s="1"/>
  <c r="U12" i="29"/>
  <c r="T12" i="43" s="1"/>
  <c r="T64" i="43" s="1"/>
  <c r="U23" i="29"/>
  <c r="T23" i="43" s="1"/>
  <c r="T75" i="43" s="1"/>
  <c r="U20" i="29"/>
  <c r="T20" i="43" s="1"/>
  <c r="T72" i="43" s="1"/>
  <c r="U40" i="29"/>
  <c r="T40" i="43" s="1"/>
  <c r="T92" i="43" s="1"/>
  <c r="U28" i="29"/>
  <c r="T28" i="43" s="1"/>
  <c r="T80" i="43" s="1"/>
  <c r="U41" i="29"/>
  <c r="T41" i="43" s="1"/>
  <c r="T93" i="43" s="1"/>
  <c r="U18" i="29"/>
  <c r="T18" i="43" s="1"/>
  <c r="T70" i="43" s="1"/>
  <c r="U46" i="29"/>
  <c r="T46" i="43" s="1"/>
  <c r="T98" i="43" s="1"/>
  <c r="U29" i="29"/>
  <c r="T29" i="43" s="1"/>
  <c r="T81" i="43" s="1"/>
  <c r="U35" i="29"/>
  <c r="T35" i="43" s="1"/>
  <c r="T87" i="43" s="1"/>
  <c r="U13" i="29"/>
  <c r="T13" i="43" s="1"/>
  <c r="T65" i="43" s="1"/>
  <c r="U45" i="29"/>
  <c r="T45" i="43" s="1"/>
  <c r="T97" i="43" s="1"/>
  <c r="L9" i="29"/>
  <c r="L9" i="43" s="1"/>
  <c r="L61" i="43" s="1"/>
  <c r="AH37" i="29"/>
  <c r="AD37" i="43" s="1"/>
  <c r="AD89" i="43" s="1"/>
  <c r="AH34" i="29"/>
  <c r="AD34" i="43" s="1"/>
  <c r="AD86" i="43" s="1"/>
  <c r="Q17" i="29"/>
  <c r="Q17" i="43" s="1"/>
  <c r="Q69" i="43" s="1"/>
  <c r="Q42" i="29"/>
  <c r="Q42" i="43" s="1"/>
  <c r="Q94" i="43" s="1"/>
  <c r="Q44" i="29"/>
  <c r="Q44" i="43" s="1"/>
  <c r="Q96" i="43" s="1"/>
  <c r="Q18" i="29"/>
  <c r="Q18" i="43" s="1"/>
  <c r="Q70" i="43" s="1"/>
  <c r="Q50" i="29"/>
  <c r="Q50" i="43" s="1"/>
  <c r="Q102" i="43" s="1"/>
  <c r="Q26" i="29"/>
  <c r="Q26" i="43" s="1"/>
  <c r="Q78" i="43" s="1"/>
  <c r="Q7" i="29"/>
  <c r="Q7" i="43" s="1"/>
  <c r="Q59" i="43" s="1"/>
  <c r="Q15" i="29"/>
  <c r="Q15" i="43" s="1"/>
  <c r="Q67" i="43" s="1"/>
  <c r="Q29" i="29"/>
  <c r="Q29" i="43" s="1"/>
  <c r="Q81" i="43" s="1"/>
  <c r="Q27" i="29"/>
  <c r="Q27" i="43" s="1"/>
  <c r="Q79" i="43" s="1"/>
  <c r="Q28" i="29"/>
  <c r="Q28" i="43" s="1"/>
  <c r="Q80" i="43" s="1"/>
  <c r="Q51" i="29"/>
  <c r="Q51" i="43" s="1"/>
  <c r="Q103" i="43" s="1"/>
  <c r="Q23" i="29"/>
  <c r="Q23" i="43" s="1"/>
  <c r="Q75" i="43" s="1"/>
  <c r="Q20" i="29"/>
  <c r="Q20" i="43" s="1"/>
  <c r="Q72" i="43" s="1"/>
  <c r="Q49" i="29"/>
  <c r="Q49" i="43" s="1"/>
  <c r="Q101" i="43" s="1"/>
  <c r="Q16" i="29"/>
  <c r="Q16" i="43" s="1"/>
  <c r="Q68" i="43" s="1"/>
  <c r="Q37" i="29"/>
  <c r="Q37" i="43" s="1"/>
  <c r="Q89" i="43" s="1"/>
  <c r="Q24" i="29"/>
  <c r="Q24" i="43" s="1"/>
  <c r="Q76" i="43" s="1"/>
  <c r="Q19" i="29"/>
  <c r="Q19" i="43" s="1"/>
  <c r="Q71" i="43" s="1"/>
  <c r="Q5" i="29"/>
  <c r="Q30" i="29"/>
  <c r="Q30" i="43" s="1"/>
  <c r="Q82" i="43" s="1"/>
  <c r="O11" i="33"/>
  <c r="O11" i="44" s="1"/>
  <c r="O53" i="44" s="1"/>
  <c r="O11" i="34"/>
  <c r="O23" i="33"/>
  <c r="O23" i="44" s="1"/>
  <c r="O65" i="44" s="1"/>
  <c r="O23" i="34"/>
  <c r="O17" i="34"/>
  <c r="O17" i="33"/>
  <c r="O17" i="44" s="1"/>
  <c r="O59" i="44" s="1"/>
  <c r="O14" i="33"/>
  <c r="O14" i="44" s="1"/>
  <c r="O56" i="44" s="1"/>
  <c r="O14" i="34"/>
  <c r="O10" i="33"/>
  <c r="O10" i="44" s="1"/>
  <c r="O52" i="44" s="1"/>
  <c r="O10" i="34"/>
  <c r="U37" i="29"/>
  <c r="T37" i="43" s="1"/>
  <c r="T89" i="43" s="1"/>
  <c r="M21" i="33"/>
  <c r="M21" i="34"/>
  <c r="M32" i="33"/>
  <c r="M32" i="44" s="1"/>
  <c r="M74" i="44" s="1"/>
  <c r="M32" i="34"/>
  <c r="M5" i="33"/>
  <c r="M43" i="32"/>
  <c r="M5" i="34"/>
  <c r="M38" i="34"/>
  <c r="M38" i="33"/>
  <c r="V17" i="30"/>
  <c r="V16" i="30"/>
  <c r="V26" i="30"/>
  <c r="V37" i="30"/>
  <c r="V45" i="30"/>
  <c r="V14" i="30"/>
  <c r="P45" i="29"/>
  <c r="P45" i="43" s="1"/>
  <c r="P97" i="43" s="1"/>
  <c r="X47" i="29"/>
  <c r="W47" i="43" s="1"/>
  <c r="W99" i="43" s="1"/>
  <c r="O53" i="30"/>
  <c r="AH7" i="29"/>
  <c r="AD7" i="43" s="1"/>
  <c r="AD59" i="43" s="1"/>
  <c r="X33" i="29"/>
  <c r="W33" i="43" s="1"/>
  <c r="W85" i="43" s="1"/>
  <c r="X26" i="29"/>
  <c r="W26" i="43" s="1"/>
  <c r="W78" i="43" s="1"/>
  <c r="AH51" i="29"/>
  <c r="AD51" i="43" s="1"/>
  <c r="AD103" i="43" s="1"/>
  <c r="Q25" i="29"/>
  <c r="Q25" i="43" s="1"/>
  <c r="Q77" i="43" s="1"/>
  <c r="X31" i="29"/>
  <c r="W31" i="43" s="1"/>
  <c r="W83" i="43" s="1"/>
  <c r="P19" i="32"/>
  <c r="AA19" i="32" s="1"/>
  <c r="L19" i="34"/>
  <c r="P19" i="34" s="1"/>
  <c r="L19" i="33"/>
  <c r="L31" i="33"/>
  <c r="L31" i="34"/>
  <c r="P31" i="34" s="1"/>
  <c r="P31" i="32"/>
  <c r="AA31" i="32" s="1"/>
  <c r="L5" i="34"/>
  <c r="L43" i="32"/>
  <c r="P5" i="32"/>
  <c r="L5" i="33"/>
  <c r="L40" i="33"/>
  <c r="L40" i="34"/>
  <c r="P40" i="34" s="1"/>
  <c r="P40" i="32"/>
  <c r="AA40" i="32" s="1"/>
  <c r="P6" i="32"/>
  <c r="AA6" i="32" s="1"/>
  <c r="L6" i="33"/>
  <c r="L6" i="34"/>
  <c r="P6" i="34" s="1"/>
  <c r="L7" i="34"/>
  <c r="P7" i="34" s="1"/>
  <c r="P7" i="32"/>
  <c r="AA7" i="32" s="1"/>
  <c r="L7" i="33"/>
  <c r="P8" i="32"/>
  <c r="AA8" i="32" s="1"/>
  <c r="L8" i="33"/>
  <c r="L8" i="34"/>
  <c r="P8" i="34" s="1"/>
  <c r="P17" i="32"/>
  <c r="AA17" i="32" s="1"/>
  <c r="L17" i="34"/>
  <c r="P17" i="34" s="1"/>
  <c r="L17" i="33"/>
  <c r="P18" i="32"/>
  <c r="AA18" i="32" s="1"/>
  <c r="W18" i="34" s="1"/>
  <c r="L18" i="33"/>
  <c r="L18" i="34"/>
  <c r="P18" i="34" s="1"/>
  <c r="D7" i="46"/>
  <c r="D13" i="46" s="1"/>
  <c r="P28" i="32"/>
  <c r="AA28" i="32" s="1"/>
  <c r="L28" i="33"/>
  <c r="L28" i="34"/>
  <c r="P28" i="34" s="1"/>
  <c r="L12" i="34"/>
  <c r="P12" i="34" s="1"/>
  <c r="P12" i="32"/>
  <c r="AA12" i="32" s="1"/>
  <c r="L12" i="33"/>
  <c r="L36" i="33"/>
  <c r="L36" i="34"/>
  <c r="P36" i="34" s="1"/>
  <c r="P36" i="32"/>
  <c r="AA36" i="32" s="1"/>
  <c r="P33" i="32"/>
  <c r="AA33" i="32" s="1"/>
  <c r="W33" i="34" s="1"/>
  <c r="L33" i="33"/>
  <c r="L33" i="34"/>
  <c r="P33" i="34" s="1"/>
  <c r="L10" i="33"/>
  <c r="L10" i="34"/>
  <c r="P10" i="34" s="1"/>
  <c r="P10" i="32"/>
  <c r="AA10" i="32" s="1"/>
  <c r="P14" i="32"/>
  <c r="AA14" i="32" s="1"/>
  <c r="L14" i="33"/>
  <c r="L14" i="34"/>
  <c r="P14" i="34" s="1"/>
  <c r="P39" i="32"/>
  <c r="AA39" i="32" s="1"/>
  <c r="L39" i="33"/>
  <c r="L39" i="34"/>
  <c r="P39" i="34" s="1"/>
  <c r="L30" i="34"/>
  <c r="P30" i="34" s="1"/>
  <c r="P30" i="32"/>
  <c r="AA30" i="32" s="1"/>
  <c r="L30" i="33"/>
  <c r="P9" i="32"/>
  <c r="AA9" i="32" s="1"/>
  <c r="L9" i="33"/>
  <c r="L9" i="34"/>
  <c r="P9" i="34" s="1"/>
  <c r="L21" i="34"/>
  <c r="P21" i="34" s="1"/>
  <c r="P21" i="32"/>
  <c r="AA21" i="32" s="1"/>
  <c r="L21" i="33"/>
  <c r="P29" i="32"/>
  <c r="AA29" i="32" s="1"/>
  <c r="L29" i="33"/>
  <c r="L29" i="34"/>
  <c r="P29" i="34" s="1"/>
  <c r="P20" i="32"/>
  <c r="AA20" i="32" s="1"/>
  <c r="L20" i="33"/>
  <c r="L20" i="34"/>
  <c r="P20" i="34" s="1"/>
  <c r="L23" i="34"/>
  <c r="P23" i="34" s="1"/>
  <c r="P23" i="32"/>
  <c r="AA23" i="32" s="1"/>
  <c r="L23" i="33"/>
  <c r="L38" i="34"/>
  <c r="P38" i="34" s="1"/>
  <c r="P38" i="32"/>
  <c r="AA38" i="32" s="1"/>
  <c r="L38" i="33"/>
  <c r="L16" i="34"/>
  <c r="P16" i="34" s="1"/>
  <c r="P16" i="32"/>
  <c r="AA16" i="32" s="1"/>
  <c r="L16" i="33"/>
  <c r="P41" i="32"/>
  <c r="AA41" i="32" s="1"/>
  <c r="L41" i="33"/>
  <c r="L41" i="34"/>
  <c r="P41" i="34" s="1"/>
  <c r="P34" i="32"/>
  <c r="AA34" i="32" s="1"/>
  <c r="L34" i="33"/>
  <c r="L34" i="34"/>
  <c r="P34" i="34" s="1"/>
  <c r="P32" i="32"/>
  <c r="AA32" i="32" s="1"/>
  <c r="L32" i="33"/>
  <c r="L32" i="34"/>
  <c r="P32" i="34" s="1"/>
  <c r="L15" i="33"/>
  <c r="L15" i="34"/>
  <c r="P15" i="34" s="1"/>
  <c r="P15" i="32"/>
  <c r="AA15" i="32" s="1"/>
  <c r="AI53" i="29"/>
  <c r="L13" i="34"/>
  <c r="P13" i="34" s="1"/>
  <c r="P13" i="32"/>
  <c r="AA13" i="32" s="1"/>
  <c r="L13" i="33"/>
  <c r="P25" i="32"/>
  <c r="AA25" i="32" s="1"/>
  <c r="L25" i="33"/>
  <c r="L25" i="34"/>
  <c r="P25" i="34" s="1"/>
  <c r="P24" i="32"/>
  <c r="AA24" i="32" s="1"/>
  <c r="L24" i="33"/>
  <c r="L24" i="34"/>
  <c r="P24" i="34" s="1"/>
  <c r="L37" i="34"/>
  <c r="P37" i="34" s="1"/>
  <c r="P37" i="32"/>
  <c r="AA37" i="32" s="1"/>
  <c r="L37" i="33"/>
  <c r="L27" i="33"/>
  <c r="P27" i="32"/>
  <c r="AA27" i="32" s="1"/>
  <c r="L27" i="34"/>
  <c r="P27" i="34" s="1"/>
  <c r="L22" i="33"/>
  <c r="L22" i="34"/>
  <c r="P22" i="34" s="1"/>
  <c r="P22" i="32"/>
  <c r="AA22" i="32" s="1"/>
  <c r="P35" i="32"/>
  <c r="AA35" i="32" s="1"/>
  <c r="L35" i="34"/>
  <c r="P35" i="34" s="1"/>
  <c r="L35" i="33"/>
  <c r="P26" i="32"/>
  <c r="AA26" i="32" s="1"/>
  <c r="L26" i="33"/>
  <c r="L26" i="34"/>
  <c r="P26" i="34" s="1"/>
  <c r="L11" i="33"/>
  <c r="P11" i="32"/>
  <c r="AA11" i="32" s="1"/>
  <c r="L11" i="34"/>
  <c r="P11" i="34" s="1"/>
  <c r="U11" i="45"/>
  <c r="U7" i="45"/>
  <c r="U13" i="45" s="1"/>
  <c r="U9" i="45"/>
  <c r="K15" i="46"/>
  <c r="K14" i="46"/>
  <c r="F14" i="46"/>
  <c r="F15" i="46"/>
  <c r="F11" i="46"/>
  <c r="F7" i="46"/>
  <c r="F13" i="46" s="1"/>
  <c r="K11" i="46"/>
  <c r="K7" i="46"/>
  <c r="K13" i="46" s="1"/>
  <c r="D15" i="46"/>
  <c r="D14" i="46"/>
  <c r="I15" i="46"/>
  <c r="I14" i="46"/>
  <c r="W36" i="34"/>
  <c r="AA46" i="34"/>
  <c r="AA46" i="33"/>
  <c r="AA46" i="32"/>
  <c r="AA46" i="31"/>
  <c r="W17" i="34"/>
  <c r="W27" i="34"/>
  <c r="W10" i="34"/>
  <c r="W26" i="34"/>
  <c r="W39" i="34"/>
  <c r="W38" i="34"/>
  <c r="W28" i="34"/>
  <c r="W9" i="34"/>
  <c r="W12" i="34"/>
  <c r="W30" i="34"/>
  <c r="W34" i="34"/>
  <c r="AE55" i="30"/>
  <c r="AE55" i="28"/>
  <c r="AE55" i="29"/>
  <c r="AO54" i="29" s="1"/>
  <c r="W40" i="34"/>
  <c r="W19" i="34"/>
  <c r="W15" i="34"/>
  <c r="W31" i="34"/>
  <c r="W14" i="34"/>
  <c r="E42" i="5"/>
  <c r="W45" i="34"/>
  <c r="W45" i="33"/>
  <c r="W45" i="31"/>
  <c r="W45" i="32"/>
  <c r="W48" i="32" s="1"/>
  <c r="W39" i="33" s="1"/>
  <c r="X39" i="33" s="1"/>
  <c r="W13" i="34"/>
  <c r="W25" i="34"/>
  <c r="W6" i="34"/>
  <c r="W20" i="34"/>
  <c r="E23" i="5"/>
  <c r="E29" i="5" s="1"/>
  <c r="AE57" i="27"/>
  <c r="W7" i="34" l="1"/>
  <c r="W24" i="34"/>
  <c r="M5" i="44"/>
  <c r="M47" i="44" s="1"/>
  <c r="M43" i="33"/>
  <c r="R41" i="44"/>
  <c r="R83" i="44" s="1"/>
  <c r="M51" i="29"/>
  <c r="M51" i="43" s="1"/>
  <c r="M103" i="43" s="1"/>
  <c r="M53" i="30"/>
  <c r="R11" i="44"/>
  <c r="R53" i="44" s="1"/>
  <c r="M15" i="29"/>
  <c r="M15" i="43" s="1"/>
  <c r="M67" i="43" s="1"/>
  <c r="V40" i="33"/>
  <c r="M20" i="44"/>
  <c r="M62" i="44" s="1"/>
  <c r="O28" i="44"/>
  <c r="O70" i="44" s="1"/>
  <c r="M13" i="29"/>
  <c r="M13" i="43" s="1"/>
  <c r="M65" i="43" s="1"/>
  <c r="V27" i="33"/>
  <c r="Q27" i="44"/>
  <c r="Q69" i="44" s="1"/>
  <c r="U44" i="43"/>
  <c r="U96" i="43" s="1"/>
  <c r="M15" i="44"/>
  <c r="M57" i="44" s="1"/>
  <c r="M22" i="44"/>
  <c r="M64" i="44" s="1"/>
  <c r="AB48" i="28"/>
  <c r="Y48" i="30"/>
  <c r="AB48" i="30" s="1"/>
  <c r="AB47" i="28"/>
  <c r="Y47" i="30"/>
  <c r="AB47" i="30" s="1"/>
  <c r="AB7" i="28"/>
  <c r="Y7" i="30"/>
  <c r="AB7" i="30" s="1"/>
  <c r="Y42" i="30"/>
  <c r="AB42" i="30" s="1"/>
  <c r="AB42" i="28"/>
  <c r="Y49" i="30"/>
  <c r="AB49" i="30" s="1"/>
  <c r="AB49" i="28"/>
  <c r="Y14" i="30"/>
  <c r="AB14" i="30" s="1"/>
  <c r="AB14" i="28"/>
  <c r="R20" i="44"/>
  <c r="R62" i="44" s="1"/>
  <c r="M34" i="29"/>
  <c r="M34" i="43" s="1"/>
  <c r="M86" i="43" s="1"/>
  <c r="O21" i="44"/>
  <c r="O63" i="44" s="1"/>
  <c r="AD41" i="29"/>
  <c r="AA41" i="43"/>
  <c r="AA93" i="43" s="1"/>
  <c r="AD33" i="29"/>
  <c r="AA33" i="43"/>
  <c r="AA85" i="43" s="1"/>
  <c r="AD50" i="29"/>
  <c r="AA50" i="43"/>
  <c r="AA102" i="43" s="1"/>
  <c r="AD7" i="29"/>
  <c r="AA7" i="43"/>
  <c r="AA59" i="43" s="1"/>
  <c r="AA38" i="43"/>
  <c r="AA90" i="43" s="1"/>
  <c r="AD38" i="29"/>
  <c r="AD47" i="29"/>
  <c r="AA47" i="43"/>
  <c r="AA99" i="43" s="1"/>
  <c r="R34" i="44"/>
  <c r="R76" i="44" s="1"/>
  <c r="M34" i="44"/>
  <c r="M76" i="44" s="1"/>
  <c r="V17" i="33"/>
  <c r="Q17" i="44"/>
  <c r="Q59" i="44" s="1"/>
  <c r="R19" i="44"/>
  <c r="R61" i="44" s="1"/>
  <c r="V26" i="34"/>
  <c r="M29" i="44"/>
  <c r="M71" i="44" s="1"/>
  <c r="M9" i="29"/>
  <c r="M9" i="43" s="1"/>
  <c r="M61" i="43" s="1"/>
  <c r="V33" i="34"/>
  <c r="Q5" i="43"/>
  <c r="Q57" i="43" s="1"/>
  <c r="Q53" i="29"/>
  <c r="M32" i="29"/>
  <c r="M32" i="43" s="1"/>
  <c r="M84" i="43" s="1"/>
  <c r="V16" i="33"/>
  <c r="Q16" i="44"/>
  <c r="Q58" i="44" s="1"/>
  <c r="R27" i="44"/>
  <c r="R69" i="44" s="1"/>
  <c r="V40" i="34"/>
  <c r="M10" i="44"/>
  <c r="M52" i="44" s="1"/>
  <c r="Y44" i="30"/>
  <c r="AB44" i="30" s="1"/>
  <c r="AB44" i="28"/>
  <c r="AB31" i="28"/>
  <c r="Y31" i="30"/>
  <c r="AB31" i="30" s="1"/>
  <c r="AB5" i="28"/>
  <c r="Y53" i="28"/>
  <c r="Y58" i="28" s="1"/>
  <c r="Y5" i="30"/>
  <c r="Y46" i="30"/>
  <c r="AB46" i="30" s="1"/>
  <c r="AB46" i="28"/>
  <c r="Y9" i="30"/>
  <c r="AB9" i="30" s="1"/>
  <c r="AB9" i="28"/>
  <c r="Y24" i="30"/>
  <c r="AB24" i="30" s="1"/>
  <c r="AB24" i="28"/>
  <c r="V35" i="33"/>
  <c r="Q35" i="44"/>
  <c r="Q77" i="44" s="1"/>
  <c r="AD8" i="29"/>
  <c r="AA8" i="43"/>
  <c r="AA60" i="43" s="1"/>
  <c r="AD46" i="29"/>
  <c r="AA46" i="43"/>
  <c r="AA98" i="43" s="1"/>
  <c r="AD12" i="29"/>
  <c r="AA12" i="43"/>
  <c r="AA64" i="43" s="1"/>
  <c r="AD18" i="29"/>
  <c r="AA18" i="43"/>
  <c r="AA70" i="43" s="1"/>
  <c r="AA10" i="43"/>
  <c r="AA62" i="43" s="1"/>
  <c r="AD10" i="29"/>
  <c r="AD44" i="29"/>
  <c r="AA44" i="43"/>
  <c r="AA96" i="43" s="1"/>
  <c r="V9" i="34"/>
  <c r="V37" i="34"/>
  <c r="M7" i="29"/>
  <c r="M7" i="43" s="1"/>
  <c r="M59" i="43" s="1"/>
  <c r="V17" i="34"/>
  <c r="R6" i="44"/>
  <c r="R48" i="44" s="1"/>
  <c r="M48" i="29"/>
  <c r="M48" i="43" s="1"/>
  <c r="M100" i="43" s="1"/>
  <c r="V26" i="33"/>
  <c r="Q26" i="44"/>
  <c r="Q68" i="44" s="1"/>
  <c r="V42" i="29"/>
  <c r="U42" i="43" s="1"/>
  <c r="U94" i="43" s="1"/>
  <c r="V38" i="29"/>
  <c r="U38" i="43" s="1"/>
  <c r="U90" i="43" s="1"/>
  <c r="V5" i="29"/>
  <c r="V40" i="29"/>
  <c r="U40" i="43" s="1"/>
  <c r="U92" i="43" s="1"/>
  <c r="V24" i="29"/>
  <c r="U24" i="43" s="1"/>
  <c r="U76" i="43" s="1"/>
  <c r="V14" i="29"/>
  <c r="U14" i="43" s="1"/>
  <c r="U66" i="43" s="1"/>
  <c r="V23" i="29"/>
  <c r="U23" i="43" s="1"/>
  <c r="U75" i="43" s="1"/>
  <c r="V32" i="29"/>
  <c r="U32" i="43" s="1"/>
  <c r="U84" i="43" s="1"/>
  <c r="V22" i="29"/>
  <c r="U22" i="43" s="1"/>
  <c r="U74" i="43" s="1"/>
  <c r="V17" i="29"/>
  <c r="U17" i="43" s="1"/>
  <c r="U69" i="43" s="1"/>
  <c r="V37" i="29"/>
  <c r="U37" i="43" s="1"/>
  <c r="U89" i="43" s="1"/>
  <c r="V36" i="29"/>
  <c r="U36" i="43" s="1"/>
  <c r="U88" i="43" s="1"/>
  <c r="V41" i="29"/>
  <c r="U41" i="43" s="1"/>
  <c r="U93" i="43" s="1"/>
  <c r="V16" i="29"/>
  <c r="U16" i="43" s="1"/>
  <c r="U68" i="43" s="1"/>
  <c r="V21" i="29"/>
  <c r="U21" i="43" s="1"/>
  <c r="U73" i="43" s="1"/>
  <c r="V51" i="29"/>
  <c r="U51" i="43" s="1"/>
  <c r="U103" i="43" s="1"/>
  <c r="V33" i="29"/>
  <c r="U33" i="43" s="1"/>
  <c r="U85" i="43" s="1"/>
  <c r="V31" i="29"/>
  <c r="U31" i="43" s="1"/>
  <c r="U83" i="43" s="1"/>
  <c r="V10" i="29"/>
  <c r="U10" i="43" s="1"/>
  <c r="U62" i="43" s="1"/>
  <c r="V48" i="29"/>
  <c r="U48" i="43" s="1"/>
  <c r="U100" i="43" s="1"/>
  <c r="V49" i="29"/>
  <c r="U49" i="43" s="1"/>
  <c r="U101" i="43" s="1"/>
  <c r="V7" i="29"/>
  <c r="U7" i="43" s="1"/>
  <c r="U59" i="43" s="1"/>
  <c r="V47" i="29"/>
  <c r="U47" i="43" s="1"/>
  <c r="U99" i="43" s="1"/>
  <c r="V11" i="29"/>
  <c r="U11" i="43" s="1"/>
  <c r="U63" i="43" s="1"/>
  <c r="V15" i="29"/>
  <c r="U15" i="43" s="1"/>
  <c r="U67" i="43" s="1"/>
  <c r="V28" i="29"/>
  <c r="V30" i="29"/>
  <c r="V50" i="29"/>
  <c r="U50" i="43" s="1"/>
  <c r="U102" i="43" s="1"/>
  <c r="V12" i="29"/>
  <c r="U12" i="43" s="1"/>
  <c r="U64" i="43" s="1"/>
  <c r="V45" i="29"/>
  <c r="U45" i="43" s="1"/>
  <c r="U97" i="43" s="1"/>
  <c r="V35" i="29"/>
  <c r="U35" i="43" s="1"/>
  <c r="U87" i="43" s="1"/>
  <c r="V9" i="29"/>
  <c r="U9" i="43" s="1"/>
  <c r="U61" i="43" s="1"/>
  <c r="V13" i="29"/>
  <c r="U13" i="43" s="1"/>
  <c r="U65" i="43" s="1"/>
  <c r="V20" i="29"/>
  <c r="U20" i="43" s="1"/>
  <c r="U72" i="43" s="1"/>
  <c r="V8" i="29"/>
  <c r="U8" i="43" s="1"/>
  <c r="U60" i="43" s="1"/>
  <c r="V27" i="29"/>
  <c r="U27" i="43" s="1"/>
  <c r="U79" i="43" s="1"/>
  <c r="V46" i="29"/>
  <c r="U46" i="43" s="1"/>
  <c r="U98" i="43" s="1"/>
  <c r="V26" i="29"/>
  <c r="U26" i="43" s="1"/>
  <c r="U78" i="43" s="1"/>
  <c r="V43" i="29"/>
  <c r="U43" i="43" s="1"/>
  <c r="U95" i="43" s="1"/>
  <c r="V29" i="29"/>
  <c r="U29" i="43" s="1"/>
  <c r="U81" i="43" s="1"/>
  <c r="M20" i="29"/>
  <c r="M20" i="43" s="1"/>
  <c r="M72" i="43" s="1"/>
  <c r="V13" i="33"/>
  <c r="Q13" i="44"/>
  <c r="Q55" i="44" s="1"/>
  <c r="Q40" i="44"/>
  <c r="Q82" i="44" s="1"/>
  <c r="V14" i="33"/>
  <c r="Q14" i="44"/>
  <c r="Q56" i="44" s="1"/>
  <c r="Q31" i="44"/>
  <c r="Q73" i="44" s="1"/>
  <c r="V31" i="33"/>
  <c r="AB26" i="28"/>
  <c r="Y26" i="30"/>
  <c r="AB26" i="30" s="1"/>
  <c r="AB20" i="28"/>
  <c r="Y20" i="30"/>
  <c r="AB20" i="30" s="1"/>
  <c r="AB40" i="28"/>
  <c r="Y40" i="30"/>
  <c r="AB40" i="30" s="1"/>
  <c r="AB28" i="28"/>
  <c r="Y28" i="30"/>
  <c r="AB28" i="30" s="1"/>
  <c r="Y25" i="30"/>
  <c r="AB25" i="30" s="1"/>
  <c r="AB25" i="28"/>
  <c r="AB45" i="28"/>
  <c r="Y45" i="30"/>
  <c r="AB45" i="30" s="1"/>
  <c r="M44" i="29"/>
  <c r="M44" i="43" s="1"/>
  <c r="M96" i="43" s="1"/>
  <c r="AA16" i="43"/>
  <c r="AA68" i="43" s="1"/>
  <c r="AD16" i="29"/>
  <c r="AD43" i="29"/>
  <c r="AA43" i="43"/>
  <c r="AA95" i="43" s="1"/>
  <c r="AD51" i="29"/>
  <c r="AA51" i="43"/>
  <c r="AA103" i="43" s="1"/>
  <c r="AD40" i="29"/>
  <c r="AA40" i="43"/>
  <c r="AA92" i="43" s="1"/>
  <c r="AD49" i="29"/>
  <c r="AA49" i="43"/>
  <c r="AA101" i="43" s="1"/>
  <c r="AD9" i="29"/>
  <c r="AA9" i="43"/>
  <c r="AA61" i="43" s="1"/>
  <c r="T43" i="34"/>
  <c r="M36" i="29"/>
  <c r="M36" i="43" s="1"/>
  <c r="M88" i="43" s="1"/>
  <c r="V8" i="33"/>
  <c r="Q8" i="44"/>
  <c r="Q50" i="44" s="1"/>
  <c r="V53" i="30"/>
  <c r="V33" i="33"/>
  <c r="Q33" i="44"/>
  <c r="Q75" i="44" s="1"/>
  <c r="R13" i="44"/>
  <c r="R55" i="44" s="1"/>
  <c r="R40" i="44"/>
  <c r="R82" i="44" s="1"/>
  <c r="M38" i="29"/>
  <c r="M38" i="43" s="1"/>
  <c r="M90" i="43" s="1"/>
  <c r="M24" i="44"/>
  <c r="M66" i="44" s="1"/>
  <c r="O32" i="44"/>
  <c r="O74" i="44" s="1"/>
  <c r="M45" i="29"/>
  <c r="M45" i="43" s="1"/>
  <c r="M97" i="43" s="1"/>
  <c r="Q15" i="44"/>
  <c r="Q57" i="44" s="1"/>
  <c r="V15" i="33"/>
  <c r="U18" i="43"/>
  <c r="U70" i="43" s="1"/>
  <c r="R9" i="44"/>
  <c r="R51" i="44" s="1"/>
  <c r="R26" i="44"/>
  <c r="R68" i="44" s="1"/>
  <c r="V39" i="33"/>
  <c r="Q39" i="44"/>
  <c r="Q81" i="44" s="1"/>
  <c r="V41" i="34"/>
  <c r="O37" i="44"/>
  <c r="O79" i="44" s="1"/>
  <c r="O43" i="34"/>
  <c r="AB41" i="28"/>
  <c r="Y41" i="30"/>
  <c r="AB41" i="30" s="1"/>
  <c r="AB18" i="28"/>
  <c r="Y18" i="30"/>
  <c r="AB18" i="30" s="1"/>
  <c r="Y23" i="30"/>
  <c r="AB23" i="30" s="1"/>
  <c r="AB23" i="28"/>
  <c r="Y22" i="30"/>
  <c r="AB22" i="30" s="1"/>
  <c r="AB22" i="28"/>
  <c r="Y19" i="30"/>
  <c r="AB19" i="30" s="1"/>
  <c r="AB19" i="28"/>
  <c r="AB27" i="28"/>
  <c r="Y27" i="30"/>
  <c r="AB27" i="30" s="1"/>
  <c r="M40" i="29"/>
  <c r="M40" i="43" s="1"/>
  <c r="M92" i="43" s="1"/>
  <c r="V28" i="33"/>
  <c r="Q28" i="44"/>
  <c r="Q70" i="44" s="1"/>
  <c r="Q6" i="44"/>
  <c r="Q48" i="44" s="1"/>
  <c r="U6" i="43"/>
  <c r="U58" i="43" s="1"/>
  <c r="M11" i="44"/>
  <c r="M53" i="44" s="1"/>
  <c r="AD26" i="29"/>
  <c r="AA26" i="43"/>
  <c r="AA78" i="43" s="1"/>
  <c r="AA5" i="43"/>
  <c r="AA57" i="43" s="1"/>
  <c r="AD5" i="29"/>
  <c r="AC53" i="29"/>
  <c r="AD29" i="29"/>
  <c r="AA29" i="43"/>
  <c r="AA81" i="43" s="1"/>
  <c r="AD15" i="29"/>
  <c r="AA15" i="43"/>
  <c r="AA67" i="43" s="1"/>
  <c r="AD23" i="29"/>
  <c r="AA23" i="43"/>
  <c r="AA75" i="43" s="1"/>
  <c r="Q9" i="44"/>
  <c r="Q51" i="44" s="1"/>
  <c r="V9" i="33"/>
  <c r="M16" i="44"/>
  <c r="M58" i="44" s="1"/>
  <c r="R10" i="44"/>
  <c r="R52" i="44" s="1"/>
  <c r="V18" i="34"/>
  <c r="M40" i="44"/>
  <c r="M82" i="44" s="1"/>
  <c r="O38" i="44"/>
  <c r="O80" i="44" s="1"/>
  <c r="M41" i="29"/>
  <c r="M41" i="43" s="1"/>
  <c r="M93" i="43" s="1"/>
  <c r="M50" i="29"/>
  <c r="M50" i="43" s="1"/>
  <c r="M102" i="43" s="1"/>
  <c r="V32" i="34"/>
  <c r="O31" i="44"/>
  <c r="O73" i="44" s="1"/>
  <c r="R25" i="44"/>
  <c r="R67" i="44" s="1"/>
  <c r="V13" i="34"/>
  <c r="M38" i="44"/>
  <c r="M80" i="44" s="1"/>
  <c r="M21" i="44"/>
  <c r="M63" i="44" s="1"/>
  <c r="R24" i="44"/>
  <c r="R66" i="44" s="1"/>
  <c r="O30" i="44"/>
  <c r="O72" i="44" s="1"/>
  <c r="R36" i="44"/>
  <c r="R78" i="44" s="1"/>
  <c r="V5" i="43"/>
  <c r="V57" i="43" s="1"/>
  <c r="W53" i="29"/>
  <c r="Q41" i="44"/>
  <c r="Q83" i="44" s="1"/>
  <c r="V41" i="33"/>
  <c r="M31" i="44"/>
  <c r="M73" i="44" s="1"/>
  <c r="O5" i="44"/>
  <c r="O47" i="44" s="1"/>
  <c r="O43" i="33"/>
  <c r="Y16" i="30"/>
  <c r="AB16" i="30" s="1"/>
  <c r="AB16" i="28"/>
  <c r="AB51" i="28"/>
  <c r="Y51" i="30"/>
  <c r="AB51" i="30" s="1"/>
  <c r="AB29" i="28"/>
  <c r="Y29" i="30"/>
  <c r="AB29" i="30" s="1"/>
  <c r="AB17" i="28"/>
  <c r="Y17" i="30"/>
  <c r="AB17" i="30" s="1"/>
  <c r="Y32" i="30"/>
  <c r="AB32" i="30" s="1"/>
  <c r="AB32" i="28"/>
  <c r="Y30" i="30"/>
  <c r="AB30" i="30" s="1"/>
  <c r="AB30" i="28"/>
  <c r="R33" i="44"/>
  <c r="R75" i="44" s="1"/>
  <c r="R31" i="44"/>
  <c r="R73" i="44" s="1"/>
  <c r="M25" i="29"/>
  <c r="M25" i="43" s="1"/>
  <c r="M77" i="43" s="1"/>
  <c r="AB6" i="28"/>
  <c r="O36" i="44"/>
  <c r="O78" i="44" s="1"/>
  <c r="AD32" i="29"/>
  <c r="AA32" i="43"/>
  <c r="AA84" i="43" s="1"/>
  <c r="AD25" i="29"/>
  <c r="AA25" i="43"/>
  <c r="AA77" i="43" s="1"/>
  <c r="AD21" i="29"/>
  <c r="AA21" i="43"/>
  <c r="AA73" i="43" s="1"/>
  <c r="AD30" i="29"/>
  <c r="AA30" i="43"/>
  <c r="AA82" i="43" s="1"/>
  <c r="AD11" i="29"/>
  <c r="AA11" i="43"/>
  <c r="AA63" i="43" s="1"/>
  <c r="R5" i="44"/>
  <c r="R47" i="44" s="1"/>
  <c r="T43" i="33"/>
  <c r="M26" i="29"/>
  <c r="M26" i="43" s="1"/>
  <c r="M78" i="43" s="1"/>
  <c r="W5" i="43"/>
  <c r="W57" i="43" s="1"/>
  <c r="X53" i="29"/>
  <c r="V18" i="33"/>
  <c r="Q18" i="44"/>
  <c r="Q60" i="44" s="1"/>
  <c r="M14" i="29"/>
  <c r="M14" i="43" s="1"/>
  <c r="M66" i="43" s="1"/>
  <c r="Q5" i="44"/>
  <c r="Q47" i="44" s="1"/>
  <c r="V5" i="33"/>
  <c r="S43" i="33"/>
  <c r="V32" i="33"/>
  <c r="Q32" i="44"/>
  <c r="Q74" i="44" s="1"/>
  <c r="M16" i="29"/>
  <c r="M16" i="43" s="1"/>
  <c r="M68" i="43" s="1"/>
  <c r="V12" i="34"/>
  <c r="T5" i="43"/>
  <c r="T57" i="43" s="1"/>
  <c r="U53" i="29"/>
  <c r="O5" i="43"/>
  <c r="O57" i="43" s="1"/>
  <c r="O53" i="29"/>
  <c r="M39" i="29"/>
  <c r="M39" i="43" s="1"/>
  <c r="M91" i="43" s="1"/>
  <c r="Q22" i="44"/>
  <c r="Q64" i="44" s="1"/>
  <c r="V22" i="33"/>
  <c r="O25" i="44"/>
  <c r="O67" i="44" s="1"/>
  <c r="Q29" i="44"/>
  <c r="Q71" i="44" s="1"/>
  <c r="V29" i="33"/>
  <c r="M25" i="44"/>
  <c r="M67" i="44" s="1"/>
  <c r="O35" i="44"/>
  <c r="O77" i="44" s="1"/>
  <c r="Y11" i="30"/>
  <c r="AB11" i="30" s="1"/>
  <c r="AB11" i="28"/>
  <c r="Y34" i="30"/>
  <c r="AB34" i="30" s="1"/>
  <c r="AB34" i="28"/>
  <c r="AB33" i="28"/>
  <c r="Y33" i="30"/>
  <c r="AB33" i="30" s="1"/>
  <c r="Y15" i="30"/>
  <c r="AB15" i="30" s="1"/>
  <c r="AB15" i="28"/>
  <c r="AB36" i="28"/>
  <c r="Y36" i="30"/>
  <c r="AB36" i="30" s="1"/>
  <c r="AB13" i="28"/>
  <c r="Y13" i="30"/>
  <c r="AB13" i="30" s="1"/>
  <c r="R16" i="44"/>
  <c r="R58" i="44" s="1"/>
  <c r="AD31" i="29"/>
  <c r="AA31" i="43"/>
  <c r="AA83" i="43" s="1"/>
  <c r="V10" i="34"/>
  <c r="AD17" i="29"/>
  <c r="AA17" i="43"/>
  <c r="AA69" i="43" s="1"/>
  <c r="AD36" i="29"/>
  <c r="AA36" i="43"/>
  <c r="AA88" i="43" s="1"/>
  <c r="AA39" i="43"/>
  <c r="AA91" i="43" s="1"/>
  <c r="AD39" i="29"/>
  <c r="AD42" i="29"/>
  <c r="AA42" i="43"/>
  <c r="AA94" i="43" s="1"/>
  <c r="AD22" i="29"/>
  <c r="AA22" i="43"/>
  <c r="AA74" i="43" s="1"/>
  <c r="R21" i="44"/>
  <c r="R63" i="44" s="1"/>
  <c r="V6" i="34"/>
  <c r="R28" i="44"/>
  <c r="R70" i="44" s="1"/>
  <c r="M11" i="29"/>
  <c r="M11" i="43" s="1"/>
  <c r="M63" i="43" s="1"/>
  <c r="V5" i="34"/>
  <c r="S43" i="34"/>
  <c r="V34" i="29"/>
  <c r="U34" i="43" s="1"/>
  <c r="U86" i="43" s="1"/>
  <c r="M23" i="44"/>
  <c r="M65" i="44" s="1"/>
  <c r="R7" i="44"/>
  <c r="R49" i="44" s="1"/>
  <c r="V24" i="34"/>
  <c r="Q12" i="44"/>
  <c r="Q54" i="44" s="1"/>
  <c r="V12" i="33"/>
  <c r="L5" i="43"/>
  <c r="L57" i="43" s="1"/>
  <c r="L53" i="29"/>
  <c r="M43" i="34"/>
  <c r="R30" i="44"/>
  <c r="R72" i="44" s="1"/>
  <c r="M8" i="29"/>
  <c r="M8" i="43" s="1"/>
  <c r="M60" i="43" s="1"/>
  <c r="M29" i="29"/>
  <c r="M29" i="43" s="1"/>
  <c r="M81" i="43" s="1"/>
  <c r="V38" i="33"/>
  <c r="Q38" i="44"/>
  <c r="Q80" i="44" s="1"/>
  <c r="R16" i="29"/>
  <c r="R16" i="43" s="1"/>
  <c r="R68" i="43" s="1"/>
  <c r="R18" i="29"/>
  <c r="R18" i="43" s="1"/>
  <c r="R70" i="43" s="1"/>
  <c r="R12" i="29"/>
  <c r="R12" i="43" s="1"/>
  <c r="R64" i="43" s="1"/>
  <c r="R19" i="29"/>
  <c r="R19" i="43" s="1"/>
  <c r="R71" i="43" s="1"/>
  <c r="R24" i="29"/>
  <c r="R49" i="29"/>
  <c r="R49" i="43" s="1"/>
  <c r="R101" i="43" s="1"/>
  <c r="R50" i="29"/>
  <c r="R50" i="43" s="1"/>
  <c r="R102" i="43" s="1"/>
  <c r="R37" i="29"/>
  <c r="R37" i="43" s="1"/>
  <c r="R89" i="43" s="1"/>
  <c r="R32" i="29"/>
  <c r="R32" i="43" s="1"/>
  <c r="R84" i="43" s="1"/>
  <c r="R41" i="29"/>
  <c r="R41" i="43" s="1"/>
  <c r="R93" i="43" s="1"/>
  <c r="R10" i="29"/>
  <c r="R10" i="43" s="1"/>
  <c r="R62" i="43" s="1"/>
  <c r="R29" i="29"/>
  <c r="R25" i="29"/>
  <c r="R25" i="43" s="1"/>
  <c r="R77" i="43" s="1"/>
  <c r="R7" i="29"/>
  <c r="R7" i="43" s="1"/>
  <c r="R59" i="43" s="1"/>
  <c r="R31" i="29"/>
  <c r="R31" i="43" s="1"/>
  <c r="R83" i="43" s="1"/>
  <c r="R14" i="29"/>
  <c r="R14" i="43" s="1"/>
  <c r="R66" i="43" s="1"/>
  <c r="R22" i="29"/>
  <c r="R45" i="29"/>
  <c r="R45" i="43" s="1"/>
  <c r="R97" i="43" s="1"/>
  <c r="R36" i="29"/>
  <c r="R36" i="43" s="1"/>
  <c r="R88" i="43" s="1"/>
  <c r="R21" i="29"/>
  <c r="R20" i="29"/>
  <c r="R20" i="43" s="1"/>
  <c r="R72" i="43" s="1"/>
  <c r="R11" i="29"/>
  <c r="R11" i="43" s="1"/>
  <c r="R63" i="43" s="1"/>
  <c r="R15" i="29"/>
  <c r="R15" i="43" s="1"/>
  <c r="R67" i="43" s="1"/>
  <c r="R27" i="29"/>
  <c r="R43" i="29"/>
  <c r="R43" i="43" s="1"/>
  <c r="R95" i="43" s="1"/>
  <c r="R13" i="29"/>
  <c r="R13" i="43" s="1"/>
  <c r="R65" i="43" s="1"/>
  <c r="R30" i="29"/>
  <c r="R30" i="43" s="1"/>
  <c r="R82" i="43" s="1"/>
  <c r="R44" i="29"/>
  <c r="R44" i="43" s="1"/>
  <c r="R96" i="43" s="1"/>
  <c r="R26" i="29"/>
  <c r="R48" i="29"/>
  <c r="R48" i="43" s="1"/>
  <c r="R100" i="43" s="1"/>
  <c r="R28" i="29"/>
  <c r="R9" i="29"/>
  <c r="R9" i="43" s="1"/>
  <c r="R61" i="43" s="1"/>
  <c r="R33" i="29"/>
  <c r="R33" i="43" s="1"/>
  <c r="R85" i="43" s="1"/>
  <c r="R47" i="29"/>
  <c r="R47" i="43" s="1"/>
  <c r="R99" i="43" s="1"/>
  <c r="R35" i="29"/>
  <c r="R35" i="43" s="1"/>
  <c r="R87" i="43" s="1"/>
  <c r="R17" i="29"/>
  <c r="R17" i="43" s="1"/>
  <c r="R69" i="43" s="1"/>
  <c r="R46" i="29"/>
  <c r="R46" i="43" s="1"/>
  <c r="R98" i="43" s="1"/>
  <c r="R34" i="29"/>
  <c r="R34" i="43" s="1"/>
  <c r="R86" i="43" s="1"/>
  <c r="R51" i="29"/>
  <c r="R51" i="43" s="1"/>
  <c r="R103" i="43" s="1"/>
  <c r="R39" i="29"/>
  <c r="R39" i="43" s="1"/>
  <c r="R91" i="43" s="1"/>
  <c r="R40" i="29"/>
  <c r="R40" i="43" s="1"/>
  <c r="R92" i="43" s="1"/>
  <c r="R6" i="29"/>
  <c r="R6" i="43" s="1"/>
  <c r="R58" i="43" s="1"/>
  <c r="R5" i="29"/>
  <c r="R23" i="29"/>
  <c r="R42" i="29"/>
  <c r="R42" i="43" s="1"/>
  <c r="R94" i="43" s="1"/>
  <c r="R38" i="29"/>
  <c r="R38" i="43" s="1"/>
  <c r="R90" i="43" s="1"/>
  <c r="R8" i="29"/>
  <c r="R8" i="43" s="1"/>
  <c r="R60" i="43" s="1"/>
  <c r="V23" i="33"/>
  <c r="Q23" i="44"/>
  <c r="Q65" i="44" s="1"/>
  <c r="M19" i="29"/>
  <c r="M19" i="43" s="1"/>
  <c r="M71" i="43" s="1"/>
  <c r="AB50" i="28"/>
  <c r="Y50" i="30"/>
  <c r="AB50" i="30" s="1"/>
  <c r="AB38" i="28"/>
  <c r="Y38" i="30"/>
  <c r="AB38" i="30" s="1"/>
  <c r="AB10" i="28"/>
  <c r="Y10" i="30"/>
  <c r="AB10" i="30" s="1"/>
  <c r="AB43" i="28"/>
  <c r="Y43" i="30"/>
  <c r="AB43" i="30" s="1"/>
  <c r="Y39" i="30"/>
  <c r="AB39" i="30" s="1"/>
  <c r="AB39" i="28"/>
  <c r="Y8" i="30"/>
  <c r="AB8" i="30" s="1"/>
  <c r="AB8" i="28"/>
  <c r="M22" i="29"/>
  <c r="M22" i="43" s="1"/>
  <c r="M74" i="43" s="1"/>
  <c r="V10" i="33"/>
  <c r="Q10" i="44"/>
  <c r="Q52" i="44" s="1"/>
  <c r="AD35" i="29"/>
  <c r="AA35" i="43"/>
  <c r="AA87" i="43" s="1"/>
  <c r="AD28" i="29"/>
  <c r="AA28" i="43"/>
  <c r="AA80" i="43" s="1"/>
  <c r="AD6" i="29"/>
  <c r="AA6" i="43"/>
  <c r="AA58" i="43" s="1"/>
  <c r="AD13" i="29"/>
  <c r="AA13" i="43"/>
  <c r="AA65" i="43" s="1"/>
  <c r="AD20" i="29"/>
  <c r="AA20" i="43"/>
  <c r="AA72" i="43" s="1"/>
  <c r="M18" i="29"/>
  <c r="M18" i="43" s="1"/>
  <c r="M70" i="43" s="1"/>
  <c r="V11" i="34"/>
  <c r="M47" i="29"/>
  <c r="M47" i="43" s="1"/>
  <c r="M99" i="43" s="1"/>
  <c r="V19" i="33"/>
  <c r="Q19" i="44"/>
  <c r="Q61" i="44" s="1"/>
  <c r="V30" i="34"/>
  <c r="V24" i="33"/>
  <c r="Q24" i="44"/>
  <c r="Q66" i="44" s="1"/>
  <c r="V34" i="34"/>
  <c r="M49" i="29"/>
  <c r="M49" i="43" s="1"/>
  <c r="M101" i="43" s="1"/>
  <c r="M30" i="29"/>
  <c r="M30" i="43" s="1"/>
  <c r="M82" i="43" s="1"/>
  <c r="M12" i="29"/>
  <c r="M12" i="43" s="1"/>
  <c r="M64" i="43" s="1"/>
  <c r="M27" i="29"/>
  <c r="M27" i="43" s="1"/>
  <c r="M79" i="43" s="1"/>
  <c r="M23" i="29"/>
  <c r="M23" i="43" s="1"/>
  <c r="M75" i="43" s="1"/>
  <c r="M46" i="29"/>
  <c r="M46" i="43" s="1"/>
  <c r="M98" i="43" s="1"/>
  <c r="M37" i="29"/>
  <c r="M37" i="43" s="1"/>
  <c r="M89" i="43" s="1"/>
  <c r="M10" i="29"/>
  <c r="M10" i="43" s="1"/>
  <c r="M62" i="43" s="1"/>
  <c r="M28" i="29"/>
  <c r="M28" i="43" s="1"/>
  <c r="M80" i="43" s="1"/>
  <c r="M33" i="29"/>
  <c r="M33" i="43" s="1"/>
  <c r="M85" i="43" s="1"/>
  <c r="M17" i="29"/>
  <c r="M17" i="43" s="1"/>
  <c r="M69" i="43" s="1"/>
  <c r="M24" i="29"/>
  <c r="M24" i="43" s="1"/>
  <c r="M76" i="43" s="1"/>
  <c r="M35" i="29"/>
  <c r="M35" i="43" s="1"/>
  <c r="M87" i="43" s="1"/>
  <c r="M42" i="29"/>
  <c r="M42" i="43" s="1"/>
  <c r="M94" i="43" s="1"/>
  <c r="M5" i="29"/>
  <c r="AD5" i="43"/>
  <c r="AD57" i="43" s="1"/>
  <c r="AH53" i="29"/>
  <c r="S6" i="29"/>
  <c r="S26" i="29"/>
  <c r="S38" i="29"/>
  <c r="S15" i="29"/>
  <c r="S37" i="29"/>
  <c r="S47" i="29"/>
  <c r="S22" i="29"/>
  <c r="S30" i="29"/>
  <c r="S25" i="29"/>
  <c r="S40" i="29"/>
  <c r="S28" i="29"/>
  <c r="S34" i="29"/>
  <c r="S5" i="29"/>
  <c r="S41" i="29"/>
  <c r="S45" i="29"/>
  <c r="S29" i="29"/>
  <c r="S13" i="29"/>
  <c r="S23" i="29"/>
  <c r="S27" i="29"/>
  <c r="S33" i="29"/>
  <c r="S21" i="29"/>
  <c r="S8" i="29"/>
  <c r="S43" i="29"/>
  <c r="S51" i="29"/>
  <c r="S31" i="29"/>
  <c r="S44" i="29"/>
  <c r="S9" i="29"/>
  <c r="S14" i="29"/>
  <c r="S35" i="29"/>
  <c r="S48" i="29"/>
  <c r="S24" i="29"/>
  <c r="S49" i="29"/>
  <c r="S11" i="29"/>
  <c r="S20" i="29"/>
  <c r="S16" i="29"/>
  <c r="S46" i="29"/>
  <c r="S36" i="29"/>
  <c r="S10" i="29"/>
  <c r="S39" i="29"/>
  <c r="S19" i="29"/>
  <c r="S32" i="29"/>
  <c r="S42" i="29"/>
  <c r="S18" i="29"/>
  <c r="S12" i="29"/>
  <c r="S50" i="29"/>
  <c r="S17" i="29"/>
  <c r="S7" i="29"/>
  <c r="P5" i="43"/>
  <c r="P57" i="43" s="1"/>
  <c r="P53" i="29"/>
  <c r="M43" i="29"/>
  <c r="M43" i="43" s="1"/>
  <c r="M95" i="43" s="1"/>
  <c r="V20" i="33"/>
  <c r="Q20" i="44"/>
  <c r="Q62" i="44" s="1"/>
  <c r="AD48" i="29"/>
  <c r="AA48" i="43"/>
  <c r="AA100" i="43" s="1"/>
  <c r="L7" i="45"/>
  <c r="L13" i="45" s="1"/>
  <c r="V27" i="34"/>
  <c r="V36" i="33"/>
  <c r="Q36" i="44"/>
  <c r="Q78" i="44" s="1"/>
  <c r="Y35" i="30"/>
  <c r="AB35" i="30" s="1"/>
  <c r="AB35" i="28"/>
  <c r="AB21" i="28"/>
  <c r="Y21" i="30"/>
  <c r="AB21" i="30" s="1"/>
  <c r="Y12" i="30"/>
  <c r="AB12" i="30" s="1"/>
  <c r="AB12" i="28"/>
  <c r="Y37" i="30"/>
  <c r="AB37" i="30" s="1"/>
  <c r="AB37" i="28"/>
  <c r="O15" i="45"/>
  <c r="O14" i="45"/>
  <c r="Q21" i="44"/>
  <c r="Q63" i="44" s="1"/>
  <c r="V21" i="33"/>
  <c r="M17" i="44"/>
  <c r="M59" i="44" s="1"/>
  <c r="AD27" i="29"/>
  <c r="AA27" i="43"/>
  <c r="AA79" i="43" s="1"/>
  <c r="AD14" i="29"/>
  <c r="AA14" i="43"/>
  <c r="AA66" i="43" s="1"/>
  <c r="AD37" i="29"/>
  <c r="AA37" i="43"/>
  <c r="AA89" i="43" s="1"/>
  <c r="AD34" i="29"/>
  <c r="AA34" i="43"/>
  <c r="AA86" i="43" s="1"/>
  <c r="AD45" i="29"/>
  <c r="AA45" i="43"/>
  <c r="AA97" i="43" s="1"/>
  <c r="AD19" i="29"/>
  <c r="AA19" i="43"/>
  <c r="AA71" i="43" s="1"/>
  <c r="M6" i="29"/>
  <c r="M6" i="43" s="1"/>
  <c r="M58" i="43" s="1"/>
  <c r="V11" i="33"/>
  <c r="Q11" i="44"/>
  <c r="Q53" i="44" s="1"/>
  <c r="Q37" i="44"/>
  <c r="Q79" i="44" s="1"/>
  <c r="V37" i="33"/>
  <c r="U25" i="43"/>
  <c r="U77" i="43" s="1"/>
  <c r="M30" i="44"/>
  <c r="M72" i="44" s="1"/>
  <c r="O8" i="44"/>
  <c r="O50" i="44" s="1"/>
  <c r="M31" i="29"/>
  <c r="M31" i="43" s="1"/>
  <c r="M83" i="43" s="1"/>
  <c r="V43" i="32"/>
  <c r="V30" i="33"/>
  <c r="Q30" i="44"/>
  <c r="Q72" i="44" s="1"/>
  <c r="O20" i="44"/>
  <c r="O62" i="44" s="1"/>
  <c r="Q34" i="44"/>
  <c r="Q76" i="44" s="1"/>
  <c r="V34" i="33"/>
  <c r="Q7" i="44"/>
  <c r="Q49" i="44" s="1"/>
  <c r="W23" i="34"/>
  <c r="X23" i="34" s="1"/>
  <c r="AA23" i="34" s="1"/>
  <c r="W11" i="34"/>
  <c r="X11" i="34" s="1"/>
  <c r="AA11" i="34" s="1"/>
  <c r="S11" i="55" s="1"/>
  <c r="W22" i="34"/>
  <c r="X22" i="34" s="1"/>
  <c r="AA22" i="34" s="1"/>
  <c r="S14" i="55" s="1"/>
  <c r="W8" i="34"/>
  <c r="X8" i="34" s="1"/>
  <c r="AA8" i="34" s="1"/>
  <c r="S6" i="55" s="1"/>
  <c r="W16" i="34"/>
  <c r="X16" i="34" s="1"/>
  <c r="AA16" i="34" s="1"/>
  <c r="S10" i="55" s="1"/>
  <c r="W32" i="34"/>
  <c r="X32" i="34" s="1"/>
  <c r="AA32" i="34" s="1"/>
  <c r="W37" i="34"/>
  <c r="X37" i="34" s="1"/>
  <c r="AA37" i="34" s="1"/>
  <c r="S29" i="55" s="1"/>
  <c r="W41" i="34"/>
  <c r="X41" i="34" s="1"/>
  <c r="AA41" i="34" s="1"/>
  <c r="S33" i="55" s="1"/>
  <c r="E46" i="5"/>
  <c r="W35" i="34"/>
  <c r="X35" i="34" s="1"/>
  <c r="AA35" i="34" s="1"/>
  <c r="S27" i="55" s="1"/>
  <c r="L11" i="44"/>
  <c r="L53" i="44" s="1"/>
  <c r="P11" i="33"/>
  <c r="L35" i="44"/>
  <c r="L77" i="44" s="1"/>
  <c r="P35" i="33"/>
  <c r="L27" i="44"/>
  <c r="L69" i="44" s="1"/>
  <c r="P27" i="33"/>
  <c r="L25" i="44"/>
  <c r="L67" i="44" s="1"/>
  <c r="P25" i="33"/>
  <c r="L29" i="44"/>
  <c r="L71" i="44" s="1"/>
  <c r="P29" i="33"/>
  <c r="L30" i="44"/>
  <c r="L72" i="44" s="1"/>
  <c r="P30" i="33"/>
  <c r="P39" i="33"/>
  <c r="L39" i="44"/>
  <c r="L81" i="44" s="1"/>
  <c r="L5" i="44"/>
  <c r="L47" i="44" s="1"/>
  <c r="P5" i="33"/>
  <c r="L43" i="33"/>
  <c r="AA39" i="33"/>
  <c r="L22" i="44"/>
  <c r="L64" i="44" s="1"/>
  <c r="P22" i="33"/>
  <c r="L37" i="44"/>
  <c r="L79" i="44" s="1"/>
  <c r="P37" i="33"/>
  <c r="L24" i="44"/>
  <c r="L66" i="44" s="1"/>
  <c r="P24" i="33"/>
  <c r="L15" i="44"/>
  <c r="L57" i="44" s="1"/>
  <c r="P15" i="33"/>
  <c r="L41" i="44"/>
  <c r="L83" i="44" s="1"/>
  <c r="P41" i="33"/>
  <c r="L23" i="44"/>
  <c r="L65" i="44" s="1"/>
  <c r="P23" i="33"/>
  <c r="L20" i="44"/>
  <c r="L62" i="44" s="1"/>
  <c r="P20" i="33"/>
  <c r="W29" i="34"/>
  <c r="X29" i="34" s="1"/>
  <c r="AA29" i="34" s="1"/>
  <c r="S23" i="55" s="1"/>
  <c r="L33" i="44"/>
  <c r="L75" i="44" s="1"/>
  <c r="P33" i="33"/>
  <c r="L36" i="44"/>
  <c r="L78" i="44" s="1"/>
  <c r="P36" i="33"/>
  <c r="L17" i="44"/>
  <c r="L59" i="44" s="1"/>
  <c r="P17" i="33"/>
  <c r="L8" i="44"/>
  <c r="L50" i="44" s="1"/>
  <c r="P8" i="33"/>
  <c r="AA5" i="32"/>
  <c r="P43" i="32"/>
  <c r="L26" i="44"/>
  <c r="L68" i="44" s="1"/>
  <c r="P26" i="33"/>
  <c r="L13" i="44"/>
  <c r="L55" i="44" s="1"/>
  <c r="P13" i="33"/>
  <c r="L34" i="44"/>
  <c r="L76" i="44" s="1"/>
  <c r="P34" i="33"/>
  <c r="L38" i="44"/>
  <c r="L80" i="44" s="1"/>
  <c r="P38" i="33"/>
  <c r="L21" i="44"/>
  <c r="L63" i="44" s="1"/>
  <c r="P21" i="33"/>
  <c r="L9" i="44"/>
  <c r="L51" i="44" s="1"/>
  <c r="P9" i="33"/>
  <c r="L12" i="44"/>
  <c r="L54" i="44" s="1"/>
  <c r="P12" i="33"/>
  <c r="L28" i="44"/>
  <c r="L70" i="44" s="1"/>
  <c r="P28" i="33"/>
  <c r="L31" i="44"/>
  <c r="L73" i="44" s="1"/>
  <c r="P31" i="33"/>
  <c r="U14" i="45"/>
  <c r="U15" i="45"/>
  <c r="L32" i="44"/>
  <c r="L74" i="44" s="1"/>
  <c r="P32" i="33"/>
  <c r="L16" i="44"/>
  <c r="L58" i="44" s="1"/>
  <c r="P16" i="33"/>
  <c r="W21" i="34"/>
  <c r="X21" i="34" s="1"/>
  <c r="AA21" i="34" s="1"/>
  <c r="S13" i="55" s="1"/>
  <c r="L14" i="44"/>
  <c r="L56" i="44" s="1"/>
  <c r="P14" i="33"/>
  <c r="L10" i="44"/>
  <c r="L52" i="44" s="1"/>
  <c r="P10" i="33"/>
  <c r="L18" i="44"/>
  <c r="L60" i="44" s="1"/>
  <c r="P18" i="33"/>
  <c r="L7" i="44"/>
  <c r="L49" i="44" s="1"/>
  <c r="P7" i="33"/>
  <c r="L6" i="44"/>
  <c r="L48" i="44" s="1"/>
  <c r="P6" i="33"/>
  <c r="L40" i="44"/>
  <c r="L82" i="44" s="1"/>
  <c r="P40" i="33"/>
  <c r="P5" i="34"/>
  <c r="P43" i="34" s="1"/>
  <c r="L43" i="34"/>
  <c r="L19" i="44"/>
  <c r="L61" i="44" s="1"/>
  <c r="P19" i="33"/>
  <c r="W7" i="33"/>
  <c r="X7" i="33" s="1"/>
  <c r="W25" i="33"/>
  <c r="X25" i="33" s="1"/>
  <c r="AA25" i="33" s="1"/>
  <c r="X9" i="34"/>
  <c r="AA9" i="34" s="1"/>
  <c r="S7" i="55" s="1"/>
  <c r="X28" i="34"/>
  <c r="AA28" i="34" s="1"/>
  <c r="S22" i="55" s="1"/>
  <c r="X36" i="34"/>
  <c r="AA36" i="34" s="1"/>
  <c r="S28" i="55" s="1"/>
  <c r="X15" i="34"/>
  <c r="AA15" i="34" s="1"/>
  <c r="S8" i="55" s="1"/>
  <c r="X26" i="34"/>
  <c r="AA26" i="34" s="1"/>
  <c r="S19" i="55" s="1"/>
  <c r="X20" i="34"/>
  <c r="AA20" i="34" s="1"/>
  <c r="S12" i="55" s="1"/>
  <c r="X14" i="34"/>
  <c r="AA14" i="34" s="1"/>
  <c r="X10" i="34"/>
  <c r="AA10" i="34" s="1"/>
  <c r="S9" i="55" s="1"/>
  <c r="X33" i="34"/>
  <c r="AA33" i="34" s="1"/>
  <c r="X13" i="34"/>
  <c r="AA13" i="34" s="1"/>
  <c r="X40" i="34"/>
  <c r="AA40" i="34" s="1"/>
  <c r="S32" i="55" s="1"/>
  <c r="X12" i="34"/>
  <c r="AA12" i="34" s="1"/>
  <c r="X6" i="34"/>
  <c r="AA6" i="34" s="1"/>
  <c r="X27" i="34"/>
  <c r="AA27" i="34" s="1"/>
  <c r="X7" i="34"/>
  <c r="AA7" i="34" s="1"/>
  <c r="S5" i="55" s="1"/>
  <c r="X38" i="34"/>
  <c r="AA38" i="34" s="1"/>
  <c r="S31" i="55" s="1"/>
  <c r="X25" i="34"/>
  <c r="AA25" i="34" s="1"/>
  <c r="S18" i="55" s="1"/>
  <c r="X31" i="34"/>
  <c r="AA31" i="34" s="1"/>
  <c r="X19" i="34"/>
  <c r="AA19" i="34" s="1"/>
  <c r="X18" i="34"/>
  <c r="AA18" i="34" s="1"/>
  <c r="X34" i="34"/>
  <c r="AA34" i="34" s="1"/>
  <c r="X39" i="34"/>
  <c r="AA39" i="34" s="1"/>
  <c r="S30" i="55" s="1"/>
  <c r="T39" i="44"/>
  <c r="T81" i="44" s="1"/>
  <c r="X17" i="34"/>
  <c r="AA17" i="34" s="1"/>
  <c r="X30" i="34"/>
  <c r="AA30" i="34" s="1"/>
  <c r="S24" i="55" s="1"/>
  <c r="X24" i="34"/>
  <c r="AA24" i="34" s="1"/>
  <c r="S17" i="55" s="1"/>
  <c r="W31" i="33"/>
  <c r="W41" i="33"/>
  <c r="W11" i="33"/>
  <c r="W10" i="33"/>
  <c r="W6" i="33"/>
  <c r="W5" i="33"/>
  <c r="W28" i="33"/>
  <c r="W24" i="33"/>
  <c r="W33" i="33"/>
  <c r="AG57" i="27"/>
  <c r="AG55" i="30"/>
  <c r="AG55" i="29"/>
  <c r="AG55" i="28"/>
  <c r="W13" i="33"/>
  <c r="W34" i="33"/>
  <c r="W38" i="33"/>
  <c r="W27" i="33"/>
  <c r="AM57" i="27"/>
  <c r="AM55" i="30"/>
  <c r="AM55" i="28"/>
  <c r="AM55" i="29"/>
  <c r="W20" i="33"/>
  <c r="E45" i="5"/>
  <c r="X45" i="34"/>
  <c r="X45" i="33"/>
  <c r="X45" i="31"/>
  <c r="X45" i="32"/>
  <c r="W15" i="33"/>
  <c r="W22" i="33"/>
  <c r="W18" i="33"/>
  <c r="W12" i="33"/>
  <c r="W32" i="33"/>
  <c r="W26" i="33"/>
  <c r="W30" i="33"/>
  <c r="W37" i="33"/>
  <c r="W14" i="33"/>
  <c r="W17" i="33"/>
  <c r="W36" i="33"/>
  <c r="W8" i="33"/>
  <c r="W19" i="33"/>
  <c r="W23" i="33"/>
  <c r="W29" i="33"/>
  <c r="W21" i="33"/>
  <c r="W40" i="33"/>
  <c r="W35" i="33"/>
  <c r="W9" i="33"/>
  <c r="W16" i="33"/>
  <c r="G6" i="55" l="1"/>
  <c r="G11" i="55"/>
  <c r="S21" i="55"/>
  <c r="S16" i="55"/>
  <c r="S26" i="55"/>
  <c r="S25" i="55"/>
  <c r="S15" i="55"/>
  <c r="S20" i="55"/>
  <c r="T11" i="45"/>
  <c r="T7" i="45"/>
  <c r="T13" i="45" s="1"/>
  <c r="T9" i="45"/>
  <c r="AD53" i="29"/>
  <c r="M5" i="43"/>
  <c r="M57" i="43" s="1"/>
  <c r="M53" i="29"/>
  <c r="R5" i="43"/>
  <c r="R57" i="43" s="1"/>
  <c r="R53" i="29"/>
  <c r="S58" i="29" s="1"/>
  <c r="M9" i="45"/>
  <c r="M7" i="45"/>
  <c r="M13" i="45" s="1"/>
  <c r="M11" i="45"/>
  <c r="E9" i="46"/>
  <c r="E11" i="46"/>
  <c r="E7" i="46"/>
  <c r="E13" i="46" s="1"/>
  <c r="Q7" i="45"/>
  <c r="Q13" i="45" s="1"/>
  <c r="Q9" i="45"/>
  <c r="G9" i="45"/>
  <c r="G7" i="45"/>
  <c r="G13" i="45" s="1"/>
  <c r="G11" i="45"/>
  <c r="S53" i="29"/>
  <c r="AB5" i="30"/>
  <c r="AB53" i="30" s="1"/>
  <c r="Y53" i="30"/>
  <c r="B11" i="45"/>
  <c r="B7" i="45"/>
  <c r="B13" i="45" s="1"/>
  <c r="B9" i="45"/>
  <c r="V43" i="34"/>
  <c r="E7" i="45"/>
  <c r="E13" i="45" s="1"/>
  <c r="E11" i="45"/>
  <c r="E9" i="45"/>
  <c r="V43" i="33"/>
  <c r="U30" i="43"/>
  <c r="U82" i="43" s="1"/>
  <c r="U5" i="43"/>
  <c r="U57" i="43" s="1"/>
  <c r="V53" i="29"/>
  <c r="Y28" i="29"/>
  <c r="X28" i="43" s="1"/>
  <c r="X80" i="43" s="1"/>
  <c r="Y47" i="29"/>
  <c r="Y13" i="29"/>
  <c r="Y39" i="29"/>
  <c r="Y22" i="29"/>
  <c r="Y41" i="29"/>
  <c r="Y11" i="29"/>
  <c r="Y30" i="29"/>
  <c r="X30" i="43" s="1"/>
  <c r="X82" i="43" s="1"/>
  <c r="Y16" i="29"/>
  <c r="Y45" i="29"/>
  <c r="Y35" i="29"/>
  <c r="Y17" i="29"/>
  <c r="Y36" i="29"/>
  <c r="Y38" i="29"/>
  <c r="Y32" i="29"/>
  <c r="Y14" i="29"/>
  <c r="Y10" i="29"/>
  <c r="Y19" i="29"/>
  <c r="Y44" i="29"/>
  <c r="Y23" i="29"/>
  <c r="Y24" i="29"/>
  <c r="Y26" i="29"/>
  <c r="Y25" i="29"/>
  <c r="Y8" i="29"/>
  <c r="Y42" i="29"/>
  <c r="Y9" i="29"/>
  <c r="Y7" i="29"/>
  <c r="Y49" i="29"/>
  <c r="Y6" i="29"/>
  <c r="Y37" i="29"/>
  <c r="Y40" i="29"/>
  <c r="Y29" i="29"/>
  <c r="Y5" i="29"/>
  <c r="Y43" i="29"/>
  <c r="Y33" i="29"/>
  <c r="Y12" i="29"/>
  <c r="Y15" i="29"/>
  <c r="Y21" i="29"/>
  <c r="Y18" i="29"/>
  <c r="Y34" i="29"/>
  <c r="Y46" i="29"/>
  <c r="Y27" i="29"/>
  <c r="Y48" i="29"/>
  <c r="Y31" i="29"/>
  <c r="Y51" i="29"/>
  <c r="Y50" i="29"/>
  <c r="Y20" i="29"/>
  <c r="T25" i="44"/>
  <c r="T67" i="44" s="1"/>
  <c r="G9" i="46"/>
  <c r="G11" i="46"/>
  <c r="G7" i="46"/>
  <c r="G13" i="46" s="1"/>
  <c r="H9" i="46"/>
  <c r="H7" i="46"/>
  <c r="H13" i="46" s="1"/>
  <c r="H11" i="46"/>
  <c r="U28" i="43"/>
  <c r="U80" i="43" s="1"/>
  <c r="AB53" i="28"/>
  <c r="J11" i="45"/>
  <c r="J7" i="45"/>
  <c r="J13" i="45" s="1"/>
  <c r="Q11" i="45"/>
  <c r="C9" i="46"/>
  <c r="C7" i="46"/>
  <c r="C13" i="46" s="1"/>
  <c r="C11" i="46"/>
  <c r="L9" i="45"/>
  <c r="L11" i="45"/>
  <c r="F11" i="45"/>
  <c r="F9" i="45"/>
  <c r="F7" i="45"/>
  <c r="F13" i="45" s="1"/>
  <c r="J9" i="45"/>
  <c r="AA7" i="33"/>
  <c r="T7" i="44"/>
  <c r="T49" i="44" s="1"/>
  <c r="P43" i="33"/>
  <c r="W5" i="34"/>
  <c r="AA43" i="32"/>
  <c r="B9" i="46"/>
  <c r="B11" i="46"/>
  <c r="B7" i="46"/>
  <c r="B13" i="46" s="1"/>
  <c r="X35" i="33"/>
  <c r="AA35" i="33" s="1"/>
  <c r="T35" i="44"/>
  <c r="T77" i="44" s="1"/>
  <c r="X30" i="33"/>
  <c r="AA30" i="33" s="1"/>
  <c r="T30" i="44"/>
  <c r="T72" i="44" s="1"/>
  <c r="X8" i="33"/>
  <c r="AA8" i="33" s="1"/>
  <c r="T8" i="44"/>
  <c r="T50" i="44" s="1"/>
  <c r="X9" i="33"/>
  <c r="AA9" i="33" s="1"/>
  <c r="T9" i="44"/>
  <c r="T51" i="44" s="1"/>
  <c r="X36" i="33"/>
  <c r="AA36" i="33" s="1"/>
  <c r="T36" i="44"/>
  <c r="T78" i="44" s="1"/>
  <c r="X12" i="33"/>
  <c r="AA12" i="33" s="1"/>
  <c r="AA459" i="37" s="1"/>
  <c r="AG459" i="37" s="1"/>
  <c r="T12" i="44"/>
  <c r="T54" i="44" s="1"/>
  <c r="X34" i="33"/>
  <c r="AA34" i="33" s="1"/>
  <c r="T34" i="44"/>
  <c r="T76" i="44" s="1"/>
  <c r="X28" i="33"/>
  <c r="AA28" i="33" s="1"/>
  <c r="T28" i="44"/>
  <c r="T70" i="44" s="1"/>
  <c r="X31" i="33"/>
  <c r="AA31" i="33" s="1"/>
  <c r="T31" i="44"/>
  <c r="T73" i="44" s="1"/>
  <c r="X18" i="33"/>
  <c r="AA18" i="33" s="1"/>
  <c r="T18" i="44"/>
  <c r="T60" i="44" s="1"/>
  <c r="X20" i="33"/>
  <c r="AA20" i="33" s="1"/>
  <c r="T20" i="44"/>
  <c r="T62" i="44" s="1"/>
  <c r="X13" i="33"/>
  <c r="AA13" i="33" s="1"/>
  <c r="T13" i="44"/>
  <c r="T55" i="44" s="1"/>
  <c r="X17" i="33"/>
  <c r="AA17" i="33" s="1"/>
  <c r="T17" i="44"/>
  <c r="T59" i="44" s="1"/>
  <c r="X40" i="33"/>
  <c r="AA40" i="33" s="1"/>
  <c r="T40" i="44"/>
  <c r="T82" i="44" s="1"/>
  <c r="X22" i="33"/>
  <c r="AA22" i="33" s="1"/>
  <c r="T22" i="44"/>
  <c r="T64" i="44" s="1"/>
  <c r="X6" i="33"/>
  <c r="AA6" i="33" s="1"/>
  <c r="AA285" i="37" s="1"/>
  <c r="AG285" i="37" s="1"/>
  <c r="T6" i="44"/>
  <c r="T48" i="44" s="1"/>
  <c r="X21" i="33"/>
  <c r="AA21" i="33" s="1"/>
  <c r="T21" i="44"/>
  <c r="T63" i="44" s="1"/>
  <c r="X15" i="33"/>
  <c r="AA15" i="33" s="1"/>
  <c r="T15" i="44"/>
  <c r="T57" i="44" s="1"/>
  <c r="X10" i="33"/>
  <c r="AA10" i="33" s="1"/>
  <c r="T10" i="44"/>
  <c r="T52" i="44" s="1"/>
  <c r="X29" i="33"/>
  <c r="AA29" i="33" s="1"/>
  <c r="T29" i="44"/>
  <c r="T71" i="44" s="1"/>
  <c r="X14" i="33"/>
  <c r="AA14" i="33" s="1"/>
  <c r="T14" i="44"/>
  <c r="T56" i="44" s="1"/>
  <c r="X11" i="33"/>
  <c r="AA11" i="33" s="1"/>
  <c r="T11" i="44"/>
  <c r="T53" i="44" s="1"/>
  <c r="X41" i="33"/>
  <c r="AA41" i="33" s="1"/>
  <c r="T41" i="44"/>
  <c r="T83" i="44" s="1"/>
  <c r="X37" i="33"/>
  <c r="AA37" i="33" s="1"/>
  <c r="T37" i="44"/>
  <c r="T79" i="44" s="1"/>
  <c r="X26" i="33"/>
  <c r="AA26" i="33" s="1"/>
  <c r="T26" i="44"/>
  <c r="T68" i="44" s="1"/>
  <c r="X27" i="33"/>
  <c r="AA27" i="33" s="1"/>
  <c r="T27" i="44"/>
  <c r="T69" i="44" s="1"/>
  <c r="X33" i="33"/>
  <c r="AA33" i="33" s="1"/>
  <c r="T33" i="44"/>
  <c r="T75" i="44" s="1"/>
  <c r="X23" i="33"/>
  <c r="AA23" i="33" s="1"/>
  <c r="T23" i="44"/>
  <c r="T65" i="44" s="1"/>
  <c r="X19" i="33"/>
  <c r="AA19" i="33" s="1"/>
  <c r="T19" i="44"/>
  <c r="T61" i="44" s="1"/>
  <c r="X16" i="33"/>
  <c r="AA16" i="33" s="1"/>
  <c r="T16" i="44"/>
  <c r="T58" i="44" s="1"/>
  <c r="X32" i="33"/>
  <c r="AA32" i="33" s="1"/>
  <c r="T32" i="44"/>
  <c r="T74" i="44" s="1"/>
  <c r="X38" i="33"/>
  <c r="AA38" i="33" s="1"/>
  <c r="T38" i="44"/>
  <c r="T80" i="44" s="1"/>
  <c r="X24" i="33"/>
  <c r="AA24" i="33" s="1"/>
  <c r="T24" i="44"/>
  <c r="T66" i="44" s="1"/>
  <c r="AA200" i="38"/>
  <c r="AA456" i="37"/>
  <c r="AG456" i="37" s="1"/>
  <c r="AA203" i="38"/>
  <c r="AA208" i="38"/>
  <c r="AA331" i="37"/>
  <c r="AG331" i="37" s="1"/>
  <c r="AA334" i="37"/>
  <c r="AG334" i="37" s="1"/>
  <c r="AA368" i="37"/>
  <c r="AG368" i="37" s="1"/>
  <c r="AA461" i="37"/>
  <c r="AG461" i="37" s="1"/>
  <c r="AA207" i="38"/>
  <c r="AA371" i="37"/>
  <c r="AG371" i="37" s="1"/>
  <c r="AA374" i="37"/>
  <c r="AG374" i="37" s="1"/>
  <c r="AA61" i="38"/>
  <c r="AA454" i="37"/>
  <c r="AG454" i="37" s="1"/>
  <c r="AA460" i="37"/>
  <c r="AG460" i="37" s="1"/>
  <c r="AA112" i="38"/>
  <c r="AA115" i="38"/>
  <c r="AA114" i="38"/>
  <c r="AA45" i="34"/>
  <c r="AA45" i="33"/>
  <c r="AA45" i="31"/>
  <c r="AA45" i="32"/>
  <c r="X5" i="33"/>
  <c r="W43" i="33"/>
  <c r="J14" i="45" l="1"/>
  <c r="J15" i="45"/>
  <c r="C15" i="46"/>
  <c r="C14" i="46"/>
  <c r="AB50" i="29"/>
  <c r="X50" i="43"/>
  <c r="X102" i="43" s="1"/>
  <c r="AB21" i="29"/>
  <c r="X21" i="43"/>
  <c r="X73" i="43" s="1"/>
  <c r="AB37" i="29"/>
  <c r="X37" i="43"/>
  <c r="X89" i="43" s="1"/>
  <c r="AB26" i="29"/>
  <c r="X26" i="43"/>
  <c r="X78" i="43" s="1"/>
  <c r="AB38" i="29"/>
  <c r="X38" i="43"/>
  <c r="X90" i="43" s="1"/>
  <c r="X41" i="43"/>
  <c r="X93" i="43" s="1"/>
  <c r="AB41" i="29"/>
  <c r="AB30" i="29"/>
  <c r="Q14" i="45"/>
  <c r="Q15" i="45"/>
  <c r="S7" i="30"/>
  <c r="S7" i="43" s="1"/>
  <c r="S59" i="43" s="1"/>
  <c r="S22" i="30"/>
  <c r="S22" i="43" s="1"/>
  <c r="S74" i="43" s="1"/>
  <c r="S26" i="30"/>
  <c r="S26" i="43" s="1"/>
  <c r="S78" i="43" s="1"/>
  <c r="S43" i="30"/>
  <c r="S43" i="43" s="1"/>
  <c r="S95" i="43" s="1"/>
  <c r="S46" i="30"/>
  <c r="S46" i="43" s="1"/>
  <c r="S98" i="43" s="1"/>
  <c r="S41" i="30"/>
  <c r="S41" i="43" s="1"/>
  <c r="S93" i="43" s="1"/>
  <c r="S51" i="30"/>
  <c r="S51" i="43" s="1"/>
  <c r="S103" i="43" s="1"/>
  <c r="S17" i="30"/>
  <c r="S17" i="43" s="1"/>
  <c r="S69" i="43" s="1"/>
  <c r="S50" i="30"/>
  <c r="S50" i="43" s="1"/>
  <c r="S102" i="43" s="1"/>
  <c r="S45" i="30"/>
  <c r="S45" i="43" s="1"/>
  <c r="S97" i="43" s="1"/>
  <c r="S21" i="30"/>
  <c r="S21" i="43" s="1"/>
  <c r="S73" i="43" s="1"/>
  <c r="S19" i="30"/>
  <c r="S19" i="43" s="1"/>
  <c r="S71" i="43" s="1"/>
  <c r="S30" i="30"/>
  <c r="S30" i="43" s="1"/>
  <c r="S82" i="43" s="1"/>
  <c r="S24" i="30"/>
  <c r="S24" i="43" s="1"/>
  <c r="S76" i="43" s="1"/>
  <c r="S34" i="30"/>
  <c r="S34" i="43" s="1"/>
  <c r="S86" i="43" s="1"/>
  <c r="S23" i="30"/>
  <c r="S23" i="43" s="1"/>
  <c r="S75" i="43" s="1"/>
  <c r="S27" i="30"/>
  <c r="S27" i="43" s="1"/>
  <c r="S79" i="43" s="1"/>
  <c r="S9" i="30"/>
  <c r="S9" i="43" s="1"/>
  <c r="S61" i="43" s="1"/>
  <c r="S39" i="30"/>
  <c r="S39" i="43" s="1"/>
  <c r="S91" i="43" s="1"/>
  <c r="S16" i="30"/>
  <c r="S16" i="43" s="1"/>
  <c r="S68" i="43" s="1"/>
  <c r="S29" i="30"/>
  <c r="S29" i="43" s="1"/>
  <c r="S81" i="43" s="1"/>
  <c r="S14" i="30"/>
  <c r="S14" i="43" s="1"/>
  <c r="S66" i="43" s="1"/>
  <c r="S28" i="30"/>
  <c r="S28" i="43" s="1"/>
  <c r="S80" i="43" s="1"/>
  <c r="S35" i="30"/>
  <c r="S35" i="43" s="1"/>
  <c r="S87" i="43" s="1"/>
  <c r="S48" i="30"/>
  <c r="S48" i="43" s="1"/>
  <c r="S100" i="43" s="1"/>
  <c r="S38" i="30"/>
  <c r="S38" i="43" s="1"/>
  <c r="S90" i="43" s="1"/>
  <c r="S40" i="30"/>
  <c r="S40" i="43" s="1"/>
  <c r="S92" i="43" s="1"/>
  <c r="S6" i="30"/>
  <c r="S6" i="43" s="1"/>
  <c r="S58" i="43" s="1"/>
  <c r="S49" i="30"/>
  <c r="S49" i="43" s="1"/>
  <c r="S101" i="43" s="1"/>
  <c r="S42" i="30"/>
  <c r="S42" i="43" s="1"/>
  <c r="S94" i="43" s="1"/>
  <c r="S18" i="30"/>
  <c r="S18" i="43" s="1"/>
  <c r="S70" i="43" s="1"/>
  <c r="S5" i="30"/>
  <c r="S15" i="30"/>
  <c r="S15" i="43" s="1"/>
  <c r="S67" i="43" s="1"/>
  <c r="S32" i="30"/>
  <c r="S32" i="43" s="1"/>
  <c r="S84" i="43" s="1"/>
  <c r="S33" i="30"/>
  <c r="S33" i="43" s="1"/>
  <c r="S85" i="43" s="1"/>
  <c r="S13" i="30"/>
  <c r="S13" i="43" s="1"/>
  <c r="S65" i="43" s="1"/>
  <c r="S11" i="30"/>
  <c r="S11" i="43" s="1"/>
  <c r="S63" i="43" s="1"/>
  <c r="S44" i="30"/>
  <c r="S44" i="43" s="1"/>
  <c r="S96" i="43" s="1"/>
  <c r="S36" i="30"/>
  <c r="S36" i="43" s="1"/>
  <c r="S88" i="43" s="1"/>
  <c r="S47" i="30"/>
  <c r="S47" i="43" s="1"/>
  <c r="S99" i="43" s="1"/>
  <c r="S10" i="30"/>
  <c r="S10" i="43" s="1"/>
  <c r="S62" i="43" s="1"/>
  <c r="S31" i="30"/>
  <c r="S31" i="43" s="1"/>
  <c r="S83" i="43" s="1"/>
  <c r="S37" i="30"/>
  <c r="S37" i="43" s="1"/>
  <c r="S89" i="43" s="1"/>
  <c r="S12" i="30"/>
  <c r="S12" i="43" s="1"/>
  <c r="S64" i="43" s="1"/>
  <c r="S8" i="30"/>
  <c r="S8" i="43" s="1"/>
  <c r="S60" i="43" s="1"/>
  <c r="S25" i="30"/>
  <c r="S25" i="43" s="1"/>
  <c r="S77" i="43" s="1"/>
  <c r="S20" i="30"/>
  <c r="S20" i="43" s="1"/>
  <c r="S72" i="43" s="1"/>
  <c r="AB51" i="29"/>
  <c r="X51" i="43"/>
  <c r="X103" i="43" s="1"/>
  <c r="X15" i="43"/>
  <c r="X67" i="43" s="1"/>
  <c r="AB15" i="29"/>
  <c r="X6" i="43"/>
  <c r="X58" i="43" s="1"/>
  <c r="AB6" i="29"/>
  <c r="AB24" i="29"/>
  <c r="X24" i="43"/>
  <c r="X76" i="43" s="1"/>
  <c r="AB36" i="29"/>
  <c r="X36" i="43"/>
  <c r="X88" i="43" s="1"/>
  <c r="AB22" i="29"/>
  <c r="X22" i="43"/>
  <c r="X74" i="43" s="1"/>
  <c r="H7" i="45"/>
  <c r="H13" i="45" s="1"/>
  <c r="H9" i="45"/>
  <c r="H11" i="45"/>
  <c r="F14" i="45"/>
  <c r="F15" i="45"/>
  <c r="H15" i="46"/>
  <c r="H14" i="46"/>
  <c r="AB31" i="29"/>
  <c r="X31" i="43"/>
  <c r="X83" i="43" s="1"/>
  <c r="AB12" i="29"/>
  <c r="X12" i="43"/>
  <c r="X64" i="43" s="1"/>
  <c r="AB49" i="29"/>
  <c r="X49" i="43"/>
  <c r="X101" i="43" s="1"/>
  <c r="AB23" i="29"/>
  <c r="X23" i="43"/>
  <c r="X75" i="43" s="1"/>
  <c r="X17" i="43"/>
  <c r="X69" i="43" s="1"/>
  <c r="AB17" i="29"/>
  <c r="AB39" i="29"/>
  <c r="X39" i="43"/>
  <c r="X91" i="43" s="1"/>
  <c r="AB48" i="29"/>
  <c r="X48" i="43"/>
  <c r="X100" i="43" s="1"/>
  <c r="X33" i="43"/>
  <c r="X85" i="43" s="1"/>
  <c r="AB33" i="29"/>
  <c r="X7" i="43"/>
  <c r="X59" i="43" s="1"/>
  <c r="AB7" i="29"/>
  <c r="AB44" i="29"/>
  <c r="X44" i="43"/>
  <c r="X96" i="43" s="1"/>
  <c r="AB35" i="29"/>
  <c r="X35" i="43"/>
  <c r="X87" i="43" s="1"/>
  <c r="X13" i="43"/>
  <c r="X65" i="43" s="1"/>
  <c r="AB13" i="29"/>
  <c r="E14" i="45"/>
  <c r="E15" i="45"/>
  <c r="C11" i="45"/>
  <c r="C7" i="45"/>
  <c r="C13" i="45" s="1"/>
  <c r="C9" i="45"/>
  <c r="AB27" i="29"/>
  <c r="X27" i="43"/>
  <c r="X79" i="43" s="1"/>
  <c r="AB43" i="29"/>
  <c r="X43" i="43"/>
  <c r="X95" i="43" s="1"/>
  <c r="AB9" i="29"/>
  <c r="X9" i="43"/>
  <c r="X61" i="43" s="1"/>
  <c r="X19" i="43"/>
  <c r="X71" i="43" s="1"/>
  <c r="AB19" i="29"/>
  <c r="AB45" i="29"/>
  <c r="X45" i="43"/>
  <c r="X97" i="43" s="1"/>
  <c r="AB47" i="29"/>
  <c r="X47" i="43"/>
  <c r="X99" i="43" s="1"/>
  <c r="E15" i="46"/>
  <c r="E14" i="46"/>
  <c r="L15" i="45"/>
  <c r="L14" i="45"/>
  <c r="G14" i="46"/>
  <c r="G15" i="46"/>
  <c r="X46" i="43"/>
  <c r="X98" i="43" s="1"/>
  <c r="AB46" i="29"/>
  <c r="X5" i="43"/>
  <c r="X57" i="43" s="1"/>
  <c r="Y53" i="29"/>
  <c r="AB5" i="29"/>
  <c r="AB42" i="29"/>
  <c r="X42" i="43"/>
  <c r="X94" i="43" s="1"/>
  <c r="AB10" i="29"/>
  <c r="X10" i="43"/>
  <c r="X62" i="43" s="1"/>
  <c r="AB16" i="29"/>
  <c r="X16" i="43"/>
  <c r="X68" i="43" s="1"/>
  <c r="T15" i="45"/>
  <c r="T14" i="45"/>
  <c r="AB28" i="29"/>
  <c r="AB34" i="29"/>
  <c r="X34" i="43"/>
  <c r="X86" i="43" s="1"/>
  <c r="AB29" i="29"/>
  <c r="X29" i="43"/>
  <c r="X81" i="43" s="1"/>
  <c r="AB8" i="29"/>
  <c r="X8" i="43"/>
  <c r="X60" i="43" s="1"/>
  <c r="X14" i="43"/>
  <c r="X66" i="43" s="1"/>
  <c r="AB14" i="29"/>
  <c r="AB20" i="29"/>
  <c r="X20" i="43"/>
  <c r="X72" i="43" s="1"/>
  <c r="AB18" i="29"/>
  <c r="X18" i="43"/>
  <c r="X70" i="43" s="1"/>
  <c r="AB40" i="29"/>
  <c r="X40" i="43"/>
  <c r="X92" i="43" s="1"/>
  <c r="AB25" i="29"/>
  <c r="X25" i="43"/>
  <c r="X77" i="43" s="1"/>
  <c r="X32" i="43"/>
  <c r="X84" i="43" s="1"/>
  <c r="AB32" i="29"/>
  <c r="X11" i="43"/>
  <c r="X63" i="43" s="1"/>
  <c r="AB11" i="29"/>
  <c r="K9" i="45"/>
  <c r="K11" i="45"/>
  <c r="K7" i="45"/>
  <c r="K13" i="45" s="1"/>
  <c r="B14" i="45"/>
  <c r="B15" i="45"/>
  <c r="G14" i="45"/>
  <c r="G15" i="45"/>
  <c r="M15" i="45"/>
  <c r="M14" i="45"/>
  <c r="AA347" i="38"/>
  <c r="AA151" i="38"/>
  <c r="AA117" i="38"/>
  <c r="AA56" i="38"/>
  <c r="AA375" i="37"/>
  <c r="AG375" i="37" s="1"/>
  <c r="AA346" i="38"/>
  <c r="AA158" i="38"/>
  <c r="AA335" i="37"/>
  <c r="AG335" i="37" s="1"/>
  <c r="AA59" i="38"/>
  <c r="AA275" i="37"/>
  <c r="AG275" i="37" s="1"/>
  <c r="AA373" i="37"/>
  <c r="AG373" i="37" s="1"/>
  <c r="AA122" i="38"/>
  <c r="AA658" i="37"/>
  <c r="AG658" i="37" s="1"/>
  <c r="AA63" i="38"/>
  <c r="AA273" i="37"/>
  <c r="AG273" i="37" s="1"/>
  <c r="AA284" i="37"/>
  <c r="AG284" i="37" s="1"/>
  <c r="AA54" i="38"/>
  <c r="AA57" i="38"/>
  <c r="AA280" i="37"/>
  <c r="AG280" i="37" s="1"/>
  <c r="AA286" i="37"/>
  <c r="AG286" i="37" s="1"/>
  <c r="AA157" i="38"/>
  <c r="AA270" i="37"/>
  <c r="AG270" i="37" s="1"/>
  <c r="AA123" i="38"/>
  <c r="AA153" i="38"/>
  <c r="AA50" i="38"/>
  <c r="AA60" i="38"/>
  <c r="AA337" i="37"/>
  <c r="AG337" i="37" s="1"/>
  <c r="AA664" i="37"/>
  <c r="AG664" i="37" s="1"/>
  <c r="X5" i="34"/>
  <c r="W43" i="34"/>
  <c r="T5" i="44"/>
  <c r="T47" i="44" s="1"/>
  <c r="J11" i="46" s="1"/>
  <c r="L11" i="46" s="1"/>
  <c r="B14" i="46"/>
  <c r="B15" i="46"/>
  <c r="AA667" i="37"/>
  <c r="AG667" i="37" s="1"/>
  <c r="AA660" i="37"/>
  <c r="AG660" i="37" s="1"/>
  <c r="AA222" i="38"/>
  <c r="AA483" i="37"/>
  <c r="AG483" i="37" s="1"/>
  <c r="AA478" i="37"/>
  <c r="AG478" i="37" s="1"/>
  <c r="AA234" i="38"/>
  <c r="AA231" i="38"/>
  <c r="AA481" i="37"/>
  <c r="AG481" i="37" s="1"/>
  <c r="AA482" i="37"/>
  <c r="AG482" i="37" s="1"/>
  <c r="AA230" i="38"/>
  <c r="AA227" i="38"/>
  <c r="AA480" i="37"/>
  <c r="AG480" i="37" s="1"/>
  <c r="AA226" i="38"/>
  <c r="AA223" i="38"/>
  <c r="AA479" i="37"/>
  <c r="AG479" i="37" s="1"/>
  <c r="AA489" i="37"/>
  <c r="AG489" i="37" s="1"/>
  <c r="AA232" i="38"/>
  <c r="AA488" i="37"/>
  <c r="AG488" i="37" s="1"/>
  <c r="AA228" i="38"/>
  <c r="AA487" i="37"/>
  <c r="AG487" i="37" s="1"/>
  <c r="AA224" i="38"/>
  <c r="AA486" i="37"/>
  <c r="AG486" i="37" s="1"/>
  <c r="AA233" i="38"/>
  <c r="AA485" i="37"/>
  <c r="AG485" i="37" s="1"/>
  <c r="AA229" i="38"/>
  <c r="AA477" i="37"/>
  <c r="AA225" i="38"/>
  <c r="AA484" i="37"/>
  <c r="AG484" i="37" s="1"/>
  <c r="AA681" i="37"/>
  <c r="AA675" i="37"/>
  <c r="AA679" i="37"/>
  <c r="AA670" i="37"/>
  <c r="AA678" i="37"/>
  <c r="AA676" i="37"/>
  <c r="AA672" i="37"/>
  <c r="AA674" i="37"/>
  <c r="AA673" i="37"/>
  <c r="AA671" i="37"/>
  <c r="AA677" i="37"/>
  <c r="AA680" i="37"/>
  <c r="AA685" i="37"/>
  <c r="AA682" i="37"/>
  <c r="AA688" i="37"/>
  <c r="AA689" i="37"/>
  <c r="AA687" i="37"/>
  <c r="AA693" i="37"/>
  <c r="AA683" i="37"/>
  <c r="AA692" i="37"/>
  <c r="AA691" i="37"/>
  <c r="AA686" i="37"/>
  <c r="AA690" i="37"/>
  <c r="AA684" i="37"/>
  <c r="AA367" i="37"/>
  <c r="AG367" i="37" s="1"/>
  <c r="AA340" i="37"/>
  <c r="AG340" i="37" s="1"/>
  <c r="AA329" i="37"/>
  <c r="AG329" i="37" s="1"/>
  <c r="AA149" i="38"/>
  <c r="AA376" i="37"/>
  <c r="AG376" i="37" s="1"/>
  <c r="AA67" i="38"/>
  <c r="AA338" i="37"/>
  <c r="AG338" i="37" s="1"/>
  <c r="AA38" i="38"/>
  <c r="AA262" i="37"/>
  <c r="AG262" i="37" s="1"/>
  <c r="AA137" i="37"/>
  <c r="AA230" i="37"/>
  <c r="AA229" i="37"/>
  <c r="AA228" i="37"/>
  <c r="AA13" i="37"/>
  <c r="AA28" i="37"/>
  <c r="AA35" i="37"/>
  <c r="AA136" i="37"/>
  <c r="AA267" i="37"/>
  <c r="AG267" i="37" s="1"/>
  <c r="AA272" i="37"/>
  <c r="AG272" i="37" s="1"/>
  <c r="AA269" i="37"/>
  <c r="AG269" i="37" s="1"/>
  <c r="AA366" i="37"/>
  <c r="AG366" i="37" s="1"/>
  <c r="AA118" i="38"/>
  <c r="AA365" i="37"/>
  <c r="AG365" i="37" s="1"/>
  <c r="AA278" i="37"/>
  <c r="AG278" i="37" s="1"/>
  <c r="AA47" i="38"/>
  <c r="AA190" i="37"/>
  <c r="AA194" i="37"/>
  <c r="AA193" i="37"/>
  <c r="AA192" i="37"/>
  <c r="AA6" i="37"/>
  <c r="AA4" i="37"/>
  <c r="AA11" i="37"/>
  <c r="AA42" i="37"/>
  <c r="AA135" i="37"/>
  <c r="AA124" i="37"/>
  <c r="AA39" i="37"/>
  <c r="AA116" i="38"/>
  <c r="AA120" i="38"/>
  <c r="AA69" i="38"/>
  <c r="AA274" i="37"/>
  <c r="AG274" i="37" s="1"/>
  <c r="AA339" i="37"/>
  <c r="AG339" i="37" s="1"/>
  <c r="AA281" i="37"/>
  <c r="AG281" i="37" s="1"/>
  <c r="AA119" i="38"/>
  <c r="AA268" i="37"/>
  <c r="AG268" i="37" s="1"/>
  <c r="AA58" i="38"/>
  <c r="AA336" i="37"/>
  <c r="AG336" i="37" s="1"/>
  <c r="AA121" i="38"/>
  <c r="AA279" i="37"/>
  <c r="AG279" i="37" s="1"/>
  <c r="AA65" i="38"/>
  <c r="AA68" i="38"/>
  <c r="AA42" i="38"/>
  <c r="AA39" i="38"/>
  <c r="AA225" i="37"/>
  <c r="AA266" i="37"/>
  <c r="AG266" i="37" s="1"/>
  <c r="AA265" i="37"/>
  <c r="AG265" i="37" s="1"/>
  <c r="AA264" i="37"/>
  <c r="AG264" i="37" s="1"/>
  <c r="AA37" i="37"/>
  <c r="AA128" i="37"/>
  <c r="AA127" i="37"/>
  <c r="AA227" i="37"/>
  <c r="AA2" i="37"/>
  <c r="AA9" i="37"/>
  <c r="AA30" i="37"/>
  <c r="AA332" i="37"/>
  <c r="AG332" i="37" s="1"/>
  <c r="AA70" i="38"/>
  <c r="AA51" i="38"/>
  <c r="AA43" i="38"/>
  <c r="AA129" i="37"/>
  <c r="AA134" i="37"/>
  <c r="AA184" i="37"/>
  <c r="AA36" i="37"/>
  <c r="AA255" i="37"/>
  <c r="AG255" i="37" s="1"/>
  <c r="AA224" i="37"/>
  <c r="AA32" i="37"/>
  <c r="AA154" i="38"/>
  <c r="AA282" i="37"/>
  <c r="AG282" i="37" s="1"/>
  <c r="AA333" i="37"/>
  <c r="AG333" i="37" s="1"/>
  <c r="AA41" i="38"/>
  <c r="AA259" i="37"/>
  <c r="AG259" i="37" s="1"/>
  <c r="AA257" i="37"/>
  <c r="AG257" i="37" s="1"/>
  <c r="AA140" i="37"/>
  <c r="AA12" i="37"/>
  <c r="AA125" i="37"/>
  <c r="AA8" i="37"/>
  <c r="AA66" i="38"/>
  <c r="AA155" i="38"/>
  <c r="AA156" i="38"/>
  <c r="AA48" i="38"/>
  <c r="AA223" i="37"/>
  <c r="AA221" i="37"/>
  <c r="AA130" i="37"/>
  <c r="AA131" i="37"/>
  <c r="AA183" i="37"/>
  <c r="AA41" i="37"/>
  <c r="AA260" i="37"/>
  <c r="AG260" i="37" s="1"/>
  <c r="AA369" i="37"/>
  <c r="AG369" i="37" s="1"/>
  <c r="AA64" i="38"/>
  <c r="AA370" i="37"/>
  <c r="AG370" i="37" s="1"/>
  <c r="AA46" i="38"/>
  <c r="AA226" i="37"/>
  <c r="AA187" i="37"/>
  <c r="AA185" i="37"/>
  <c r="AA29" i="37"/>
  <c r="AA188" i="37"/>
  <c r="AA126" i="37"/>
  <c r="AA33" i="37"/>
  <c r="AA132" i="37"/>
  <c r="AA283" i="37"/>
  <c r="AG283" i="37" s="1"/>
  <c r="AA277" i="37"/>
  <c r="AG277" i="37" s="1"/>
  <c r="AA152" i="38"/>
  <c r="AA330" i="37"/>
  <c r="AG330" i="37" s="1"/>
  <c r="AA44" i="38"/>
  <c r="AA138" i="37"/>
  <c r="AA258" i="37"/>
  <c r="AG258" i="37" s="1"/>
  <c r="AA5" i="37"/>
  <c r="AA139" i="37"/>
  <c r="AA34" i="37"/>
  <c r="AA263" i="37"/>
  <c r="AG263" i="37" s="1"/>
  <c r="AA123" i="37"/>
  <c r="AA150" i="38"/>
  <c r="AA148" i="38"/>
  <c r="AA62" i="38"/>
  <c r="AA159" i="38"/>
  <c r="AA40" i="38"/>
  <c r="AA222" i="37"/>
  <c r="AA43" i="37"/>
  <c r="AA26" i="37"/>
  <c r="AA219" i="37"/>
  <c r="AA31" i="37"/>
  <c r="AA55" i="38"/>
  <c r="AA53" i="38"/>
  <c r="AA287" i="37"/>
  <c r="AG287" i="37" s="1"/>
  <c r="AA113" i="38"/>
  <c r="AA49" i="38"/>
  <c r="AA261" i="37"/>
  <c r="AG261" i="37" s="1"/>
  <c r="AA186" i="37"/>
  <c r="AA256" i="37"/>
  <c r="AG256" i="37" s="1"/>
  <c r="AA191" i="37"/>
  <c r="AA27" i="37"/>
  <c r="AA10" i="37"/>
  <c r="AA133" i="37"/>
  <c r="AA7" i="37"/>
  <c r="AA372" i="37"/>
  <c r="AG372" i="37" s="1"/>
  <c r="AA276" i="37"/>
  <c r="AG276" i="37" s="1"/>
  <c r="AA271" i="37"/>
  <c r="AG271" i="37" s="1"/>
  <c r="AA52" i="38"/>
  <c r="AA45" i="38"/>
  <c r="AA189" i="37"/>
  <c r="AA142" i="37"/>
  <c r="AA220" i="37"/>
  <c r="AA141" i="37"/>
  <c r="AA3" i="37"/>
  <c r="AA38" i="37"/>
  <c r="AA40" i="37"/>
  <c r="AA210" i="38"/>
  <c r="AA476" i="37"/>
  <c r="AG476" i="37" s="1"/>
  <c r="AA471" i="37"/>
  <c r="AG471" i="37" s="1"/>
  <c r="AA219" i="38"/>
  <c r="AA467" i="37"/>
  <c r="AG467" i="37" s="1"/>
  <c r="AA466" i="37"/>
  <c r="AG466" i="37" s="1"/>
  <c r="AA217" i="38"/>
  <c r="AA473" i="37"/>
  <c r="AG473" i="37" s="1"/>
  <c r="AA220" i="38"/>
  <c r="AA215" i="38"/>
  <c r="AA465" i="37"/>
  <c r="AG465" i="37" s="1"/>
  <c r="AA218" i="38"/>
  <c r="AA213" i="38"/>
  <c r="AA472" i="37"/>
  <c r="AG472" i="37" s="1"/>
  <c r="AA216" i="38"/>
  <c r="AA211" i="38"/>
  <c r="AA464" i="37"/>
  <c r="AG464" i="37" s="1"/>
  <c r="AA214" i="38"/>
  <c r="AA209" i="38"/>
  <c r="AA470" i="37"/>
  <c r="AG470" i="37" s="1"/>
  <c r="AA212" i="38"/>
  <c r="AA468" i="37"/>
  <c r="AG468" i="37" s="1"/>
  <c r="AA474" i="37"/>
  <c r="AG474" i="37" s="1"/>
  <c r="AA221" i="38"/>
  <c r="AA475" i="37"/>
  <c r="AG475" i="37" s="1"/>
  <c r="AA469" i="37"/>
  <c r="AG469" i="37" s="1"/>
  <c r="AA205" i="38"/>
  <c r="AA462" i="37"/>
  <c r="AG462" i="37" s="1"/>
  <c r="AA199" i="38"/>
  <c r="AA453" i="37"/>
  <c r="AG453" i="37" s="1"/>
  <c r="AA206" i="38"/>
  <c r="AA452" i="37"/>
  <c r="AG452" i="37" s="1"/>
  <c r="AA202" i="38"/>
  <c r="AA463" i="37"/>
  <c r="AG463" i="37" s="1"/>
  <c r="AA201" i="38"/>
  <c r="AA197" i="38"/>
  <c r="AA457" i="37"/>
  <c r="AG457" i="37" s="1"/>
  <c r="AA455" i="37"/>
  <c r="AG455" i="37" s="1"/>
  <c r="AA458" i="37"/>
  <c r="AG458" i="37" s="1"/>
  <c r="AA204" i="38"/>
  <c r="AA198" i="38"/>
  <c r="AA190" i="38"/>
  <c r="AA186" i="38"/>
  <c r="AA189" i="38"/>
  <c r="AA448" i="37"/>
  <c r="AG448" i="37" s="1"/>
  <c r="AA196" i="38"/>
  <c r="AA187" i="38"/>
  <c r="AA440" i="37"/>
  <c r="AG440" i="37" s="1"/>
  <c r="AA194" i="38"/>
  <c r="AA185" i="38"/>
  <c r="AA447" i="37"/>
  <c r="AG447" i="37" s="1"/>
  <c r="AA192" i="38"/>
  <c r="AA444" i="37"/>
  <c r="AG444" i="37" s="1"/>
  <c r="AA446" i="37"/>
  <c r="AG446" i="37" s="1"/>
  <c r="AA188" i="38"/>
  <c r="AA451" i="37"/>
  <c r="AG451" i="37" s="1"/>
  <c r="AA450" i="37"/>
  <c r="AG450" i="37" s="1"/>
  <c r="AA195" i="38"/>
  <c r="AA443" i="37"/>
  <c r="AG443" i="37" s="1"/>
  <c r="AA445" i="37"/>
  <c r="AG445" i="37" s="1"/>
  <c r="AA193" i="38"/>
  <c r="AA449" i="37"/>
  <c r="AG449" i="37" s="1"/>
  <c r="AA442" i="37"/>
  <c r="AG442" i="37" s="1"/>
  <c r="AA191" i="38"/>
  <c r="AA441" i="37"/>
  <c r="AG441" i="37" s="1"/>
  <c r="AA436" i="37"/>
  <c r="AA411" i="37"/>
  <c r="AA424" i="37"/>
  <c r="AA438" i="37"/>
  <c r="AA413" i="37"/>
  <c r="AA420" i="37"/>
  <c r="AA433" i="37"/>
  <c r="AA408" i="37"/>
  <c r="AA422" i="37"/>
  <c r="AA437" i="37"/>
  <c r="AA404" i="37"/>
  <c r="AA427" i="37"/>
  <c r="AA401" i="37"/>
  <c r="AA415" i="37"/>
  <c r="AA421" i="37"/>
  <c r="AA402" i="37"/>
  <c r="AA403" i="37"/>
  <c r="AA423" i="37"/>
  <c r="AA405" i="37"/>
  <c r="AA425" i="37"/>
  <c r="AA407" i="37"/>
  <c r="AA429" i="37"/>
  <c r="AA417" i="37"/>
  <c r="AA430" i="37"/>
  <c r="AA434" i="37"/>
  <c r="AA184" i="38"/>
  <c r="AA409" i="37"/>
  <c r="AA414" i="37"/>
  <c r="AA428" i="37"/>
  <c r="AA432" i="37"/>
  <c r="AA406" i="37"/>
  <c r="AA412" i="37"/>
  <c r="AA416" i="37"/>
  <c r="AA426" i="37"/>
  <c r="AA435" i="37"/>
  <c r="AA439" i="37"/>
  <c r="AA418" i="37"/>
  <c r="AA419" i="37"/>
  <c r="AA431" i="37"/>
  <c r="AA410" i="37"/>
  <c r="AA350" i="38"/>
  <c r="AA356" i="38"/>
  <c r="AA349" i="38"/>
  <c r="AA661" i="37"/>
  <c r="AG661" i="37" s="1"/>
  <c r="AA354" i="38"/>
  <c r="AA642" i="37"/>
  <c r="AA625" i="37"/>
  <c r="AA612" i="37"/>
  <c r="AA630" i="37"/>
  <c r="AA601" i="37"/>
  <c r="AA666" i="37"/>
  <c r="AG666" i="37" s="1"/>
  <c r="AA353" i="38"/>
  <c r="AA665" i="37"/>
  <c r="AG665" i="37" s="1"/>
  <c r="AA348" i="38"/>
  <c r="AA657" i="37"/>
  <c r="AA639" i="37"/>
  <c r="AA629" i="37"/>
  <c r="AA619" i="37"/>
  <c r="AA644" i="37"/>
  <c r="AA616" i="37"/>
  <c r="AA654" i="37"/>
  <c r="AA621" i="37"/>
  <c r="AA669" i="37"/>
  <c r="AG669" i="37" s="1"/>
  <c r="AA659" i="37"/>
  <c r="AG659" i="37" s="1"/>
  <c r="AA650" i="37"/>
  <c r="AA655" i="37"/>
  <c r="AA651" i="37"/>
  <c r="AA646" i="37"/>
  <c r="AA643" i="37"/>
  <c r="AA607" i="37"/>
  <c r="AA613" i="37"/>
  <c r="AA345" i="38"/>
  <c r="AA634" i="37"/>
  <c r="AA647" i="37"/>
  <c r="AA635" i="37"/>
  <c r="AA618" i="37"/>
  <c r="AA627" i="37"/>
  <c r="AA638" i="37"/>
  <c r="AA605" i="37"/>
  <c r="AA351" i="38"/>
  <c r="AA626" i="37"/>
  <c r="AA631" i="37"/>
  <c r="AA620" i="37"/>
  <c r="AA610" i="37"/>
  <c r="AA608" i="37"/>
  <c r="AA622" i="37"/>
  <c r="AA663" i="37"/>
  <c r="AG663" i="37" s="1"/>
  <c r="AA623" i="37"/>
  <c r="AA604" i="37"/>
  <c r="AA602" i="37"/>
  <c r="AA600" i="37"/>
  <c r="AA614" i="37"/>
  <c r="AA355" i="38"/>
  <c r="AA649" i="37"/>
  <c r="AA648" i="37"/>
  <c r="AA628" i="37"/>
  <c r="AA656" i="37"/>
  <c r="AA606" i="37"/>
  <c r="AA668" i="37"/>
  <c r="AG668" i="37" s="1"/>
  <c r="AA641" i="37"/>
  <c r="AA653" i="37"/>
  <c r="AA632" i="37"/>
  <c r="AA617" i="37"/>
  <c r="AA640" i="37"/>
  <c r="AA352" i="38"/>
  <c r="AA633" i="37"/>
  <c r="AA645" i="37"/>
  <c r="AA611" i="37"/>
  <c r="AA609" i="37"/>
  <c r="AA624" i="37"/>
  <c r="AA652" i="37"/>
  <c r="AA662" i="37"/>
  <c r="AG662" i="37" s="1"/>
  <c r="AA637" i="37"/>
  <c r="AA603" i="37"/>
  <c r="AA615" i="37"/>
  <c r="AA636" i="37"/>
  <c r="AA334" i="38"/>
  <c r="AA318" i="38"/>
  <c r="AA302" i="38"/>
  <c r="AA286" i="38"/>
  <c r="AA270" i="38"/>
  <c r="AA254" i="38"/>
  <c r="AA238" i="38"/>
  <c r="AA331" i="38"/>
  <c r="AA315" i="38"/>
  <c r="AA299" i="38"/>
  <c r="AA283" i="38"/>
  <c r="AA267" i="38"/>
  <c r="AA251" i="38"/>
  <c r="AA235" i="38"/>
  <c r="AA540" i="37"/>
  <c r="AG540" i="37" s="1"/>
  <c r="AA587" i="37"/>
  <c r="AG587" i="37" s="1"/>
  <c r="AA523" i="37"/>
  <c r="AG523" i="37" s="1"/>
  <c r="AA570" i="37"/>
  <c r="AG570" i="37" s="1"/>
  <c r="AA577" i="37"/>
  <c r="AG577" i="37" s="1"/>
  <c r="AA513" i="37"/>
  <c r="AG513" i="37" s="1"/>
  <c r="AA552" i="37"/>
  <c r="AG552" i="37" s="1"/>
  <c r="AA599" i="37"/>
  <c r="AG599" i="37" s="1"/>
  <c r="AA535" i="37"/>
  <c r="AG535" i="37" s="1"/>
  <c r="AA582" i="37"/>
  <c r="AG582" i="37" s="1"/>
  <c r="AA518" i="37"/>
  <c r="AG518" i="37" s="1"/>
  <c r="AA517" i="37"/>
  <c r="AG517" i="37" s="1"/>
  <c r="AA506" i="37"/>
  <c r="AG506" i="37" s="1"/>
  <c r="AA330" i="38"/>
  <c r="AA314" i="38"/>
  <c r="AA298" i="38"/>
  <c r="AA282" i="38"/>
  <c r="AA266" i="38"/>
  <c r="AA250" i="38"/>
  <c r="AA343" i="38"/>
  <c r="AA327" i="38"/>
  <c r="AA311" i="38"/>
  <c r="AA295" i="38"/>
  <c r="AA279" i="38"/>
  <c r="AA263" i="38"/>
  <c r="AA247" i="38"/>
  <c r="AA588" i="37"/>
  <c r="AG588" i="37" s="1"/>
  <c r="AA524" i="37"/>
  <c r="AG524" i="37" s="1"/>
  <c r="AA571" i="37"/>
  <c r="AG571" i="37" s="1"/>
  <c r="AA507" i="37"/>
  <c r="AG507" i="37" s="1"/>
  <c r="AA554" i="37"/>
  <c r="AG554" i="37" s="1"/>
  <c r="AA561" i="37"/>
  <c r="AG561" i="37" s="1"/>
  <c r="AA497" i="37"/>
  <c r="AG497" i="37" s="1"/>
  <c r="AA536" i="37"/>
  <c r="AG536" i="37" s="1"/>
  <c r="AA583" i="37"/>
  <c r="AG583" i="37" s="1"/>
  <c r="AA519" i="37"/>
  <c r="AG519" i="37" s="1"/>
  <c r="AA566" i="37"/>
  <c r="AG566" i="37" s="1"/>
  <c r="AA502" i="37"/>
  <c r="AG502" i="37" s="1"/>
  <c r="AA514" i="37"/>
  <c r="AG514" i="37" s="1"/>
  <c r="AA541" i="37"/>
  <c r="AG541" i="37" s="1"/>
  <c r="AA342" i="38"/>
  <c r="AA326" i="38"/>
  <c r="AA310" i="38"/>
  <c r="AA294" i="38"/>
  <c r="AA278" i="38"/>
  <c r="AA262" i="38"/>
  <c r="AA246" i="38"/>
  <c r="AA339" i="38"/>
  <c r="AA323" i="38"/>
  <c r="AA307" i="38"/>
  <c r="AA291" i="38"/>
  <c r="AA275" i="38"/>
  <c r="AA259" i="38"/>
  <c r="AA243" i="38"/>
  <c r="AA572" i="37"/>
  <c r="AG572" i="37" s="1"/>
  <c r="AA508" i="37"/>
  <c r="AG508" i="37" s="1"/>
  <c r="AA555" i="37"/>
  <c r="AG555" i="37" s="1"/>
  <c r="AA491" i="37"/>
  <c r="AG491" i="37" s="1"/>
  <c r="AA538" i="37"/>
  <c r="AG538" i="37" s="1"/>
  <c r="AA545" i="37"/>
  <c r="AG545" i="37" s="1"/>
  <c r="AA584" i="37"/>
  <c r="AG584" i="37" s="1"/>
  <c r="AA520" i="37"/>
  <c r="AG520" i="37" s="1"/>
  <c r="AA567" i="37"/>
  <c r="AG567" i="37" s="1"/>
  <c r="AA503" i="37"/>
  <c r="AG503" i="37" s="1"/>
  <c r="AA550" i="37"/>
  <c r="AG550" i="37" s="1"/>
  <c r="AA581" i="37"/>
  <c r="AG581" i="37" s="1"/>
  <c r="AA557" i="37"/>
  <c r="AG557" i="37" s="1"/>
  <c r="AA597" i="37"/>
  <c r="AG597" i="37" s="1"/>
  <c r="AA338" i="38"/>
  <c r="AA322" i="38"/>
  <c r="AA306" i="38"/>
  <c r="AA290" i="38"/>
  <c r="AA274" i="38"/>
  <c r="AA258" i="38"/>
  <c r="AA242" i="38"/>
  <c r="AA335" i="38"/>
  <c r="AA319" i="38"/>
  <c r="AA303" i="38"/>
  <c r="AA287" i="38"/>
  <c r="AA271" i="38"/>
  <c r="AA255" i="38"/>
  <c r="AA239" i="38"/>
  <c r="AA556" i="37"/>
  <c r="AG556" i="37" s="1"/>
  <c r="AA492" i="37"/>
  <c r="AG492" i="37" s="1"/>
  <c r="AA539" i="37"/>
  <c r="AG539" i="37" s="1"/>
  <c r="AA586" i="37"/>
  <c r="AG586" i="37" s="1"/>
  <c r="AA593" i="37"/>
  <c r="AG593" i="37" s="1"/>
  <c r="AA529" i="37"/>
  <c r="AG529" i="37" s="1"/>
  <c r="AA568" i="37"/>
  <c r="AG568" i="37" s="1"/>
  <c r="AA504" i="37"/>
  <c r="AG504" i="37" s="1"/>
  <c r="AA551" i="37"/>
  <c r="AG551" i="37" s="1"/>
  <c r="AA598" i="37"/>
  <c r="AG598" i="37" s="1"/>
  <c r="AA534" i="37"/>
  <c r="AG534" i="37" s="1"/>
  <c r="AA490" i="37"/>
  <c r="AG490" i="37" s="1"/>
  <c r="AA493" i="37"/>
  <c r="AG493" i="37" s="1"/>
  <c r="AA498" i="37"/>
  <c r="AG498" i="37" s="1"/>
  <c r="AA332" i="38"/>
  <c r="AA300" i="38"/>
  <c r="AA268" i="38"/>
  <c r="AA236" i="38"/>
  <c r="AA313" i="38"/>
  <c r="AA281" i="38"/>
  <c r="AA249" i="38"/>
  <c r="AA532" i="37"/>
  <c r="AG532" i="37" s="1"/>
  <c r="AA515" i="37"/>
  <c r="AG515" i="37" s="1"/>
  <c r="AA569" i="37"/>
  <c r="AG569" i="37" s="1"/>
  <c r="AA544" i="37"/>
  <c r="AG544" i="37" s="1"/>
  <c r="AA527" i="37"/>
  <c r="AG527" i="37" s="1"/>
  <c r="AA510" i="37"/>
  <c r="AG510" i="37" s="1"/>
  <c r="AA525" i="37"/>
  <c r="AG525" i="37" s="1"/>
  <c r="AA328" i="38"/>
  <c r="AA296" i="38"/>
  <c r="AA264" i="38"/>
  <c r="AA341" i="38"/>
  <c r="AA309" i="38"/>
  <c r="AA277" i="38"/>
  <c r="AA245" i="38"/>
  <c r="AA516" i="37"/>
  <c r="AG516" i="37" s="1"/>
  <c r="AA499" i="37"/>
  <c r="AG499" i="37" s="1"/>
  <c r="AA553" i="37"/>
  <c r="AG553" i="37" s="1"/>
  <c r="AA528" i="37"/>
  <c r="AG528" i="37" s="1"/>
  <c r="AA511" i="37"/>
  <c r="AG511" i="37" s="1"/>
  <c r="AA494" i="37"/>
  <c r="AG494" i="37" s="1"/>
  <c r="AA501" i="37"/>
  <c r="AG501" i="37" s="1"/>
  <c r="AA324" i="38"/>
  <c r="AA292" i="38"/>
  <c r="AA260" i="38"/>
  <c r="AA337" i="38"/>
  <c r="AA305" i="38"/>
  <c r="AA273" i="38"/>
  <c r="AA241" i="38"/>
  <c r="AA500" i="37"/>
  <c r="AG500" i="37" s="1"/>
  <c r="AA594" i="37"/>
  <c r="AG594" i="37" s="1"/>
  <c r="AA537" i="37"/>
  <c r="AG537" i="37" s="1"/>
  <c r="AA512" i="37"/>
  <c r="AG512" i="37" s="1"/>
  <c r="AA495" i="37"/>
  <c r="AG495" i="37" s="1"/>
  <c r="AA522" i="37"/>
  <c r="AG522" i="37" s="1"/>
  <c r="AA533" i="37"/>
  <c r="AG533" i="37" s="1"/>
  <c r="AA320" i="38"/>
  <c r="AA288" i="38"/>
  <c r="AA256" i="38"/>
  <c r="AA333" i="38"/>
  <c r="AA301" i="38"/>
  <c r="AA269" i="38"/>
  <c r="AA237" i="38"/>
  <c r="AA595" i="37"/>
  <c r="AG595" i="37" s="1"/>
  <c r="AA578" i="37"/>
  <c r="AG578" i="37" s="1"/>
  <c r="AA521" i="37"/>
  <c r="AG521" i="37" s="1"/>
  <c r="AA496" i="37"/>
  <c r="AG496" i="37" s="1"/>
  <c r="AA590" i="37"/>
  <c r="AG590" i="37" s="1"/>
  <c r="AA573" i="37"/>
  <c r="AG573" i="37" s="1"/>
  <c r="AA316" i="38"/>
  <c r="AA284" i="38"/>
  <c r="AA252" i="38"/>
  <c r="AA329" i="38"/>
  <c r="AA297" i="38"/>
  <c r="AA265" i="38"/>
  <c r="AA596" i="37"/>
  <c r="AG596" i="37" s="1"/>
  <c r="AA579" i="37"/>
  <c r="AG579" i="37" s="1"/>
  <c r="AA562" i="37"/>
  <c r="AG562" i="37" s="1"/>
  <c r="AA505" i="37"/>
  <c r="AG505" i="37" s="1"/>
  <c r="AA591" i="37"/>
  <c r="AG591" i="37" s="1"/>
  <c r="AA574" i="37"/>
  <c r="AG574" i="37" s="1"/>
  <c r="AA565" i="37"/>
  <c r="AG565" i="37" s="1"/>
  <c r="AA344" i="38"/>
  <c r="AA312" i="38"/>
  <c r="AA280" i="38"/>
  <c r="AA248" i="38"/>
  <c r="AA325" i="38"/>
  <c r="AA293" i="38"/>
  <c r="AA261" i="38"/>
  <c r="AA580" i="37"/>
  <c r="AG580" i="37" s="1"/>
  <c r="AA563" i="37"/>
  <c r="AG563" i="37" s="1"/>
  <c r="AA546" i="37"/>
  <c r="AG546" i="37" s="1"/>
  <c r="AA592" i="37"/>
  <c r="AG592" i="37" s="1"/>
  <c r="AA575" i="37"/>
  <c r="AG575" i="37" s="1"/>
  <c r="AA558" i="37"/>
  <c r="AG558" i="37" s="1"/>
  <c r="AA589" i="37"/>
  <c r="AG589" i="37" s="1"/>
  <c r="AA340" i="38"/>
  <c r="AA308" i="38"/>
  <c r="AA276" i="38"/>
  <c r="AA244" i="38"/>
  <c r="AA321" i="38"/>
  <c r="AA289" i="38"/>
  <c r="AA257" i="38"/>
  <c r="AA564" i="37"/>
  <c r="AG564" i="37" s="1"/>
  <c r="AA547" i="37"/>
  <c r="AG547" i="37" s="1"/>
  <c r="AA530" i="37"/>
  <c r="AG530" i="37" s="1"/>
  <c r="AA576" i="37"/>
  <c r="AG576" i="37" s="1"/>
  <c r="AA559" i="37"/>
  <c r="AG559" i="37" s="1"/>
  <c r="AA542" i="37"/>
  <c r="AG542" i="37" s="1"/>
  <c r="AA509" i="37"/>
  <c r="AG509" i="37" s="1"/>
  <c r="AA336" i="38"/>
  <c r="AA304" i="38"/>
  <c r="AA272" i="38"/>
  <c r="AA240" i="38"/>
  <c r="AA317" i="38"/>
  <c r="AA285" i="38"/>
  <c r="AA253" i="38"/>
  <c r="AA548" i="37"/>
  <c r="AG548" i="37" s="1"/>
  <c r="AA531" i="37"/>
  <c r="AG531" i="37" s="1"/>
  <c r="AA585" i="37"/>
  <c r="AG585" i="37" s="1"/>
  <c r="AA560" i="37"/>
  <c r="AG560" i="37" s="1"/>
  <c r="AA543" i="37"/>
  <c r="AG543" i="37" s="1"/>
  <c r="AA526" i="37"/>
  <c r="AG526" i="37" s="1"/>
  <c r="AA549" i="37"/>
  <c r="AG549" i="37" s="1"/>
  <c r="X43" i="33"/>
  <c r="AA5" i="33"/>
  <c r="AA43" i="33" s="1"/>
  <c r="K14" i="45" l="1"/>
  <c r="K15" i="45"/>
  <c r="N9" i="45"/>
  <c r="N7" i="45"/>
  <c r="N13" i="45" s="1"/>
  <c r="N11" i="45"/>
  <c r="S5" i="43"/>
  <c r="S57" i="43" s="1"/>
  <c r="S53" i="30"/>
  <c r="C14" i="45"/>
  <c r="C15" i="45"/>
  <c r="AB53" i="29"/>
  <c r="H15" i="45"/>
  <c r="H14" i="45"/>
  <c r="J7" i="46"/>
  <c r="J9" i="46"/>
  <c r="J15" i="46" s="1"/>
  <c r="AA5" i="34"/>
  <c r="X43" i="34"/>
  <c r="AG609" i="37"/>
  <c r="L609" i="41"/>
  <c r="O609" i="41" s="1"/>
  <c r="L653" i="41"/>
  <c r="O653" i="41" s="1"/>
  <c r="AG653" i="37"/>
  <c r="AG608" i="37"/>
  <c r="L608" i="41"/>
  <c r="O608" i="41" s="1"/>
  <c r="AG627" i="37"/>
  <c r="L627" i="41"/>
  <c r="O627" i="41" s="1"/>
  <c r="AG643" i="37"/>
  <c r="L643" i="41"/>
  <c r="O643" i="41" s="1"/>
  <c r="AG654" i="37"/>
  <c r="L654" i="41"/>
  <c r="O654" i="41" s="1"/>
  <c r="AG418" i="37"/>
  <c r="L418" i="41"/>
  <c r="O418" i="41" s="1"/>
  <c r="AG428" i="37"/>
  <c r="L428" i="41"/>
  <c r="O428" i="41" s="1"/>
  <c r="AG407" i="37"/>
  <c r="L407" i="41"/>
  <c r="O407" i="41" s="1"/>
  <c r="L591" i="41"/>
  <c r="O591" i="41" s="1"/>
  <c r="L596" i="41"/>
  <c r="O596" i="41" s="1"/>
  <c r="L539" i="41"/>
  <c r="O539" i="41" s="1"/>
  <c r="L589" i="41"/>
  <c r="O589" i="41" s="1"/>
  <c r="L552" i="41"/>
  <c r="O552" i="41" s="1"/>
  <c r="L520" i="41"/>
  <c r="O520" i="41" s="1"/>
  <c r="L597" i="41"/>
  <c r="O597" i="41" s="1"/>
  <c r="L561" i="41"/>
  <c r="O561" i="41" s="1"/>
  <c r="L529" i="41"/>
  <c r="O529" i="41" s="1"/>
  <c r="L497" i="41"/>
  <c r="O497" i="41" s="1"/>
  <c r="L495" i="41"/>
  <c r="O495" i="41" s="1"/>
  <c r="L491" i="41"/>
  <c r="O491" i="41" s="1"/>
  <c r="L522" i="41"/>
  <c r="O522" i="41" s="1"/>
  <c r="L554" i="41"/>
  <c r="O554" i="41" s="1"/>
  <c r="L587" i="41"/>
  <c r="O587" i="41" s="1"/>
  <c r="L569" i="41"/>
  <c r="O569" i="41" s="1"/>
  <c r="L535" i="41"/>
  <c r="O535" i="41" s="1"/>
  <c r="L584" i="41"/>
  <c r="O584" i="41" s="1"/>
  <c r="L548" i="41"/>
  <c r="O548" i="41" s="1"/>
  <c r="L516" i="41"/>
  <c r="O516" i="41" s="1"/>
  <c r="L592" i="41"/>
  <c r="O592" i="41" s="1"/>
  <c r="L557" i="41"/>
  <c r="O557" i="41" s="1"/>
  <c r="L525" i="41"/>
  <c r="O525" i="41" s="1"/>
  <c r="L493" i="41"/>
  <c r="O493" i="41" s="1"/>
  <c r="L593" i="41"/>
  <c r="O593" i="41" s="1"/>
  <c r="L581" i="41"/>
  <c r="O581" i="41" s="1"/>
  <c r="L507" i="41"/>
  <c r="O507" i="41" s="1"/>
  <c r="L499" i="41"/>
  <c r="O499" i="41" s="1"/>
  <c r="L583" i="41"/>
  <c r="O583" i="41" s="1"/>
  <c r="L566" i="41"/>
  <c r="O566" i="41" s="1"/>
  <c r="L531" i="41"/>
  <c r="O531" i="41" s="1"/>
  <c r="L576" i="41"/>
  <c r="O576" i="41" s="1"/>
  <c r="L544" i="41"/>
  <c r="O544" i="41" s="1"/>
  <c r="L512" i="41"/>
  <c r="O512" i="41" s="1"/>
  <c r="L564" i="41"/>
  <c r="O564" i="41" s="1"/>
  <c r="L553" i="41"/>
  <c r="O553" i="41" s="1"/>
  <c r="L521" i="41"/>
  <c r="O521" i="41" s="1"/>
  <c r="L568" i="41"/>
  <c r="O568" i="41" s="1"/>
  <c r="L510" i="41"/>
  <c r="O510" i="41" s="1"/>
  <c r="L572" i="41"/>
  <c r="O572" i="41" s="1"/>
  <c r="L503" i="41"/>
  <c r="O503" i="41" s="1"/>
  <c r="L490" i="41"/>
  <c r="L579" i="41"/>
  <c r="O579" i="41" s="1"/>
  <c r="L559" i="41"/>
  <c r="O559" i="41" s="1"/>
  <c r="L582" i="41"/>
  <c r="O582" i="41" s="1"/>
  <c r="L540" i="41"/>
  <c r="O540" i="41" s="1"/>
  <c r="L508" i="41"/>
  <c r="O508" i="41" s="1"/>
  <c r="L590" i="41"/>
  <c r="O590" i="41" s="1"/>
  <c r="L549" i="41"/>
  <c r="O549" i="41" s="1"/>
  <c r="L517" i="41"/>
  <c r="O517" i="41" s="1"/>
  <c r="L565" i="41"/>
  <c r="O565" i="41" s="1"/>
  <c r="L526" i="41"/>
  <c r="O526" i="41" s="1"/>
  <c r="L575" i="41"/>
  <c r="O575" i="41" s="1"/>
  <c r="L555" i="41"/>
  <c r="O555" i="41" s="1"/>
  <c r="L523" i="41"/>
  <c r="O523" i="41" s="1"/>
  <c r="L573" i="41"/>
  <c r="O573" i="41" s="1"/>
  <c r="L536" i="41"/>
  <c r="O536" i="41" s="1"/>
  <c r="L504" i="41"/>
  <c r="O504" i="41" s="1"/>
  <c r="L585" i="41"/>
  <c r="O585" i="41" s="1"/>
  <c r="L545" i="41"/>
  <c r="O545" i="41" s="1"/>
  <c r="L513" i="41"/>
  <c r="O513" i="41" s="1"/>
  <c r="L586" i="41"/>
  <c r="O586" i="41" s="1"/>
  <c r="L562" i="41"/>
  <c r="O562" i="41" s="1"/>
  <c r="L588" i="41"/>
  <c r="O588" i="41" s="1"/>
  <c r="L518" i="41"/>
  <c r="O518" i="41" s="1"/>
  <c r="L511" i="41"/>
  <c r="O511" i="41" s="1"/>
  <c r="AG401" i="37"/>
  <c r="L571" i="41"/>
  <c r="O571" i="41" s="1"/>
  <c r="L551" i="41"/>
  <c r="O551" i="41" s="1"/>
  <c r="L519" i="41"/>
  <c r="O519" i="41" s="1"/>
  <c r="L570" i="41"/>
  <c r="O570" i="41" s="1"/>
  <c r="L532" i="41"/>
  <c r="O532" i="41" s="1"/>
  <c r="L500" i="41"/>
  <c r="O500" i="41" s="1"/>
  <c r="L580" i="41"/>
  <c r="O580" i="41" s="1"/>
  <c r="L541" i="41"/>
  <c r="O541" i="41" s="1"/>
  <c r="L509" i="41"/>
  <c r="O509" i="41" s="1"/>
  <c r="L550" i="41"/>
  <c r="O550" i="41" s="1"/>
  <c r="L546" i="41"/>
  <c r="O546" i="41" s="1"/>
  <c r="L578" i="41"/>
  <c r="O578" i="41" s="1"/>
  <c r="L401" i="41"/>
  <c r="L506" i="41"/>
  <c r="O506" i="41" s="1"/>
  <c r="L599" i="41"/>
  <c r="O599" i="41" s="1"/>
  <c r="L567" i="41"/>
  <c r="O567" i="41" s="1"/>
  <c r="L547" i="41"/>
  <c r="O547" i="41" s="1"/>
  <c r="L515" i="41"/>
  <c r="O515" i="41" s="1"/>
  <c r="L560" i="41"/>
  <c r="O560" i="41" s="1"/>
  <c r="L528" i="41"/>
  <c r="O528" i="41" s="1"/>
  <c r="L496" i="41"/>
  <c r="O496" i="41" s="1"/>
  <c r="L577" i="41"/>
  <c r="O577" i="41" s="1"/>
  <c r="L537" i="41"/>
  <c r="O537" i="41" s="1"/>
  <c r="L505" i="41"/>
  <c r="O505" i="41" s="1"/>
  <c r="L534" i="41"/>
  <c r="O534" i="41" s="1"/>
  <c r="L530" i="41"/>
  <c r="O530" i="41" s="1"/>
  <c r="L558" i="41"/>
  <c r="O558" i="41" s="1"/>
  <c r="L514" i="41"/>
  <c r="O514" i="41" s="1"/>
  <c r="L527" i="41"/>
  <c r="O527" i="41" s="1"/>
  <c r="L538" i="41"/>
  <c r="O538" i="41" s="1"/>
  <c r="L595" i="41"/>
  <c r="O595" i="41" s="1"/>
  <c r="L563" i="41"/>
  <c r="O563" i="41" s="1"/>
  <c r="L543" i="41"/>
  <c r="O543" i="41" s="1"/>
  <c r="L594" i="41"/>
  <c r="O594" i="41" s="1"/>
  <c r="L556" i="41"/>
  <c r="O556" i="41" s="1"/>
  <c r="L524" i="41"/>
  <c r="O524" i="41" s="1"/>
  <c r="L492" i="41"/>
  <c r="O492" i="41" s="1"/>
  <c r="L574" i="41"/>
  <c r="O574" i="41" s="1"/>
  <c r="L533" i="41"/>
  <c r="O533" i="41" s="1"/>
  <c r="L501" i="41"/>
  <c r="O501" i="41" s="1"/>
  <c r="L502" i="41"/>
  <c r="O502" i="41" s="1"/>
  <c r="L498" i="41"/>
  <c r="O498" i="41" s="1"/>
  <c r="L542" i="41"/>
  <c r="O542" i="41" s="1"/>
  <c r="L598" i="41"/>
  <c r="O598" i="41" s="1"/>
  <c r="L494" i="41"/>
  <c r="O494" i="41" s="1"/>
  <c r="AG413" i="37"/>
  <c r="L413" i="41"/>
  <c r="O413" i="41" s="1"/>
  <c r="L40" i="41"/>
  <c r="O40" i="41" s="1"/>
  <c r="AG40" i="37"/>
  <c r="AG191" i="37"/>
  <c r="L191" i="41"/>
  <c r="O191" i="41" s="1"/>
  <c r="AG33" i="37"/>
  <c r="L33" i="41"/>
  <c r="O33" i="41" s="1"/>
  <c r="L221" i="41"/>
  <c r="O221" i="41" s="1"/>
  <c r="AG221" i="37"/>
  <c r="AG12" i="37"/>
  <c r="L12" i="41"/>
  <c r="O12" i="41" s="1"/>
  <c r="AG32" i="37"/>
  <c r="L32" i="41"/>
  <c r="O32" i="41" s="1"/>
  <c r="AG128" i="37"/>
  <c r="L128" i="41"/>
  <c r="O128" i="41" s="1"/>
  <c r="AG124" i="37"/>
  <c r="L124" i="41"/>
  <c r="O124" i="41" s="1"/>
  <c r="AG194" i="37"/>
  <c r="L194" i="41"/>
  <c r="O194" i="41" s="1"/>
  <c r="L265" i="41"/>
  <c r="O265" i="41" s="1"/>
  <c r="L262" i="41"/>
  <c r="O262" i="41" s="1"/>
  <c r="L376" i="41"/>
  <c r="O376" i="41" s="1"/>
  <c r="L258" i="41"/>
  <c r="O258" i="41" s="1"/>
  <c r="L371" i="41"/>
  <c r="O371" i="41" s="1"/>
  <c r="L335" i="41"/>
  <c r="O335" i="41" s="1"/>
  <c r="L338" i="41"/>
  <c r="O338" i="41" s="1"/>
  <c r="L257" i="41"/>
  <c r="O257" i="41" s="1"/>
  <c r="L367" i="41"/>
  <c r="O367" i="41" s="1"/>
  <c r="L373" i="41"/>
  <c r="O373" i="41" s="1"/>
  <c r="L266" i="41"/>
  <c r="O266" i="41" s="1"/>
  <c r="L336" i="41"/>
  <c r="O336" i="41" s="1"/>
  <c r="L275" i="41"/>
  <c r="O275" i="41" s="1"/>
  <c r="L259" i="41"/>
  <c r="O259" i="41" s="1"/>
  <c r="AG230" i="37"/>
  <c r="L374" i="41"/>
  <c r="O374" i="41" s="1"/>
  <c r="L339" i="41"/>
  <c r="O339" i="41" s="1"/>
  <c r="L370" i="41"/>
  <c r="O370" i="41" s="1"/>
  <c r="L372" i="41"/>
  <c r="O372" i="41" s="1"/>
  <c r="L283" i="41"/>
  <c r="O283" i="41" s="1"/>
  <c r="L267" i="41"/>
  <c r="O267" i="41" s="1"/>
  <c r="L285" i="41"/>
  <c r="O285" i="41" s="1"/>
  <c r="L369" i="41"/>
  <c r="O369" i="41" s="1"/>
  <c r="L366" i="41"/>
  <c r="O366" i="41" s="1"/>
  <c r="L287" i="41"/>
  <c r="O287" i="41" s="1"/>
  <c r="L280" i="41"/>
  <c r="O280" i="41" s="1"/>
  <c r="L368" i="41"/>
  <c r="O368" i="41" s="1"/>
  <c r="L276" i="41"/>
  <c r="O276" i="41" s="1"/>
  <c r="L365" i="41"/>
  <c r="O365" i="41" s="1"/>
  <c r="L337" i="41"/>
  <c r="O337" i="41" s="1"/>
  <c r="L334" i="41"/>
  <c r="O334" i="41" s="1"/>
  <c r="L284" i="41"/>
  <c r="O284" i="41" s="1"/>
  <c r="L277" i="41"/>
  <c r="O277" i="41" s="1"/>
  <c r="L330" i="41"/>
  <c r="O330" i="41" s="1"/>
  <c r="L272" i="41"/>
  <c r="O272" i="41" s="1"/>
  <c r="L256" i="41"/>
  <c r="O256" i="41" s="1"/>
  <c r="L230" i="41"/>
  <c r="O230" i="41" s="1"/>
  <c r="L329" i="41"/>
  <c r="O329" i="41" s="1"/>
  <c r="L286" i="41"/>
  <c r="O286" i="41" s="1"/>
  <c r="L271" i="41"/>
  <c r="O271" i="41" s="1"/>
  <c r="L274" i="41"/>
  <c r="O274" i="41" s="1"/>
  <c r="L269" i="41"/>
  <c r="O269" i="41" s="1"/>
  <c r="L340" i="41"/>
  <c r="O340" i="41" s="1"/>
  <c r="L331" i="41"/>
  <c r="O331" i="41" s="1"/>
  <c r="L260" i="41"/>
  <c r="O260" i="41" s="1"/>
  <c r="L281" i="41"/>
  <c r="O281" i="41" s="1"/>
  <c r="L278" i="41"/>
  <c r="O278" i="41" s="1"/>
  <c r="L268" i="41"/>
  <c r="O268" i="41" s="1"/>
  <c r="L264" i="41"/>
  <c r="O264" i="41" s="1"/>
  <c r="L375" i="41"/>
  <c r="O375" i="41" s="1"/>
  <c r="L332" i="41"/>
  <c r="O332" i="41" s="1"/>
  <c r="L282" i="41"/>
  <c r="O282" i="41" s="1"/>
  <c r="L273" i="41"/>
  <c r="O273" i="41" s="1"/>
  <c r="L270" i="41"/>
  <c r="O270" i="41" s="1"/>
  <c r="L255" i="41"/>
  <c r="O255" i="41" s="1"/>
  <c r="L261" i="41"/>
  <c r="O261" i="41" s="1"/>
  <c r="L333" i="41"/>
  <c r="O333" i="41" s="1"/>
  <c r="L279" i="41"/>
  <c r="O279" i="41" s="1"/>
  <c r="L263" i="41"/>
  <c r="O263" i="41" s="1"/>
  <c r="AG683" i="37"/>
  <c r="L683" i="41"/>
  <c r="O683" i="41" s="1"/>
  <c r="L677" i="41"/>
  <c r="O677" i="41" s="1"/>
  <c r="AG677" i="37"/>
  <c r="L679" i="41"/>
  <c r="O679" i="41" s="1"/>
  <c r="AG679" i="37"/>
  <c r="AG636" i="37"/>
  <c r="L636" i="41"/>
  <c r="O636" i="41" s="1"/>
  <c r="AG611" i="37"/>
  <c r="L611" i="41"/>
  <c r="O611" i="41" s="1"/>
  <c r="AG641" i="37"/>
  <c r="L641" i="41"/>
  <c r="O641" i="41" s="1"/>
  <c r="AG614" i="37"/>
  <c r="L614" i="41"/>
  <c r="O614" i="41" s="1"/>
  <c r="AG610" i="37"/>
  <c r="L610" i="41"/>
  <c r="O610" i="41" s="1"/>
  <c r="AG618" i="37"/>
  <c r="L618" i="41"/>
  <c r="O618" i="41" s="1"/>
  <c r="L646" i="41"/>
  <c r="O646" i="41" s="1"/>
  <c r="AG646" i="37"/>
  <c r="AG616" i="37"/>
  <c r="L616" i="41"/>
  <c r="O616" i="41" s="1"/>
  <c r="L439" i="41"/>
  <c r="O439" i="41" s="1"/>
  <c r="AG439" i="37"/>
  <c r="AG414" i="37"/>
  <c r="L414" i="41"/>
  <c r="O414" i="41" s="1"/>
  <c r="AG425" i="37"/>
  <c r="L425" i="41"/>
  <c r="O425" i="41" s="1"/>
  <c r="AG427" i="37"/>
  <c r="L427" i="41"/>
  <c r="O427" i="41" s="1"/>
  <c r="AG438" i="37"/>
  <c r="L438" i="41"/>
  <c r="O438" i="41" s="1"/>
  <c r="AG38" i="37"/>
  <c r="L38" i="41"/>
  <c r="O38" i="41" s="1"/>
  <c r="AG31" i="37"/>
  <c r="L31" i="41"/>
  <c r="O31" i="41" s="1"/>
  <c r="AG138" i="37"/>
  <c r="L138" i="41"/>
  <c r="O138" i="41" s="1"/>
  <c r="AG126" i="37"/>
  <c r="L126" i="41"/>
  <c r="O126" i="41" s="1"/>
  <c r="AG223" i="37"/>
  <c r="L223" i="41"/>
  <c r="O223" i="41" s="1"/>
  <c r="AG140" i="37"/>
  <c r="L140" i="41"/>
  <c r="O140" i="41" s="1"/>
  <c r="AG224" i="37"/>
  <c r="L224" i="41"/>
  <c r="O224" i="41" s="1"/>
  <c r="AG37" i="37"/>
  <c r="L37" i="41"/>
  <c r="O37" i="41" s="1"/>
  <c r="AG135" i="37"/>
  <c r="L135" i="41"/>
  <c r="O135" i="41" s="1"/>
  <c r="AG190" i="37"/>
  <c r="L190" i="41"/>
  <c r="O190" i="41" s="1"/>
  <c r="AG137" i="37"/>
  <c r="L137" i="41"/>
  <c r="O137" i="41" s="1"/>
  <c r="AG693" i="37"/>
  <c r="L693" i="41"/>
  <c r="O693" i="41" s="1"/>
  <c r="AG671" i="37"/>
  <c r="L671" i="41"/>
  <c r="O671" i="41" s="1"/>
  <c r="AG675" i="37"/>
  <c r="L675" i="41"/>
  <c r="O675" i="41" s="1"/>
  <c r="AG615" i="37"/>
  <c r="L615" i="41"/>
  <c r="O615" i="41" s="1"/>
  <c r="AG645" i="37"/>
  <c r="L645" i="41"/>
  <c r="O645" i="41" s="1"/>
  <c r="AG600" i="37"/>
  <c r="L600" i="41"/>
  <c r="AG620" i="37"/>
  <c r="L620" i="41"/>
  <c r="O620" i="41" s="1"/>
  <c r="AG635" i="37"/>
  <c r="L635" i="41"/>
  <c r="O635" i="41" s="1"/>
  <c r="AG651" i="37"/>
  <c r="L651" i="41"/>
  <c r="O651" i="41" s="1"/>
  <c r="AG644" i="37"/>
  <c r="L644" i="41"/>
  <c r="O644" i="41" s="1"/>
  <c r="AG435" i="37"/>
  <c r="L435" i="41"/>
  <c r="O435" i="41" s="1"/>
  <c r="AG409" i="37"/>
  <c r="L409" i="41"/>
  <c r="O409" i="41" s="1"/>
  <c r="L405" i="41"/>
  <c r="O405" i="41" s="1"/>
  <c r="AG405" i="37"/>
  <c r="AG404" i="37"/>
  <c r="L404" i="41"/>
  <c r="O404" i="41" s="1"/>
  <c r="L424" i="41"/>
  <c r="O424" i="41" s="1"/>
  <c r="AG424" i="37"/>
  <c r="AG3" i="37"/>
  <c r="L3" i="41"/>
  <c r="O3" i="41" s="1"/>
  <c r="AG186" i="37"/>
  <c r="L186" i="41"/>
  <c r="O186" i="41" s="1"/>
  <c r="AG219" i="37"/>
  <c r="L219" i="41"/>
  <c r="O219" i="41" s="1"/>
  <c r="AG188" i="37"/>
  <c r="L188" i="41"/>
  <c r="O188" i="41" s="1"/>
  <c r="AG42" i="37"/>
  <c r="L42" i="41"/>
  <c r="O42" i="41" s="1"/>
  <c r="AG136" i="37"/>
  <c r="L136" i="41"/>
  <c r="O136" i="41" s="1"/>
  <c r="AG687" i="37"/>
  <c r="L687" i="41"/>
  <c r="O687" i="41" s="1"/>
  <c r="AG673" i="37"/>
  <c r="L673" i="41"/>
  <c r="O673" i="41" s="1"/>
  <c r="AG681" i="37"/>
  <c r="L681" i="41"/>
  <c r="O681" i="41" s="1"/>
  <c r="AA172" i="37"/>
  <c r="AG172" i="37" s="1"/>
  <c r="AA18" i="37"/>
  <c r="AG18" i="37" s="1"/>
  <c r="AA69" i="37"/>
  <c r="AG69" i="37" s="1"/>
  <c r="AA212" i="37"/>
  <c r="AA215" i="37"/>
  <c r="L215" i="41" s="1"/>
  <c r="O215" i="41" s="1"/>
  <c r="AA245" i="37"/>
  <c r="AA143" i="38"/>
  <c r="AA355" i="37"/>
  <c r="AG355" i="37" s="1"/>
  <c r="AA179" i="38"/>
  <c r="AA145" i="38"/>
  <c r="AA96" i="38"/>
  <c r="AA144" i="38"/>
  <c r="AA399" i="37"/>
  <c r="AG399" i="37" s="1"/>
  <c r="AG603" i="37"/>
  <c r="L603" i="41"/>
  <c r="O603" i="41" s="1"/>
  <c r="AG633" i="37"/>
  <c r="L633" i="41"/>
  <c r="O633" i="41" s="1"/>
  <c r="AG606" i="37"/>
  <c r="L606" i="41"/>
  <c r="O606" i="41" s="1"/>
  <c r="AG602" i="37"/>
  <c r="L602" i="41"/>
  <c r="O602" i="41" s="1"/>
  <c r="AG631" i="37"/>
  <c r="L631" i="41"/>
  <c r="O631" i="41" s="1"/>
  <c r="L647" i="41"/>
  <c r="O647" i="41" s="1"/>
  <c r="AG647" i="37"/>
  <c r="AG655" i="37"/>
  <c r="L655" i="41"/>
  <c r="O655" i="41" s="1"/>
  <c r="AG619" i="37"/>
  <c r="L619" i="41"/>
  <c r="O619" i="41" s="1"/>
  <c r="AG601" i="37"/>
  <c r="L601" i="41"/>
  <c r="O601" i="41" s="1"/>
  <c r="AG426" i="37"/>
  <c r="L426" i="41"/>
  <c r="O426" i="41" s="1"/>
  <c r="AG423" i="37"/>
  <c r="L423" i="41"/>
  <c r="O423" i="41" s="1"/>
  <c r="AG437" i="37"/>
  <c r="L437" i="41"/>
  <c r="O437" i="41" s="1"/>
  <c r="AG411" i="37"/>
  <c r="L411" i="41"/>
  <c r="O411" i="41" s="1"/>
  <c r="AG141" i="37"/>
  <c r="L141" i="41"/>
  <c r="O141" i="41" s="1"/>
  <c r="AG26" i="37"/>
  <c r="L26" i="41"/>
  <c r="O26" i="41" s="1"/>
  <c r="AG123" i="37"/>
  <c r="L123" i="41"/>
  <c r="O123" i="41" s="1"/>
  <c r="AG29" i="37"/>
  <c r="L29" i="41"/>
  <c r="O29" i="41" s="1"/>
  <c r="AG36" i="37"/>
  <c r="L36" i="41"/>
  <c r="O36" i="41" s="1"/>
  <c r="AG30" i="37"/>
  <c r="L30" i="41"/>
  <c r="O30" i="41" s="1"/>
  <c r="AG11" i="37"/>
  <c r="L11" i="41"/>
  <c r="O11" i="41" s="1"/>
  <c r="AG35" i="37"/>
  <c r="L35" i="41"/>
  <c r="O35" i="41" s="1"/>
  <c r="AG684" i="37"/>
  <c r="L684" i="41"/>
  <c r="O684" i="41" s="1"/>
  <c r="AG689" i="37"/>
  <c r="L689" i="41"/>
  <c r="O689" i="41" s="1"/>
  <c r="AG674" i="37"/>
  <c r="L674" i="41"/>
  <c r="O674" i="41" s="1"/>
  <c r="AP4" i="37"/>
  <c r="AQ4" i="37" s="1"/>
  <c r="AC10" i="41"/>
  <c r="AG637" i="37"/>
  <c r="L637" i="41"/>
  <c r="O637" i="41" s="1"/>
  <c r="L656" i="41"/>
  <c r="O656" i="41" s="1"/>
  <c r="AG656" i="37"/>
  <c r="AG604" i="37"/>
  <c r="L604" i="41"/>
  <c r="O604" i="41" s="1"/>
  <c r="L626" i="41"/>
  <c r="O626" i="41" s="1"/>
  <c r="AG626" i="37"/>
  <c r="AG634" i="37"/>
  <c r="L634" i="41"/>
  <c r="O634" i="41" s="1"/>
  <c r="AG650" i="37"/>
  <c r="L650" i="41"/>
  <c r="O650" i="41" s="1"/>
  <c r="AG629" i="37"/>
  <c r="L629" i="41"/>
  <c r="O629" i="41" s="1"/>
  <c r="L630" i="41"/>
  <c r="O630" i="41" s="1"/>
  <c r="AG630" i="37"/>
  <c r="AG416" i="37"/>
  <c r="L416" i="41"/>
  <c r="O416" i="41" s="1"/>
  <c r="AG434" i="37"/>
  <c r="L434" i="41"/>
  <c r="O434" i="41" s="1"/>
  <c r="AG403" i="37"/>
  <c r="L403" i="41"/>
  <c r="O403" i="41" s="1"/>
  <c r="L422" i="41"/>
  <c r="O422" i="41" s="1"/>
  <c r="AG422" i="37"/>
  <c r="AG436" i="37"/>
  <c r="L436" i="41"/>
  <c r="O436" i="41" s="1"/>
  <c r="AG220" i="37"/>
  <c r="L220" i="41"/>
  <c r="O220" i="41" s="1"/>
  <c r="AG7" i="37"/>
  <c r="L7" i="41"/>
  <c r="O7" i="41" s="1"/>
  <c r="L43" i="41"/>
  <c r="O43" i="41" s="1"/>
  <c r="AG43" i="37"/>
  <c r="AG185" i="37"/>
  <c r="L185" i="41"/>
  <c r="O185" i="41" s="1"/>
  <c r="AG41" i="37"/>
  <c r="L41" i="41"/>
  <c r="O41" i="41" s="1"/>
  <c r="AG184" i="37"/>
  <c r="L184" i="41"/>
  <c r="O184" i="41" s="1"/>
  <c r="L9" i="41"/>
  <c r="O9" i="41" s="1"/>
  <c r="AG9" i="37"/>
  <c r="AG4" i="37"/>
  <c r="L4" i="41"/>
  <c r="O4" i="41" s="1"/>
  <c r="AG28" i="37"/>
  <c r="L28" i="41"/>
  <c r="O28" i="41" s="1"/>
  <c r="AG690" i="37"/>
  <c r="L690" i="41"/>
  <c r="O690" i="41" s="1"/>
  <c r="AG688" i="37"/>
  <c r="L688" i="41"/>
  <c r="O688" i="41" s="1"/>
  <c r="AG672" i="37"/>
  <c r="L672" i="41"/>
  <c r="O672" i="41" s="1"/>
  <c r="AG640" i="37"/>
  <c r="L640" i="41"/>
  <c r="O640" i="41" s="1"/>
  <c r="L628" i="41"/>
  <c r="O628" i="41" s="1"/>
  <c r="AG628" i="37"/>
  <c r="L623" i="41"/>
  <c r="O623" i="41" s="1"/>
  <c r="AG623" i="37"/>
  <c r="AG639" i="37"/>
  <c r="L639" i="41"/>
  <c r="O639" i="41" s="1"/>
  <c r="AG612" i="37"/>
  <c r="L612" i="41"/>
  <c r="O612" i="41" s="1"/>
  <c r="AG410" i="37"/>
  <c r="L410" i="41"/>
  <c r="O410" i="41" s="1"/>
  <c r="L412" i="41"/>
  <c r="O412" i="41" s="1"/>
  <c r="AG412" i="37"/>
  <c r="AG430" i="37"/>
  <c r="L430" i="41"/>
  <c r="O430" i="41" s="1"/>
  <c r="AG402" i="37"/>
  <c r="L402" i="41"/>
  <c r="O402" i="41" s="1"/>
  <c r="AG408" i="37"/>
  <c r="L408" i="41"/>
  <c r="O408" i="41" s="1"/>
  <c r="AG142" i="37"/>
  <c r="L142" i="41"/>
  <c r="O142" i="41" s="1"/>
  <c r="AG133" i="37"/>
  <c r="L133" i="41"/>
  <c r="O133" i="41" s="1"/>
  <c r="AG222" i="37"/>
  <c r="L222" i="41"/>
  <c r="O222" i="41" s="1"/>
  <c r="AG34" i="37"/>
  <c r="L34" i="41"/>
  <c r="O34" i="41" s="1"/>
  <c r="L187" i="41"/>
  <c r="O187" i="41" s="1"/>
  <c r="AG187" i="37"/>
  <c r="L183" i="41"/>
  <c r="O183" i="41" s="1"/>
  <c r="AG183" i="37"/>
  <c r="AG134" i="37"/>
  <c r="L134" i="41"/>
  <c r="O134" i="41" s="1"/>
  <c r="L2" i="41"/>
  <c r="O2" i="41" s="1"/>
  <c r="AG2" i="37"/>
  <c r="L225" i="41"/>
  <c r="O225" i="41" s="1"/>
  <c r="AG225" i="37"/>
  <c r="AG6" i="37"/>
  <c r="L6" i="41"/>
  <c r="O6" i="41" s="1"/>
  <c r="AG13" i="37"/>
  <c r="L13" i="41"/>
  <c r="O13" i="41" s="1"/>
  <c r="AG686" i="37"/>
  <c r="L686" i="41"/>
  <c r="O686" i="41" s="1"/>
  <c r="L682" i="41"/>
  <c r="O682" i="41" s="1"/>
  <c r="AG682" i="37"/>
  <c r="AG676" i="37"/>
  <c r="L676" i="41"/>
  <c r="O676" i="41" s="1"/>
  <c r="L489" i="41"/>
  <c r="O489" i="41" s="1"/>
  <c r="L457" i="41"/>
  <c r="O457" i="41" s="1"/>
  <c r="L454" i="41"/>
  <c r="O454" i="41" s="1"/>
  <c r="L447" i="41"/>
  <c r="O447" i="41" s="1"/>
  <c r="L482" i="41"/>
  <c r="O482" i="41" s="1"/>
  <c r="L468" i="41"/>
  <c r="O468" i="41" s="1"/>
  <c r="L460" i="41"/>
  <c r="O460" i="41" s="1"/>
  <c r="L485" i="41"/>
  <c r="O485" i="41" s="1"/>
  <c r="L453" i="41"/>
  <c r="O453" i="41" s="1"/>
  <c r="L440" i="41"/>
  <c r="O440" i="41" s="1"/>
  <c r="L483" i="41"/>
  <c r="O483" i="41" s="1"/>
  <c r="L475" i="41"/>
  <c r="O475" i="41" s="1"/>
  <c r="L450" i="41"/>
  <c r="O450" i="41" s="1"/>
  <c r="L442" i="41"/>
  <c r="O442" i="41" s="1"/>
  <c r="L481" i="41"/>
  <c r="O481" i="41" s="1"/>
  <c r="L449" i="41"/>
  <c r="O449" i="41" s="1"/>
  <c r="L476" i="41"/>
  <c r="O476" i="41" s="1"/>
  <c r="L459" i="41"/>
  <c r="O459" i="41" s="1"/>
  <c r="L451" i="41"/>
  <c r="O451" i="41" s="1"/>
  <c r="L443" i="41"/>
  <c r="O443" i="41" s="1"/>
  <c r="L473" i="41"/>
  <c r="O473" i="41" s="1"/>
  <c r="L441" i="41"/>
  <c r="O441" i="41" s="1"/>
  <c r="L458" i="41"/>
  <c r="O458" i="41" s="1"/>
  <c r="L488" i="41"/>
  <c r="O488" i="41" s="1"/>
  <c r="L480" i="41"/>
  <c r="O480" i="41" s="1"/>
  <c r="L455" i="41"/>
  <c r="O455" i="41" s="1"/>
  <c r="L469" i="41"/>
  <c r="O469" i="41" s="1"/>
  <c r="L486" i="41"/>
  <c r="O486" i="41" s="1"/>
  <c r="L444" i="41"/>
  <c r="O444" i="41" s="1"/>
  <c r="L470" i="41"/>
  <c r="O470" i="41" s="1"/>
  <c r="L462" i="41"/>
  <c r="O462" i="41" s="1"/>
  <c r="L448" i="41"/>
  <c r="O448" i="41" s="1"/>
  <c r="L465" i="41"/>
  <c r="O465" i="41" s="1"/>
  <c r="L472" i="41"/>
  <c r="O472" i="41" s="1"/>
  <c r="L478" i="41"/>
  <c r="O478" i="41" s="1"/>
  <c r="L464" i="41"/>
  <c r="O464" i="41" s="1"/>
  <c r="L456" i="41"/>
  <c r="O456" i="41" s="1"/>
  <c r="L484" i="41"/>
  <c r="O484" i="41" s="1"/>
  <c r="AG477" i="37"/>
  <c r="L461" i="41"/>
  <c r="O461" i="41" s="1"/>
  <c r="L463" i="41"/>
  <c r="O463" i="41" s="1"/>
  <c r="L471" i="41"/>
  <c r="O471" i="41" s="1"/>
  <c r="L446" i="41"/>
  <c r="O446" i="41" s="1"/>
  <c r="L474" i="41"/>
  <c r="O474" i="41" s="1"/>
  <c r="L466" i="41"/>
  <c r="O466" i="41" s="1"/>
  <c r="L452" i="41"/>
  <c r="O452" i="41" s="1"/>
  <c r="L479" i="41"/>
  <c r="O479" i="41" s="1"/>
  <c r="L477" i="41"/>
  <c r="O477" i="41" s="1"/>
  <c r="L445" i="41"/>
  <c r="O445" i="41" s="1"/>
  <c r="L467" i="41"/>
  <c r="O467" i="41" s="1"/>
  <c r="L487" i="41"/>
  <c r="O487" i="41" s="1"/>
  <c r="AG652" i="37"/>
  <c r="L652" i="41"/>
  <c r="O652" i="41" s="1"/>
  <c r="AG617" i="37"/>
  <c r="L617" i="41"/>
  <c r="O617" i="41" s="1"/>
  <c r="AG648" i="37"/>
  <c r="L648" i="41"/>
  <c r="O648" i="41" s="1"/>
  <c r="L605" i="41"/>
  <c r="O605" i="41" s="1"/>
  <c r="AG605" i="37"/>
  <c r="AG613" i="37"/>
  <c r="L613" i="41"/>
  <c r="O613" i="41" s="1"/>
  <c r="AG657" i="37"/>
  <c r="L667" i="41"/>
  <c r="O667" i="41" s="1"/>
  <c r="L669" i="41"/>
  <c r="O669" i="41" s="1"/>
  <c r="L659" i="41"/>
  <c r="O659" i="41" s="1"/>
  <c r="L661" i="41"/>
  <c r="O661" i="41" s="1"/>
  <c r="L662" i="41"/>
  <c r="O662" i="41" s="1"/>
  <c r="L666" i="41"/>
  <c r="O666" i="41" s="1"/>
  <c r="L665" i="41"/>
  <c r="O665" i="41" s="1"/>
  <c r="L658" i="41"/>
  <c r="O658" i="41" s="1"/>
  <c r="L660" i="41"/>
  <c r="O660" i="41" s="1"/>
  <c r="L663" i="41"/>
  <c r="O663" i="41" s="1"/>
  <c r="L664" i="41"/>
  <c r="O664" i="41" s="1"/>
  <c r="L668" i="41"/>
  <c r="O668" i="41" s="1"/>
  <c r="L657" i="41"/>
  <c r="O657" i="41" s="1"/>
  <c r="AG625" i="37"/>
  <c r="L625" i="41"/>
  <c r="O625" i="41" s="1"/>
  <c r="AG431" i="37"/>
  <c r="L431" i="41"/>
  <c r="O431" i="41" s="1"/>
  <c r="L406" i="41"/>
  <c r="O406" i="41" s="1"/>
  <c r="AG406" i="37"/>
  <c r="L417" i="41"/>
  <c r="O417" i="41" s="1"/>
  <c r="AG417" i="37"/>
  <c r="AG421" i="37"/>
  <c r="L421" i="41"/>
  <c r="O421" i="41" s="1"/>
  <c r="L433" i="41"/>
  <c r="O433" i="41" s="1"/>
  <c r="AG433" i="37"/>
  <c r="L189" i="41"/>
  <c r="O189" i="41" s="1"/>
  <c r="AG189" i="37"/>
  <c r="AG10" i="37"/>
  <c r="L10" i="41"/>
  <c r="O10" i="41" s="1"/>
  <c r="AG139" i="37"/>
  <c r="L139" i="41"/>
  <c r="O139" i="41" s="1"/>
  <c r="AG226" i="37"/>
  <c r="L226" i="41"/>
  <c r="O226" i="41" s="1"/>
  <c r="L131" i="41"/>
  <c r="O131" i="41" s="1"/>
  <c r="AG131" i="37"/>
  <c r="L8" i="41"/>
  <c r="O8" i="41" s="1"/>
  <c r="AG8" i="37"/>
  <c r="AG129" i="37"/>
  <c r="L129" i="41"/>
  <c r="O129" i="41" s="1"/>
  <c r="AG227" i="37"/>
  <c r="L227" i="41"/>
  <c r="O227" i="41" s="1"/>
  <c r="L192" i="41"/>
  <c r="O192" i="41" s="1"/>
  <c r="AG192" i="37"/>
  <c r="AG228" i="37"/>
  <c r="L228" i="41"/>
  <c r="O228" i="41" s="1"/>
  <c r="L691" i="41"/>
  <c r="O691" i="41" s="1"/>
  <c r="AG691" i="37"/>
  <c r="AG685" i="37"/>
  <c r="L685" i="41"/>
  <c r="O685" i="41" s="1"/>
  <c r="AG678" i="37"/>
  <c r="L678" i="41"/>
  <c r="O678" i="41" s="1"/>
  <c r="AG624" i="37"/>
  <c r="L624" i="41"/>
  <c r="O624" i="41" s="1"/>
  <c r="AG632" i="37"/>
  <c r="L632" i="41"/>
  <c r="O632" i="41" s="1"/>
  <c r="L649" i="41"/>
  <c r="O649" i="41" s="1"/>
  <c r="AG649" i="37"/>
  <c r="AG622" i="37"/>
  <c r="L622" i="41"/>
  <c r="O622" i="41" s="1"/>
  <c r="L638" i="41"/>
  <c r="O638" i="41" s="1"/>
  <c r="AG638" i="37"/>
  <c r="AG607" i="37"/>
  <c r="L607" i="41"/>
  <c r="O607" i="41" s="1"/>
  <c r="AG621" i="37"/>
  <c r="L621" i="41"/>
  <c r="O621" i="41" s="1"/>
  <c r="AG642" i="37"/>
  <c r="L642" i="41"/>
  <c r="O642" i="41" s="1"/>
  <c r="AG419" i="37"/>
  <c r="L419" i="41"/>
  <c r="O419" i="41" s="1"/>
  <c r="AG432" i="37"/>
  <c r="L432" i="41"/>
  <c r="O432" i="41" s="1"/>
  <c r="AG429" i="37"/>
  <c r="L429" i="41"/>
  <c r="O429" i="41" s="1"/>
  <c r="AG415" i="37"/>
  <c r="L415" i="41"/>
  <c r="O415" i="41" s="1"/>
  <c r="AG420" i="37"/>
  <c r="L420" i="41"/>
  <c r="O420" i="41" s="1"/>
  <c r="L27" i="41"/>
  <c r="O27" i="41" s="1"/>
  <c r="AG27" i="37"/>
  <c r="AG5" i="37"/>
  <c r="L5" i="41"/>
  <c r="O5" i="41" s="1"/>
  <c r="AG132" i="37"/>
  <c r="L132" i="41"/>
  <c r="O132" i="41" s="1"/>
  <c r="AG130" i="37"/>
  <c r="L130" i="41"/>
  <c r="O130" i="41" s="1"/>
  <c r="AG125" i="37"/>
  <c r="L125" i="41"/>
  <c r="O125" i="41" s="1"/>
  <c r="AG127" i="37"/>
  <c r="L127" i="41"/>
  <c r="O127" i="41" s="1"/>
  <c r="AG39" i="37"/>
  <c r="L39" i="41"/>
  <c r="O39" i="41" s="1"/>
  <c r="L193" i="41"/>
  <c r="O193" i="41" s="1"/>
  <c r="AG193" i="37"/>
  <c r="L229" i="41"/>
  <c r="O229" i="41" s="1"/>
  <c r="AG229" i="37"/>
  <c r="AG692" i="37"/>
  <c r="L692" i="41"/>
  <c r="O692" i="41" s="1"/>
  <c r="AG680" i="37"/>
  <c r="L680" i="41"/>
  <c r="O680" i="41" s="1"/>
  <c r="AG670" i="37"/>
  <c r="L670" i="41"/>
  <c r="AG245" i="37"/>
  <c r="L245" i="41"/>
  <c r="O245" i="41" s="1"/>
  <c r="AG212" i="37"/>
  <c r="L212" i="41"/>
  <c r="O212" i="41" s="1"/>
  <c r="AA243" i="37" l="1"/>
  <c r="L243" i="41" s="1"/>
  <c r="O243" i="41" s="1"/>
  <c r="G5" i="55"/>
  <c r="G10" i="55"/>
  <c r="I9" i="45"/>
  <c r="I7" i="45"/>
  <c r="I13" i="45" s="1"/>
  <c r="I11" i="45"/>
  <c r="N14" i="45"/>
  <c r="N15" i="45"/>
  <c r="AA400" i="37"/>
  <c r="AG400" i="37" s="1"/>
  <c r="AA106" i="38"/>
  <c r="AA22" i="37"/>
  <c r="L69" i="41"/>
  <c r="O69" i="41" s="1"/>
  <c r="AA136" i="38"/>
  <c r="AA254" i="37"/>
  <c r="L361" i="41" s="1"/>
  <c r="AA14" i="37"/>
  <c r="AG14" i="37" s="1"/>
  <c r="AA328" i="37"/>
  <c r="AG328" i="37" s="1"/>
  <c r="AA178" i="37"/>
  <c r="AA395" i="37"/>
  <c r="AG395" i="37" s="1"/>
  <c r="AA317" i="37"/>
  <c r="AG317" i="37" s="1"/>
  <c r="AA75" i="37"/>
  <c r="AA23" i="37"/>
  <c r="AG23" i="37" s="1"/>
  <c r="AG243" i="37"/>
  <c r="AA137" i="38"/>
  <c r="AA110" i="38"/>
  <c r="AA209" i="37"/>
  <c r="AA105" i="38"/>
  <c r="AA181" i="38"/>
  <c r="L18" i="41"/>
  <c r="O18" i="41" s="1"/>
  <c r="AA81" i="37"/>
  <c r="AA327" i="37"/>
  <c r="AG327" i="37" s="1"/>
  <c r="AA103" i="38"/>
  <c r="AA94" i="38"/>
  <c r="AA359" i="37"/>
  <c r="AG359" i="37" s="1"/>
  <c r="AA396" i="37"/>
  <c r="AG396" i="37" s="1"/>
  <c r="AA181" i="37"/>
  <c r="AA313" i="37"/>
  <c r="AG313" i="37" s="1"/>
  <c r="AA324" i="37"/>
  <c r="AG324" i="37" s="1"/>
  <c r="AA171" i="37"/>
  <c r="AG171" i="37" s="1"/>
  <c r="AA310" i="37"/>
  <c r="AG310" i="37" s="1"/>
  <c r="AA320" i="37"/>
  <c r="AG320" i="37" s="1"/>
  <c r="AA358" i="37"/>
  <c r="AG358" i="37" s="1"/>
  <c r="AA247" i="37"/>
  <c r="AA312" i="37"/>
  <c r="AG312" i="37" s="1"/>
  <c r="AA182" i="38"/>
  <c r="AA353" i="37"/>
  <c r="AG353" i="37" s="1"/>
  <c r="AA391" i="37"/>
  <c r="AG391" i="37" s="1"/>
  <c r="AA77" i="37"/>
  <c r="AA397" i="37"/>
  <c r="AG397" i="37" s="1"/>
  <c r="AA76" i="37"/>
  <c r="AA140" i="38"/>
  <c r="AA249" i="37"/>
  <c r="AA174" i="38"/>
  <c r="AA354" i="37"/>
  <c r="AG354" i="37" s="1"/>
  <c r="AA25" i="37"/>
  <c r="AA207" i="37"/>
  <c r="AA108" i="38"/>
  <c r="AA252" i="37"/>
  <c r="L252" i="41" s="1"/>
  <c r="O252" i="41" s="1"/>
  <c r="AA141" i="38"/>
  <c r="AA173" i="38"/>
  <c r="AA80" i="37"/>
  <c r="AA21" i="37"/>
  <c r="AA321" i="37"/>
  <c r="AG321" i="37" s="1"/>
  <c r="AA210" i="37"/>
  <c r="AA72" i="37"/>
  <c r="AA101" i="38"/>
  <c r="AA168" i="37"/>
  <c r="AA211" i="37"/>
  <c r="L211" i="41" s="1"/>
  <c r="O211" i="41" s="1"/>
  <c r="L9" i="46"/>
  <c r="J14" i="46"/>
  <c r="L7" i="46"/>
  <c r="L13" i="46" s="1"/>
  <c r="J13" i="46"/>
  <c r="AA364" i="37"/>
  <c r="AG364" i="37" s="1"/>
  <c r="AA398" i="37"/>
  <c r="AG398" i="37" s="1"/>
  <c r="AA315" i="37"/>
  <c r="AG315" i="37" s="1"/>
  <c r="AA322" i="37"/>
  <c r="AG322" i="37" s="1"/>
  <c r="AA250" i="37"/>
  <c r="AA74" i="37"/>
  <c r="AA100" i="38"/>
  <c r="AA390" i="37"/>
  <c r="AG390" i="37" s="1"/>
  <c r="AA314" i="37"/>
  <c r="AG314" i="37" s="1"/>
  <c r="AA68" i="37"/>
  <c r="AA99" i="38"/>
  <c r="AA173" i="37"/>
  <c r="AA95" i="38"/>
  <c r="AA325" i="37"/>
  <c r="AG325" i="37" s="1"/>
  <c r="AA246" i="37"/>
  <c r="AA208" i="37"/>
  <c r="AA24" i="37"/>
  <c r="AA174" i="37"/>
  <c r="AA177" i="37"/>
  <c r="AA83" i="37"/>
  <c r="AA216" i="37"/>
  <c r="AA138" i="38"/>
  <c r="AA172" i="38"/>
  <c r="AA389" i="37"/>
  <c r="AG389" i="37" s="1"/>
  <c r="AA109" i="38"/>
  <c r="AA214" i="37"/>
  <c r="AA17" i="37"/>
  <c r="AG211" i="37"/>
  <c r="AA166" i="37"/>
  <c r="AA169" i="37"/>
  <c r="AA19" i="37"/>
  <c r="AA79" i="37"/>
  <c r="AA43" i="34"/>
  <c r="AA175" i="38"/>
  <c r="AA363" i="37"/>
  <c r="AG363" i="37" s="1"/>
  <c r="AA357" i="37"/>
  <c r="AG357" i="37" s="1"/>
  <c r="AA394" i="37"/>
  <c r="AG394" i="37" s="1"/>
  <c r="AA97" i="38"/>
  <c r="AA253" i="37"/>
  <c r="AA165" i="37"/>
  <c r="AA170" i="37"/>
  <c r="AA248" i="37"/>
  <c r="AA20" i="37"/>
  <c r="AA70" i="37"/>
  <c r="AA16" i="37"/>
  <c r="AA104" i="38"/>
  <c r="AA111" i="38"/>
  <c r="AA323" i="37"/>
  <c r="AG323" i="37" s="1"/>
  <c r="AA177" i="38"/>
  <c r="AA182" i="37"/>
  <c r="AA163" i="37"/>
  <c r="AA84" i="37"/>
  <c r="AA175" i="37"/>
  <c r="AA180" i="38"/>
  <c r="AA164" i="37"/>
  <c r="AA180" i="37"/>
  <c r="AA71" i="37"/>
  <c r="AA102" i="38"/>
  <c r="AA318" i="37"/>
  <c r="AG318" i="37" s="1"/>
  <c r="AA142" i="38"/>
  <c r="AA362" i="37"/>
  <c r="AG362" i="37" s="1"/>
  <c r="AA217" i="37"/>
  <c r="AA213" i="37"/>
  <c r="AA85" i="37"/>
  <c r="AA73" i="37"/>
  <c r="AA167" i="37"/>
  <c r="AA319" i="37"/>
  <c r="AG319" i="37" s="1"/>
  <c r="AA146" i="38"/>
  <c r="AA316" i="37"/>
  <c r="AG316" i="37" s="1"/>
  <c r="AA107" i="38"/>
  <c r="AA393" i="37"/>
  <c r="AG393" i="37" s="1"/>
  <c r="AA326" i="37"/>
  <c r="AG326" i="37" s="1"/>
  <c r="AA139" i="38"/>
  <c r="AA392" i="37"/>
  <c r="AG392" i="37" s="1"/>
  <c r="AA176" i="38"/>
  <c r="AA183" i="38"/>
  <c r="AA218" i="37"/>
  <c r="AA179" i="37"/>
  <c r="AA78" i="37"/>
  <c r="AA86" i="37"/>
  <c r="AA311" i="37"/>
  <c r="AG311" i="37" s="1"/>
  <c r="AA178" i="38"/>
  <c r="AA98" i="38"/>
  <c r="AA360" i="37"/>
  <c r="AG360" i="37" s="1"/>
  <c r="AA356" i="37"/>
  <c r="AG356" i="37" s="1"/>
  <c r="AA147" i="38"/>
  <c r="AA251" i="37"/>
  <c r="AA176" i="37"/>
  <c r="AA244" i="37"/>
  <c r="AA15" i="37"/>
  <c r="AA361" i="37"/>
  <c r="AG361" i="37" s="1"/>
  <c r="AA93" i="38"/>
  <c r="AA82" i="37"/>
  <c r="AG215" i="37"/>
  <c r="L172" i="41"/>
  <c r="O172" i="41" s="1"/>
  <c r="L171" i="41"/>
  <c r="O171" i="41" s="1"/>
  <c r="AP6" i="37"/>
  <c r="AQ6" i="37" s="1"/>
  <c r="AC12" i="41"/>
  <c r="T9" i="41"/>
  <c r="O401" i="41"/>
  <c r="W9" i="41" s="1"/>
  <c r="AC9" i="41"/>
  <c r="AP3" i="37"/>
  <c r="O670" i="41"/>
  <c r="W12" i="41" s="1"/>
  <c r="T12" i="41"/>
  <c r="O600" i="41"/>
  <c r="W11" i="41" s="1"/>
  <c r="T11" i="41"/>
  <c r="T10" i="41"/>
  <c r="O490" i="41"/>
  <c r="W10" i="41" s="1"/>
  <c r="AC11" i="41"/>
  <c r="AP5" i="37"/>
  <c r="AQ5" i="37" s="1"/>
  <c r="L313" i="41" l="1"/>
  <c r="O313" i="41" s="1"/>
  <c r="AG252" i="37"/>
  <c r="L355" i="41"/>
  <c r="O355" i="41" s="1"/>
  <c r="I14" i="45"/>
  <c r="I15" i="45"/>
  <c r="L360" i="41"/>
  <c r="O360" i="41" s="1"/>
  <c r="L362" i="41"/>
  <c r="O362" i="41" s="1"/>
  <c r="L328" i="41"/>
  <c r="O328" i="41" s="1"/>
  <c r="L363" i="41"/>
  <c r="L254" i="41"/>
  <c r="O254" i="41" s="1"/>
  <c r="L312" i="41"/>
  <c r="O312" i="41" s="1"/>
  <c r="L310" i="41"/>
  <c r="O310" i="41" s="1"/>
  <c r="L399" i="41"/>
  <c r="O399" i="41" s="1"/>
  <c r="L358" i="41"/>
  <c r="O358" i="41" s="1"/>
  <c r="L319" i="41"/>
  <c r="O319" i="41" s="1"/>
  <c r="L315" i="41"/>
  <c r="O315" i="41" s="1"/>
  <c r="L389" i="41"/>
  <c r="L359" i="41"/>
  <c r="O359" i="41" s="1"/>
  <c r="L392" i="41"/>
  <c r="L353" i="41"/>
  <c r="O353" i="41" s="1"/>
  <c r="L316" i="41"/>
  <c r="O316" i="41" s="1"/>
  <c r="L321" i="41"/>
  <c r="O321" i="41" s="1"/>
  <c r="L317" i="41"/>
  <c r="O317" i="41" s="1"/>
  <c r="L327" i="41"/>
  <c r="O327" i="41" s="1"/>
  <c r="L314" i="41"/>
  <c r="O314" i="41" s="1"/>
  <c r="L364" i="41"/>
  <c r="O364" i="41" s="1"/>
  <c r="L397" i="41"/>
  <c r="O397" i="41" s="1"/>
  <c r="AG254" i="37"/>
  <c r="L14" i="41"/>
  <c r="O14" i="41" s="1"/>
  <c r="L357" i="41"/>
  <c r="O357" i="41" s="1"/>
  <c r="L391" i="41"/>
  <c r="O391" i="41" s="1"/>
  <c r="L324" i="41"/>
  <c r="O324" i="41" s="1"/>
  <c r="L390" i="41"/>
  <c r="L322" i="41"/>
  <c r="O322" i="41" s="1"/>
  <c r="L326" i="41"/>
  <c r="O326" i="41" s="1"/>
  <c r="L356" i="41"/>
  <c r="L354" i="41"/>
  <c r="O354" i="41" s="1"/>
  <c r="L398" i="41"/>
  <c r="O398" i="41" s="1"/>
  <c r="L400" i="41"/>
  <c r="O400" i="41" s="1"/>
  <c r="L396" i="41"/>
  <c r="O396" i="41" s="1"/>
  <c r="L394" i="41"/>
  <c r="L318" i="41"/>
  <c r="O318" i="41" s="1"/>
  <c r="L320" i="41"/>
  <c r="O320" i="41" s="1"/>
  <c r="L325" i="41"/>
  <c r="O325" i="41" s="1"/>
  <c r="L323" i="41"/>
  <c r="O323" i="41" s="1"/>
  <c r="L395" i="41"/>
  <c r="O395" i="41" s="1"/>
  <c r="L311" i="41"/>
  <c r="L23" i="41"/>
  <c r="O23" i="41" s="1"/>
  <c r="L393" i="41"/>
  <c r="O393" i="41" s="1"/>
  <c r="AG22" i="37"/>
  <c r="L22" i="41"/>
  <c r="O22" i="41" s="1"/>
  <c r="AG178" i="37"/>
  <c r="L178" i="41"/>
  <c r="O178" i="41" s="1"/>
  <c r="AG75" i="37"/>
  <c r="L75" i="41"/>
  <c r="O75" i="41" s="1"/>
  <c r="AG209" i="37"/>
  <c r="L209" i="41"/>
  <c r="O209" i="41" s="1"/>
  <c r="AG81" i="37"/>
  <c r="L81" i="41"/>
  <c r="O81" i="41" s="1"/>
  <c r="AG181" i="37"/>
  <c r="L181" i="41"/>
  <c r="O181" i="41" s="1"/>
  <c r="AG247" i="37"/>
  <c r="L247" i="41"/>
  <c r="O247" i="41" s="1"/>
  <c r="AG77" i="37"/>
  <c r="L77" i="41"/>
  <c r="O77" i="41" s="1"/>
  <c r="L210" i="41"/>
  <c r="O210" i="41" s="1"/>
  <c r="AG210" i="37"/>
  <c r="L207" i="41"/>
  <c r="O207" i="41" s="1"/>
  <c r="AG207" i="37"/>
  <c r="L25" i="41"/>
  <c r="O25" i="41" s="1"/>
  <c r="AG25" i="37"/>
  <c r="L21" i="41"/>
  <c r="O21" i="41" s="1"/>
  <c r="AG21" i="37"/>
  <c r="L80" i="41"/>
  <c r="O80" i="41" s="1"/>
  <c r="AG80" i="37"/>
  <c r="L249" i="41"/>
  <c r="O249" i="41" s="1"/>
  <c r="AG249" i="37"/>
  <c r="L168" i="41"/>
  <c r="O168" i="41" s="1"/>
  <c r="AG168" i="37"/>
  <c r="AG76" i="37"/>
  <c r="L76" i="41"/>
  <c r="O76" i="41" s="1"/>
  <c r="AG72" i="37"/>
  <c r="L72" i="41"/>
  <c r="O72" i="41" s="1"/>
  <c r="O363" i="41"/>
  <c r="O390" i="41"/>
  <c r="L15" i="46"/>
  <c r="L14" i="46"/>
  <c r="O389" i="41"/>
  <c r="O356" i="41"/>
  <c r="AG173" i="37"/>
  <c r="L173" i="41"/>
  <c r="O173" i="41" s="1"/>
  <c r="AG68" i="37"/>
  <c r="L68" i="41"/>
  <c r="O68" i="41" s="1"/>
  <c r="AG74" i="37"/>
  <c r="L74" i="41"/>
  <c r="O74" i="41" s="1"/>
  <c r="O392" i="41"/>
  <c r="AG250" i="37"/>
  <c r="L250" i="41"/>
  <c r="O250" i="41" s="1"/>
  <c r="L83" i="41"/>
  <c r="O83" i="41" s="1"/>
  <c r="AG83" i="37"/>
  <c r="AG208" i="37"/>
  <c r="L208" i="41"/>
  <c r="O208" i="41" s="1"/>
  <c r="L17" i="41"/>
  <c r="O17" i="41" s="1"/>
  <c r="AG17" i="37"/>
  <c r="AG177" i="37"/>
  <c r="L177" i="41"/>
  <c r="O177" i="41" s="1"/>
  <c r="L246" i="41"/>
  <c r="O246" i="41" s="1"/>
  <c r="AG246" i="37"/>
  <c r="L214" i="41"/>
  <c r="O214" i="41" s="1"/>
  <c r="AG214" i="37"/>
  <c r="L174" i="41"/>
  <c r="O174" i="41" s="1"/>
  <c r="AG174" i="37"/>
  <c r="L216" i="41"/>
  <c r="O216" i="41" s="1"/>
  <c r="AG216" i="37"/>
  <c r="L24" i="41"/>
  <c r="O24" i="41" s="1"/>
  <c r="AG24" i="37"/>
  <c r="AG82" i="37"/>
  <c r="L82" i="41"/>
  <c r="O82" i="41" s="1"/>
  <c r="L244" i="41"/>
  <c r="O244" i="41" s="1"/>
  <c r="AG244" i="37"/>
  <c r="L218" i="41"/>
  <c r="O218" i="41" s="1"/>
  <c r="AG218" i="37"/>
  <c r="AG73" i="37"/>
  <c r="L73" i="41"/>
  <c r="O73" i="41" s="1"/>
  <c r="AG71" i="37"/>
  <c r="L71" i="41"/>
  <c r="O71" i="41" s="1"/>
  <c r="L175" i="41"/>
  <c r="O175" i="41" s="1"/>
  <c r="AG175" i="37"/>
  <c r="AG16" i="37"/>
  <c r="L16" i="41"/>
  <c r="O16" i="41" s="1"/>
  <c r="AG170" i="37"/>
  <c r="L170" i="41"/>
  <c r="O170" i="41" s="1"/>
  <c r="L169" i="41"/>
  <c r="O169" i="41" s="1"/>
  <c r="AG169" i="37"/>
  <c r="AG176" i="37"/>
  <c r="L176" i="41"/>
  <c r="O176" i="41" s="1"/>
  <c r="AG86" i="37"/>
  <c r="L86" i="41"/>
  <c r="O86" i="41" s="1"/>
  <c r="AG85" i="37"/>
  <c r="L85" i="41"/>
  <c r="O85" i="41" s="1"/>
  <c r="AG180" i="37"/>
  <c r="L180" i="41"/>
  <c r="O180" i="41" s="1"/>
  <c r="L84" i="41"/>
  <c r="O84" i="41" s="1"/>
  <c r="AG84" i="37"/>
  <c r="AG70" i="37"/>
  <c r="L70" i="41"/>
  <c r="O70" i="41" s="1"/>
  <c r="AG165" i="37"/>
  <c r="L165" i="41"/>
  <c r="O165" i="41" s="1"/>
  <c r="O361" i="41"/>
  <c r="AG166" i="37"/>
  <c r="L166" i="41"/>
  <c r="O166" i="41" s="1"/>
  <c r="AG251" i="37"/>
  <c r="L251" i="41"/>
  <c r="O251" i="41" s="1"/>
  <c r="AG78" i="37"/>
  <c r="L78" i="41"/>
  <c r="O78" i="41" s="1"/>
  <c r="AG213" i="37"/>
  <c r="L213" i="41"/>
  <c r="O213" i="41" s="1"/>
  <c r="AG164" i="37"/>
  <c r="L164" i="41"/>
  <c r="O164" i="41" s="1"/>
  <c r="AG163" i="37"/>
  <c r="L163" i="41"/>
  <c r="O163" i="41" s="1"/>
  <c r="AG20" i="37"/>
  <c r="L20" i="41"/>
  <c r="O20" i="41" s="1"/>
  <c r="AG253" i="37"/>
  <c r="L253" i="41"/>
  <c r="O253" i="41" s="1"/>
  <c r="L79" i="41"/>
  <c r="O79" i="41" s="1"/>
  <c r="AG79" i="37"/>
  <c r="O311" i="41"/>
  <c r="O394" i="41"/>
  <c r="AG15" i="37"/>
  <c r="L15" i="41"/>
  <c r="O15" i="41" s="1"/>
  <c r="AG179" i="37"/>
  <c r="L179" i="41"/>
  <c r="O179" i="41" s="1"/>
  <c r="AG167" i="37"/>
  <c r="L167" i="41"/>
  <c r="O167" i="41" s="1"/>
  <c r="AG217" i="37"/>
  <c r="L217" i="41"/>
  <c r="O217" i="41" s="1"/>
  <c r="L182" i="41"/>
  <c r="O182" i="41" s="1"/>
  <c r="AG182" i="37"/>
  <c r="AG248" i="37"/>
  <c r="L248" i="41"/>
  <c r="O248" i="41" s="1"/>
  <c r="L19" i="41"/>
  <c r="O19" i="41" s="1"/>
  <c r="AG19" i="37"/>
  <c r="AP2" i="37"/>
  <c r="AQ2" i="37" s="1"/>
  <c r="Z10" i="41"/>
  <c r="AH10" i="41" s="1"/>
  <c r="Z9" i="41"/>
  <c r="AH9" i="41" s="1"/>
  <c r="Z12" i="41"/>
  <c r="AH12" i="41" s="1"/>
  <c r="AP8" i="37"/>
  <c r="AQ8" i="37" s="1"/>
  <c r="AQ3" i="37"/>
  <c r="Z11" i="41"/>
  <c r="AH11" i="41" s="1"/>
  <c r="W7" i="41" l="1"/>
  <c r="AC7" i="41"/>
  <c r="T7" i="41"/>
  <c r="AP7" i="37"/>
  <c r="AQ7" i="37" s="1"/>
  <c r="Z7" i="41" l="1"/>
  <c r="AH7" i="41" s="1"/>
  <c r="AP9" i="37"/>
  <c r="AQ9" i="37" s="1"/>
  <c r="N417" i="41" l="1"/>
  <c r="K417" i="41"/>
  <c r="M4" i="41"/>
  <c r="J4" i="41"/>
  <c r="AM8" i="29"/>
  <c r="T8" i="29"/>
  <c r="N8" i="29"/>
  <c r="AL26" i="30"/>
  <c r="AJ26" i="30"/>
  <c r="AE99" i="38"/>
  <c r="Z99" i="38"/>
  <c r="AF21" i="30"/>
  <c r="AP21" i="30"/>
  <c r="AL33" i="30"/>
  <c r="AJ33" i="30"/>
  <c r="N415" i="41"/>
  <c r="K415" i="41"/>
  <c r="N651" i="41"/>
  <c r="K651" i="41"/>
  <c r="AE42" i="38"/>
  <c r="Z42" i="38"/>
  <c r="AE119" i="38"/>
  <c r="Z119" i="38"/>
  <c r="N82" i="43"/>
  <c r="N30" i="43"/>
  <c r="AG29" i="30"/>
  <c r="AE29" i="30"/>
  <c r="AO29" i="30"/>
  <c r="N414" i="41"/>
  <c r="K414" i="41"/>
  <c r="AF529" i="37"/>
  <c r="Z529" i="37"/>
  <c r="AF7" i="30"/>
  <c r="AP7" i="30"/>
  <c r="AF8" i="30"/>
  <c r="AP8" i="30"/>
  <c r="AE150" i="38"/>
  <c r="Z150" i="38"/>
  <c r="N467" i="41"/>
  <c r="K467" i="41"/>
  <c r="AM15" i="30"/>
  <c r="T15" i="30"/>
  <c r="N15" i="30"/>
  <c r="AE240" i="38"/>
  <c r="Z240" i="38"/>
  <c r="N90" i="41"/>
  <c r="K90" i="41"/>
  <c r="AF573" i="37"/>
  <c r="Z573" i="37"/>
  <c r="N498" i="41"/>
  <c r="K498" i="41"/>
  <c r="AF67" i="43"/>
  <c r="AF15" i="43"/>
  <c r="AF653" i="37"/>
  <c r="AF503" i="37"/>
  <c r="Z503" i="37"/>
  <c r="AF375" i="37"/>
  <c r="Z375" i="37"/>
  <c r="AE307" i="38"/>
  <c r="Z307" i="38"/>
  <c r="M388" i="41"/>
  <c r="J388" i="41"/>
  <c r="AM37" i="30"/>
  <c r="T37" i="30"/>
  <c r="N37" i="30"/>
  <c r="AE344" i="38"/>
  <c r="Z344" i="38"/>
  <c r="N5" i="41"/>
  <c r="K5" i="41"/>
  <c r="AF449" i="37"/>
  <c r="Z449" i="37"/>
  <c r="AC78" i="43"/>
  <c r="AC26" i="43"/>
  <c r="AF26" i="29"/>
  <c r="AP26" i="29"/>
  <c r="AF333" i="37"/>
  <c r="Z333" i="37"/>
  <c r="AE34" i="38"/>
  <c r="Z34" i="38"/>
  <c r="AB61" i="43"/>
  <c r="AB9" i="43"/>
  <c r="N77" i="43"/>
  <c r="N25" i="43"/>
  <c r="AD75" i="38"/>
  <c r="Y75" i="38"/>
  <c r="N495" i="41"/>
  <c r="K495" i="41"/>
  <c r="N262" i="41"/>
  <c r="K262" i="41"/>
  <c r="N192" i="41"/>
  <c r="K192" i="41"/>
  <c r="N190" i="41"/>
  <c r="K190" i="41"/>
  <c r="N453" i="41"/>
  <c r="K453" i="41"/>
  <c r="N468" i="41"/>
  <c r="K468" i="41"/>
  <c r="AD78" i="38"/>
  <c r="Y78" i="38"/>
  <c r="AE243" i="38"/>
  <c r="Z243" i="38"/>
  <c r="AF279" i="37"/>
  <c r="Z279" i="37"/>
  <c r="N254" i="41"/>
  <c r="K254" i="41"/>
  <c r="AC102" i="43"/>
  <c r="AC50" i="43"/>
  <c r="AF50" i="29"/>
  <c r="AP50" i="29"/>
  <c r="AE193" i="38"/>
  <c r="Z193" i="38"/>
  <c r="AF565" i="37"/>
  <c r="Z565" i="37"/>
  <c r="N550" i="41"/>
  <c r="K550" i="41"/>
  <c r="N9" i="41"/>
  <c r="K9" i="41"/>
  <c r="AO39" i="30"/>
  <c r="AE39" i="30"/>
  <c r="AG39" i="30"/>
  <c r="N516" i="41"/>
  <c r="K516" i="41"/>
  <c r="AE247" i="38"/>
  <c r="Z247" i="38"/>
  <c r="AF460" i="37"/>
  <c r="Z460" i="37"/>
  <c r="AE252" i="38"/>
  <c r="Z252" i="38"/>
  <c r="M231" i="41"/>
  <c r="J231" i="41"/>
  <c r="AE278" i="38"/>
  <c r="Z278" i="38"/>
  <c r="AE308" i="38"/>
  <c r="Z308" i="38"/>
  <c r="AE277" i="38"/>
  <c r="Z277" i="38"/>
  <c r="AM12" i="30"/>
  <c r="T12" i="30"/>
  <c r="N12" i="30"/>
  <c r="AE322" i="38"/>
  <c r="Z322" i="38"/>
  <c r="AE143" i="38"/>
  <c r="Z143" i="38"/>
  <c r="AE298" i="38"/>
  <c r="Z298" i="38"/>
  <c r="AM25" i="30"/>
  <c r="T25" i="30"/>
  <c r="N25" i="30"/>
  <c r="AE289" i="37"/>
  <c r="Y289" i="37"/>
  <c r="AF566" i="37"/>
  <c r="Z566" i="37"/>
  <c r="AE318" i="38"/>
  <c r="Z318" i="38"/>
  <c r="AF455" i="37"/>
  <c r="Z455" i="37"/>
  <c r="AF525" i="37"/>
  <c r="Z525" i="37"/>
  <c r="AG102" i="43"/>
  <c r="AG50" i="43"/>
  <c r="AG31" i="30"/>
  <c r="AE31" i="30"/>
  <c r="AO31" i="30"/>
  <c r="AL20" i="29"/>
  <c r="AJ20" i="29"/>
  <c r="AE329" i="38"/>
  <c r="Z329" i="38"/>
  <c r="AF85" i="43"/>
  <c r="AF33" i="43"/>
  <c r="N64" i="43"/>
  <c r="N12" i="43"/>
  <c r="AE301" i="38"/>
  <c r="Z301" i="38"/>
  <c r="AF458" i="37"/>
  <c r="Z458" i="37"/>
  <c r="AE303" i="37"/>
  <c r="Y303" i="37"/>
  <c r="AF27" i="37"/>
  <c r="AE178" i="38"/>
  <c r="Z178" i="38"/>
  <c r="AF357" i="37"/>
  <c r="Z357" i="37"/>
  <c r="N374" i="41"/>
  <c r="K374" i="41"/>
  <c r="AF591" i="37"/>
  <c r="Z591" i="37"/>
  <c r="AC68" i="43"/>
  <c r="AC16" i="43"/>
  <c r="AF16" i="29"/>
  <c r="AP16" i="29"/>
  <c r="AE347" i="38"/>
  <c r="Z347" i="38"/>
  <c r="AF322" i="37"/>
  <c r="Z322" i="37"/>
  <c r="AC99" i="43"/>
  <c r="AC47" i="43"/>
  <c r="AF47" i="29"/>
  <c r="AP47" i="29"/>
  <c r="AF567" i="37"/>
  <c r="Z567" i="37"/>
  <c r="AF38" i="30"/>
  <c r="AP38" i="30"/>
  <c r="AE94" i="38"/>
  <c r="Z94" i="38"/>
  <c r="N561" i="41"/>
  <c r="K561" i="41"/>
  <c r="M53" i="41"/>
  <c r="J53" i="41"/>
  <c r="AL43" i="29"/>
  <c r="AJ43" i="29"/>
  <c r="N597" i="41"/>
  <c r="K597" i="41"/>
  <c r="AF64" i="43"/>
  <c r="AF12" i="43"/>
  <c r="AE146" i="38"/>
  <c r="Z146" i="38"/>
  <c r="AE103" i="37"/>
  <c r="AE299" i="38"/>
  <c r="Z299" i="38"/>
  <c r="AE56" i="37"/>
  <c r="AE39" i="38"/>
  <c r="Z39" i="38"/>
  <c r="Z27" i="37"/>
  <c r="K27" i="41"/>
  <c r="N27" i="41"/>
  <c r="AM10" i="29"/>
  <c r="T10" i="29"/>
  <c r="N10" i="29"/>
  <c r="AM30" i="29"/>
  <c r="T30" i="29"/>
  <c r="N30" i="29"/>
  <c r="AE63" i="38"/>
  <c r="Z63" i="38"/>
  <c r="AB82" i="43"/>
  <c r="AB30" i="43"/>
  <c r="AF340" i="37"/>
  <c r="Z340" i="37"/>
  <c r="AG8" i="30"/>
  <c r="AE8" i="30"/>
  <c r="AO8" i="30"/>
  <c r="AB70" i="43"/>
  <c r="AB18" i="43"/>
  <c r="AE341" i="38"/>
  <c r="Z341" i="38"/>
  <c r="N500" i="41"/>
  <c r="K500" i="41"/>
  <c r="AL6" i="30"/>
  <c r="AJ6" i="30"/>
  <c r="AE385" i="37"/>
  <c r="Y385" i="37"/>
  <c r="AE346" i="37"/>
  <c r="Y346" i="37"/>
  <c r="N660" i="41"/>
  <c r="K660" i="41"/>
  <c r="AJ58" i="28"/>
  <c r="AJ53" i="28"/>
  <c r="S13" i="45"/>
  <c r="S7" i="45"/>
  <c r="N37" i="41"/>
  <c r="K37" i="41"/>
  <c r="AF507" i="37"/>
  <c r="Z507" i="37"/>
  <c r="AB68" i="43"/>
  <c r="AB16" i="43"/>
  <c r="N529" i="41"/>
  <c r="K529" i="41"/>
  <c r="Z417" i="37"/>
  <c r="AF417" i="37"/>
  <c r="AG28" i="29"/>
  <c r="Y4" i="37"/>
  <c r="AE4" i="37"/>
  <c r="N69" i="41"/>
  <c r="K69" i="41"/>
  <c r="AF393" i="37"/>
  <c r="Z393" i="37"/>
  <c r="AO28" i="29"/>
  <c r="AE28" i="29"/>
  <c r="AB28" i="43"/>
  <c r="AB80" i="43"/>
  <c r="Z192" i="37"/>
  <c r="AF192" i="37"/>
  <c r="Z414" i="37"/>
  <c r="AF414" i="37"/>
  <c r="AF625" i="37"/>
  <c r="Y103" i="37"/>
  <c r="J103" i="41"/>
  <c r="M103" i="41"/>
  <c r="Y56" i="37"/>
  <c r="J56" i="41"/>
  <c r="M56" i="41"/>
  <c r="Z625" i="37"/>
  <c r="K625" i="41"/>
  <c r="N625" i="41"/>
  <c r="AE352" i="38"/>
  <c r="Z352" i="38"/>
  <c r="AF596" i="37"/>
  <c r="Z596" i="37"/>
  <c r="AL23" i="30"/>
  <c r="AJ23" i="30"/>
  <c r="AF13" i="30"/>
  <c r="AP13" i="30"/>
  <c r="N539" i="41"/>
  <c r="K539" i="41"/>
  <c r="AG53" i="29"/>
  <c r="M49" i="41"/>
  <c r="J49" i="41"/>
  <c r="AE273" i="38"/>
  <c r="Z273" i="38"/>
  <c r="N117" i="41"/>
  <c r="K117" i="41"/>
  <c r="AF443" i="37"/>
  <c r="Z443" i="37"/>
  <c r="AF9" i="30"/>
  <c r="AP9" i="30"/>
  <c r="AF68" i="37"/>
  <c r="N31" i="41"/>
  <c r="K31" i="41"/>
  <c r="AO16" i="29"/>
  <c r="AE16" i="29"/>
  <c r="AG16" i="29"/>
  <c r="Z37" i="37"/>
  <c r="AF37" i="37"/>
  <c r="N49" i="30"/>
  <c r="T49" i="30"/>
  <c r="AM49" i="30"/>
  <c r="AF356" i="37"/>
  <c r="Z356" i="37"/>
  <c r="N450" i="41"/>
  <c r="K450" i="41"/>
  <c r="AE182" i="38"/>
  <c r="Z182" i="38"/>
  <c r="AO9" i="29"/>
  <c r="AE9" i="29"/>
  <c r="AG9" i="29"/>
  <c r="Z69" i="37"/>
  <c r="AF69" i="37"/>
  <c r="AC91" i="43"/>
  <c r="AC39" i="43"/>
  <c r="AF39" i="29"/>
  <c r="AP39" i="29"/>
  <c r="N541" i="41"/>
  <c r="K541" i="41"/>
  <c r="AE197" i="38"/>
  <c r="Z197" i="38"/>
  <c r="N644" i="41"/>
  <c r="K644" i="41"/>
  <c r="N639" i="41"/>
  <c r="K639" i="41"/>
  <c r="AG90" i="43"/>
  <c r="AG38" i="43"/>
  <c r="Z190" i="37"/>
  <c r="AF190" i="37"/>
  <c r="AF666" i="37"/>
  <c r="Z666" i="37"/>
  <c r="AC58" i="43"/>
  <c r="AC6" i="43"/>
  <c r="AF6" i="29"/>
  <c r="AP6" i="29"/>
  <c r="AF83" i="43"/>
  <c r="AF31" i="43"/>
  <c r="AC59" i="43"/>
  <c r="AC7" i="43"/>
  <c r="AF7" i="29"/>
  <c r="AP7" i="29"/>
  <c r="AL50" i="30"/>
  <c r="AJ50" i="30"/>
  <c r="AE56" i="38"/>
  <c r="Z56" i="38"/>
  <c r="AG48" i="30"/>
  <c r="AE48" i="30"/>
  <c r="AO48" i="30"/>
  <c r="AE310" i="38"/>
  <c r="Z310" i="38"/>
  <c r="AD15" i="38"/>
  <c r="Y15" i="38"/>
  <c r="N421" i="41"/>
  <c r="K421" i="41"/>
  <c r="AG35" i="30"/>
  <c r="AE35" i="30"/>
  <c r="AO35" i="30"/>
  <c r="AF278" i="37"/>
  <c r="Z278" i="37"/>
  <c r="AM32" i="29"/>
  <c r="T32" i="29"/>
  <c r="N32" i="29"/>
  <c r="Z31" i="37"/>
  <c r="AF31" i="37"/>
  <c r="AF47" i="30"/>
  <c r="AP47" i="30"/>
  <c r="AE8" i="38"/>
  <c r="Z8" i="38"/>
  <c r="N567" i="41"/>
  <c r="K567" i="41"/>
  <c r="AF317" i="37"/>
  <c r="Z317" i="37"/>
  <c r="AK38" i="30"/>
  <c r="AK38" i="27"/>
  <c r="AK38" i="28"/>
  <c r="AK38" i="29"/>
  <c r="AG45" i="30"/>
  <c r="AE45" i="30"/>
  <c r="AO45" i="30"/>
  <c r="AF89" i="43"/>
  <c r="AF37" i="43"/>
  <c r="Z644" i="37"/>
  <c r="AF644" i="37"/>
  <c r="AF389" i="37"/>
  <c r="Z389" i="37"/>
  <c r="AF572" i="37"/>
  <c r="Z572" i="37"/>
  <c r="N692" i="41"/>
  <c r="K692" i="41"/>
  <c r="AL14" i="29"/>
  <c r="AJ14" i="29"/>
  <c r="Z639" i="37"/>
  <c r="AF639" i="37"/>
  <c r="AM30" i="30"/>
  <c r="T30" i="30"/>
  <c r="N30" i="30"/>
  <c r="AF136" i="37"/>
  <c r="N595" i="41"/>
  <c r="K595" i="41"/>
  <c r="M381" i="41"/>
  <c r="J381" i="41"/>
  <c r="AF413" i="37"/>
  <c r="N643" i="41"/>
  <c r="K643" i="41"/>
  <c r="N336" i="41"/>
  <c r="K336" i="41"/>
  <c r="N397" i="41"/>
  <c r="K397" i="41"/>
  <c r="AE98" i="38"/>
  <c r="Z98" i="38"/>
  <c r="AM24" i="30"/>
  <c r="T24" i="30"/>
  <c r="N24" i="30"/>
  <c r="AM6" i="30"/>
  <c r="T6" i="30"/>
  <c r="N6" i="30"/>
  <c r="AE296" i="38"/>
  <c r="Z296" i="38"/>
  <c r="AG84" i="43"/>
  <c r="AG32" i="43"/>
  <c r="Z651" i="37"/>
  <c r="AF651" i="37"/>
  <c r="N80" i="43"/>
  <c r="N28" i="43"/>
  <c r="Z68" i="37"/>
  <c r="K68" i="41"/>
  <c r="N68" i="41"/>
  <c r="AK32" i="29"/>
  <c r="AK32" i="27"/>
  <c r="AK32" i="28"/>
  <c r="AK32" i="30"/>
  <c r="AD126" i="38"/>
  <c r="Y126" i="38"/>
  <c r="Z415" i="37"/>
  <c r="AF415" i="37"/>
  <c r="N31" i="30"/>
  <c r="T31" i="30"/>
  <c r="AM31" i="30"/>
  <c r="M10" i="41"/>
  <c r="J10" i="41"/>
  <c r="AF94" i="43"/>
  <c r="AF42" i="43"/>
  <c r="AF6" i="30"/>
  <c r="AP6" i="30"/>
  <c r="M382" i="41"/>
  <c r="J382" i="41"/>
  <c r="AF265" i="37"/>
  <c r="Z265" i="37"/>
  <c r="AB63" i="43"/>
  <c r="AB11" i="43"/>
  <c r="N47" i="30"/>
  <c r="T47" i="30"/>
  <c r="AM47" i="30"/>
  <c r="Z692" i="37"/>
  <c r="AF692" i="37"/>
  <c r="M309" i="41"/>
  <c r="J309" i="41"/>
  <c r="N225" i="41"/>
  <c r="K225" i="41"/>
  <c r="M233" i="41"/>
  <c r="J233" i="41"/>
  <c r="L67" i="27"/>
  <c r="Z653" i="37"/>
  <c r="K653" i="41"/>
  <c r="N653" i="41"/>
  <c r="AF95" i="43"/>
  <c r="AF43" i="43"/>
  <c r="AK16" i="30"/>
  <c r="AK16" i="29"/>
  <c r="Z413" i="37"/>
  <c r="K413" i="41"/>
  <c r="N413" i="41"/>
  <c r="AB59" i="43"/>
  <c r="AB7" i="43"/>
  <c r="Z643" i="37"/>
  <c r="AF643" i="37"/>
  <c r="N65" i="27"/>
  <c r="AF358" i="37"/>
  <c r="Z358" i="37"/>
  <c r="AC86" i="43"/>
  <c r="AC34" i="43"/>
  <c r="AF34" i="29"/>
  <c r="AP34" i="29"/>
  <c r="N70" i="43"/>
  <c r="N18" i="43"/>
  <c r="Z185" i="38"/>
  <c r="AE185" i="38"/>
  <c r="AJ8" i="38"/>
  <c r="N21" i="30"/>
  <c r="T21" i="30"/>
  <c r="AM21" i="30"/>
  <c r="N396" i="41"/>
  <c r="K396" i="41"/>
  <c r="Z421" i="37"/>
  <c r="AF421" i="37"/>
  <c r="AE305" i="38"/>
  <c r="Z305" i="38"/>
  <c r="AM17" i="30"/>
  <c r="T17" i="30"/>
  <c r="N17" i="30"/>
  <c r="AG61" i="43"/>
  <c r="AG9" i="43"/>
  <c r="AF277" i="37"/>
  <c r="Z277" i="37"/>
  <c r="AF323" i="37"/>
  <c r="Z323" i="37"/>
  <c r="AG73" i="43"/>
  <c r="AG21" i="43"/>
  <c r="AE52" i="38"/>
  <c r="Z52" i="38"/>
  <c r="N51" i="29"/>
  <c r="T51" i="29"/>
  <c r="AM51" i="29"/>
  <c r="AF498" i="37"/>
  <c r="Z498" i="37"/>
  <c r="AE12" i="38"/>
  <c r="Z12" i="38"/>
  <c r="AE354" i="38"/>
  <c r="Z354" i="38"/>
  <c r="AG96" i="43"/>
  <c r="AG44" i="43"/>
  <c r="AF537" i="37"/>
  <c r="Z537" i="37"/>
  <c r="AE60" i="37"/>
  <c r="AK16" i="28"/>
  <c r="AG16" i="43"/>
  <c r="AG68" i="43"/>
  <c r="AE272" i="38"/>
  <c r="Z272" i="38"/>
  <c r="AE238" i="37"/>
  <c r="AO30" i="29"/>
  <c r="AE30" i="29"/>
  <c r="AG30" i="29"/>
  <c r="AG86" i="43"/>
  <c r="AG34" i="43"/>
  <c r="AE348" i="37"/>
  <c r="Y348" i="37"/>
  <c r="AO7" i="29"/>
  <c r="AE7" i="29"/>
  <c r="AG7" i="29"/>
  <c r="N12" i="41"/>
  <c r="K12" i="41"/>
  <c r="AF586" i="37"/>
  <c r="Z586" i="37"/>
  <c r="AF12" i="30"/>
  <c r="AP12" i="30"/>
  <c r="N584" i="41"/>
  <c r="K584" i="41"/>
  <c r="AF570" i="37"/>
  <c r="Z570" i="37"/>
  <c r="N563" i="41"/>
  <c r="K563" i="41"/>
  <c r="AF499" i="37"/>
  <c r="Z499" i="37"/>
  <c r="AF98" i="43"/>
  <c r="AF46" i="43"/>
  <c r="N324" i="41"/>
  <c r="K324" i="41"/>
  <c r="AE30" i="38"/>
  <c r="Z30" i="38"/>
  <c r="AF45" i="30"/>
  <c r="AP45" i="30"/>
  <c r="AO7" i="30"/>
  <c r="AE7" i="30"/>
  <c r="AG7" i="30"/>
  <c r="N123" i="41"/>
  <c r="K123" i="41"/>
  <c r="AE306" i="37"/>
  <c r="Y306" i="37"/>
  <c r="N20" i="30"/>
  <c r="T20" i="30"/>
  <c r="AM20" i="30"/>
  <c r="AE300" i="37"/>
  <c r="Y300" i="37"/>
  <c r="AF673" i="37"/>
  <c r="N445" i="41"/>
  <c r="K445" i="41"/>
  <c r="AE62" i="37"/>
  <c r="AE58" i="37"/>
  <c r="AL33" i="28"/>
  <c r="Y238" i="37"/>
  <c r="J238" i="41"/>
  <c r="M238" i="41"/>
  <c r="N537" i="41"/>
  <c r="K537" i="41"/>
  <c r="AE33" i="38"/>
  <c r="Z33" i="38"/>
  <c r="Y49" i="37"/>
  <c r="AE49" i="37"/>
  <c r="AE206" i="38"/>
  <c r="Z206" i="38"/>
  <c r="N130" i="41"/>
  <c r="K130" i="41"/>
  <c r="AF601" i="37"/>
  <c r="AF564" i="37"/>
  <c r="Z564" i="37"/>
  <c r="N193" i="41"/>
  <c r="K193" i="41"/>
  <c r="AE13" i="38"/>
  <c r="Z13" i="38"/>
  <c r="AF685" i="37"/>
  <c r="AF483" i="37"/>
  <c r="Z483" i="37"/>
  <c r="AE28" i="38"/>
  <c r="Z28" i="38"/>
  <c r="AE271" i="38"/>
  <c r="Z271" i="38"/>
  <c r="U18" i="55"/>
  <c r="AM35" i="28"/>
  <c r="R18" i="55"/>
  <c r="AF461" i="37"/>
  <c r="Z461" i="37"/>
  <c r="AC96" i="43"/>
  <c r="AC44" i="43"/>
  <c r="AF44" i="29"/>
  <c r="AP44" i="29"/>
  <c r="AL51" i="29"/>
  <c r="AJ51" i="29"/>
  <c r="AB74" i="43"/>
  <c r="AB22" i="43"/>
  <c r="AM26" i="30"/>
  <c r="T26" i="30"/>
  <c r="N26" i="30"/>
  <c r="AG40" i="29"/>
  <c r="M106" i="41"/>
  <c r="J106" i="41"/>
  <c r="AM29" i="29"/>
  <c r="T29" i="29"/>
  <c r="N29" i="29"/>
  <c r="AE298" i="37"/>
  <c r="Y298" i="37"/>
  <c r="AF472" i="37"/>
  <c r="Z472" i="37"/>
  <c r="N278" i="41"/>
  <c r="K278" i="41"/>
  <c r="Z225" i="37"/>
  <c r="AF225" i="37"/>
  <c r="M303" i="41"/>
  <c r="J303" i="41"/>
  <c r="N275" i="41"/>
  <c r="K275" i="41"/>
  <c r="AK24" i="30"/>
  <c r="AK24" i="29"/>
  <c r="N617" i="41"/>
  <c r="K617" i="41"/>
  <c r="AF693" i="37"/>
  <c r="R13" i="45"/>
  <c r="R7" i="45"/>
  <c r="Y60" i="37"/>
  <c r="J60" i="41"/>
  <c r="M60" i="41"/>
  <c r="AF135" i="37"/>
  <c r="N9" i="30"/>
  <c r="T9" i="30"/>
  <c r="AM9" i="30"/>
  <c r="AD72" i="38"/>
  <c r="Y72" i="38"/>
  <c r="AD81" i="38"/>
  <c r="Y81" i="38"/>
  <c r="AE54" i="38"/>
  <c r="Z54" i="38"/>
  <c r="AG8" i="29"/>
  <c r="AE340" i="38"/>
  <c r="Z340" i="38"/>
  <c r="M296" i="41"/>
  <c r="J296" i="41"/>
  <c r="Z130" i="37"/>
  <c r="AF130" i="37"/>
  <c r="AG51" i="30"/>
  <c r="AE51" i="30"/>
  <c r="AO51" i="30"/>
  <c r="AF51" i="30"/>
  <c r="AP51" i="30"/>
  <c r="AL36" i="29"/>
  <c r="AJ36" i="29"/>
  <c r="N484" i="41"/>
  <c r="K484" i="41"/>
  <c r="Z12" i="37"/>
  <c r="AF12" i="37"/>
  <c r="AE146" i="37"/>
  <c r="M347" i="41"/>
  <c r="J347" i="41"/>
  <c r="AG81" i="43"/>
  <c r="AG29" i="43"/>
  <c r="AF486" i="37"/>
  <c r="Z486" i="37"/>
  <c r="AF365" i="37"/>
  <c r="Z365" i="37"/>
  <c r="AE211" i="38"/>
  <c r="Z211" i="38"/>
  <c r="AM23" i="30"/>
  <c r="T23" i="30"/>
  <c r="N23" i="30"/>
  <c r="AB66" i="43"/>
  <c r="AB14" i="43"/>
  <c r="AF36" i="30"/>
  <c r="AP36" i="30"/>
  <c r="AF48" i="30"/>
  <c r="AP48" i="30"/>
  <c r="AL14" i="30"/>
  <c r="AJ14" i="30"/>
  <c r="N37" i="29"/>
  <c r="T37" i="29"/>
  <c r="AM37" i="29"/>
  <c r="Z673" i="37"/>
  <c r="K673" i="41"/>
  <c r="N673" i="41"/>
  <c r="Y62" i="37"/>
  <c r="J62" i="41"/>
  <c r="M62" i="41"/>
  <c r="AE68" i="38"/>
  <c r="Z68" i="38"/>
  <c r="Y58" i="37"/>
  <c r="J58" i="41"/>
  <c r="M58" i="41"/>
  <c r="AJ33" i="28"/>
  <c r="AJ33" i="29"/>
  <c r="AL33" i="29"/>
  <c r="N91" i="43"/>
  <c r="N39" i="43"/>
  <c r="AO8" i="29"/>
  <c r="AE8" i="29"/>
  <c r="AB8" i="43"/>
  <c r="AB60" i="43"/>
  <c r="Z601" i="37"/>
  <c r="K601" i="41"/>
  <c r="N601" i="41"/>
  <c r="N526" i="41"/>
  <c r="K526" i="41"/>
  <c r="AF86" i="43"/>
  <c r="AF34" i="43"/>
  <c r="AO55" i="30"/>
  <c r="AO53" i="30"/>
  <c r="N650" i="41"/>
  <c r="K650" i="41"/>
  <c r="AG5" i="29"/>
  <c r="AE53" i="29"/>
  <c r="Z685" i="37"/>
  <c r="K685" i="41"/>
  <c r="N685" i="41"/>
  <c r="AE321" i="38"/>
  <c r="Z321" i="38"/>
  <c r="AF34" i="37"/>
  <c r="AL27" i="30"/>
  <c r="AJ27" i="30"/>
  <c r="AF329" i="37"/>
  <c r="Z329" i="37"/>
  <c r="AF228" i="37"/>
  <c r="AO22" i="29"/>
  <c r="AE22" i="29"/>
  <c r="AG22" i="29"/>
  <c r="AF371" i="37"/>
  <c r="Z371" i="37"/>
  <c r="AO55" i="29"/>
  <c r="AO53" i="29"/>
  <c r="AC97" i="43"/>
  <c r="AC45" i="43"/>
  <c r="AF45" i="29"/>
  <c r="AP45" i="29"/>
  <c r="N441" i="41"/>
  <c r="K441" i="41"/>
  <c r="M110" i="41"/>
  <c r="J110" i="41"/>
  <c r="AO11" i="29"/>
  <c r="AE11" i="29"/>
  <c r="AG11" i="29"/>
  <c r="AK50" i="30"/>
  <c r="AK50" i="27"/>
  <c r="AK50" i="28"/>
  <c r="AK50" i="29"/>
  <c r="AE216" i="38"/>
  <c r="Z216" i="38"/>
  <c r="Z136" i="37"/>
  <c r="K136" i="41"/>
  <c r="N136" i="41"/>
  <c r="AL40" i="30"/>
  <c r="AJ40" i="30"/>
  <c r="AE45" i="37"/>
  <c r="M161" i="41"/>
  <c r="J161" i="41"/>
  <c r="AK24" i="27"/>
  <c r="AK24" i="28"/>
  <c r="AG24" i="43"/>
  <c r="AG76" i="43"/>
  <c r="M308" i="41"/>
  <c r="J308" i="41"/>
  <c r="Z135" i="37"/>
  <c r="K135" i="41"/>
  <c r="N135" i="41"/>
  <c r="AF682" i="37"/>
  <c r="AK19" i="30"/>
  <c r="AK19" i="29"/>
  <c r="N42" i="41"/>
  <c r="K42" i="41"/>
  <c r="AG7" i="41"/>
  <c r="Y7" i="41"/>
  <c r="S7" i="41"/>
  <c r="N511" i="41"/>
  <c r="K511" i="41"/>
  <c r="AE302" i="38"/>
  <c r="Z302" i="38"/>
  <c r="AL27" i="29"/>
  <c r="AJ27" i="29"/>
  <c r="AE152" i="37"/>
  <c r="Y146" i="37"/>
  <c r="J146" i="41"/>
  <c r="M146" i="41"/>
  <c r="N102" i="43"/>
  <c r="N50" i="43"/>
  <c r="N129" i="41"/>
  <c r="K129" i="41"/>
  <c r="AF527" i="37"/>
  <c r="Z527" i="37"/>
  <c r="AC101" i="43"/>
  <c r="AC49" i="43"/>
  <c r="AF49" i="29"/>
  <c r="AP49" i="29"/>
  <c r="AE353" i="38"/>
  <c r="Z353" i="38"/>
  <c r="AG97" i="43"/>
  <c r="AG45" i="43"/>
  <c r="N589" i="41"/>
  <c r="K589" i="41"/>
  <c r="Z682" i="37"/>
  <c r="K682" i="41"/>
  <c r="N682" i="41"/>
  <c r="AF88" i="43"/>
  <c r="AF36" i="43"/>
  <c r="M306" i="41"/>
  <c r="J306" i="41"/>
  <c r="N587" i="41"/>
  <c r="K587" i="41"/>
  <c r="N23" i="29"/>
  <c r="T23" i="29"/>
  <c r="AM23" i="29"/>
  <c r="AE264" i="38"/>
  <c r="Z264" i="38"/>
  <c r="N72" i="41"/>
  <c r="K72" i="41"/>
  <c r="AL32" i="29"/>
  <c r="AJ32" i="29"/>
  <c r="N40" i="29"/>
  <c r="T40" i="29"/>
  <c r="AM40" i="29"/>
  <c r="N83" i="43"/>
  <c r="N31" i="43"/>
  <c r="N452" i="41"/>
  <c r="K452" i="41"/>
  <c r="M377" i="41"/>
  <c r="J377" i="41"/>
  <c r="AF353" i="37"/>
  <c r="Z353" i="37"/>
  <c r="N663" i="41"/>
  <c r="K663" i="41"/>
  <c r="AF287" i="37"/>
  <c r="Z287" i="37"/>
  <c r="AL11" i="30"/>
  <c r="AJ11" i="30"/>
  <c r="N61" i="43"/>
  <c r="N9" i="43"/>
  <c r="AG78" i="43"/>
  <c r="AG26" i="43"/>
  <c r="N251" i="41"/>
  <c r="K251" i="41"/>
  <c r="AE309" i="37"/>
  <c r="Y309" i="37"/>
  <c r="N547" i="41"/>
  <c r="K547" i="41"/>
  <c r="R5" i="55"/>
  <c r="AM17" i="28"/>
  <c r="U5" i="55"/>
  <c r="N226" i="41"/>
  <c r="K226" i="41"/>
  <c r="N66" i="43"/>
  <c r="N14" i="43"/>
  <c r="AL10" i="30"/>
  <c r="AJ10" i="30"/>
  <c r="N581" i="41"/>
  <c r="K581" i="41"/>
  <c r="AF495" i="37"/>
  <c r="Z495" i="37"/>
  <c r="N15" i="41"/>
  <c r="K15" i="41"/>
  <c r="AF659" i="37"/>
  <c r="Z659" i="37"/>
  <c r="AE154" i="38"/>
  <c r="Z154" i="38"/>
  <c r="Z34" i="37"/>
  <c r="K34" i="41"/>
  <c r="N34" i="41"/>
  <c r="AE201" i="38"/>
  <c r="Z201" i="38"/>
  <c r="N320" i="41"/>
  <c r="K320" i="41"/>
  <c r="AF576" i="37"/>
  <c r="Z576" i="37"/>
  <c r="N525" i="41"/>
  <c r="K525" i="41"/>
  <c r="AO18" i="29"/>
  <c r="AE18" i="29"/>
  <c r="AG18" i="29"/>
  <c r="Z38" i="38"/>
  <c r="AE38" i="38"/>
  <c r="AJ7" i="38"/>
  <c r="AM20" i="29"/>
  <c r="T20" i="29"/>
  <c r="N20" i="29"/>
  <c r="AG30" i="30"/>
  <c r="AE30" i="30"/>
  <c r="AO30" i="30"/>
  <c r="AE121" i="38"/>
  <c r="Z121" i="38"/>
  <c r="N586" i="41"/>
  <c r="K586" i="41"/>
  <c r="AE152" i="38"/>
  <c r="Z152" i="38"/>
  <c r="Y161" i="37"/>
  <c r="AE161" i="37"/>
  <c r="AK40" i="30"/>
  <c r="AK40" i="29"/>
  <c r="AF33" i="30"/>
  <c r="AP33" i="30"/>
  <c r="N573" i="41"/>
  <c r="K573" i="41"/>
  <c r="AF69" i="43"/>
  <c r="AF17" i="43"/>
  <c r="N216" i="41"/>
  <c r="K216" i="41"/>
  <c r="AE293" i="38"/>
  <c r="Z293" i="38"/>
  <c r="N180" i="41"/>
  <c r="K180" i="41"/>
  <c r="AJ13" i="38"/>
  <c r="AJ2" i="38"/>
  <c r="AF78" i="43"/>
  <c r="AF26" i="43"/>
  <c r="Y152" i="37"/>
  <c r="J152" i="41"/>
  <c r="M152" i="41"/>
  <c r="N491" i="41"/>
  <c r="K491" i="41"/>
  <c r="Z129" i="37"/>
  <c r="AF129" i="37"/>
  <c r="AK15" i="30"/>
  <c r="AK15" i="29"/>
  <c r="N48" i="30"/>
  <c r="T48" i="30"/>
  <c r="AM48" i="30"/>
  <c r="AF73" i="43"/>
  <c r="AF21" i="43"/>
  <c r="AK45" i="30"/>
  <c r="AK45" i="27"/>
  <c r="AK45" i="28"/>
  <c r="AK45" i="29"/>
  <c r="Z9" i="37"/>
  <c r="AF9" i="37"/>
  <c r="AF521" i="37"/>
  <c r="Z521" i="37"/>
  <c r="N250" i="41"/>
  <c r="K250" i="41"/>
  <c r="AF35" i="30"/>
  <c r="AP35" i="30"/>
  <c r="Z90" i="37"/>
  <c r="AF90" i="37"/>
  <c r="AE289" i="38"/>
  <c r="Z289" i="38"/>
  <c r="N475" i="41"/>
  <c r="K475" i="41"/>
  <c r="AL7" i="29"/>
  <c r="AJ7" i="29"/>
  <c r="N97" i="43"/>
  <c r="N45" i="43"/>
  <c r="AG12" i="30"/>
  <c r="AE12" i="30"/>
  <c r="AO12" i="30"/>
  <c r="AF173" i="37"/>
  <c r="N99" i="43"/>
  <c r="N47" i="43"/>
  <c r="N100" i="43"/>
  <c r="N48" i="43"/>
  <c r="AE55" i="37"/>
  <c r="AM41" i="29"/>
  <c r="T41" i="29"/>
  <c r="N41" i="29"/>
  <c r="AM9" i="29"/>
  <c r="T9" i="29"/>
  <c r="N9" i="29"/>
  <c r="AE293" i="37"/>
  <c r="Y293" i="37"/>
  <c r="AE220" i="38"/>
  <c r="Z220" i="38"/>
  <c r="N549" i="41"/>
  <c r="K549" i="41"/>
  <c r="AE105" i="37"/>
  <c r="AE331" i="38"/>
  <c r="Z331" i="38"/>
  <c r="N71" i="43"/>
  <c r="N19" i="43"/>
  <c r="Z251" i="37"/>
  <c r="AF251" i="37"/>
  <c r="N227" i="41"/>
  <c r="K227" i="41"/>
  <c r="N248" i="41"/>
  <c r="K248" i="41"/>
  <c r="R19" i="55"/>
  <c r="AM36" i="28"/>
  <c r="U19" i="55"/>
  <c r="AK13" i="29"/>
  <c r="AK13" i="30"/>
  <c r="N313" i="41"/>
  <c r="K313" i="41"/>
  <c r="AF214" i="37"/>
  <c r="AL44" i="30"/>
  <c r="AJ44" i="30"/>
  <c r="N43" i="30"/>
  <c r="T43" i="30"/>
  <c r="AM43" i="30"/>
  <c r="Y231" i="37"/>
  <c r="AE231" i="37"/>
  <c r="AF30" i="37"/>
  <c r="AF631" i="37"/>
  <c r="N648" i="41"/>
  <c r="K648" i="41"/>
  <c r="N261" i="41"/>
  <c r="K261" i="41"/>
  <c r="N503" i="41"/>
  <c r="K503" i="41"/>
  <c r="AM36" i="30"/>
  <c r="T36" i="30"/>
  <c r="N36" i="30"/>
  <c r="AG24" i="29"/>
  <c r="AE50" i="37"/>
  <c r="AF561" i="37"/>
  <c r="Z561" i="37"/>
  <c r="Z617" i="37"/>
  <c r="AF617" i="37"/>
  <c r="AK40" i="27"/>
  <c r="AK40" i="28"/>
  <c r="AG40" i="43"/>
  <c r="AG92" i="43"/>
  <c r="Z216" i="37"/>
  <c r="AF216" i="37"/>
  <c r="M23" i="41"/>
  <c r="J23" i="41"/>
  <c r="Z180" i="37"/>
  <c r="AF180" i="37"/>
  <c r="N560" i="41"/>
  <c r="K560" i="41"/>
  <c r="AK21" i="30"/>
  <c r="AK21" i="27"/>
  <c r="AK21" i="28"/>
  <c r="AK21" i="29"/>
  <c r="Y14" i="38"/>
  <c r="AD14" i="38"/>
  <c r="AD7" i="41"/>
  <c r="N499" i="41"/>
  <c r="K499" i="41"/>
  <c r="AF82" i="43"/>
  <c r="AF30" i="43"/>
  <c r="AF194" i="37"/>
  <c r="AF604" i="37"/>
  <c r="AF49" i="30"/>
  <c r="AP49" i="30"/>
  <c r="AE281" i="38"/>
  <c r="Z281" i="38"/>
  <c r="M153" i="41"/>
  <c r="J153" i="41"/>
  <c r="AF475" i="37"/>
  <c r="Z475" i="37"/>
  <c r="AK29" i="29"/>
  <c r="AK29" i="27"/>
  <c r="AK29" i="28"/>
  <c r="AK29" i="30"/>
  <c r="AK15" i="28"/>
  <c r="AG15" i="43"/>
  <c r="AG67" i="43"/>
  <c r="M5" i="41"/>
  <c r="J5" i="41"/>
  <c r="N480" i="41"/>
  <c r="K480" i="41"/>
  <c r="AO10" i="30"/>
  <c r="AE10" i="30"/>
  <c r="AG10" i="30"/>
  <c r="AM33" i="30"/>
  <c r="T33" i="30"/>
  <c r="N33" i="30"/>
  <c r="N186" i="41"/>
  <c r="K186" i="41"/>
  <c r="Z250" i="37"/>
  <c r="AF250" i="37"/>
  <c r="AF457" i="37"/>
  <c r="Z457" i="37"/>
  <c r="AK26" i="29"/>
  <c r="AK26" i="27"/>
  <c r="AK26" i="28"/>
  <c r="AK26" i="30"/>
  <c r="AF330" i="37"/>
  <c r="Z330" i="37"/>
  <c r="AL31" i="29"/>
  <c r="AJ31" i="29"/>
  <c r="AF392" i="37"/>
  <c r="Z392" i="37"/>
  <c r="AF506" i="37"/>
  <c r="Z506" i="37"/>
  <c r="Z173" i="37"/>
  <c r="K173" i="41"/>
  <c r="N173" i="41"/>
  <c r="Y55" i="37"/>
  <c r="J55" i="41"/>
  <c r="M55" i="41"/>
  <c r="AF257" i="37"/>
  <c r="Z257" i="37"/>
  <c r="AF128" i="37"/>
  <c r="AE317" i="38"/>
  <c r="Z317" i="38"/>
  <c r="AF263" i="37"/>
  <c r="Z263" i="37"/>
  <c r="Y105" i="37"/>
  <c r="J105" i="41"/>
  <c r="M105" i="41"/>
  <c r="AF656" i="37"/>
  <c r="AF433" i="37"/>
  <c r="N331" i="41"/>
  <c r="K331" i="41"/>
  <c r="N367" i="41"/>
  <c r="K367" i="41"/>
  <c r="AE304" i="38"/>
  <c r="Z304" i="38"/>
  <c r="AE190" i="38"/>
  <c r="Z190" i="38"/>
  <c r="Z227" i="37"/>
  <c r="AF227" i="37"/>
  <c r="Z248" i="37"/>
  <c r="AF248" i="37"/>
  <c r="AF500" i="37"/>
  <c r="Z500" i="37"/>
  <c r="AF584" i="37"/>
  <c r="Z584" i="37"/>
  <c r="AV9" i="37"/>
  <c r="AU9" i="37"/>
  <c r="AU11" i="37"/>
  <c r="AF579" i="37"/>
  <c r="Z579" i="37"/>
  <c r="N507" i="41"/>
  <c r="K507" i="41"/>
  <c r="Z214" i="37"/>
  <c r="K214" i="41"/>
  <c r="N214" i="41"/>
  <c r="N88" i="43"/>
  <c r="N36" i="43"/>
  <c r="N542" i="41"/>
  <c r="K542" i="41"/>
  <c r="N43" i="29"/>
  <c r="T43" i="29"/>
  <c r="AM43" i="29"/>
  <c r="AF649" i="37"/>
  <c r="AF81" i="37"/>
  <c r="AE176" i="38"/>
  <c r="Z176" i="38"/>
  <c r="Y10" i="37"/>
  <c r="AE10" i="37"/>
  <c r="M290" i="41"/>
  <c r="J290" i="41"/>
  <c r="AF554" i="37"/>
  <c r="Z554" i="37"/>
  <c r="AF27" i="30"/>
  <c r="AP27" i="30"/>
  <c r="AF41" i="30"/>
  <c r="AP41" i="30"/>
  <c r="Y110" i="37"/>
  <c r="AE110" i="37"/>
  <c r="AE378" i="37"/>
  <c r="Y378" i="37"/>
  <c r="Y45" i="37"/>
  <c r="J45" i="41"/>
  <c r="M45" i="41"/>
  <c r="AE343" i="37"/>
  <c r="Y343" i="37"/>
  <c r="Y233" i="37"/>
  <c r="AE233" i="37"/>
  <c r="Z693" i="37"/>
  <c r="K693" i="41"/>
  <c r="N693" i="41"/>
  <c r="AL47" i="30"/>
  <c r="AJ47" i="30"/>
  <c r="AE194" i="38"/>
  <c r="Z194" i="38"/>
  <c r="AE186" i="38"/>
  <c r="Z186" i="38"/>
  <c r="AO24" i="29"/>
  <c r="AE24" i="29"/>
  <c r="AB24" i="43"/>
  <c r="AB76" i="43"/>
  <c r="Y50" i="37"/>
  <c r="J50" i="41"/>
  <c r="M50" i="41"/>
  <c r="AL49" i="30"/>
  <c r="AJ49" i="30"/>
  <c r="AL6" i="29"/>
  <c r="AJ6" i="29"/>
  <c r="AF514" i="37"/>
  <c r="Z514" i="37"/>
  <c r="AK9" i="30"/>
  <c r="AK9" i="28"/>
  <c r="AK9" i="29"/>
  <c r="AE69" i="38"/>
  <c r="Z69" i="38"/>
  <c r="AD74" i="38"/>
  <c r="Y74" i="38"/>
  <c r="AE50" i="38"/>
  <c r="Z50" i="38"/>
  <c r="Y23" i="37"/>
  <c r="AE23" i="37"/>
  <c r="AL13" i="30"/>
  <c r="AJ13" i="30"/>
  <c r="N392" i="41"/>
  <c r="K392" i="41"/>
  <c r="Z194" i="37"/>
  <c r="K194" i="41"/>
  <c r="N194" i="41"/>
  <c r="Z604" i="37"/>
  <c r="K604" i="41"/>
  <c r="N604" i="41"/>
  <c r="Z42" i="37"/>
  <c r="AF42" i="37"/>
  <c r="AK34" i="30"/>
  <c r="AK34" i="27"/>
  <c r="AK34" i="28"/>
  <c r="AK34" i="29"/>
  <c r="Y153" i="37"/>
  <c r="AE153" i="37"/>
  <c r="N472" i="41"/>
  <c r="K472" i="41"/>
  <c r="N87" i="43"/>
  <c r="N35" i="43"/>
  <c r="Y5" i="37"/>
  <c r="AE5" i="37"/>
  <c r="AO34" i="30"/>
  <c r="AE34" i="30"/>
  <c r="AG34" i="30"/>
  <c r="Z186" i="37"/>
  <c r="AF186" i="37"/>
  <c r="AF18" i="30"/>
  <c r="AP18" i="30"/>
  <c r="AE294" i="38"/>
  <c r="Z294" i="38"/>
  <c r="N19" i="29"/>
  <c r="T19" i="29"/>
  <c r="AM19" i="29"/>
  <c r="Z72" i="37"/>
  <c r="AF72" i="37"/>
  <c r="AO6" i="30"/>
  <c r="AE6" i="30"/>
  <c r="AG6" i="30"/>
  <c r="AE244" i="38"/>
  <c r="Z244" i="38"/>
  <c r="N459" i="41"/>
  <c r="K459" i="41"/>
  <c r="Z128" i="37"/>
  <c r="K128" i="41"/>
  <c r="N128" i="41"/>
  <c r="AF281" i="37"/>
  <c r="Z281" i="37"/>
  <c r="AF536" i="37"/>
  <c r="Z536" i="37"/>
  <c r="Z656" i="37"/>
  <c r="K656" i="41"/>
  <c r="N656" i="41"/>
  <c r="Z433" i="37"/>
  <c r="K433" i="41"/>
  <c r="N433" i="41"/>
  <c r="W14" i="45"/>
  <c r="W9" i="45"/>
  <c r="W15" i="45"/>
  <c r="Z5" i="37"/>
  <c r="AF5" i="37"/>
  <c r="AF53" i="30"/>
  <c r="Z193" i="37"/>
  <c r="AF193" i="37"/>
  <c r="N399" i="41"/>
  <c r="K399" i="41"/>
  <c r="AO27" i="30"/>
  <c r="AE27" i="30"/>
  <c r="AG27" i="30"/>
  <c r="AF511" i="37"/>
  <c r="Z511" i="37"/>
  <c r="AL6" i="37"/>
  <c r="AK6" i="37"/>
  <c r="Y53" i="37"/>
  <c r="AE53" i="37"/>
  <c r="AF480" i="37"/>
  <c r="Z480" i="37"/>
  <c r="Z649" i="37"/>
  <c r="K649" i="41"/>
  <c r="N649" i="41"/>
  <c r="AD134" i="38"/>
  <c r="Y134" i="38"/>
  <c r="Z81" i="37"/>
  <c r="K81" i="41"/>
  <c r="N81" i="41"/>
  <c r="AC103" i="43"/>
  <c r="AP51" i="29"/>
  <c r="AF51" i="29"/>
  <c r="AC51" i="43"/>
  <c r="AF32" i="30"/>
  <c r="AP32" i="30"/>
  <c r="AO14" i="29"/>
  <c r="AE14" i="29"/>
  <c r="AG14" i="29"/>
  <c r="AF532" i="37"/>
  <c r="Z532" i="37"/>
  <c r="AF497" i="37"/>
  <c r="Z497" i="37"/>
  <c r="N174" i="41"/>
  <c r="K174" i="41"/>
  <c r="AF61" i="43"/>
  <c r="AF9" i="43"/>
  <c r="Z226" i="37"/>
  <c r="AF226" i="37"/>
  <c r="AJ5" i="38"/>
  <c r="AD160" i="38"/>
  <c r="Y160" i="38"/>
  <c r="AM5" i="29"/>
  <c r="T5" i="29"/>
  <c r="N5" i="29"/>
  <c r="T53" i="29"/>
  <c r="AE290" i="38"/>
  <c r="Z290" i="38"/>
  <c r="N519" i="41"/>
  <c r="K519" i="41"/>
  <c r="AG9" i="41"/>
  <c r="Y9" i="41"/>
  <c r="S9" i="41"/>
  <c r="AL41" i="29"/>
  <c r="AJ41" i="29"/>
  <c r="N371" i="41"/>
  <c r="K371" i="41"/>
  <c r="AF321" i="37"/>
  <c r="Z321" i="37"/>
  <c r="N641" i="41"/>
  <c r="K641" i="41"/>
  <c r="AF168" i="37"/>
  <c r="AE356" i="38"/>
  <c r="Z356" i="38"/>
  <c r="M202" i="41"/>
  <c r="J202" i="41"/>
  <c r="AF276" i="37"/>
  <c r="Z276" i="37"/>
  <c r="AE49" i="38"/>
  <c r="Z49" i="38"/>
  <c r="AM10" i="30"/>
  <c r="T10" i="30"/>
  <c r="N10" i="30"/>
  <c r="AE301" i="37"/>
  <c r="Y301" i="37"/>
  <c r="N363" i="41"/>
  <c r="K363" i="41"/>
  <c r="AM13" i="30"/>
  <c r="T13" i="30"/>
  <c r="N13" i="30"/>
  <c r="AE242" i="38"/>
  <c r="Z242" i="38"/>
  <c r="N412" i="41"/>
  <c r="K412" i="41"/>
  <c r="AE250" i="38"/>
  <c r="Z250" i="38"/>
  <c r="AG15" i="29"/>
  <c r="Z117" i="37"/>
  <c r="AF117" i="37"/>
  <c r="N393" i="41"/>
  <c r="K393" i="41"/>
  <c r="N12" i="29"/>
  <c r="T12" i="29"/>
  <c r="AM12" i="29"/>
  <c r="Z631" i="37"/>
  <c r="K631" i="41"/>
  <c r="N631" i="41"/>
  <c r="N514" i="41"/>
  <c r="K514" i="41"/>
  <c r="AF402" i="37"/>
  <c r="AE191" i="38"/>
  <c r="Z191" i="38"/>
  <c r="N456" i="41"/>
  <c r="K456" i="41"/>
  <c r="AF179" i="37"/>
  <c r="AE225" i="38"/>
  <c r="Z225" i="38"/>
  <c r="AE31" i="38"/>
  <c r="Z31" i="38"/>
  <c r="AE141" i="38"/>
  <c r="Z141" i="38"/>
  <c r="Z123" i="37"/>
  <c r="AF123" i="37"/>
  <c r="AE234" i="38"/>
  <c r="Z234" i="38"/>
  <c r="N438" i="41"/>
  <c r="K438" i="41"/>
  <c r="AF125" i="37"/>
  <c r="Z168" i="37"/>
  <c r="K168" i="41"/>
  <c r="N168" i="41"/>
  <c r="AF633" i="37"/>
  <c r="AG34" i="29"/>
  <c r="N466" i="41"/>
  <c r="K466" i="41"/>
  <c r="AF35" i="37"/>
  <c r="AE275" i="38"/>
  <c r="Z275" i="38"/>
  <c r="N622" i="41"/>
  <c r="K622" i="41"/>
  <c r="N94" i="41"/>
  <c r="K94" i="41"/>
  <c r="N521" i="41"/>
  <c r="K521" i="41"/>
  <c r="AF68" i="43"/>
  <c r="AF16" i="43"/>
  <c r="AE323" i="38"/>
  <c r="Z323" i="38"/>
  <c r="AE219" i="38"/>
  <c r="Z219" i="38"/>
  <c r="AL39" i="29"/>
  <c r="AJ39" i="29"/>
  <c r="AE251" i="38"/>
  <c r="Z251" i="38"/>
  <c r="AF76" i="43"/>
  <c r="AF24" i="43"/>
  <c r="N264" i="41"/>
  <c r="K264" i="41"/>
  <c r="N505" i="41"/>
  <c r="K505" i="41"/>
  <c r="AF447" i="37"/>
  <c r="Z447" i="37"/>
  <c r="N243" i="41"/>
  <c r="K243" i="41"/>
  <c r="N420" i="41"/>
  <c r="K420" i="41"/>
  <c r="N602" i="41"/>
  <c r="K602" i="41"/>
  <c r="Z228" i="37"/>
  <c r="K228" i="41"/>
  <c r="N228" i="41"/>
  <c r="M293" i="41"/>
  <c r="J293" i="41"/>
  <c r="N178" i="41"/>
  <c r="K178" i="41"/>
  <c r="N277" i="41"/>
  <c r="K277" i="41"/>
  <c r="AG82" i="43"/>
  <c r="AG30" i="43"/>
  <c r="AP8" i="29"/>
  <c r="AF8" i="29"/>
  <c r="AC8" i="43"/>
  <c r="AC60" i="43"/>
  <c r="Z438" i="37"/>
  <c r="AF438" i="37"/>
  <c r="AE114" i="38"/>
  <c r="Z114" i="38"/>
  <c r="Z402" i="37"/>
  <c r="K402" i="41"/>
  <c r="N402" i="41"/>
  <c r="N84" i="43"/>
  <c r="N32" i="43"/>
  <c r="AL48" i="30"/>
  <c r="AJ48" i="30"/>
  <c r="Z179" i="37"/>
  <c r="K179" i="41"/>
  <c r="N179" i="41"/>
  <c r="AO26" i="30"/>
  <c r="AE26" i="30"/>
  <c r="AG26" i="30"/>
  <c r="AE348" i="38"/>
  <c r="Z348" i="38"/>
  <c r="AE227" i="38"/>
  <c r="Z227" i="38"/>
  <c r="N316" i="41"/>
  <c r="K316" i="41"/>
  <c r="AE233" i="38"/>
  <c r="Z233" i="38"/>
  <c r="Z125" i="37"/>
  <c r="K125" i="41"/>
  <c r="N125" i="41"/>
  <c r="N575" i="41"/>
  <c r="K575" i="41"/>
  <c r="Z633" i="37"/>
  <c r="K633" i="41"/>
  <c r="N633" i="41"/>
  <c r="AO34" i="29"/>
  <c r="AE34" i="29"/>
  <c r="AB34" i="43"/>
  <c r="AB86" i="43"/>
  <c r="AL16" i="29"/>
  <c r="AJ16" i="29"/>
  <c r="AE231" i="38"/>
  <c r="Z231" i="38"/>
  <c r="AG43" i="30"/>
  <c r="AE43" i="30"/>
  <c r="AO43" i="30"/>
  <c r="AL7" i="30"/>
  <c r="AJ7" i="30"/>
  <c r="Z35" i="37"/>
  <c r="K35" i="41"/>
  <c r="N35" i="41"/>
  <c r="M155" i="41"/>
  <c r="J155" i="41"/>
  <c r="AG18" i="30"/>
  <c r="AE18" i="30"/>
  <c r="AO18" i="30"/>
  <c r="Z15" i="37"/>
  <c r="AF15" i="37"/>
  <c r="AF686" i="37"/>
  <c r="AG91" i="43"/>
  <c r="AG39" i="43"/>
  <c r="AF33" i="37"/>
  <c r="R12" i="55"/>
  <c r="AM30" i="28"/>
  <c r="U12" i="55"/>
  <c r="AM42" i="30"/>
  <c r="T42" i="30"/>
  <c r="N42" i="30"/>
  <c r="AP29" i="29"/>
  <c r="AF29" i="29"/>
  <c r="AC29" i="43"/>
  <c r="AC81" i="43"/>
  <c r="AL51" i="30"/>
  <c r="AJ51" i="30"/>
  <c r="AM7" i="30"/>
  <c r="T7" i="30"/>
  <c r="N7" i="30"/>
  <c r="AG25" i="30"/>
  <c r="AE25" i="30"/>
  <c r="AO25" i="30"/>
  <c r="AE332" i="38"/>
  <c r="Z332" i="38"/>
  <c r="AB83" i="43"/>
  <c r="AB31" i="43"/>
  <c r="N76" i="41"/>
  <c r="K76" i="41"/>
  <c r="AF541" i="37"/>
  <c r="Z541" i="37"/>
  <c r="AU8" i="37"/>
  <c r="AV8" i="37"/>
  <c r="AK30" i="30"/>
  <c r="AK30" i="27"/>
  <c r="AK30" i="28"/>
  <c r="AK30" i="29"/>
  <c r="AU3" i="37"/>
  <c r="AV3" i="37"/>
  <c r="AF260" i="37"/>
  <c r="Z260" i="37"/>
  <c r="AO40" i="29"/>
  <c r="AE40" i="29"/>
  <c r="AB40" i="43"/>
  <c r="AB92" i="43"/>
  <c r="AF574" i="37"/>
  <c r="Z574" i="37"/>
  <c r="Z648" i="37"/>
  <c r="AF648" i="37"/>
  <c r="AF589" i="37"/>
  <c r="Z589" i="37"/>
  <c r="AE237" i="38"/>
  <c r="Z237" i="38"/>
  <c r="AF469" i="37"/>
  <c r="Z469" i="37"/>
  <c r="AE97" i="38"/>
  <c r="Z97" i="38"/>
  <c r="AE297" i="38"/>
  <c r="Z297" i="38"/>
  <c r="AF103" i="43"/>
  <c r="AF51" i="43"/>
  <c r="Z174" i="37"/>
  <c r="AF174" i="37"/>
  <c r="AE342" i="37"/>
  <c r="Y342" i="37"/>
  <c r="AE45" i="38"/>
  <c r="Z45" i="38"/>
  <c r="AE175" i="38"/>
  <c r="Z175" i="38"/>
  <c r="AE54" i="37"/>
  <c r="AF210" i="37"/>
  <c r="AE205" i="37"/>
  <c r="AE6" i="38"/>
  <c r="Z6" i="38"/>
  <c r="AE337" i="38"/>
  <c r="Z337" i="38"/>
  <c r="AE287" i="38"/>
  <c r="Z287" i="38"/>
  <c r="AE291" i="37"/>
  <c r="Y291" i="37"/>
  <c r="AE249" i="38"/>
  <c r="Z249" i="38"/>
  <c r="AK8" i="29"/>
  <c r="AK8" i="30"/>
  <c r="AF38" i="37"/>
  <c r="AE40" i="38"/>
  <c r="Z40" i="38"/>
  <c r="AF280" i="37"/>
  <c r="Z280" i="37"/>
  <c r="N266" i="41"/>
  <c r="K266" i="41"/>
  <c r="AE268" i="38"/>
  <c r="Z268" i="38"/>
  <c r="N183" i="41"/>
  <c r="K183" i="41"/>
  <c r="M159" i="41"/>
  <c r="J159" i="41"/>
  <c r="N436" i="41"/>
  <c r="K436" i="41"/>
  <c r="AM38" i="29"/>
  <c r="T38" i="29"/>
  <c r="N38" i="29"/>
  <c r="AF557" i="37"/>
  <c r="Z557" i="37"/>
  <c r="AE180" i="38"/>
  <c r="Z180" i="38"/>
  <c r="AD130" i="38"/>
  <c r="Y130" i="38"/>
  <c r="Z650" i="37"/>
  <c r="AF650" i="37"/>
  <c r="AL29" i="30"/>
  <c r="AJ29" i="30"/>
  <c r="Z210" i="37"/>
  <c r="K210" i="41"/>
  <c r="N210" i="41"/>
  <c r="Y205" i="37"/>
  <c r="J205" i="41"/>
  <c r="M205" i="41"/>
  <c r="AE230" i="38"/>
  <c r="Z230" i="38"/>
  <c r="N437" i="41"/>
  <c r="K437" i="41"/>
  <c r="AG59" i="43"/>
  <c r="AG7" i="43"/>
  <c r="M240" i="41"/>
  <c r="J240" i="41"/>
  <c r="AK8" i="27"/>
  <c r="AK8" i="28"/>
  <c r="AG8" i="43"/>
  <c r="AG60" i="43"/>
  <c r="Z38" i="37"/>
  <c r="K38" i="41"/>
  <c r="N38" i="41"/>
  <c r="AP37" i="29"/>
  <c r="AF37" i="29"/>
  <c r="AC37" i="43"/>
  <c r="AC89" i="43"/>
  <c r="Y155" i="37"/>
  <c r="AE155" i="37"/>
  <c r="AF606" i="37"/>
  <c r="AO14" i="30"/>
  <c r="AE14" i="30"/>
  <c r="AG14" i="30"/>
  <c r="AF517" i="37"/>
  <c r="Z517" i="37"/>
  <c r="AF11" i="30"/>
  <c r="AP11" i="30"/>
  <c r="M24" i="41"/>
  <c r="J24" i="41"/>
  <c r="M307" i="41"/>
  <c r="J307" i="41"/>
  <c r="AF667" i="37"/>
  <c r="Z667" i="37"/>
  <c r="AM27" i="30"/>
  <c r="T27" i="30"/>
  <c r="N27" i="30"/>
  <c r="N624" i="41"/>
  <c r="K624" i="41"/>
  <c r="AF285" i="37"/>
  <c r="Z285" i="37"/>
  <c r="N16" i="30"/>
  <c r="T16" i="30"/>
  <c r="AM16" i="30"/>
  <c r="AV5" i="37"/>
  <c r="AU5" i="37"/>
  <c r="AF395" i="37"/>
  <c r="Z395" i="37"/>
  <c r="AF286" i="37"/>
  <c r="Z286" i="37"/>
  <c r="AG23" i="30"/>
  <c r="AE23" i="30"/>
  <c r="AO23" i="30"/>
  <c r="Y240" i="37"/>
  <c r="AE240" i="37"/>
  <c r="AF520" i="37"/>
  <c r="Z520" i="37"/>
  <c r="AF164" i="37"/>
  <c r="N85" i="43"/>
  <c r="N33" i="43"/>
  <c r="AG6" i="29"/>
  <c r="AF121" i="37"/>
  <c r="AD171" i="38"/>
  <c r="Y171" i="38"/>
  <c r="N435" i="41"/>
  <c r="K435" i="41"/>
  <c r="N398" i="41"/>
  <c r="K398" i="41"/>
  <c r="AL5" i="37"/>
  <c r="AK5" i="37"/>
  <c r="AE255" i="38"/>
  <c r="Z255" i="38"/>
  <c r="N477" i="41"/>
  <c r="K477" i="41"/>
  <c r="AL32" i="30"/>
  <c r="AJ32" i="30"/>
  <c r="AF270" i="37"/>
  <c r="Z270" i="37"/>
  <c r="AE330" i="38"/>
  <c r="Z330" i="38"/>
  <c r="AE305" i="37"/>
  <c r="Y305" i="37"/>
  <c r="AE64" i="37"/>
  <c r="AP32" i="29"/>
  <c r="AF32" i="29"/>
  <c r="AC32" i="43"/>
  <c r="AC84" i="43"/>
  <c r="AE212" i="38"/>
  <c r="Z212" i="38"/>
  <c r="AE140" i="38"/>
  <c r="Z140" i="38"/>
  <c r="AE95" i="38"/>
  <c r="Z95" i="38"/>
  <c r="N42" i="29"/>
  <c r="T42" i="29"/>
  <c r="AM42" i="29"/>
  <c r="Z30" i="37"/>
  <c r="K30" i="41"/>
  <c r="N30" i="41"/>
  <c r="AK19" i="27"/>
  <c r="AK19" i="28"/>
  <c r="AG19" i="43"/>
  <c r="AG71" i="43"/>
  <c r="AF363" i="37"/>
  <c r="Z363" i="37"/>
  <c r="Z94" i="37"/>
  <c r="AF94" i="37"/>
  <c r="Z178" i="37"/>
  <c r="AF178" i="37"/>
  <c r="AO15" i="29"/>
  <c r="AE15" i="29"/>
  <c r="AB15" i="43"/>
  <c r="AB67" i="43"/>
  <c r="AF326" i="37"/>
  <c r="Z326" i="37"/>
  <c r="AF246" i="37"/>
  <c r="AF627" i="37"/>
  <c r="AF102" i="43"/>
  <c r="AF50" i="43"/>
  <c r="N63" i="43"/>
  <c r="N11" i="43"/>
  <c r="M351" i="41"/>
  <c r="J351" i="41"/>
  <c r="AK44" i="30"/>
  <c r="AK44" i="27"/>
  <c r="AK44" i="28"/>
  <c r="AK44" i="29"/>
  <c r="AD128" i="38"/>
  <c r="Y128" i="38"/>
  <c r="AL19" i="29"/>
  <c r="AJ19" i="29"/>
  <c r="N43" i="43"/>
  <c r="N95" i="43"/>
  <c r="N45" i="29"/>
  <c r="T45" i="29"/>
  <c r="AM45" i="29"/>
  <c r="AF424" i="37"/>
  <c r="AK13" i="27"/>
  <c r="AK13" i="28"/>
  <c r="AG13" i="43"/>
  <c r="AG65" i="43"/>
  <c r="AE263" i="38"/>
  <c r="Z263" i="38"/>
  <c r="AE270" i="38"/>
  <c r="Z270" i="38"/>
  <c r="M341" i="41"/>
  <c r="J341" i="41"/>
  <c r="N569" i="41"/>
  <c r="K569" i="41"/>
  <c r="AL39" i="30"/>
  <c r="AJ39" i="30"/>
  <c r="AV4" i="37"/>
  <c r="AU4" i="37"/>
  <c r="AF16" i="30"/>
  <c r="AP16" i="30"/>
  <c r="N368" i="41"/>
  <c r="K368" i="41"/>
  <c r="Z164" i="37"/>
  <c r="K164" i="41"/>
  <c r="N164" i="41"/>
  <c r="AE291" i="38"/>
  <c r="Z291" i="38"/>
  <c r="AO6" i="29"/>
  <c r="AE6" i="29"/>
  <c r="AB6" i="43"/>
  <c r="AB58" i="43"/>
  <c r="M11" i="41"/>
  <c r="J11" i="41"/>
  <c r="AG11" i="30"/>
  <c r="AE11" i="30"/>
  <c r="AO11" i="30"/>
  <c r="N533" i="41"/>
  <c r="K533" i="41"/>
  <c r="AF592" i="37"/>
  <c r="Z592" i="37"/>
  <c r="N689" i="41"/>
  <c r="K689" i="41"/>
  <c r="AC90" i="43"/>
  <c r="AC38" i="43"/>
  <c r="AF38" i="29"/>
  <c r="AP38" i="29"/>
  <c r="N17" i="41"/>
  <c r="K17" i="41"/>
  <c r="Y106" i="37"/>
  <c r="AE106" i="37"/>
  <c r="U23" i="55"/>
  <c r="AM39" i="28"/>
  <c r="R23" i="55"/>
  <c r="M378" i="41"/>
  <c r="J378" i="41"/>
  <c r="N315" i="41"/>
  <c r="K315" i="41"/>
  <c r="M349" i="41"/>
  <c r="J349" i="41"/>
  <c r="Z246" i="37"/>
  <c r="K246" i="41"/>
  <c r="N246" i="41"/>
  <c r="Z627" i="37"/>
  <c r="K627" i="41"/>
  <c r="N627" i="41"/>
  <c r="N53" i="29"/>
  <c r="Z121" i="37"/>
  <c r="K121" i="41"/>
  <c r="N121" i="41"/>
  <c r="Z641" i="37"/>
  <c r="AF641" i="37"/>
  <c r="Z424" i="37"/>
  <c r="K424" i="41"/>
  <c r="N424" i="41"/>
  <c r="Y202" i="37"/>
  <c r="AE202" i="37"/>
  <c r="AP39" i="30"/>
  <c r="AF39" i="30"/>
  <c r="Z686" i="37"/>
  <c r="K686" i="41"/>
  <c r="N686" i="41"/>
  <c r="AD133" i="38"/>
  <c r="Y133" i="38"/>
  <c r="Z33" i="37"/>
  <c r="K33" i="41"/>
  <c r="N33" i="41"/>
  <c r="R10" i="55"/>
  <c r="AM26" i="28"/>
  <c r="U10" i="55"/>
  <c r="Z606" i="37"/>
  <c r="K606" i="41"/>
  <c r="N606" i="41"/>
  <c r="AE181" i="38"/>
  <c r="Z181" i="38"/>
  <c r="AE341" i="37"/>
  <c r="Y341" i="37"/>
  <c r="AK58" i="28"/>
  <c r="AK53" i="28"/>
  <c r="N276" i="41"/>
  <c r="K276" i="41"/>
  <c r="N172" i="41"/>
  <c r="K172" i="41"/>
  <c r="AE200" i="38"/>
  <c r="Z200" i="38"/>
  <c r="N16" i="41"/>
  <c r="K16" i="41"/>
  <c r="AF367" i="37"/>
  <c r="Z367" i="37"/>
  <c r="AE160" i="37"/>
  <c r="N582" i="41"/>
  <c r="K582" i="41"/>
  <c r="N96" i="43"/>
  <c r="N44" i="43"/>
  <c r="M343" i="41"/>
  <c r="J343" i="41"/>
  <c r="N687" i="41"/>
  <c r="K687" i="41"/>
  <c r="AD21" i="38"/>
  <c r="Y21" i="38"/>
  <c r="N253" i="41"/>
  <c r="K253" i="41"/>
  <c r="N416" i="41"/>
  <c r="K416" i="41"/>
  <c r="AF600" i="37"/>
  <c r="AB11" i="41"/>
  <c r="AF587" i="37"/>
  <c r="Z587" i="37"/>
  <c r="AF504" i="37"/>
  <c r="Z504" i="37"/>
  <c r="AF26" i="30"/>
  <c r="AP26" i="30"/>
  <c r="Z687" i="37"/>
  <c r="AF687" i="37"/>
  <c r="AF594" i="37"/>
  <c r="Z594" i="37"/>
  <c r="AL32" i="28"/>
  <c r="AF660" i="37"/>
  <c r="Z660" i="37"/>
  <c r="N677" i="41"/>
  <c r="K677" i="41"/>
  <c r="Z253" i="37"/>
  <c r="AF253" i="37"/>
  <c r="N359" i="41"/>
  <c r="K359" i="41"/>
  <c r="N462" i="41"/>
  <c r="K462" i="41"/>
  <c r="W13" i="45"/>
  <c r="W7" i="45"/>
  <c r="N76" i="43"/>
  <c r="N24" i="43"/>
  <c r="Y64" i="37"/>
  <c r="J64" i="41"/>
  <c r="M64" i="41"/>
  <c r="AC74" i="43"/>
  <c r="AC22" i="43"/>
  <c r="AF22" i="29"/>
  <c r="AP22" i="29"/>
  <c r="AB103" i="43"/>
  <c r="AB51" i="43"/>
  <c r="AL30" i="30"/>
  <c r="AJ30" i="30"/>
  <c r="AE328" i="38"/>
  <c r="Z328" i="38"/>
  <c r="AE355" i="38"/>
  <c r="Z355" i="38"/>
  <c r="Z624" i="37"/>
  <c r="AF624" i="37"/>
  <c r="AE157" i="38"/>
  <c r="Z157" i="38"/>
  <c r="N49" i="29"/>
  <c r="T49" i="29"/>
  <c r="AM49" i="29"/>
  <c r="AE104" i="38"/>
  <c r="Z104" i="38"/>
  <c r="AE55" i="38"/>
  <c r="Z55" i="38"/>
  <c r="AJ32" i="28"/>
  <c r="AF32" i="43"/>
  <c r="AF84" i="43"/>
  <c r="Y54" i="37"/>
  <c r="J54" i="41"/>
  <c r="M54" i="41"/>
  <c r="AC92" i="43"/>
  <c r="AC40" i="43"/>
  <c r="AF40" i="29"/>
  <c r="AP40" i="29"/>
  <c r="Z420" i="37"/>
  <c r="AF420" i="37"/>
  <c r="AE138" i="38"/>
  <c r="Z138" i="38"/>
  <c r="AF126" i="37"/>
  <c r="U14" i="55"/>
  <c r="AM32" i="28"/>
  <c r="R14" i="55"/>
  <c r="N258" i="41"/>
  <c r="K258" i="41"/>
  <c r="N458" i="41"/>
  <c r="K458" i="41"/>
  <c r="AG43" i="29"/>
  <c r="AE324" i="38"/>
  <c r="Z324" i="38"/>
  <c r="AF96" i="43"/>
  <c r="AF44" i="43"/>
  <c r="AJ53" i="29"/>
  <c r="AL5" i="29"/>
  <c r="AJ5" i="29"/>
  <c r="AE66" i="37"/>
  <c r="AF658" i="37"/>
  <c r="Z658" i="37"/>
  <c r="AF30" i="30"/>
  <c r="AP30" i="30"/>
  <c r="AE150" i="37"/>
  <c r="AC83" i="43"/>
  <c r="AC31" i="43"/>
  <c r="AF31" i="29"/>
  <c r="AP31" i="29"/>
  <c r="AF398" i="37"/>
  <c r="Z398" i="37"/>
  <c r="AL9" i="37"/>
  <c r="AK9" i="37"/>
  <c r="AF99" i="43"/>
  <c r="AF47" i="43"/>
  <c r="AL34" i="29"/>
  <c r="AJ34" i="29"/>
  <c r="AC67" i="43"/>
  <c r="AC15" i="43"/>
  <c r="AF15" i="29"/>
  <c r="AP15" i="29"/>
  <c r="N425" i="41"/>
  <c r="K425" i="41"/>
  <c r="N494" i="41"/>
  <c r="K494" i="41"/>
  <c r="AE177" i="38"/>
  <c r="Z177" i="38"/>
  <c r="N400" i="41"/>
  <c r="K400" i="41"/>
  <c r="AK49" i="29"/>
  <c r="AK49" i="30"/>
  <c r="N404" i="41"/>
  <c r="K404" i="41"/>
  <c r="Z172" i="37"/>
  <c r="AF172" i="37"/>
  <c r="Z622" i="37"/>
  <c r="AF622" i="37"/>
  <c r="Z425" i="37"/>
  <c r="AF425" i="37"/>
  <c r="N594" i="41"/>
  <c r="K594" i="41"/>
  <c r="AF613" i="37"/>
  <c r="AF493" i="37"/>
  <c r="Z493" i="37"/>
  <c r="AF672" i="37"/>
  <c r="AF256" i="37"/>
  <c r="Z256" i="37"/>
  <c r="AF312" i="37"/>
  <c r="Z312" i="37"/>
  <c r="AL28" i="30"/>
  <c r="AJ28" i="30"/>
  <c r="AL18" i="30"/>
  <c r="AJ18" i="30"/>
  <c r="AF448" i="37"/>
  <c r="Z448" i="37"/>
  <c r="AF575" i="37"/>
  <c r="Z575" i="37"/>
  <c r="Z126" i="37"/>
  <c r="K126" i="41"/>
  <c r="N126" i="41"/>
  <c r="N358" i="41"/>
  <c r="K358" i="41"/>
  <c r="AE173" i="38"/>
  <c r="Z173" i="38"/>
  <c r="AF688" i="37"/>
  <c r="AM50" i="30"/>
  <c r="T50" i="30"/>
  <c r="N50" i="30"/>
  <c r="AG40" i="30"/>
  <c r="AE40" i="30"/>
  <c r="AO40" i="30"/>
  <c r="AL15" i="29"/>
  <c r="AJ15" i="29"/>
  <c r="AE379" i="37"/>
  <c r="Y379" i="37"/>
  <c r="N493" i="41"/>
  <c r="K493" i="41"/>
  <c r="Y66" i="37"/>
  <c r="J66" i="41"/>
  <c r="M66" i="41"/>
  <c r="AB64" i="43"/>
  <c r="AB12" i="43"/>
  <c r="AG26" i="29"/>
  <c r="N543" i="41"/>
  <c r="K543" i="41"/>
  <c r="AF269" i="37"/>
  <c r="Z269" i="37"/>
  <c r="Y150" i="37"/>
  <c r="J150" i="41"/>
  <c r="M150" i="41"/>
  <c r="AF582" i="37"/>
  <c r="Z582" i="37"/>
  <c r="N93" i="43"/>
  <c r="N41" i="43"/>
  <c r="AG27" i="29"/>
  <c r="AF92" i="37"/>
  <c r="Z243" i="37"/>
  <c r="AF243" i="37"/>
  <c r="M47" i="41"/>
  <c r="J47" i="41"/>
  <c r="AC93" i="43"/>
  <c r="AC41" i="43"/>
  <c r="AF41" i="29"/>
  <c r="AP41" i="29"/>
  <c r="AE195" i="38"/>
  <c r="Z195" i="38"/>
  <c r="Z602" i="37"/>
  <c r="AF602" i="37"/>
  <c r="AE282" i="38"/>
  <c r="Z282" i="38"/>
  <c r="AE112" i="38"/>
  <c r="Z112" i="38"/>
  <c r="AL12" i="30"/>
  <c r="AJ12" i="30"/>
  <c r="N32" i="30"/>
  <c r="T32" i="30"/>
  <c r="AM32" i="30"/>
  <c r="Z613" i="37"/>
  <c r="K613" i="41"/>
  <c r="N613" i="41"/>
  <c r="AF585" i="37"/>
  <c r="Z585" i="37"/>
  <c r="AE110" i="38"/>
  <c r="Z110" i="38"/>
  <c r="AK5" i="30"/>
  <c r="AK5" i="29"/>
  <c r="Z672" i="37"/>
  <c r="K672" i="41"/>
  <c r="N672" i="41"/>
  <c r="Y11" i="37"/>
  <c r="AE11" i="37"/>
  <c r="Z412" i="37"/>
  <c r="AF412" i="37"/>
  <c r="AJ51" i="28"/>
  <c r="AL51" i="28"/>
  <c r="AF72" i="43"/>
  <c r="AF20" i="43"/>
  <c r="AD89" i="38"/>
  <c r="Y89" i="38"/>
  <c r="AF459" i="37"/>
  <c r="Z459" i="37"/>
  <c r="Z688" i="37"/>
  <c r="K688" i="41"/>
  <c r="N688" i="41"/>
  <c r="Z183" i="37"/>
  <c r="AF183" i="37"/>
  <c r="N73" i="43"/>
  <c r="N21" i="43"/>
  <c r="Y24" i="37"/>
  <c r="AE24" i="37"/>
  <c r="N15" i="29"/>
  <c r="T15" i="29"/>
  <c r="AM15" i="29"/>
  <c r="N36" i="29"/>
  <c r="T36" i="29"/>
  <c r="AM36" i="29"/>
  <c r="AE29" i="38"/>
  <c r="Z29" i="38"/>
  <c r="N426" i="41"/>
  <c r="K426" i="41"/>
  <c r="N59" i="43"/>
  <c r="N7" i="43"/>
  <c r="Z437" i="37"/>
  <c r="AF437" i="37"/>
  <c r="AL9" i="30"/>
  <c r="AJ9" i="30"/>
  <c r="N357" i="41"/>
  <c r="K357" i="41"/>
  <c r="AF337" i="37"/>
  <c r="Z337" i="37"/>
  <c r="AO27" i="29"/>
  <c r="AE27" i="29"/>
  <c r="AB27" i="43"/>
  <c r="AB79" i="43"/>
  <c r="AF675" i="37"/>
  <c r="N14" i="30"/>
  <c r="T14" i="30"/>
  <c r="AM14" i="30"/>
  <c r="AF219" i="37"/>
  <c r="AF619" i="37"/>
  <c r="AE288" i="37"/>
  <c r="Y288" i="37"/>
  <c r="AL35" i="29"/>
  <c r="AJ35" i="29"/>
  <c r="AE10" i="38"/>
  <c r="Z10" i="38"/>
  <c r="AB9" i="41"/>
  <c r="AF478" i="37"/>
  <c r="Z478" i="37"/>
  <c r="Z675" i="37"/>
  <c r="K675" i="41"/>
  <c r="N675" i="41"/>
  <c r="AB91" i="43"/>
  <c r="AB39" i="43"/>
  <c r="AE159" i="38"/>
  <c r="Z159" i="38"/>
  <c r="AF590" i="37"/>
  <c r="Z590" i="37"/>
  <c r="R22" i="55"/>
  <c r="AM38" i="28"/>
  <c r="U22" i="55"/>
  <c r="AE157" i="37"/>
  <c r="N90" i="43"/>
  <c r="N38" i="43"/>
  <c r="AF284" i="37"/>
  <c r="Z284" i="37"/>
  <c r="N175" i="41"/>
  <c r="K175" i="41"/>
  <c r="M149" i="41"/>
  <c r="J149" i="41"/>
  <c r="AE16" i="37"/>
  <c r="Y160" i="37"/>
  <c r="J160" i="41"/>
  <c r="M160" i="41"/>
  <c r="AE313" i="38"/>
  <c r="Z313" i="38"/>
  <c r="N34" i="30"/>
  <c r="T34" i="30"/>
  <c r="AM34" i="30"/>
  <c r="AF137" i="37"/>
  <c r="AE261" i="38"/>
  <c r="Z261" i="38"/>
  <c r="AE241" i="38"/>
  <c r="Z241" i="38"/>
  <c r="N592" i="41"/>
  <c r="K592" i="41"/>
  <c r="AF43" i="30"/>
  <c r="AP43" i="30"/>
  <c r="N611" i="41"/>
  <c r="K611" i="41"/>
  <c r="AG47" i="29"/>
  <c r="AG77" i="43"/>
  <c r="AG25" i="43"/>
  <c r="Z689" i="37"/>
  <c r="AF689" i="37"/>
  <c r="AF539" i="37"/>
  <c r="Z539" i="37"/>
  <c r="AF325" i="37"/>
  <c r="Z325" i="37"/>
  <c r="AF355" i="37"/>
  <c r="Z355" i="37"/>
  <c r="U24" i="55"/>
  <c r="AM40" i="28"/>
  <c r="R24" i="55"/>
  <c r="AL20" i="28"/>
  <c r="AE65" i="38"/>
  <c r="Z65" i="38"/>
  <c r="N118" i="41"/>
  <c r="K118" i="41"/>
  <c r="N244" i="41"/>
  <c r="K244" i="41"/>
  <c r="AE283" i="38"/>
  <c r="Z283" i="38"/>
  <c r="AF451" i="37"/>
  <c r="Z451" i="37"/>
  <c r="AL47" i="29"/>
  <c r="AJ47" i="29"/>
  <c r="AE53" i="38"/>
  <c r="Z53" i="38"/>
  <c r="AD73" i="38"/>
  <c r="Y73" i="38"/>
  <c r="AF264" i="37"/>
  <c r="Z264" i="37"/>
  <c r="N334" i="41"/>
  <c r="K334" i="41"/>
  <c r="AE294" i="37"/>
  <c r="Y294" i="37"/>
  <c r="AF676" i="37"/>
  <c r="AE210" i="38"/>
  <c r="Z210" i="38"/>
  <c r="N571" i="41"/>
  <c r="K571" i="41"/>
  <c r="AK7" i="29"/>
  <c r="AK7" i="28"/>
  <c r="AK7" i="30"/>
  <c r="Y149" i="37"/>
  <c r="AE149" i="37"/>
  <c r="Z436" i="37"/>
  <c r="AF436" i="37"/>
  <c r="Y16" i="37"/>
  <c r="J16" i="41"/>
  <c r="M16" i="41"/>
  <c r="AE218" i="38"/>
  <c r="Z218" i="38"/>
  <c r="AK39" i="30"/>
  <c r="AK39" i="27"/>
  <c r="AK39" i="28"/>
  <c r="AK39" i="29"/>
  <c r="AP24" i="29"/>
  <c r="AF24" i="29"/>
  <c r="AC24" i="43"/>
  <c r="AC76" i="43"/>
  <c r="AF456" i="37"/>
  <c r="Z456" i="37"/>
  <c r="N552" i="41"/>
  <c r="K552" i="41"/>
  <c r="N317" i="41"/>
  <c r="K317" i="41"/>
  <c r="AE221" i="38"/>
  <c r="Z221" i="38"/>
  <c r="M385" i="41"/>
  <c r="J385" i="41"/>
  <c r="Z137" i="37"/>
  <c r="K137" i="41"/>
  <c r="N137" i="41"/>
  <c r="AD166" i="38"/>
  <c r="Y166" i="38"/>
  <c r="AF359" i="37"/>
  <c r="Z359" i="37"/>
  <c r="N31" i="29"/>
  <c r="T31" i="29"/>
  <c r="AM31" i="29"/>
  <c r="AE320" i="38"/>
  <c r="Z320" i="38"/>
  <c r="AF551" i="37"/>
  <c r="Z551" i="37"/>
  <c r="AE315" i="38"/>
  <c r="Z315" i="38"/>
  <c r="AE326" i="38"/>
  <c r="Z326" i="38"/>
  <c r="AO47" i="29"/>
  <c r="AE47" i="29"/>
  <c r="AB47" i="43"/>
  <c r="AB99" i="43"/>
  <c r="U30" i="55"/>
  <c r="AM49" i="28"/>
  <c r="R30" i="55"/>
  <c r="AF597" i="37"/>
  <c r="Z597" i="37"/>
  <c r="AF62" i="43"/>
  <c r="AF10" i="43"/>
  <c r="Z677" i="37"/>
  <c r="AF677" i="37"/>
  <c r="Z611" i="37"/>
  <c r="AF611" i="37"/>
  <c r="AE26" i="38"/>
  <c r="Z26" i="38"/>
  <c r="N554" i="41"/>
  <c r="K554" i="41"/>
  <c r="Y157" i="37"/>
  <c r="J157" i="41"/>
  <c r="M157" i="41"/>
  <c r="AJ20" i="28"/>
  <c r="AJ20" i="30"/>
  <c r="AL20" i="30"/>
  <c r="AK5" i="28"/>
  <c r="AG5" i="43"/>
  <c r="AG57" i="43"/>
  <c r="W11" i="45"/>
  <c r="Z118" i="37"/>
  <c r="AF118" i="37"/>
  <c r="N373" i="41"/>
  <c r="K373" i="41"/>
  <c r="AE154" i="37"/>
  <c r="Z244" i="37"/>
  <c r="AF244" i="37"/>
  <c r="N512" i="41"/>
  <c r="K512" i="41"/>
  <c r="AE388" i="37"/>
  <c r="Y388" i="37"/>
  <c r="AO51" i="29"/>
  <c r="AE51" i="29"/>
  <c r="AG51" i="29"/>
  <c r="AF336" i="37"/>
  <c r="Z336" i="37"/>
  <c r="AL42" i="29"/>
  <c r="AJ42" i="29"/>
  <c r="N684" i="41"/>
  <c r="K684" i="41"/>
  <c r="AE338" i="38"/>
  <c r="Z338" i="38"/>
  <c r="Z676" i="37"/>
  <c r="K676" i="41"/>
  <c r="N676" i="41"/>
  <c r="N564" i="41"/>
  <c r="K564" i="41"/>
  <c r="N593" i="41"/>
  <c r="K593" i="41"/>
  <c r="AF177" i="37"/>
  <c r="N6" i="41"/>
  <c r="K6" i="41"/>
  <c r="AF318" i="37"/>
  <c r="Z318" i="37"/>
  <c r="Z416" i="37"/>
  <c r="AF416" i="37"/>
  <c r="N528" i="41"/>
  <c r="K528" i="41"/>
  <c r="AO15" i="30"/>
  <c r="AE15" i="30"/>
  <c r="AG15" i="30"/>
  <c r="N447" i="41"/>
  <c r="K447" i="41"/>
  <c r="N553" i="41"/>
  <c r="K553" i="41"/>
  <c r="N163" i="41"/>
  <c r="K163" i="41"/>
  <c r="AE217" i="38"/>
  <c r="Z217" i="38"/>
  <c r="N28" i="41"/>
  <c r="K28" i="41"/>
  <c r="N448" i="41"/>
  <c r="K448" i="41"/>
  <c r="AF362" i="37"/>
  <c r="Z362" i="37"/>
  <c r="T26" i="28"/>
  <c r="AO26" i="29"/>
  <c r="AE26" i="29"/>
  <c r="AB26" i="43"/>
  <c r="AB78" i="43"/>
  <c r="AF97" i="37"/>
  <c r="AC88" i="43"/>
  <c r="AC36" i="43"/>
  <c r="AF36" i="29"/>
  <c r="AP36" i="29"/>
  <c r="N557" i="41"/>
  <c r="K557" i="41"/>
  <c r="M383" i="41"/>
  <c r="J383" i="41"/>
  <c r="AE15" i="37"/>
  <c r="AE61" i="38"/>
  <c r="Z61" i="38"/>
  <c r="AV7" i="37"/>
  <c r="AU7" i="37"/>
  <c r="AF74" i="43"/>
  <c r="AF22" i="43"/>
  <c r="N681" i="41"/>
  <c r="K681" i="41"/>
  <c r="AF598" i="37"/>
  <c r="Z598" i="37"/>
  <c r="N353" i="41"/>
  <c r="K353" i="41"/>
  <c r="AO43" i="29"/>
  <c r="AE43" i="29"/>
  <c r="AB43" i="43"/>
  <c r="AB95" i="43"/>
  <c r="AJ47" i="28"/>
  <c r="AL47" i="28"/>
  <c r="Z619" i="37"/>
  <c r="K619" i="41"/>
  <c r="N619" i="41"/>
  <c r="AE96" i="38"/>
  <c r="Z96" i="38"/>
  <c r="AE207" i="38"/>
  <c r="Z207" i="38"/>
  <c r="AL16" i="28"/>
  <c r="Z177" i="37"/>
  <c r="K177" i="41"/>
  <c r="N177" i="41"/>
  <c r="N58" i="43"/>
  <c r="N6" i="43"/>
  <c r="AF533" i="37"/>
  <c r="Z533" i="37"/>
  <c r="N395" i="41"/>
  <c r="K395" i="41"/>
  <c r="AE118" i="38"/>
  <c r="Z118" i="38"/>
  <c r="AG50" i="30"/>
  <c r="AE50" i="30"/>
  <c r="AO50" i="30"/>
  <c r="AE266" i="38"/>
  <c r="Z266" i="38"/>
  <c r="AE232" i="37"/>
  <c r="AD18" i="38"/>
  <c r="Y18" i="38"/>
  <c r="AC63" i="43"/>
  <c r="AC11" i="43"/>
  <c r="AF11" i="29"/>
  <c r="AP11" i="29"/>
  <c r="AL53" i="29"/>
  <c r="AF396" i="37"/>
  <c r="Z396" i="37"/>
  <c r="N565" i="41"/>
  <c r="K565" i="41"/>
  <c r="N490" i="41"/>
  <c r="V10" i="41"/>
  <c r="AJ10" i="41"/>
  <c r="AF22" i="30"/>
  <c r="AP22" i="30"/>
  <c r="AF399" i="37"/>
  <c r="Z399" i="37"/>
  <c r="AE198" i="38"/>
  <c r="Z198" i="38"/>
  <c r="N36" i="41"/>
  <c r="K36" i="41"/>
  <c r="AF661" i="37"/>
  <c r="Z661" i="37"/>
  <c r="AF338" i="37"/>
  <c r="Z338" i="37"/>
  <c r="N119" i="41"/>
  <c r="K119" i="41"/>
  <c r="Y15" i="37"/>
  <c r="J15" i="41"/>
  <c r="M15" i="41"/>
  <c r="AE384" i="37"/>
  <c r="Y384" i="37"/>
  <c r="N577" i="41"/>
  <c r="K577" i="41"/>
  <c r="N70" i="41"/>
  <c r="K70" i="41"/>
  <c r="AF593" i="37"/>
  <c r="Z593" i="37"/>
  <c r="AG36" i="29"/>
  <c r="AM22" i="29"/>
  <c r="T22" i="29"/>
  <c r="N22" i="29"/>
  <c r="N407" i="41"/>
  <c r="K407" i="41"/>
  <c r="N19" i="41"/>
  <c r="K19" i="41"/>
  <c r="AE172" i="38"/>
  <c r="Z172" i="38"/>
  <c r="AE122" i="38"/>
  <c r="Z122" i="38"/>
  <c r="AF430" i="37"/>
  <c r="M204" i="41"/>
  <c r="J204" i="41"/>
  <c r="AF266" i="37"/>
  <c r="Z266" i="37"/>
  <c r="N538" i="41"/>
  <c r="K538" i="41"/>
  <c r="AL22" i="30"/>
  <c r="AJ22" i="30"/>
  <c r="AJ16" i="28"/>
  <c r="AJ16" i="30"/>
  <c r="AL16" i="30"/>
  <c r="AO19" i="30"/>
  <c r="AE19" i="30"/>
  <c r="AG19" i="30"/>
  <c r="AF615" i="37"/>
  <c r="N508" i="41"/>
  <c r="K508" i="41"/>
  <c r="AG79" i="43"/>
  <c r="AG27" i="43"/>
  <c r="N257" i="41"/>
  <c r="K257" i="41"/>
  <c r="N572" i="41"/>
  <c r="K572" i="41"/>
  <c r="Z426" i="37"/>
  <c r="AF426" i="37"/>
  <c r="AF222" i="37"/>
  <c r="M288" i="41"/>
  <c r="J288" i="41"/>
  <c r="AE32" i="38"/>
  <c r="Z32" i="38"/>
  <c r="AF577" i="37"/>
  <c r="Z577" i="37"/>
  <c r="AE101" i="38"/>
  <c r="Z101" i="38"/>
  <c r="AE107" i="38"/>
  <c r="Z107" i="38"/>
  <c r="N354" i="41"/>
  <c r="K354" i="41"/>
  <c r="AF20" i="37"/>
  <c r="AE27" i="38"/>
  <c r="Z27" i="38"/>
  <c r="AG58" i="43"/>
  <c r="AG6" i="43"/>
  <c r="M48" i="41"/>
  <c r="J48" i="41"/>
  <c r="M9" i="41"/>
  <c r="J9" i="41"/>
  <c r="Z119" i="37"/>
  <c r="AF119" i="37"/>
  <c r="AF249" i="37"/>
  <c r="M156" i="41"/>
  <c r="J156" i="41"/>
  <c r="AF53" i="29"/>
  <c r="AF65" i="43"/>
  <c r="AF13" i="43"/>
  <c r="Z219" i="37"/>
  <c r="K219" i="41"/>
  <c r="N219" i="41"/>
  <c r="N457" i="41"/>
  <c r="K457" i="41"/>
  <c r="AE245" i="38"/>
  <c r="Z245" i="38"/>
  <c r="AK49" i="27"/>
  <c r="AK49" i="28"/>
  <c r="AG49" i="43"/>
  <c r="AG101" i="43"/>
  <c r="AG53" i="30"/>
  <c r="Z430" i="37"/>
  <c r="K430" i="41"/>
  <c r="N430" i="41"/>
  <c r="AF634" i="37"/>
  <c r="AE70" i="38"/>
  <c r="Z70" i="38"/>
  <c r="N588" i="41"/>
  <c r="K588" i="41"/>
  <c r="Z615" i="37"/>
  <c r="K615" i="41"/>
  <c r="N615" i="41"/>
  <c r="AE256" i="38"/>
  <c r="Z256" i="38"/>
  <c r="AE120" i="38"/>
  <c r="Z120" i="38"/>
  <c r="M101" i="41"/>
  <c r="J101" i="41"/>
  <c r="AK27" i="30"/>
  <c r="AK27" i="27"/>
  <c r="AK27" i="28"/>
  <c r="AK27" i="29"/>
  <c r="AG66" i="43"/>
  <c r="AG14" i="43"/>
  <c r="Z16" i="37"/>
  <c r="AF16" i="37"/>
  <c r="AF332" i="37"/>
  <c r="Z332" i="37"/>
  <c r="N661" i="41"/>
  <c r="K661" i="41"/>
  <c r="AF90" i="43"/>
  <c r="AF38" i="43"/>
  <c r="AE334" i="38"/>
  <c r="Z334" i="38"/>
  <c r="AL21" i="28"/>
  <c r="N609" i="41"/>
  <c r="K609" i="41"/>
  <c r="N439" i="41"/>
  <c r="K439" i="41"/>
  <c r="AF15" i="30"/>
  <c r="AP15" i="30"/>
  <c r="N372" i="41"/>
  <c r="K372" i="41"/>
  <c r="AF42" i="30"/>
  <c r="AP42" i="30"/>
  <c r="Z20" i="37"/>
  <c r="K20" i="41"/>
  <c r="N20" i="41"/>
  <c r="N369" i="41"/>
  <c r="K369" i="41"/>
  <c r="R6" i="55"/>
  <c r="AM18" i="28"/>
  <c r="U6" i="55"/>
  <c r="AE100" i="37"/>
  <c r="AL5" i="28"/>
  <c r="N555" i="41"/>
  <c r="K555" i="41"/>
  <c r="AE223" i="38"/>
  <c r="Z223" i="38"/>
  <c r="N29" i="30"/>
  <c r="T29" i="30"/>
  <c r="AM29" i="30"/>
  <c r="N314" i="41"/>
  <c r="K314" i="41"/>
  <c r="AB93" i="43"/>
  <c r="AB41" i="43"/>
  <c r="AF531" i="37"/>
  <c r="Z531" i="37"/>
  <c r="N263" i="41"/>
  <c r="K263" i="41"/>
  <c r="Y159" i="37"/>
  <c r="AE159" i="37"/>
  <c r="AK25" i="29"/>
  <c r="AK25" i="27"/>
  <c r="AK25" i="28"/>
  <c r="AK25" i="30"/>
  <c r="AO12" i="29"/>
  <c r="AE12" i="29"/>
  <c r="AG12" i="29"/>
  <c r="AF17" i="30"/>
  <c r="AP17" i="30"/>
  <c r="N449" i="41"/>
  <c r="K449" i="41"/>
  <c r="AK14" i="29"/>
  <c r="AK14" i="27"/>
  <c r="AK14" i="28"/>
  <c r="AK14" i="30"/>
  <c r="Y232" i="37"/>
  <c r="J232" i="41"/>
  <c r="M232" i="41"/>
  <c r="T39" i="28"/>
  <c r="AO39" i="29"/>
  <c r="AE39" i="29"/>
  <c r="AG39" i="29"/>
  <c r="AE380" i="37"/>
  <c r="Y380" i="37"/>
  <c r="AF390" i="37"/>
  <c r="Z390" i="37"/>
  <c r="Z92" i="37"/>
  <c r="K92" i="41"/>
  <c r="N92" i="41"/>
  <c r="Y154" i="37"/>
  <c r="J154" i="41"/>
  <c r="M154" i="41"/>
  <c r="AK8" i="37"/>
  <c r="AL8" i="37"/>
  <c r="Z222" i="37"/>
  <c r="K222" i="41"/>
  <c r="N222" i="41"/>
  <c r="AE215" i="38"/>
  <c r="Z215" i="38"/>
  <c r="Y47" i="37"/>
  <c r="AE47" i="37"/>
  <c r="AE174" i="38"/>
  <c r="Z174" i="38"/>
  <c r="AO31" i="29"/>
  <c r="AE31" i="29"/>
  <c r="AG31" i="29"/>
  <c r="AE254" i="38"/>
  <c r="Z254" i="38"/>
  <c r="AM17" i="29"/>
  <c r="T17" i="29"/>
  <c r="N17" i="29"/>
  <c r="Y101" i="37"/>
  <c r="AE101" i="37"/>
  <c r="AF315" i="37"/>
  <c r="Z315" i="37"/>
  <c r="AE297" i="37"/>
  <c r="Y297" i="37"/>
  <c r="Z634" i="37"/>
  <c r="K634" i="41"/>
  <c r="N634" i="41"/>
  <c r="Z17" i="37"/>
  <c r="AF17" i="37"/>
  <c r="AG17" i="29"/>
  <c r="AE279" i="38"/>
  <c r="Z279" i="38"/>
  <c r="AC94" i="43"/>
  <c r="AP42" i="29"/>
  <c r="AF42" i="29"/>
  <c r="AC42" i="43"/>
  <c r="AF71" i="43"/>
  <c r="AF19" i="43"/>
  <c r="AE204" i="38"/>
  <c r="Z204" i="38"/>
  <c r="AP19" i="29"/>
  <c r="AF19" i="29"/>
  <c r="AC19" i="43"/>
  <c r="AC71" i="43"/>
  <c r="Z439" i="37"/>
  <c r="AF439" i="37"/>
  <c r="Z6" i="37"/>
  <c r="AF6" i="37"/>
  <c r="AE12" i="37"/>
  <c r="N138" i="41"/>
  <c r="K138" i="41"/>
  <c r="AF552" i="37"/>
  <c r="Z552" i="37"/>
  <c r="AJ21" i="29"/>
  <c r="AL21" i="29"/>
  <c r="AE113" i="38"/>
  <c r="Z113" i="38"/>
  <c r="AE60" i="38"/>
  <c r="Z60" i="38"/>
  <c r="N364" i="41"/>
  <c r="K364" i="41"/>
  <c r="AF599" i="37"/>
  <c r="Z599" i="37"/>
  <c r="Z609" i="37"/>
  <c r="AF609" i="37"/>
  <c r="N556" i="41"/>
  <c r="K556" i="41"/>
  <c r="AF608" i="37"/>
  <c r="N96" i="41"/>
  <c r="K96" i="41"/>
  <c r="AL43" i="28"/>
  <c r="AG94" i="43"/>
  <c r="AG42" i="43"/>
  <c r="M151" i="41"/>
  <c r="J151" i="41"/>
  <c r="AF401" i="37"/>
  <c r="AK3" i="37"/>
  <c r="AL3" i="37"/>
  <c r="AG13" i="29"/>
  <c r="N551" i="41"/>
  <c r="K551" i="41"/>
  <c r="N139" i="41"/>
  <c r="K139" i="41"/>
  <c r="N310" i="41"/>
  <c r="K310" i="41"/>
  <c r="AE333" i="38"/>
  <c r="Z333" i="38"/>
  <c r="N114" i="41"/>
  <c r="K114" i="41"/>
  <c r="AE335" i="38"/>
  <c r="Z335" i="38"/>
  <c r="AF328" i="37"/>
  <c r="Z328" i="37"/>
  <c r="AL14" i="28"/>
  <c r="N255" i="41"/>
  <c r="K255" i="41"/>
  <c r="AF97" i="43"/>
  <c r="AF45" i="43"/>
  <c r="N523" i="41"/>
  <c r="K523" i="41"/>
  <c r="AL29" i="29"/>
  <c r="AJ29" i="29"/>
  <c r="Z684" i="37"/>
  <c r="AF684" i="37"/>
  <c r="R7" i="55"/>
  <c r="AM19" i="28"/>
  <c r="U7" i="55"/>
  <c r="AL8" i="30"/>
  <c r="AJ8" i="30"/>
  <c r="AO42" i="30"/>
  <c r="AE42" i="30"/>
  <c r="AG42" i="30"/>
  <c r="AA7" i="41"/>
  <c r="AF547" i="37"/>
  <c r="Z547" i="37"/>
  <c r="AO17" i="29"/>
  <c r="AE17" i="29"/>
  <c r="AB17" i="43"/>
  <c r="AB69" i="43"/>
  <c r="AF442" i="37"/>
  <c r="Z442" i="37"/>
  <c r="AF24" i="30"/>
  <c r="AP24" i="30"/>
  <c r="N559" i="41"/>
  <c r="K559" i="41"/>
  <c r="Z435" i="37"/>
  <c r="AF435" i="37"/>
  <c r="Z404" i="37"/>
  <c r="AF404" i="37"/>
  <c r="Y12" i="37"/>
  <c r="J12" i="41"/>
  <c r="M12" i="41"/>
  <c r="Z138" i="37"/>
  <c r="AF138" i="37"/>
  <c r="M305" i="41"/>
  <c r="J305" i="41"/>
  <c r="T35" i="55"/>
  <c r="AM16" i="28"/>
  <c r="Q35" i="55"/>
  <c r="M99" i="41"/>
  <c r="J99" i="41"/>
  <c r="AL38" i="29"/>
  <c r="AJ38" i="29"/>
  <c r="T16" i="28"/>
  <c r="AO16" i="30"/>
  <c r="AE16" i="30"/>
  <c r="AG16" i="30"/>
  <c r="Z608" i="37"/>
  <c r="K608" i="41"/>
  <c r="N608" i="41"/>
  <c r="AE222" i="38"/>
  <c r="Z222" i="38"/>
  <c r="AJ43" i="28"/>
  <c r="AJ43" i="30"/>
  <c r="AL43" i="30"/>
  <c r="M380" i="41"/>
  <c r="J380" i="41"/>
  <c r="N487" i="41"/>
  <c r="K487" i="41"/>
  <c r="AE309" i="38"/>
  <c r="Z309" i="38"/>
  <c r="AE303" i="38"/>
  <c r="Z303" i="38"/>
  <c r="AO13" i="29"/>
  <c r="AE13" i="29"/>
  <c r="AB13" i="43"/>
  <c r="AB65" i="43"/>
  <c r="N284" i="41"/>
  <c r="K284" i="41"/>
  <c r="Y9" i="37"/>
  <c r="AE9" i="37"/>
  <c r="N287" i="41"/>
  <c r="K287" i="41"/>
  <c r="AE200" i="37"/>
  <c r="AM35" i="29"/>
  <c r="T35" i="29"/>
  <c r="N35" i="29"/>
  <c r="AD124" i="38"/>
  <c r="Y124" i="38"/>
  <c r="Z28" i="37"/>
  <c r="AF28" i="37"/>
  <c r="AF167" i="37"/>
  <c r="AM41" i="30"/>
  <c r="T41" i="30"/>
  <c r="N41" i="30"/>
  <c r="V13" i="45"/>
  <c r="V7" i="45"/>
  <c r="AF20" i="30"/>
  <c r="AP20" i="30"/>
  <c r="N335" i="41"/>
  <c r="K335" i="41"/>
  <c r="AF87" i="43"/>
  <c r="AF35" i="43"/>
  <c r="Z97" i="37"/>
  <c r="K97" i="41"/>
  <c r="N97" i="41"/>
  <c r="Z175" i="37"/>
  <c r="AF175" i="37"/>
  <c r="AF452" i="37"/>
  <c r="Z452" i="37"/>
  <c r="U15" i="55"/>
  <c r="R20" i="55"/>
  <c r="U25" i="55"/>
  <c r="R15" i="55"/>
  <c r="U20" i="55"/>
  <c r="AM42" i="28"/>
  <c r="R25" i="55"/>
  <c r="U28" i="55"/>
  <c r="AM46" i="28"/>
  <c r="R28" i="55"/>
  <c r="AF427" i="37"/>
  <c r="Z163" i="37"/>
  <c r="AF163" i="37"/>
  <c r="AF669" i="37"/>
  <c r="Z669" i="37"/>
  <c r="AB77" i="43"/>
  <c r="AB25" i="43"/>
  <c r="U8" i="55"/>
  <c r="AM25" i="28"/>
  <c r="R8" i="55"/>
  <c r="Y200" i="37"/>
  <c r="J200" i="41"/>
  <c r="M200" i="41"/>
  <c r="AE10" i="41"/>
  <c r="AE235" i="38"/>
  <c r="Z235" i="38"/>
  <c r="N485" i="41"/>
  <c r="K485" i="41"/>
  <c r="N390" i="41"/>
  <c r="K390" i="41"/>
  <c r="AM11" i="29"/>
  <c r="T11" i="29"/>
  <c r="N11" i="29"/>
  <c r="AM28" i="30"/>
  <c r="T28" i="30"/>
  <c r="N28" i="30"/>
  <c r="AE302" i="37"/>
  <c r="Y302" i="37"/>
  <c r="AE232" i="38"/>
  <c r="Z232" i="38"/>
  <c r="AD165" i="38"/>
  <c r="Y165" i="38"/>
  <c r="AF37" i="30"/>
  <c r="AP37" i="30"/>
  <c r="N668" i="41"/>
  <c r="K668" i="41"/>
  <c r="AL17" i="30"/>
  <c r="AJ17" i="30"/>
  <c r="AF664" i="37"/>
  <c r="Z664" i="37"/>
  <c r="AE57" i="37"/>
  <c r="Z427" i="37"/>
  <c r="K427" i="41"/>
  <c r="N427" i="41"/>
  <c r="Z96" i="37"/>
  <c r="AF96" i="37"/>
  <c r="Z70" i="37"/>
  <c r="AF70" i="37"/>
  <c r="AF271" i="37"/>
  <c r="Z271" i="37"/>
  <c r="AM8" i="30"/>
  <c r="T8" i="30"/>
  <c r="N8" i="30"/>
  <c r="AU2" i="37"/>
  <c r="AV2" i="37"/>
  <c r="N444" i="41"/>
  <c r="K444" i="41"/>
  <c r="AE67" i="38"/>
  <c r="Z67" i="38"/>
  <c r="AF563" i="37"/>
  <c r="Z563" i="37"/>
  <c r="AF549" i="37"/>
  <c r="Z549" i="37"/>
  <c r="AF581" i="37"/>
  <c r="Z581" i="37"/>
  <c r="N265" i="41"/>
  <c r="K265" i="41"/>
  <c r="Z139" i="37"/>
  <c r="AF139" i="37"/>
  <c r="AD80" i="38"/>
  <c r="Y80" i="38"/>
  <c r="N478" i="41"/>
  <c r="K478" i="41"/>
  <c r="AO25" i="29"/>
  <c r="AE25" i="29"/>
  <c r="AG25" i="29"/>
  <c r="AE209" i="38"/>
  <c r="Z209" i="38"/>
  <c r="N546" i="41"/>
  <c r="K546" i="41"/>
  <c r="AO36" i="29"/>
  <c r="AE36" i="29"/>
  <c r="AB36" i="43"/>
  <c r="AB88" i="43"/>
  <c r="N44" i="30"/>
  <c r="T44" i="30"/>
  <c r="AM44" i="30"/>
  <c r="Z76" i="37"/>
  <c r="AF76" i="37"/>
  <c r="AE288" i="38"/>
  <c r="Z288" i="38"/>
  <c r="AE238" i="38"/>
  <c r="Z238" i="38"/>
  <c r="AF409" i="37"/>
  <c r="M107" i="41"/>
  <c r="J107" i="41"/>
  <c r="M196" i="41"/>
  <c r="J196" i="41"/>
  <c r="F48" i="5"/>
  <c r="F47" i="5"/>
  <c r="AM53" i="30"/>
  <c r="M350" i="41"/>
  <c r="J350" i="41"/>
  <c r="AG13" i="30"/>
  <c r="AE13" i="30"/>
  <c r="AO13" i="30"/>
  <c r="AF473" i="37"/>
  <c r="Z473" i="37"/>
  <c r="AF316" i="37"/>
  <c r="Z316" i="37"/>
  <c r="N691" i="41"/>
  <c r="K691" i="41"/>
  <c r="AL2" i="37"/>
  <c r="N605" i="41"/>
  <c r="K605" i="41"/>
  <c r="AG89" i="43"/>
  <c r="AG37" i="43"/>
  <c r="AF513" i="37"/>
  <c r="Z513" i="37"/>
  <c r="E48" i="5"/>
  <c r="E47" i="5"/>
  <c r="AD84" i="38"/>
  <c r="Y84" i="38"/>
  <c r="AF505" i="37"/>
  <c r="Z505" i="37"/>
  <c r="Y151" i="37"/>
  <c r="AE151" i="37"/>
  <c r="AE198" i="37"/>
  <c r="AF92" i="43"/>
  <c r="AF40" i="43"/>
  <c r="AF360" i="37"/>
  <c r="Z360" i="37"/>
  <c r="N48" i="29"/>
  <c r="T48" i="29"/>
  <c r="AM48" i="29"/>
  <c r="N599" i="41"/>
  <c r="K599" i="41"/>
  <c r="N79" i="41"/>
  <c r="K79" i="41"/>
  <c r="AF93" i="43"/>
  <c r="AF41" i="43"/>
  <c r="AD25" i="38"/>
  <c r="Y25" i="38"/>
  <c r="AF373" i="37"/>
  <c r="Z373" i="37"/>
  <c r="AL45" i="29"/>
  <c r="AJ45" i="29"/>
  <c r="AL48" i="29"/>
  <c r="AJ48" i="29"/>
  <c r="AL41" i="28"/>
  <c r="AK12" i="30"/>
  <c r="AK12" i="29"/>
  <c r="AE2" i="37"/>
  <c r="AK2" i="37"/>
  <c r="AK7" i="37"/>
  <c r="AL7" i="37"/>
  <c r="AB94" i="43"/>
  <c r="AB42" i="43"/>
  <c r="N283" i="41"/>
  <c r="K283" i="41"/>
  <c r="AF508" i="37"/>
  <c r="Z508" i="37"/>
  <c r="AF550" i="37"/>
  <c r="Z550" i="37"/>
  <c r="AE158" i="38"/>
  <c r="Z158" i="38"/>
  <c r="AE187" i="38"/>
  <c r="Z187" i="38"/>
  <c r="AK28" i="30"/>
  <c r="AK28" i="29"/>
  <c r="AF558" i="37"/>
  <c r="Z558" i="37"/>
  <c r="AE105" i="38"/>
  <c r="Z105" i="38"/>
  <c r="N10" i="41"/>
  <c r="K10" i="41"/>
  <c r="Y198" i="37"/>
  <c r="J198" i="41"/>
  <c r="M198" i="41"/>
  <c r="N446" i="41"/>
  <c r="K446" i="41"/>
  <c r="N361" i="41"/>
  <c r="K361" i="41"/>
  <c r="AD131" i="38"/>
  <c r="Y131" i="38"/>
  <c r="AF77" i="43"/>
  <c r="AF25" i="43"/>
  <c r="N86" i="43"/>
  <c r="N34" i="43"/>
  <c r="AF127" i="37"/>
  <c r="N362" i="41"/>
  <c r="K362" i="41"/>
  <c r="AD90" i="38"/>
  <c r="Y90" i="38"/>
  <c r="AJ41" i="28"/>
  <c r="AJ41" i="30"/>
  <c r="AL41" i="30"/>
  <c r="AF444" i="37"/>
  <c r="Z444" i="37"/>
  <c r="AK12" i="27"/>
  <c r="AK12" i="28"/>
  <c r="AG12" i="43"/>
  <c r="AG64" i="43"/>
  <c r="AF24" i="37"/>
  <c r="N517" i="41"/>
  <c r="K517" i="41"/>
  <c r="AF518" i="37"/>
  <c r="Z518" i="37"/>
  <c r="Z36" i="37"/>
  <c r="AF36" i="37"/>
  <c r="AD17" i="38"/>
  <c r="Y17" i="38"/>
  <c r="N124" i="41"/>
  <c r="K124" i="41"/>
  <c r="AK28" i="27"/>
  <c r="AK28" i="28"/>
  <c r="AG28" i="43"/>
  <c r="AG80" i="43"/>
  <c r="AF405" i="37"/>
  <c r="AF50" i="30"/>
  <c r="AP50" i="30"/>
  <c r="AE307" i="37"/>
  <c r="Y307" i="37"/>
  <c r="N281" i="41"/>
  <c r="K281" i="41"/>
  <c r="AF189" i="37"/>
  <c r="AE115" i="38"/>
  <c r="Z115" i="38"/>
  <c r="Y204" i="37"/>
  <c r="AE204" i="37"/>
  <c r="AG21" i="29"/>
  <c r="AJ14" i="28"/>
  <c r="AF14" i="43"/>
  <c r="AF66" i="43"/>
  <c r="AF75" i="43"/>
  <c r="AF23" i="43"/>
  <c r="AE258" i="38"/>
  <c r="Z258" i="38"/>
  <c r="AF43" i="37"/>
  <c r="AF620" i="37"/>
  <c r="Z249" i="37"/>
  <c r="K249" i="41"/>
  <c r="N249" i="41"/>
  <c r="AG100" i="43"/>
  <c r="AG48" i="43"/>
  <c r="AG10" i="41"/>
  <c r="K490" i="41"/>
  <c r="S10" i="41"/>
  <c r="Y10" i="41"/>
  <c r="AE36" i="38"/>
  <c r="Z36" i="38"/>
  <c r="AJ21" i="28"/>
  <c r="AJ21" i="30"/>
  <c r="AL21" i="30"/>
  <c r="N568" i="41"/>
  <c r="K568" i="41"/>
  <c r="Z127" i="37"/>
  <c r="K127" i="41"/>
  <c r="N127" i="41"/>
  <c r="N474" i="41"/>
  <c r="K474" i="41"/>
  <c r="AF268" i="37"/>
  <c r="Z268" i="37"/>
  <c r="Y196" i="37"/>
  <c r="AE196" i="37"/>
  <c r="N618" i="41"/>
  <c r="K618" i="41"/>
  <c r="AL15" i="28"/>
  <c r="Z24" i="37"/>
  <c r="K24" i="41"/>
  <c r="N24" i="41"/>
  <c r="AM39" i="29"/>
  <c r="T39" i="29"/>
  <c r="N39" i="29"/>
  <c r="AD24" i="38"/>
  <c r="Y24" i="38"/>
  <c r="AE196" i="38"/>
  <c r="Z196" i="38"/>
  <c r="AF571" i="37"/>
  <c r="Z571" i="37"/>
  <c r="Z605" i="37"/>
  <c r="AF605" i="37"/>
  <c r="N74" i="41"/>
  <c r="K74" i="41"/>
  <c r="AD77" i="38"/>
  <c r="Y77" i="38"/>
  <c r="N21" i="41"/>
  <c r="K21" i="41"/>
  <c r="AF324" i="37"/>
  <c r="Z324" i="37"/>
  <c r="N558" i="41"/>
  <c r="K558" i="41"/>
  <c r="Y57" i="37"/>
  <c r="J57" i="41"/>
  <c r="M57" i="41"/>
  <c r="I8" i="55"/>
  <c r="I7" i="55"/>
  <c r="F8" i="55"/>
  <c r="T8" i="28"/>
  <c r="AM8" i="28"/>
  <c r="F7" i="55"/>
  <c r="AF453" i="37"/>
  <c r="Z453" i="37"/>
  <c r="AE284" i="38"/>
  <c r="Z284" i="38"/>
  <c r="AD87" i="38"/>
  <c r="Y87" i="38"/>
  <c r="AK6" i="30"/>
  <c r="AK6" i="28"/>
  <c r="AK6" i="29"/>
  <c r="Z189" i="37"/>
  <c r="K189" i="41"/>
  <c r="N189" i="41"/>
  <c r="AJ5" i="30"/>
  <c r="AL5" i="30"/>
  <c r="AJ53" i="30"/>
  <c r="AF327" i="37"/>
  <c r="Z327" i="37"/>
  <c r="AF368" i="37"/>
  <c r="Z368" i="37"/>
  <c r="AL25" i="29"/>
  <c r="AJ25" i="29"/>
  <c r="AO21" i="29"/>
  <c r="AE21" i="29"/>
  <c r="AB21" i="43"/>
  <c r="AB73" i="43"/>
  <c r="I14" i="55"/>
  <c r="AM14" i="28"/>
  <c r="F14" i="55"/>
  <c r="Z114" i="37"/>
  <c r="AF114" i="37"/>
  <c r="S11" i="41"/>
  <c r="Y11" i="41"/>
  <c r="AG11" i="41"/>
  <c r="AG35" i="29"/>
  <c r="Z43" i="37"/>
  <c r="K43" i="41"/>
  <c r="N43" i="41"/>
  <c r="Z620" i="37"/>
  <c r="K620" i="41"/>
  <c r="N620" i="41"/>
  <c r="AF142" i="37"/>
  <c r="Z407" i="37"/>
  <c r="AF407" i="37"/>
  <c r="N20" i="43"/>
  <c r="N72" i="43"/>
  <c r="N461" i="41"/>
  <c r="K461" i="41"/>
  <c r="N522" i="41"/>
  <c r="K522" i="41"/>
  <c r="Z19" i="37"/>
  <c r="AF19" i="37"/>
  <c r="AF668" i="37"/>
  <c r="Z668" i="37"/>
  <c r="AF588" i="37"/>
  <c r="Z588" i="37"/>
  <c r="AF467" i="37"/>
  <c r="Z467" i="37"/>
  <c r="AJ15" i="28"/>
  <c r="AJ15" i="30"/>
  <c r="AL15" i="30"/>
  <c r="AF489" i="37"/>
  <c r="Z489" i="37"/>
  <c r="Y156" i="37"/>
  <c r="AE156" i="37"/>
  <c r="AO41" i="29"/>
  <c r="AE41" i="29"/>
  <c r="AG41" i="29"/>
  <c r="AF526" i="37"/>
  <c r="Z526" i="37"/>
  <c r="Z74" i="37"/>
  <c r="AF74" i="37"/>
  <c r="AO35" i="29"/>
  <c r="AE35" i="29"/>
  <c r="AB35" i="43"/>
  <c r="AB87" i="43"/>
  <c r="N28" i="29"/>
  <c r="T28" i="29"/>
  <c r="AM28" i="29"/>
  <c r="M344" i="41"/>
  <c r="J344" i="41"/>
  <c r="N513" i="41"/>
  <c r="K513" i="41"/>
  <c r="AE6" i="37"/>
  <c r="N423" i="41"/>
  <c r="K423" i="41"/>
  <c r="N285" i="41"/>
  <c r="K285" i="41"/>
  <c r="Y100" i="37"/>
  <c r="J100" i="41"/>
  <c r="M100" i="41"/>
  <c r="Y99" i="37"/>
  <c r="AE99" i="37"/>
  <c r="AF46" i="30"/>
  <c r="AP46" i="30"/>
  <c r="AE143" i="37"/>
  <c r="AL44" i="28"/>
  <c r="K2" i="41"/>
  <c r="N2" i="41"/>
  <c r="V7" i="41"/>
  <c r="AJ7" i="41"/>
  <c r="Z167" i="37"/>
  <c r="K167" i="41"/>
  <c r="N167" i="41"/>
  <c r="R13" i="55"/>
  <c r="AM31" i="28"/>
  <c r="U13" i="55"/>
  <c r="AE259" i="38"/>
  <c r="Z259" i="38"/>
  <c r="AM47" i="29"/>
  <c r="N47" i="29"/>
  <c r="T47" i="29"/>
  <c r="AF215" i="37"/>
  <c r="AF131" i="37"/>
  <c r="S15" i="45"/>
  <c r="S9" i="45"/>
  <c r="S14" i="45"/>
  <c r="AM44" i="28"/>
  <c r="AF3" i="37"/>
  <c r="N403" i="41"/>
  <c r="K403" i="41"/>
  <c r="AF578" i="37"/>
  <c r="Z578" i="37"/>
  <c r="N463" i="41"/>
  <c r="K463" i="41"/>
  <c r="N535" i="41"/>
  <c r="K535" i="41"/>
  <c r="N40" i="41"/>
  <c r="K40" i="41"/>
  <c r="AL11" i="28"/>
  <c r="AD167" i="38"/>
  <c r="Y167" i="38"/>
  <c r="N655" i="41"/>
  <c r="K655" i="41"/>
  <c r="AK37" i="29"/>
  <c r="AK37" i="27"/>
  <c r="AK37" i="28"/>
  <c r="AK37" i="30"/>
  <c r="AF80" i="43"/>
  <c r="AF28" i="43"/>
  <c r="AF366" i="37"/>
  <c r="Z366" i="37"/>
  <c r="N260" i="41"/>
  <c r="K260" i="41"/>
  <c r="AE123" i="38"/>
  <c r="Z123" i="38"/>
  <c r="AE64" i="38"/>
  <c r="Z64" i="38"/>
  <c r="N23" i="43"/>
  <c r="N75" i="43"/>
  <c r="Z409" i="37"/>
  <c r="K409" i="41"/>
  <c r="N409" i="41"/>
  <c r="Y107" i="37"/>
  <c r="AE107" i="37"/>
  <c r="Z79" i="37"/>
  <c r="AF79" i="37"/>
  <c r="AF528" i="37"/>
  <c r="Z528" i="37"/>
  <c r="M379" i="41"/>
  <c r="J379" i="41"/>
  <c r="N585" i="41"/>
  <c r="K585" i="41"/>
  <c r="Y143" i="37"/>
  <c r="J143" i="41"/>
  <c r="M143" i="41"/>
  <c r="AJ44" i="28"/>
  <c r="AJ44" i="29"/>
  <c r="AL44" i="29"/>
  <c r="AK48" i="29"/>
  <c r="AK48" i="27"/>
  <c r="AK48" i="28"/>
  <c r="AK48" i="30"/>
  <c r="AO46" i="30"/>
  <c r="AE46" i="30"/>
  <c r="AG46" i="30"/>
  <c r="AE142" i="38"/>
  <c r="Z142" i="38"/>
  <c r="Z10" i="37"/>
  <c r="AF10" i="37"/>
  <c r="Z131" i="37"/>
  <c r="K131" i="41"/>
  <c r="N131" i="41"/>
  <c r="AP5" i="29"/>
  <c r="AF5" i="29"/>
  <c r="AC5" i="43"/>
  <c r="AC57" i="43"/>
  <c r="S11" i="45"/>
  <c r="AP44" i="30"/>
  <c r="AF44" i="30"/>
  <c r="AK42" i="30"/>
  <c r="AK42" i="27"/>
  <c r="AK42" i="28"/>
  <c r="AK42" i="29"/>
  <c r="Z3" i="37"/>
  <c r="K3" i="41"/>
  <c r="N3" i="41"/>
  <c r="Z403" i="37"/>
  <c r="AF403" i="37"/>
  <c r="Z405" i="37"/>
  <c r="K405" i="41"/>
  <c r="N405" i="41"/>
  <c r="N544" i="41"/>
  <c r="K544" i="41"/>
  <c r="AP20" i="29"/>
  <c r="AF20" i="29"/>
  <c r="AC20" i="43"/>
  <c r="AC72" i="43"/>
  <c r="N88" i="41"/>
  <c r="K88" i="41"/>
  <c r="AJ11" i="29"/>
  <c r="AL11" i="29"/>
  <c r="AF58" i="29"/>
  <c r="AM53" i="29"/>
  <c r="AE58" i="29"/>
  <c r="Z655" i="37"/>
  <c r="AF655" i="37"/>
  <c r="AE137" i="38"/>
  <c r="Z137" i="38"/>
  <c r="AE37" i="38"/>
  <c r="Z37" i="38"/>
  <c r="AD92" i="38"/>
  <c r="Y92" i="38"/>
  <c r="X14" i="45"/>
  <c r="X9" i="45"/>
  <c r="X15" i="45"/>
  <c r="N455" i="41"/>
  <c r="K455" i="41"/>
  <c r="AO47" i="30"/>
  <c r="AE47" i="30"/>
  <c r="AG47" i="30"/>
  <c r="N39" i="41"/>
  <c r="K39" i="41"/>
  <c r="I13" i="55"/>
  <c r="AM13" i="28"/>
  <c r="F13" i="55"/>
  <c r="AD135" i="38"/>
  <c r="Y135" i="38"/>
  <c r="N659" i="41"/>
  <c r="K659" i="41"/>
  <c r="N37" i="43"/>
  <c r="N89" i="43"/>
  <c r="AJ11" i="28"/>
  <c r="AF11" i="43"/>
  <c r="AF63" i="43"/>
  <c r="Z39" i="37"/>
  <c r="AF39" i="37"/>
  <c r="AF662" i="37"/>
  <c r="Z662" i="37"/>
  <c r="AE93" i="38"/>
  <c r="Z93" i="38"/>
  <c r="M145" i="41"/>
  <c r="J145" i="41"/>
  <c r="AG41" i="30"/>
  <c r="AE41" i="30"/>
  <c r="AO41" i="30"/>
  <c r="N87" i="41"/>
  <c r="K87" i="41"/>
  <c r="N58" i="28"/>
  <c r="N53" i="28"/>
  <c r="AE267" i="38"/>
  <c r="Z267" i="38"/>
  <c r="N429" i="41"/>
  <c r="K429" i="41"/>
  <c r="N74" i="43"/>
  <c r="N22" i="43"/>
  <c r="AL9" i="29"/>
  <c r="AJ9" i="29"/>
  <c r="N579" i="41"/>
  <c r="K579" i="41"/>
  <c r="AF26" i="37"/>
  <c r="AL42" i="28"/>
  <c r="N431" i="41"/>
  <c r="K431" i="41"/>
  <c r="N530" i="41"/>
  <c r="K530" i="41"/>
  <c r="AF440" i="37"/>
  <c r="Z440" i="37"/>
  <c r="AM24" i="29"/>
  <c r="T24" i="29"/>
  <c r="N24" i="29"/>
  <c r="AE343" i="38"/>
  <c r="Z343" i="38"/>
  <c r="Z124" i="37"/>
  <c r="AF124" i="37"/>
  <c r="AM39" i="30"/>
  <c r="T39" i="30"/>
  <c r="N39" i="27"/>
  <c r="N39" i="28"/>
  <c r="N39" i="30"/>
  <c r="AE224" i="38"/>
  <c r="Z224" i="38"/>
  <c r="AM45" i="30"/>
  <c r="T45" i="30"/>
  <c r="N45" i="30"/>
  <c r="N626" i="41"/>
  <c r="K626" i="41"/>
  <c r="AF543" i="37"/>
  <c r="Z543" i="37"/>
  <c r="AE148" i="38"/>
  <c r="Z148" i="38"/>
  <c r="M52" i="41"/>
  <c r="J52" i="41"/>
  <c r="M348" i="41"/>
  <c r="J348" i="41"/>
  <c r="N38" i="30"/>
  <c r="T38" i="30"/>
  <c r="AM38" i="30"/>
  <c r="N13" i="41"/>
  <c r="K13" i="41"/>
  <c r="M239" i="41"/>
  <c r="J239" i="41"/>
  <c r="AD91" i="38"/>
  <c r="Y91" i="38"/>
  <c r="AE311" i="38"/>
  <c r="Z311" i="38"/>
  <c r="AF663" i="37"/>
  <c r="Z663" i="37"/>
  <c r="N68" i="43"/>
  <c r="N16" i="43"/>
  <c r="Z691" i="37"/>
  <c r="AF691" i="37"/>
  <c r="Z87" i="37"/>
  <c r="AF87" i="37"/>
  <c r="AG50" i="29"/>
  <c r="N562" i="41"/>
  <c r="K562" i="41"/>
  <c r="Z26" i="37"/>
  <c r="K26" i="41"/>
  <c r="N26" i="41"/>
  <c r="AJ42" i="28"/>
  <c r="AJ42" i="30"/>
  <c r="AL42" i="30"/>
  <c r="Z431" i="37"/>
  <c r="AF431" i="37"/>
  <c r="AE65" i="37"/>
  <c r="AE108" i="38"/>
  <c r="Z108" i="38"/>
  <c r="AE109" i="37"/>
  <c r="N230" i="41"/>
  <c r="K230" i="41"/>
  <c r="AF580" i="37"/>
  <c r="Z580" i="37"/>
  <c r="AE312" i="38"/>
  <c r="Z312" i="38"/>
  <c r="AE265" i="38"/>
  <c r="Z265" i="38"/>
  <c r="AF134" i="37"/>
  <c r="N465" i="41"/>
  <c r="K465" i="41"/>
  <c r="AC62" i="43"/>
  <c r="AC10" i="43"/>
  <c r="AF10" i="29"/>
  <c r="AP10" i="29"/>
  <c r="AE304" i="37"/>
  <c r="Y304" i="37"/>
  <c r="AF595" i="37"/>
  <c r="Z595" i="37"/>
  <c r="AF4" i="37"/>
  <c r="AF369" i="37"/>
  <c r="Z369" i="37"/>
  <c r="AD125" i="38"/>
  <c r="Y125" i="38"/>
  <c r="AM33" i="29"/>
  <c r="T33" i="29"/>
  <c r="N33" i="29"/>
  <c r="AO50" i="29"/>
  <c r="AE50" i="29"/>
  <c r="AB50" i="43"/>
  <c r="AB102" i="43"/>
  <c r="AF283" i="37"/>
  <c r="Z283" i="37"/>
  <c r="AG44" i="29"/>
  <c r="AF182" i="37"/>
  <c r="N360" i="41"/>
  <c r="K360" i="41"/>
  <c r="AF479" i="37"/>
  <c r="Z479" i="37"/>
  <c r="N132" i="41"/>
  <c r="K132" i="41"/>
  <c r="AK41" i="30"/>
  <c r="AK41" i="29"/>
  <c r="N497" i="41"/>
  <c r="K497" i="41"/>
  <c r="Y109" i="37"/>
  <c r="J109" i="41"/>
  <c r="M109" i="41"/>
  <c r="AF320" i="37"/>
  <c r="Z320" i="37"/>
  <c r="AE235" i="37"/>
  <c r="AF496" i="37"/>
  <c r="Z496" i="37"/>
  <c r="N470" i="41"/>
  <c r="K470" i="41"/>
  <c r="L68" i="27"/>
  <c r="AE111" i="38"/>
  <c r="Z111" i="38"/>
  <c r="AF555" i="37"/>
  <c r="Z555" i="37"/>
  <c r="N224" i="41"/>
  <c r="K224" i="41"/>
  <c r="Z134" i="37"/>
  <c r="K134" i="41"/>
  <c r="N134" i="41"/>
  <c r="AC95" i="43"/>
  <c r="AC43" i="43"/>
  <c r="AF43" i="29"/>
  <c r="AP43" i="29"/>
  <c r="AE342" i="38"/>
  <c r="Z342" i="38"/>
  <c r="AF273" i="37"/>
  <c r="Z273" i="37"/>
  <c r="Z224" i="37"/>
  <c r="AF224" i="37"/>
  <c r="AM5" i="30"/>
  <c r="T5" i="30"/>
  <c r="N5" i="30"/>
  <c r="T53" i="30"/>
  <c r="Z4" i="37"/>
  <c r="K4" i="41"/>
  <c r="N4" i="41"/>
  <c r="AE292" i="38"/>
  <c r="Z292" i="38"/>
  <c r="AE286" i="38"/>
  <c r="Z286" i="38"/>
  <c r="AF11" i="37"/>
  <c r="AF468" i="37"/>
  <c r="Z468" i="37"/>
  <c r="AF484" i="37"/>
  <c r="Z484" i="37"/>
  <c r="AE351" i="37"/>
  <c r="Y351" i="37"/>
  <c r="AL48" i="28"/>
  <c r="N35" i="30"/>
  <c r="T35" i="30"/>
  <c r="AM35" i="30"/>
  <c r="AO44" i="29"/>
  <c r="AE44" i="29"/>
  <c r="AB44" i="43"/>
  <c r="AB96" i="43"/>
  <c r="AE346" i="38"/>
  <c r="Z346" i="38"/>
  <c r="Z182" i="37"/>
  <c r="K182" i="41"/>
  <c r="N182" i="41"/>
  <c r="AE14" i="37"/>
  <c r="AK41" i="27"/>
  <c r="AK41" i="28"/>
  <c r="AG41" i="43"/>
  <c r="AG93" i="43"/>
  <c r="N338" i="41"/>
  <c r="K338" i="41"/>
  <c r="AF83" i="37"/>
  <c r="Q34" i="55"/>
  <c r="T15" i="28"/>
  <c r="AM15" i="28"/>
  <c r="T34" i="55"/>
  <c r="AE4" i="38"/>
  <c r="Z4" i="38"/>
  <c r="N510" i="41"/>
  <c r="K510" i="41"/>
  <c r="M352" i="41"/>
  <c r="J352" i="41"/>
  <c r="AE147" i="37"/>
  <c r="AE314" i="38"/>
  <c r="Z314" i="38"/>
  <c r="N578" i="41"/>
  <c r="K578" i="41"/>
  <c r="AF14" i="37"/>
  <c r="Z88" i="37"/>
  <c r="AF88" i="37"/>
  <c r="AP33" i="29"/>
  <c r="AF33" i="29"/>
  <c r="AC33" i="43"/>
  <c r="AC85" i="43"/>
  <c r="D15" i="45"/>
  <c r="D9" i="45"/>
  <c r="D14" i="45"/>
  <c r="N524" i="41"/>
  <c r="K524" i="41"/>
  <c r="N469" i="41"/>
  <c r="K469" i="41"/>
  <c r="N270" i="41"/>
  <c r="K270" i="41"/>
  <c r="T44" i="28"/>
  <c r="AO44" i="30"/>
  <c r="AE44" i="30"/>
  <c r="AG44" i="30"/>
  <c r="Z40" i="37"/>
  <c r="AF40" i="37"/>
  <c r="M46" i="41"/>
  <c r="J46" i="41"/>
  <c r="N670" i="41"/>
  <c r="V12" i="41"/>
  <c r="AJ12" i="41"/>
  <c r="Z142" i="37"/>
  <c r="K142" i="41"/>
  <c r="N142" i="41"/>
  <c r="N669" i="41"/>
  <c r="K669" i="41"/>
  <c r="Z215" i="37"/>
  <c r="K215" i="41"/>
  <c r="N215" i="41"/>
  <c r="N337" i="41"/>
  <c r="K337" i="41"/>
  <c r="AF492" i="37"/>
  <c r="Z492" i="37"/>
  <c r="N35" i="27"/>
  <c r="N35" i="28"/>
  <c r="T35" i="28"/>
  <c r="AP35" i="29"/>
  <c r="AF35" i="29"/>
  <c r="AC35" i="43"/>
  <c r="AC87" i="43"/>
  <c r="AK46" i="29"/>
  <c r="AK46" i="30"/>
  <c r="AF207" i="37"/>
  <c r="N191" i="41"/>
  <c r="K191" i="41"/>
  <c r="AD82" i="38"/>
  <c r="Y82" i="38"/>
  <c r="N665" i="41"/>
  <c r="K665" i="41"/>
  <c r="N78" i="41"/>
  <c r="K78" i="41"/>
  <c r="M289" i="41"/>
  <c r="J289" i="41"/>
  <c r="AE62" i="38"/>
  <c r="Z62" i="38"/>
  <c r="AF23" i="30"/>
  <c r="AP23" i="30"/>
  <c r="AL36" i="28"/>
  <c r="T42" i="28"/>
  <c r="AO42" i="29"/>
  <c r="AE42" i="29"/>
  <c r="AG42" i="29"/>
  <c r="AF512" i="37"/>
  <c r="Z512" i="37"/>
  <c r="AF690" i="37"/>
  <c r="N518" i="41"/>
  <c r="K518" i="41"/>
  <c r="AF481" i="37"/>
  <c r="Z481" i="37"/>
  <c r="AJ48" i="28"/>
  <c r="AF48" i="43"/>
  <c r="AF100" i="43"/>
  <c r="AE13" i="37"/>
  <c r="AL35" i="28"/>
  <c r="AF80" i="37"/>
  <c r="N662" i="41"/>
  <c r="K662" i="41"/>
  <c r="AF610" i="37"/>
  <c r="Y14" i="37"/>
  <c r="J14" i="41"/>
  <c r="M14" i="41"/>
  <c r="AF120" i="37"/>
  <c r="Z83" i="37"/>
  <c r="K83" i="41"/>
  <c r="N83" i="41"/>
  <c r="AF546" i="37"/>
  <c r="Z546" i="37"/>
  <c r="AE151" i="38"/>
  <c r="Z151" i="38"/>
  <c r="AF491" i="37"/>
  <c r="Z491" i="37"/>
  <c r="AE188" i="38"/>
  <c r="Z188" i="38"/>
  <c r="AF394" i="37"/>
  <c r="Z394" i="37"/>
  <c r="AC70" i="43"/>
  <c r="AC18" i="43"/>
  <c r="AF18" i="29"/>
  <c r="T18" i="28"/>
  <c r="AP18" i="29"/>
  <c r="AM6" i="29"/>
  <c r="T6" i="29"/>
  <c r="N6" i="29"/>
  <c r="M236" i="41"/>
  <c r="J236" i="41"/>
  <c r="AF267" i="37"/>
  <c r="Z267" i="37"/>
  <c r="AE349" i="38"/>
  <c r="Z349" i="38"/>
  <c r="R17" i="55"/>
  <c r="AM34" i="28"/>
  <c r="U17" i="55"/>
  <c r="AF553" i="37"/>
  <c r="Z553" i="37"/>
  <c r="N536" i="41"/>
  <c r="K536" i="41"/>
  <c r="AF374" i="37"/>
  <c r="Z374" i="37"/>
  <c r="Y6" i="37"/>
  <c r="J6" i="41"/>
  <c r="M6" i="41"/>
  <c r="Z207" i="37"/>
  <c r="K207" i="41"/>
  <c r="N207" i="41"/>
  <c r="Z618" i="37"/>
  <c r="AF618" i="37"/>
  <c r="AK46" i="27"/>
  <c r="AK46" i="28"/>
  <c r="AG46" i="43"/>
  <c r="AG98" i="43"/>
  <c r="M298" i="41"/>
  <c r="J298" i="41"/>
  <c r="AE57" i="38"/>
  <c r="Z57" i="38"/>
  <c r="AG24" i="30"/>
  <c r="AE24" i="30"/>
  <c r="AO24" i="30"/>
  <c r="AE66" i="38"/>
  <c r="Z66" i="38"/>
  <c r="AF548" i="37"/>
  <c r="Z548" i="37"/>
  <c r="N122" i="41"/>
  <c r="K122" i="41"/>
  <c r="AF282" i="37"/>
  <c r="Z282" i="37"/>
  <c r="AJ36" i="28"/>
  <c r="AJ36" i="30"/>
  <c r="AL36" i="30"/>
  <c r="AF212" i="37"/>
  <c r="AF678" i="37"/>
  <c r="Z690" i="37"/>
  <c r="K690" i="41"/>
  <c r="N690" i="41"/>
  <c r="AK36" i="30"/>
  <c r="AK36" i="29"/>
  <c r="X13" i="45"/>
  <c r="X7" i="45"/>
  <c r="N473" i="41"/>
  <c r="K473" i="41"/>
  <c r="Y13" i="37"/>
  <c r="J13" i="41"/>
  <c r="M13" i="41"/>
  <c r="AJ35" i="28"/>
  <c r="AJ35" i="30"/>
  <c r="AL35" i="30"/>
  <c r="Z80" i="37"/>
  <c r="K80" i="41"/>
  <c r="N80" i="41"/>
  <c r="Z610" i="37"/>
  <c r="K610" i="41"/>
  <c r="N610" i="41"/>
  <c r="AF485" i="37"/>
  <c r="Z485" i="37"/>
  <c r="Z120" i="37"/>
  <c r="K120" i="41"/>
  <c r="N120" i="41"/>
  <c r="N274" i="41"/>
  <c r="K274" i="41"/>
  <c r="AF176" i="37"/>
  <c r="N492" i="41"/>
  <c r="K492" i="41"/>
  <c r="AE136" i="38"/>
  <c r="Z136" i="38"/>
  <c r="M22" i="41"/>
  <c r="J22" i="41"/>
  <c r="N49" i="43"/>
  <c r="N101" i="43"/>
  <c r="AF652" i="37"/>
  <c r="Z78" i="37"/>
  <c r="AF78" i="37"/>
  <c r="AE179" i="38"/>
  <c r="Z179" i="38"/>
  <c r="AL37" i="30"/>
  <c r="AJ37" i="30"/>
  <c r="AB75" i="43"/>
  <c r="AB23" i="43"/>
  <c r="Y46" i="37"/>
  <c r="AE46" i="37"/>
  <c r="AL50" i="29"/>
  <c r="AJ50" i="29"/>
  <c r="Z191" i="37"/>
  <c r="AF191" i="37"/>
  <c r="N671" i="41"/>
  <c r="K671" i="41"/>
  <c r="N629" i="41"/>
  <c r="K629" i="41"/>
  <c r="AE300" i="38"/>
  <c r="Z300" i="38"/>
  <c r="N187" i="41"/>
  <c r="K187" i="41"/>
  <c r="AE262" i="38"/>
  <c r="Z262" i="38"/>
  <c r="AJ41" i="27"/>
  <c r="N41" i="27"/>
  <c r="N41" i="28"/>
  <c r="T41" i="28"/>
  <c r="AM41" i="28"/>
  <c r="AG38" i="29"/>
  <c r="Z212" i="37"/>
  <c r="K212" i="41"/>
  <c r="N212" i="41"/>
  <c r="Z678" i="37"/>
  <c r="K678" i="41"/>
  <c r="N678" i="41"/>
  <c r="Z122" i="37"/>
  <c r="AF122" i="37"/>
  <c r="N10" i="43"/>
  <c r="N62" i="43"/>
  <c r="AK36" i="27"/>
  <c r="AK36" i="28"/>
  <c r="AG36" i="43"/>
  <c r="AG88" i="43"/>
  <c r="M237" i="41"/>
  <c r="J237" i="41"/>
  <c r="AE117" i="38"/>
  <c r="Z117" i="38"/>
  <c r="AF408" i="37"/>
  <c r="AE18" i="37"/>
  <c r="AF319" i="37"/>
  <c r="Z319" i="37"/>
  <c r="AE257" i="38"/>
  <c r="Z257" i="38"/>
  <c r="N273" i="41"/>
  <c r="K273" i="41"/>
  <c r="N268" i="41"/>
  <c r="K268" i="41"/>
  <c r="AK35" i="29"/>
  <c r="AK35" i="30"/>
  <c r="AE290" i="37"/>
  <c r="Y290" i="37"/>
  <c r="N325" i="41"/>
  <c r="K325" i="41"/>
  <c r="AF22" i="37"/>
  <c r="Z652" i="37"/>
  <c r="K652" i="41"/>
  <c r="N652" i="41"/>
  <c r="N32" i="41"/>
  <c r="K32" i="41"/>
  <c r="AF70" i="43"/>
  <c r="AF18" i="43"/>
  <c r="N488" i="41"/>
  <c r="K488" i="41"/>
  <c r="AF91" i="37"/>
  <c r="Z11" i="37"/>
  <c r="K11" i="41"/>
  <c r="N11" i="41"/>
  <c r="N329" i="41"/>
  <c r="K329" i="41"/>
  <c r="Z629" i="37"/>
  <c r="AF629" i="37"/>
  <c r="Y147" i="37"/>
  <c r="J147" i="41"/>
  <c r="M147" i="41"/>
  <c r="Z187" i="37"/>
  <c r="AF187" i="37"/>
  <c r="Z681" i="37"/>
  <c r="AF681" i="37"/>
  <c r="N339" i="41"/>
  <c r="K339" i="41"/>
  <c r="AE106" i="38"/>
  <c r="Z106" i="38"/>
  <c r="AO38" i="29"/>
  <c r="AE38" i="29"/>
  <c r="AB38" i="43"/>
  <c r="AB90" i="43"/>
  <c r="L63" i="27"/>
  <c r="Z429" i="37"/>
  <c r="AF429" i="37"/>
  <c r="AJ9" i="28"/>
  <c r="AL9" i="28"/>
  <c r="Y237" i="37"/>
  <c r="AE237" i="37"/>
  <c r="Z408" i="37"/>
  <c r="K408" i="41"/>
  <c r="N408" i="41"/>
  <c r="AF494" i="37"/>
  <c r="Z494" i="37"/>
  <c r="Y18" i="37"/>
  <c r="J18" i="41"/>
  <c r="M18" i="41"/>
  <c r="AL30" i="29"/>
  <c r="AJ30" i="29"/>
  <c r="AE246" i="38"/>
  <c r="Z246" i="38"/>
  <c r="N370" i="41"/>
  <c r="K370" i="41"/>
  <c r="AF534" i="37"/>
  <c r="Z534" i="37"/>
  <c r="AJ35" i="27"/>
  <c r="AK35" i="27"/>
  <c r="AK35" i="28"/>
  <c r="AG35" i="43"/>
  <c r="AG87" i="43"/>
  <c r="N18" i="29"/>
  <c r="T18" i="29"/>
  <c r="AM18" i="29"/>
  <c r="R29" i="55"/>
  <c r="N47" i="27"/>
  <c r="N47" i="28"/>
  <c r="T47" i="28"/>
  <c r="AM47" i="28"/>
  <c r="U29" i="55"/>
  <c r="N17" i="43"/>
  <c r="N69" i="43"/>
  <c r="N680" i="41"/>
  <c r="K680" i="41"/>
  <c r="N576" i="41"/>
  <c r="K576" i="41"/>
  <c r="Z423" i="37"/>
  <c r="AF423" i="37"/>
  <c r="Z22" i="37"/>
  <c r="K22" i="41"/>
  <c r="N22" i="41"/>
  <c r="AP55" i="30"/>
  <c r="AP53" i="30"/>
  <c r="AF502" i="37"/>
  <c r="Z502" i="37"/>
  <c r="AG32" i="30"/>
  <c r="AE32" i="30"/>
  <c r="AO32" i="30"/>
  <c r="AE9" i="41"/>
  <c r="AE184" i="38"/>
  <c r="Z184" i="38"/>
  <c r="AL29" i="28"/>
  <c r="N53" i="30"/>
  <c r="AK11" i="30"/>
  <c r="AK11" i="29"/>
  <c r="AE61" i="37"/>
  <c r="AF34" i="30"/>
  <c r="T34" i="28"/>
  <c r="AP34" i="30"/>
  <c r="AE386" i="37"/>
  <c r="Y386" i="37"/>
  <c r="AF400" i="37"/>
  <c r="Z400" i="37"/>
  <c r="AB81" i="43"/>
  <c r="AB29" i="43"/>
  <c r="AE351" i="38"/>
  <c r="Z351" i="38"/>
  <c r="AL49" i="28"/>
  <c r="AE229" i="38"/>
  <c r="Z229" i="38"/>
  <c r="AF5" i="30"/>
  <c r="AP5" i="30"/>
  <c r="Z2" i="38"/>
  <c r="AE2" i="38"/>
  <c r="AE7" i="41"/>
  <c r="AJ50" i="28"/>
  <c r="AL50" i="28"/>
  <c r="AF510" i="37"/>
  <c r="Z510" i="37"/>
  <c r="AE248" i="38"/>
  <c r="Z248" i="38"/>
  <c r="AE344" i="37"/>
  <c r="Y344" i="37"/>
  <c r="M241" i="41"/>
  <c r="J241" i="41"/>
  <c r="AG5" i="30"/>
  <c r="AE5" i="30"/>
  <c r="AO5" i="30"/>
  <c r="AE53" i="30"/>
  <c r="AJ29" i="28"/>
  <c r="AF29" i="43"/>
  <c r="AF81" i="43"/>
  <c r="AF339" i="37"/>
  <c r="Z339" i="37"/>
  <c r="AE46" i="38"/>
  <c r="Z46" i="38"/>
  <c r="AE102" i="38"/>
  <c r="Z102" i="38"/>
  <c r="N43" i="27"/>
  <c r="N43" i="28"/>
  <c r="T43" i="28"/>
  <c r="AM43" i="28"/>
  <c r="N40" i="30"/>
  <c r="T40" i="30"/>
  <c r="AM40" i="30"/>
  <c r="Z671" i="37"/>
  <c r="AF671" i="37"/>
  <c r="N30" i="27"/>
  <c r="N30" i="28"/>
  <c r="T30" i="28"/>
  <c r="AP30" i="29"/>
  <c r="AF30" i="29"/>
  <c r="AC30" i="43"/>
  <c r="AC82" i="43"/>
  <c r="AF583" i="37"/>
  <c r="Z583" i="37"/>
  <c r="N679" i="41"/>
  <c r="K679" i="41"/>
  <c r="AK11" i="27"/>
  <c r="AK11" i="28"/>
  <c r="AG11" i="43"/>
  <c r="AG63" i="43"/>
  <c r="M20" i="41"/>
  <c r="J20" i="41"/>
  <c r="Y61" i="37"/>
  <c r="J61" i="41"/>
  <c r="M61" i="41"/>
  <c r="AD168" i="38"/>
  <c r="Y168" i="38"/>
  <c r="AD164" i="38"/>
  <c r="Y164" i="38"/>
  <c r="AF98" i="37"/>
  <c r="N583" i="41"/>
  <c r="K583" i="41"/>
  <c r="AF95" i="37"/>
  <c r="N19" i="30"/>
  <c r="T19" i="30"/>
  <c r="AM19" i="30"/>
  <c r="N664" i="41"/>
  <c r="K664" i="41"/>
  <c r="M21" i="41"/>
  <c r="J21" i="41"/>
  <c r="N93" i="41"/>
  <c r="K93" i="41"/>
  <c r="N169" i="41"/>
  <c r="K169" i="41"/>
  <c r="AF41" i="37"/>
  <c r="AE205" i="38"/>
  <c r="Z205" i="38"/>
  <c r="M299" i="41"/>
  <c r="J299" i="41"/>
  <c r="AD162" i="38"/>
  <c r="Y162" i="38"/>
  <c r="AF674" i="37"/>
  <c r="AV6" i="37"/>
  <c r="AU6" i="37"/>
  <c r="AL34" i="28"/>
  <c r="AL19" i="30"/>
  <c r="AJ19" i="30"/>
  <c r="AE349" i="37"/>
  <c r="Y349" i="37"/>
  <c r="H49" i="5"/>
  <c r="H47" i="5"/>
  <c r="N418" i="41"/>
  <c r="K418" i="41"/>
  <c r="AF262" i="37"/>
  <c r="Z262" i="37"/>
  <c r="N442" i="41"/>
  <c r="K442" i="41"/>
  <c r="N454" i="41"/>
  <c r="K454" i="41"/>
  <c r="AE9" i="38"/>
  <c r="Z9" i="38"/>
  <c r="Y239" i="37"/>
  <c r="AE239" i="37"/>
  <c r="AF372" i="37"/>
  <c r="Z372" i="37"/>
  <c r="N23" i="41"/>
  <c r="K23" i="41"/>
  <c r="AL24" i="29"/>
  <c r="AJ24" i="29"/>
  <c r="AF560" i="37"/>
  <c r="Z560" i="37"/>
  <c r="AF116" i="37"/>
  <c r="N286" i="41"/>
  <c r="K286" i="41"/>
  <c r="Z14" i="37"/>
  <c r="K14" i="41"/>
  <c r="N14" i="41"/>
  <c r="Z91" i="37"/>
  <c r="K91" i="41"/>
  <c r="N91" i="41"/>
  <c r="AD85" i="38"/>
  <c r="Y85" i="38"/>
  <c r="R32" i="55"/>
  <c r="U32" i="55"/>
  <c r="N654" i="41"/>
  <c r="K654" i="41"/>
  <c r="N479" i="41"/>
  <c r="K479" i="41"/>
  <c r="AF274" i="37"/>
  <c r="Z274" i="37"/>
  <c r="Z41" i="37"/>
  <c r="K41" i="41"/>
  <c r="N41" i="41"/>
  <c r="N666" i="41"/>
  <c r="K666" i="41"/>
  <c r="V11" i="45"/>
  <c r="N208" i="41"/>
  <c r="K208" i="41"/>
  <c r="AF441" i="37"/>
  <c r="Z441" i="37"/>
  <c r="AI7" i="41"/>
  <c r="U7" i="41"/>
  <c r="M2" i="41"/>
  <c r="Z674" i="37"/>
  <c r="K674" i="41"/>
  <c r="N674" i="41"/>
  <c r="AD163" i="38"/>
  <c r="Y163" i="38"/>
  <c r="M387" i="41"/>
  <c r="J387" i="41"/>
  <c r="AE203" i="38"/>
  <c r="Z203" i="38"/>
  <c r="AF311" i="37"/>
  <c r="Z311" i="37"/>
  <c r="AC61" i="43"/>
  <c r="AC9" i="43"/>
  <c r="AF9" i="29"/>
  <c r="AP9" i="29"/>
  <c r="AF364" i="37"/>
  <c r="Z364" i="37"/>
  <c r="AE377" i="37"/>
  <c r="Y377" i="37"/>
  <c r="AF272" i="37"/>
  <c r="Z272" i="37"/>
  <c r="AF229" i="37"/>
  <c r="M197" i="41"/>
  <c r="J197" i="41"/>
  <c r="AL26" i="28"/>
  <c r="AL24" i="28"/>
  <c r="Z116" i="37"/>
  <c r="K116" i="41"/>
  <c r="N116" i="41"/>
  <c r="Y241" i="37"/>
  <c r="AE241" i="37"/>
  <c r="AO49" i="30"/>
  <c r="AE49" i="30"/>
  <c r="AG49" i="30"/>
  <c r="AD16" i="38"/>
  <c r="Y16" i="38"/>
  <c r="Y22" i="37"/>
  <c r="AE22" i="37"/>
  <c r="Y20" i="37"/>
  <c r="AE20" i="37"/>
  <c r="AL31" i="28"/>
  <c r="AM26" i="29"/>
  <c r="T26" i="29"/>
  <c r="N26" i="29"/>
  <c r="Z654" i="37"/>
  <c r="AF654" i="37"/>
  <c r="Y145" i="37"/>
  <c r="AE145" i="37"/>
  <c r="K670" i="41"/>
  <c r="S12" i="41"/>
  <c r="Y12" i="41"/>
  <c r="AG12" i="41"/>
  <c r="AL10" i="28"/>
  <c r="V15" i="45"/>
  <c r="AJ5" i="28"/>
  <c r="AF5" i="43"/>
  <c r="AF57" i="43"/>
  <c r="V9" i="45"/>
  <c r="V14" i="45"/>
  <c r="R11" i="45"/>
  <c r="N170" i="41"/>
  <c r="K170" i="41"/>
  <c r="M19" i="41"/>
  <c r="J19" i="41"/>
  <c r="AG103" i="43"/>
  <c r="AG51" i="43"/>
  <c r="AB101" i="43"/>
  <c r="AB49" i="43"/>
  <c r="N185" i="41"/>
  <c r="K185" i="41"/>
  <c r="AC77" i="43"/>
  <c r="AC25" i="43"/>
  <c r="AF25" i="29"/>
  <c r="AP25" i="29"/>
  <c r="AE381" i="37"/>
  <c r="Y381" i="37"/>
  <c r="AL17" i="29"/>
  <c r="AJ17" i="29"/>
  <c r="Y48" i="37"/>
  <c r="AE48" i="37"/>
  <c r="AJ30" i="27"/>
  <c r="AJ30" i="28"/>
  <c r="AL30" i="28"/>
  <c r="D7" i="45"/>
  <c r="D13" i="45"/>
  <c r="N534" i="41"/>
  <c r="K534" i="41"/>
  <c r="Z132" i="37"/>
  <c r="AF132" i="37"/>
  <c r="Y65" i="37"/>
  <c r="J65" i="41"/>
  <c r="M65" i="41"/>
  <c r="Z176" i="37"/>
  <c r="K176" i="41"/>
  <c r="N176" i="41"/>
  <c r="Y235" i="37"/>
  <c r="J235" i="41"/>
  <c r="M235" i="41"/>
  <c r="AF49" i="43"/>
  <c r="AF101" i="43"/>
  <c r="AE25" i="37"/>
  <c r="Y236" i="37"/>
  <c r="AE236" i="37"/>
  <c r="Z21" i="37"/>
  <c r="AF21" i="37"/>
  <c r="Z626" i="37"/>
  <c r="AF626" i="37"/>
  <c r="Z680" i="37"/>
  <c r="AF680" i="37"/>
  <c r="AE102" i="37"/>
  <c r="AF213" i="37"/>
  <c r="Y25" i="37"/>
  <c r="J25" i="41"/>
  <c r="M25" i="41"/>
  <c r="AF85" i="37"/>
  <c r="AF434" i="37"/>
  <c r="N486" i="41"/>
  <c r="K486" i="41"/>
  <c r="Z229" i="37"/>
  <c r="K229" i="41"/>
  <c r="N229" i="41"/>
  <c r="N464" i="41"/>
  <c r="K464" i="41"/>
  <c r="AJ26" i="28"/>
  <c r="AJ26" i="29"/>
  <c r="AL26" i="29"/>
  <c r="AF524" i="37"/>
  <c r="Z524" i="37"/>
  <c r="AJ24" i="28"/>
  <c r="AJ24" i="30"/>
  <c r="AL24" i="30"/>
  <c r="Y197" i="37"/>
  <c r="AE197" i="37"/>
  <c r="M206" i="41"/>
  <c r="J206" i="41"/>
  <c r="AF115" i="37"/>
  <c r="AO17" i="30"/>
  <c r="AE17" i="30"/>
  <c r="AG17" i="30"/>
  <c r="AJ31" i="28"/>
  <c r="AJ31" i="30"/>
  <c r="AL31" i="30"/>
  <c r="AE3" i="38"/>
  <c r="Z3" i="38"/>
  <c r="M8" i="41"/>
  <c r="J8" i="41"/>
  <c r="AJ10" i="28"/>
  <c r="AJ10" i="29"/>
  <c r="AL10" i="29"/>
  <c r="AE43" i="38"/>
  <c r="Z43" i="38"/>
  <c r="AE202" i="38"/>
  <c r="Z202" i="38"/>
  <c r="AF645" i="37"/>
  <c r="R14" i="45"/>
  <c r="AO5" i="29"/>
  <c r="AE5" i="29"/>
  <c r="AB5" i="43"/>
  <c r="AB57" i="43"/>
  <c r="R9" i="45"/>
  <c r="R15" i="45"/>
  <c r="AO37" i="30"/>
  <c r="AE37" i="30"/>
  <c r="AG37" i="30"/>
  <c r="M17" i="41"/>
  <c r="J17" i="41"/>
  <c r="N333" i="41"/>
  <c r="K333" i="41"/>
  <c r="M302" i="41"/>
  <c r="J302" i="41"/>
  <c r="AC80" i="43"/>
  <c r="AP28" i="29"/>
  <c r="AF28" i="29"/>
  <c r="AC28" i="43"/>
  <c r="N476" i="41"/>
  <c r="K476" i="41"/>
  <c r="AF79" i="43"/>
  <c r="AF27" i="43"/>
  <c r="AE145" i="38"/>
  <c r="Z145" i="38"/>
  <c r="Z213" i="37"/>
  <c r="K213" i="41"/>
  <c r="N213" i="41"/>
  <c r="AD127" i="38"/>
  <c r="Y127" i="38"/>
  <c r="AO23" i="29"/>
  <c r="AE23" i="29"/>
  <c r="AG23" i="29"/>
  <c r="N502" i="41"/>
  <c r="K502" i="41"/>
  <c r="Z85" i="37"/>
  <c r="K85" i="41"/>
  <c r="N85" i="41"/>
  <c r="T53" i="28"/>
  <c r="AF635" i="37"/>
  <c r="AF247" i="37"/>
  <c r="AM29" i="28"/>
  <c r="Y206" i="37"/>
  <c r="AE206" i="37"/>
  <c r="N501" i="41"/>
  <c r="K501" i="41"/>
  <c r="Z115" i="37"/>
  <c r="K115" i="41"/>
  <c r="N115" i="41"/>
  <c r="Y8" i="37"/>
  <c r="AE8" i="37"/>
  <c r="AF166" i="37"/>
  <c r="N165" i="41"/>
  <c r="K165" i="41"/>
  <c r="Z645" i="37"/>
  <c r="K645" i="41"/>
  <c r="N645" i="41"/>
  <c r="R27" i="55"/>
  <c r="AM45" i="28"/>
  <c r="U27" i="55"/>
  <c r="N18" i="41"/>
  <c r="K18" i="41"/>
  <c r="AO9" i="30"/>
  <c r="AE9" i="30"/>
  <c r="AG9" i="30"/>
  <c r="AK43" i="30"/>
  <c r="AK43" i="29"/>
  <c r="AG83" i="43"/>
  <c r="AG31" i="43"/>
  <c r="AL53" i="28"/>
  <c r="N612" i="41"/>
  <c r="K612" i="41"/>
  <c r="AG36" i="30"/>
  <c r="AJ36" i="27"/>
  <c r="N36" i="27"/>
  <c r="N36" i="28"/>
  <c r="T36" i="28"/>
  <c r="AO36" i="30"/>
  <c r="AE36" i="30"/>
  <c r="N531" i="41"/>
  <c r="K531" i="41"/>
  <c r="M300" i="41"/>
  <c r="J300" i="41"/>
  <c r="M342" i="41"/>
  <c r="J342" i="41"/>
  <c r="Z434" i="37"/>
  <c r="K434" i="41"/>
  <c r="N434" i="41"/>
  <c r="AK31" i="30"/>
  <c r="AK31" i="27"/>
  <c r="AK31" i="28"/>
  <c r="AK31" i="29"/>
  <c r="Z32" i="37"/>
  <c r="AF32" i="37"/>
  <c r="Y52" i="37"/>
  <c r="AE52" i="37"/>
  <c r="N366" i="41"/>
  <c r="K366" i="41"/>
  <c r="N482" i="41"/>
  <c r="K482" i="41"/>
  <c r="Z635" i="37"/>
  <c r="K635" i="41"/>
  <c r="N635" i="41"/>
  <c r="AE269" i="38"/>
  <c r="Z269" i="38"/>
  <c r="Z247" i="37"/>
  <c r="K247" i="41"/>
  <c r="N247" i="41"/>
  <c r="AP29" i="30"/>
  <c r="AF29" i="30"/>
  <c r="AD129" i="38"/>
  <c r="Y129" i="38"/>
  <c r="AE41" i="38"/>
  <c r="Z41" i="38"/>
  <c r="Z98" i="37"/>
  <c r="K98" i="41"/>
  <c r="N98" i="41"/>
  <c r="AD22" i="38"/>
  <c r="Y22" i="38"/>
  <c r="AO21" i="30"/>
  <c r="AE21" i="30"/>
  <c r="AG21" i="30"/>
  <c r="AE325" i="38"/>
  <c r="Z325" i="38"/>
  <c r="Z166" i="37"/>
  <c r="K166" i="41"/>
  <c r="N166" i="41"/>
  <c r="N607" i="41"/>
  <c r="K607" i="41"/>
  <c r="AF446" i="37"/>
  <c r="Z446" i="37"/>
  <c r="N411" i="41"/>
  <c r="K411" i="41"/>
  <c r="AL53" i="30"/>
  <c r="AK22" i="29"/>
  <c r="AK22" i="30"/>
  <c r="AF255" i="37"/>
  <c r="Z255" i="37"/>
  <c r="M295" i="41"/>
  <c r="J295" i="41"/>
  <c r="N566" i="41"/>
  <c r="K566" i="41"/>
  <c r="AF638" i="37"/>
  <c r="N428" i="41"/>
  <c r="K428" i="41"/>
  <c r="AK20" i="29"/>
  <c r="AK20" i="30"/>
  <c r="N355" i="41"/>
  <c r="K355" i="41"/>
  <c r="AF569" i="37"/>
  <c r="Z569" i="37"/>
  <c r="AD79" i="38"/>
  <c r="Y79" i="38"/>
  <c r="AE214" i="38"/>
  <c r="Z214" i="38"/>
  <c r="N141" i="41"/>
  <c r="K141" i="41"/>
  <c r="AF331" i="37"/>
  <c r="Z331" i="37"/>
  <c r="AF261" i="37"/>
  <c r="Z261" i="37"/>
  <c r="N89" i="41"/>
  <c r="K89" i="41"/>
  <c r="N636" i="41"/>
  <c r="K636" i="41"/>
  <c r="AE192" i="38"/>
  <c r="Z192" i="38"/>
  <c r="N356" i="41"/>
  <c r="K356" i="41"/>
  <c r="AD170" i="38"/>
  <c r="Y170" i="38"/>
  <c r="AF542" i="37"/>
  <c r="Z542" i="37"/>
  <c r="AM27" i="29"/>
  <c r="T27" i="29"/>
  <c r="N27" i="29"/>
  <c r="N67" i="43"/>
  <c r="N15" i="28"/>
  <c r="N15" i="43"/>
  <c r="AF516" i="37"/>
  <c r="Z516" i="37"/>
  <c r="AE260" i="38"/>
  <c r="Z260" i="38"/>
  <c r="H8" i="55"/>
  <c r="E6" i="55"/>
  <c r="E8" i="55"/>
  <c r="H6" i="55"/>
  <c r="AE183" i="38"/>
  <c r="Z183" i="38"/>
  <c r="AG85" i="43"/>
  <c r="AG33" i="43"/>
  <c r="N422" i="41"/>
  <c r="K422" i="41"/>
  <c r="AF14" i="30"/>
  <c r="AP14" i="30"/>
  <c r="AG20" i="29"/>
  <c r="AE35" i="38"/>
  <c r="Z35" i="38"/>
  <c r="E5" i="55"/>
  <c r="E7" i="55"/>
  <c r="H5" i="55"/>
  <c r="H7" i="55"/>
  <c r="AE295" i="37"/>
  <c r="Y295" i="37"/>
  <c r="Z95" i="37"/>
  <c r="K95" i="41"/>
  <c r="N95" i="41"/>
  <c r="AJ43" i="27"/>
  <c r="AK43" i="27"/>
  <c r="AK43" i="28"/>
  <c r="AG43" i="43"/>
  <c r="AG95" i="43"/>
  <c r="AG37" i="29"/>
  <c r="Y102" i="37"/>
  <c r="J102" i="41"/>
  <c r="M102" i="41"/>
  <c r="Z600" i="37"/>
  <c r="K600" i="41"/>
  <c r="N600" i="41"/>
  <c r="V11" i="41"/>
  <c r="AJ11" i="41"/>
  <c r="AJ31" i="27"/>
  <c r="N31" i="27"/>
  <c r="N31" i="28"/>
  <c r="T31" i="28"/>
  <c r="AP31" i="30"/>
  <c r="AF31" i="30"/>
  <c r="AD132" i="38"/>
  <c r="Y132" i="38"/>
  <c r="AK20" i="27"/>
  <c r="AK20" i="28"/>
  <c r="AG20" i="43"/>
  <c r="AG72" i="43"/>
  <c r="AL25" i="28"/>
  <c r="AD76" i="38"/>
  <c r="Y76" i="38"/>
  <c r="N256" i="41"/>
  <c r="K256" i="41"/>
  <c r="AD19" i="38"/>
  <c r="Y19" i="38"/>
  <c r="AE158" i="37"/>
  <c r="N79" i="43"/>
  <c r="N27" i="43"/>
  <c r="N259" i="41"/>
  <c r="K259" i="41"/>
  <c r="AF535" i="37"/>
  <c r="Z535" i="37"/>
  <c r="AP12" i="29"/>
  <c r="AF12" i="29"/>
  <c r="AC12" i="43"/>
  <c r="AC64" i="43"/>
  <c r="N580" i="41"/>
  <c r="K580" i="41"/>
  <c r="AF464" i="37"/>
  <c r="Z464" i="37"/>
  <c r="AE306" i="38"/>
  <c r="Z306" i="38"/>
  <c r="AE274" i="38"/>
  <c r="Z274" i="38"/>
  <c r="Z18" i="37"/>
  <c r="AF18" i="37"/>
  <c r="AE147" i="38"/>
  <c r="Z147" i="38"/>
  <c r="AL7" i="28"/>
  <c r="N432" i="41"/>
  <c r="K432" i="41"/>
  <c r="AF523" i="37"/>
  <c r="Z523" i="37"/>
  <c r="N112" i="41"/>
  <c r="K112" i="41"/>
  <c r="M304" i="41"/>
  <c r="J304" i="41"/>
  <c r="AF470" i="37"/>
  <c r="Z470" i="37"/>
  <c r="AL39" i="28"/>
  <c r="AF391" i="37"/>
  <c r="Z391" i="37"/>
  <c r="M63" i="41"/>
  <c r="J63" i="41"/>
  <c r="AL13" i="29"/>
  <c r="AJ13" i="29"/>
  <c r="AE189" i="38"/>
  <c r="Z189" i="38"/>
  <c r="AE253" i="38"/>
  <c r="Z253" i="38"/>
  <c r="N82" i="41"/>
  <c r="K82" i="41"/>
  <c r="M3" i="41"/>
  <c r="J3" i="41"/>
  <c r="AP55" i="29"/>
  <c r="AP53" i="29"/>
  <c r="AB85" i="43"/>
  <c r="AB33" i="43"/>
  <c r="Z607" i="37"/>
  <c r="AF607" i="37"/>
  <c r="AF218" i="37"/>
  <c r="N29" i="43"/>
  <c r="N81" i="43"/>
  <c r="Z13" i="37"/>
  <c r="AF13" i="37"/>
  <c r="AF646" i="37"/>
  <c r="AE47" i="38"/>
  <c r="Z47" i="38"/>
  <c r="N269" i="41"/>
  <c r="K269" i="41"/>
  <c r="AE48" i="38"/>
  <c r="Z48" i="38"/>
  <c r="AD88" i="38"/>
  <c r="Y88" i="38"/>
  <c r="AF450" i="37"/>
  <c r="Z450" i="37"/>
  <c r="AF544" i="37"/>
  <c r="Z544" i="37"/>
  <c r="N29" i="41"/>
  <c r="K29" i="41"/>
  <c r="M108" i="41"/>
  <c r="J108" i="41"/>
  <c r="AJ25" i="28"/>
  <c r="AJ25" i="30"/>
  <c r="AL25" i="30"/>
  <c r="N77" i="41"/>
  <c r="K77" i="41"/>
  <c r="AL6" i="28"/>
  <c r="Z428" i="37"/>
  <c r="AF428" i="37"/>
  <c r="N460" i="41"/>
  <c r="K460" i="41"/>
  <c r="N527" i="41"/>
  <c r="K527" i="41"/>
  <c r="AE276" i="38"/>
  <c r="Z276" i="38"/>
  <c r="N391" i="41"/>
  <c r="K391" i="41"/>
  <c r="AF476" i="37"/>
  <c r="Z476" i="37"/>
  <c r="AE116" i="38"/>
  <c r="Z116" i="38"/>
  <c r="N515" i="41"/>
  <c r="K515" i="41"/>
  <c r="Y2" i="37"/>
  <c r="J2" i="41"/>
  <c r="R7" i="41"/>
  <c r="X7" i="41"/>
  <c r="AF7" i="41"/>
  <c r="Y158" i="37"/>
  <c r="J158" i="41"/>
  <c r="M158" i="41"/>
  <c r="AF223" i="37"/>
  <c r="AG19" i="29"/>
  <c r="AF188" i="37"/>
  <c r="AO33" i="29"/>
  <c r="AE33" i="29"/>
  <c r="AG33" i="29"/>
  <c r="AL28" i="28"/>
  <c r="Z636" i="37"/>
  <c r="AF636" i="37"/>
  <c r="AK17" i="30"/>
  <c r="AK17" i="29"/>
  <c r="AF60" i="43"/>
  <c r="AF8" i="43"/>
  <c r="AJ39" i="27"/>
  <c r="AJ39" i="28"/>
  <c r="AF39" i="43"/>
  <c r="AF91" i="43"/>
  <c r="N312" i="41"/>
  <c r="K312" i="41"/>
  <c r="N443" i="41"/>
  <c r="K443" i="41"/>
  <c r="N184" i="41"/>
  <c r="K184" i="41"/>
  <c r="M59" i="41"/>
  <c r="J59" i="41"/>
  <c r="Z218" i="37"/>
  <c r="K218" i="41"/>
  <c r="N218" i="41"/>
  <c r="M294" i="41"/>
  <c r="J294" i="41"/>
  <c r="Z77" i="37"/>
  <c r="AF77" i="37"/>
  <c r="Z646" i="37"/>
  <c r="K646" i="41"/>
  <c r="N646" i="41"/>
  <c r="AK51" i="30"/>
  <c r="AK51" i="27"/>
  <c r="AK51" i="28"/>
  <c r="AK51" i="29"/>
  <c r="Y17" i="37"/>
  <c r="AE17" i="37"/>
  <c r="Y21" i="37"/>
  <c r="AE21" i="37"/>
  <c r="Z185" i="37"/>
  <c r="AF185" i="37"/>
  <c r="AM37" i="28"/>
  <c r="AE239" i="38"/>
  <c r="Z239" i="38"/>
  <c r="AF466" i="37"/>
  <c r="Z466" i="37"/>
  <c r="N603" i="41"/>
  <c r="K603" i="41"/>
  <c r="N451" i="41"/>
  <c r="K451" i="41"/>
  <c r="N481" i="41"/>
  <c r="K481" i="41"/>
  <c r="AJ19" i="28"/>
  <c r="AL19" i="28"/>
  <c r="AJ55" i="27"/>
  <c r="AJ60" i="27"/>
  <c r="AJ6" i="28"/>
  <c r="AF6" i="43"/>
  <c r="AF58" i="43"/>
  <c r="AF462" i="37"/>
  <c r="Z462" i="37"/>
  <c r="M148" i="41"/>
  <c r="J148" i="41"/>
  <c r="AJ17" i="28"/>
  <c r="AL17" i="28"/>
  <c r="AJ9" i="41"/>
  <c r="V9" i="41"/>
  <c r="K401" i="41"/>
  <c r="N401" i="41"/>
  <c r="AL18" i="28"/>
  <c r="AF454" i="37"/>
  <c r="Z454" i="37"/>
  <c r="N319" i="41"/>
  <c r="K319" i="41"/>
  <c r="AF275" i="37"/>
  <c r="Z275" i="37"/>
  <c r="Z223" i="37"/>
  <c r="K223" i="41"/>
  <c r="N223" i="41"/>
  <c r="AK18" i="29"/>
  <c r="AK18" i="30"/>
  <c r="M291" i="41"/>
  <c r="J291" i="41"/>
  <c r="AO19" i="29"/>
  <c r="AE19" i="29"/>
  <c r="AB19" i="43"/>
  <c r="AB71" i="43"/>
  <c r="Z188" i="37"/>
  <c r="K188" i="41"/>
  <c r="N188" i="41"/>
  <c r="AF519" i="37"/>
  <c r="Z519" i="37"/>
  <c r="AJ28" i="28"/>
  <c r="AJ28" i="29"/>
  <c r="AL28" i="29"/>
  <c r="AE44" i="38"/>
  <c r="Z44" i="38"/>
  <c r="AF75" i="37"/>
  <c r="N406" i="41"/>
  <c r="K406" i="41"/>
  <c r="AD20" i="38"/>
  <c r="Y20" i="38"/>
  <c r="N471" i="41"/>
  <c r="K471" i="41"/>
  <c r="N267" i="41"/>
  <c r="K267" i="41"/>
  <c r="X11" i="45"/>
  <c r="N5" i="43"/>
  <c r="N57" i="43"/>
  <c r="D11" i="45"/>
  <c r="AJ18" i="28"/>
  <c r="AJ18" i="29"/>
  <c r="AL18" i="29"/>
  <c r="AF370" i="37"/>
  <c r="Z370" i="37"/>
  <c r="AF616" i="37"/>
  <c r="AL12" i="28"/>
  <c r="N509" i="41"/>
  <c r="K509" i="41"/>
  <c r="N489" i="41"/>
  <c r="K489" i="41"/>
  <c r="AK18" i="27"/>
  <c r="AK18" i="28"/>
  <c r="AG18" i="43"/>
  <c r="AG70" i="43"/>
  <c r="N394" i="41"/>
  <c r="K394" i="41"/>
  <c r="AF220" i="37"/>
  <c r="AE280" i="38"/>
  <c r="Z280" i="38"/>
  <c r="AE213" i="38"/>
  <c r="Z213" i="38"/>
  <c r="N5" i="28"/>
  <c r="T5" i="28"/>
  <c r="AM5" i="28"/>
  <c r="Y19" i="37"/>
  <c r="AE19" i="37"/>
  <c r="AO22" i="30"/>
  <c r="AE22" i="30"/>
  <c r="AG22" i="30"/>
  <c r="AF445" i="37"/>
  <c r="Z445" i="37"/>
  <c r="N279" i="41"/>
  <c r="K279" i="41"/>
  <c r="AF642" i="37"/>
  <c r="M301" i="41"/>
  <c r="J301" i="41"/>
  <c r="AJ18" i="27"/>
  <c r="N18" i="27"/>
  <c r="N18" i="28"/>
  <c r="N18" i="30"/>
  <c r="T18" i="30"/>
  <c r="AM18" i="30"/>
  <c r="AE345" i="37"/>
  <c r="Y345" i="37"/>
  <c r="AE339" i="38"/>
  <c r="Z339" i="38"/>
  <c r="N591" i="41"/>
  <c r="K591" i="41"/>
  <c r="AE226" i="38"/>
  <c r="Z226" i="38"/>
  <c r="N389" i="41"/>
  <c r="K389" i="41"/>
  <c r="N221" i="41"/>
  <c r="K221" i="41"/>
  <c r="Z670" i="37"/>
  <c r="AF670" i="37"/>
  <c r="AB12" i="41"/>
  <c r="AK22" i="27"/>
  <c r="AK22" i="28"/>
  <c r="AG22" i="43"/>
  <c r="AG74" i="43"/>
  <c r="AJ34" i="28"/>
  <c r="AJ34" i="30"/>
  <c r="AL34" i="30"/>
  <c r="Z93" i="37"/>
  <c r="AF93" i="37"/>
  <c r="Z642" i="37"/>
  <c r="K642" i="41"/>
  <c r="N642" i="41"/>
  <c r="AE51" i="37"/>
  <c r="AE153" i="38"/>
  <c r="Z153" i="38"/>
  <c r="N545" i="41"/>
  <c r="K545" i="41"/>
  <c r="U33" i="55"/>
  <c r="R33" i="55"/>
  <c r="AO28" i="30"/>
  <c r="AE28" i="30"/>
  <c r="AG28" i="30"/>
  <c r="N245" i="41"/>
  <c r="K245" i="41"/>
  <c r="AE109" i="38"/>
  <c r="Z109" i="38"/>
  <c r="AF58" i="28"/>
  <c r="AE58" i="28"/>
  <c r="AM53" i="28"/>
  <c r="D47" i="5"/>
  <c r="D48" i="5"/>
  <c r="AJ27" i="28"/>
  <c r="AL27" i="28"/>
  <c r="AF334" i="37"/>
  <c r="Z334" i="37"/>
  <c r="Z245" i="37"/>
  <c r="AF245" i="37"/>
  <c r="AE59" i="38"/>
  <c r="Z59" i="38"/>
  <c r="N8" i="27"/>
  <c r="N8" i="28"/>
  <c r="N8" i="43"/>
  <c r="N60" i="43"/>
  <c r="N16" i="28"/>
  <c r="N16" i="29"/>
  <c r="T16" i="29"/>
  <c r="AM16" i="29"/>
  <c r="N25" i="41"/>
  <c r="K25" i="41"/>
  <c r="Z616" i="37"/>
  <c r="K616" i="41"/>
  <c r="N616" i="41"/>
  <c r="AD83" i="38"/>
  <c r="Y83" i="38"/>
  <c r="AJ12" i="28"/>
  <c r="AJ12" i="29"/>
  <c r="AL12" i="29"/>
  <c r="N98" i="43"/>
  <c r="N46" i="43"/>
  <c r="Z220" i="37"/>
  <c r="K220" i="41"/>
  <c r="N220" i="41"/>
  <c r="AK53" i="30"/>
  <c r="N272" i="41"/>
  <c r="K272" i="41"/>
  <c r="AE299" i="37"/>
  <c r="Y299" i="37"/>
  <c r="AB98" i="43"/>
  <c r="AB46" i="43"/>
  <c r="AM34" i="29"/>
  <c r="AJ34" i="27"/>
  <c r="N34" i="27"/>
  <c r="N34" i="28"/>
  <c r="N34" i="29"/>
  <c r="T34" i="29"/>
  <c r="AE352" i="37"/>
  <c r="Y352" i="37"/>
  <c r="M201" i="41"/>
  <c r="J201" i="41"/>
  <c r="AF40" i="30"/>
  <c r="T40" i="28"/>
  <c r="AP40" i="30"/>
  <c r="AC65" i="43"/>
  <c r="AC13" i="43"/>
  <c r="AF13" i="29"/>
  <c r="T13" i="28"/>
  <c r="AP13" i="29"/>
  <c r="AF562" i="37"/>
  <c r="Z562" i="37"/>
  <c r="AE347" i="37"/>
  <c r="Y347" i="37"/>
  <c r="AB97" i="43"/>
  <c r="AB45" i="43"/>
  <c r="AE319" i="38"/>
  <c r="Z319" i="38"/>
  <c r="AG75" i="43"/>
  <c r="AG23" i="43"/>
  <c r="AF258" i="37"/>
  <c r="Z258" i="37"/>
  <c r="AE308" i="37"/>
  <c r="Y308" i="37"/>
  <c r="AF501" i="37"/>
  <c r="Z501" i="37"/>
  <c r="AF19" i="30"/>
  <c r="AJ19" i="27"/>
  <c r="N19" i="27"/>
  <c r="N19" i="28"/>
  <c r="T19" i="28"/>
  <c r="AP19" i="30"/>
  <c r="Z345" i="38"/>
  <c r="AE345" i="38"/>
  <c r="AE11" i="41"/>
  <c r="AL23" i="28"/>
  <c r="AE67" i="37"/>
  <c r="AE208" i="38"/>
  <c r="Z208" i="38"/>
  <c r="N596" i="41"/>
  <c r="K596" i="41"/>
  <c r="AL37" i="28"/>
  <c r="N8" i="41"/>
  <c r="K8" i="41"/>
  <c r="AE104" i="37"/>
  <c r="AF335" i="37"/>
  <c r="Z335" i="37"/>
  <c r="AF259" i="37"/>
  <c r="Z259" i="37"/>
  <c r="M199" i="41"/>
  <c r="J199" i="41"/>
  <c r="N49" i="27"/>
  <c r="N49" i="28"/>
  <c r="T49" i="28"/>
  <c r="AO49" i="29"/>
  <c r="AE49" i="29"/>
  <c r="AG49" i="29"/>
  <c r="AJ29" i="27"/>
  <c r="N29" i="27"/>
  <c r="N29" i="28"/>
  <c r="T29" i="28"/>
  <c r="AO29" i="29"/>
  <c r="AE29" i="29"/>
  <c r="AG29" i="29"/>
  <c r="Z612" i="37"/>
  <c r="AF612" i="37"/>
  <c r="AF376" i="37"/>
  <c r="Z376" i="37"/>
  <c r="Z75" i="37"/>
  <c r="K75" i="41"/>
  <c r="N75" i="41"/>
  <c r="AF488" i="37"/>
  <c r="Z488" i="37"/>
  <c r="Z638" i="37"/>
  <c r="K638" i="41"/>
  <c r="N638" i="41"/>
  <c r="N375" i="41"/>
  <c r="K375" i="41"/>
  <c r="N506" i="41"/>
  <c r="K506" i="41"/>
  <c r="N37" i="27"/>
  <c r="N37" i="28"/>
  <c r="T37" i="28"/>
  <c r="AO37" i="29"/>
  <c r="AE37" i="29"/>
  <c r="AB37" i="43"/>
  <c r="AB89" i="43"/>
  <c r="Z169" i="37"/>
  <c r="AF169" i="37"/>
  <c r="AM28" i="28"/>
  <c r="Y51" i="37"/>
  <c r="J51" i="41"/>
  <c r="M51" i="41"/>
  <c r="AF140" i="37"/>
  <c r="N440" i="41"/>
  <c r="K440" i="41"/>
  <c r="N504" i="41"/>
  <c r="K504" i="41"/>
  <c r="N51" i="30"/>
  <c r="T51" i="30"/>
  <c r="AM51" i="30"/>
  <c r="N327" i="41"/>
  <c r="K327" i="41"/>
  <c r="Z89" i="37"/>
  <c r="AF89" i="37"/>
  <c r="AJ49" i="27"/>
  <c r="AJ49" i="28"/>
  <c r="AJ49" i="29"/>
  <c r="AL49" i="29"/>
  <c r="AF515" i="37"/>
  <c r="Z515" i="37"/>
  <c r="AD161" i="38"/>
  <c r="Y161" i="38"/>
  <c r="AE234" i="37"/>
  <c r="Z411" i="37"/>
  <c r="AF411" i="37"/>
  <c r="AB62" i="43"/>
  <c r="AB10" i="43"/>
  <c r="AD23" i="38"/>
  <c r="Y23" i="38"/>
  <c r="AF556" i="37"/>
  <c r="Z556" i="37"/>
  <c r="AL38" i="30"/>
  <c r="AJ38" i="30"/>
  <c r="AK33" i="30"/>
  <c r="AK33" i="27"/>
  <c r="AK33" i="28"/>
  <c r="AK33" i="29"/>
  <c r="Z422" i="37"/>
  <c r="AF422" i="37"/>
  <c r="N171" i="41"/>
  <c r="K171" i="41"/>
  <c r="AF111" i="37"/>
  <c r="AF530" i="37"/>
  <c r="Z530" i="37"/>
  <c r="N623" i="41"/>
  <c r="K623" i="41"/>
  <c r="AE336" i="38"/>
  <c r="Z336" i="38"/>
  <c r="Z170" i="37"/>
  <c r="AF170" i="37"/>
  <c r="Y234" i="37"/>
  <c r="J234" i="41"/>
  <c r="M234" i="41"/>
  <c r="AJ7" i="28"/>
  <c r="AF7" i="43"/>
  <c r="AF59" i="43"/>
  <c r="AG33" i="30"/>
  <c r="AE33" i="30"/>
  <c r="AO33" i="30"/>
  <c r="AK17" i="27"/>
  <c r="AK17" i="28"/>
  <c r="AG17" i="43"/>
  <c r="AG69" i="43"/>
  <c r="AJ28" i="27"/>
  <c r="N28" i="27"/>
  <c r="N28" i="28"/>
  <c r="T28" i="28"/>
  <c r="AP28" i="30"/>
  <c r="AF28" i="30"/>
  <c r="AJ23" i="28"/>
  <c r="AJ23" i="29"/>
  <c r="AL23" i="29"/>
  <c r="L69" i="27"/>
  <c r="AJ26" i="27"/>
  <c r="N26" i="27"/>
  <c r="N26" i="28"/>
  <c r="N26" i="43"/>
  <c r="N78" i="43"/>
  <c r="AF314" i="37"/>
  <c r="Z314" i="37"/>
  <c r="Y67" i="37"/>
  <c r="J67" i="41"/>
  <c r="M67" i="41"/>
  <c r="AL46" i="30"/>
  <c r="AJ46" i="30"/>
  <c r="AF181" i="37"/>
  <c r="Z140" i="37"/>
  <c r="K140" i="41"/>
  <c r="N140" i="41"/>
  <c r="Z2" i="37"/>
  <c r="AF2" i="37"/>
  <c r="AB7" i="41"/>
  <c r="N217" i="41"/>
  <c r="K217" i="41"/>
  <c r="AK47" i="29"/>
  <c r="AK47" i="30"/>
  <c r="N311" i="41"/>
  <c r="K311" i="41"/>
  <c r="AE350" i="37"/>
  <c r="Y350" i="37"/>
  <c r="N570" i="41"/>
  <c r="K570" i="41"/>
  <c r="AF621" i="37"/>
  <c r="AD169" i="38"/>
  <c r="Y169" i="38"/>
  <c r="AJ37" i="27"/>
  <c r="AJ37" i="28"/>
  <c r="AJ37" i="29"/>
  <c r="AL37" i="29"/>
  <c r="AP27" i="29"/>
  <c r="AF27" i="29"/>
  <c r="AC27" i="43"/>
  <c r="AC79" i="43"/>
  <c r="AF471" i="37"/>
  <c r="Z471" i="37"/>
  <c r="AE7" i="37"/>
  <c r="N7" i="41"/>
  <c r="K7" i="41"/>
  <c r="Z181" i="37"/>
  <c r="K181" i="41"/>
  <c r="N181" i="41"/>
  <c r="N376" i="41"/>
  <c r="K376" i="41"/>
  <c r="N323" i="41"/>
  <c r="K323" i="41"/>
  <c r="N22" i="30"/>
  <c r="T22" i="30"/>
  <c r="AM22" i="30"/>
  <c r="Y104" i="37"/>
  <c r="J104" i="41"/>
  <c r="M104" i="41"/>
  <c r="N84" i="41"/>
  <c r="K84" i="41"/>
  <c r="Z603" i="37"/>
  <c r="AF603" i="37"/>
  <c r="N419" i="41"/>
  <c r="K419" i="41"/>
  <c r="AG62" i="43"/>
  <c r="AG10" i="43"/>
  <c r="AF487" i="37"/>
  <c r="Z487" i="37"/>
  <c r="AO20" i="29"/>
  <c r="AE20" i="29"/>
  <c r="AB20" i="43"/>
  <c r="AB72" i="43"/>
  <c r="N40" i="27"/>
  <c r="N40" i="28"/>
  <c r="N40" i="43"/>
  <c r="N92" i="43"/>
  <c r="N574" i="41"/>
  <c r="K574" i="41"/>
  <c r="M345" i="41"/>
  <c r="J345" i="41"/>
  <c r="N211" i="41"/>
  <c r="K211" i="41"/>
  <c r="N326" i="41"/>
  <c r="K326" i="41"/>
  <c r="AF313" i="37"/>
  <c r="Z313" i="37"/>
  <c r="N73" i="41"/>
  <c r="K73" i="41"/>
  <c r="AF397" i="37"/>
  <c r="Z397" i="37"/>
  <c r="M292" i="41"/>
  <c r="J292" i="41"/>
  <c r="AL46" i="28"/>
  <c r="AF640" i="37"/>
  <c r="AL8" i="28"/>
  <c r="AF632" i="37"/>
  <c r="AF209" i="37"/>
  <c r="AM11" i="30"/>
  <c r="N11" i="30"/>
  <c r="T11" i="30"/>
  <c r="AE156" i="38"/>
  <c r="Z156" i="38"/>
  <c r="Z141" i="37"/>
  <c r="AF141" i="37"/>
  <c r="AE383" i="37"/>
  <c r="Y383" i="37"/>
  <c r="AF310" i="37"/>
  <c r="Z310" i="37"/>
  <c r="N271" i="41"/>
  <c r="K271" i="41"/>
  <c r="AE149" i="38"/>
  <c r="Z149" i="38"/>
  <c r="Z29" i="37"/>
  <c r="AF29" i="37"/>
  <c r="AE292" i="37"/>
  <c r="Y292" i="37"/>
  <c r="AE296" i="37"/>
  <c r="Y296" i="37"/>
  <c r="AE228" i="38"/>
  <c r="Z228" i="38"/>
  <c r="AP23" i="29"/>
  <c r="AF23" i="29"/>
  <c r="AC23" i="43"/>
  <c r="AC75" i="43"/>
  <c r="Z84" i="37"/>
  <c r="AF84" i="37"/>
  <c r="Z7" i="37"/>
  <c r="AF7" i="37"/>
  <c r="Z217" i="37"/>
  <c r="AF217" i="37"/>
  <c r="M242" i="41"/>
  <c r="J242" i="41"/>
  <c r="AJ47" i="27"/>
  <c r="AK47" i="27"/>
  <c r="AK47" i="28"/>
  <c r="AG47" i="43"/>
  <c r="AG99" i="43"/>
  <c r="AF538" i="37"/>
  <c r="Z538" i="37"/>
  <c r="Y108" i="37"/>
  <c r="AE108" i="37"/>
  <c r="AF657" i="37"/>
  <c r="AL40" i="28"/>
  <c r="Z621" i="37"/>
  <c r="K621" i="41"/>
  <c r="N621" i="41"/>
  <c r="AB100" i="43"/>
  <c r="AB48" i="43"/>
  <c r="Z419" i="37"/>
  <c r="AF419" i="37"/>
  <c r="AE44" i="37"/>
  <c r="Y7" i="37"/>
  <c r="J7" i="41"/>
  <c r="M7" i="41"/>
  <c r="AC98" i="43"/>
  <c r="AC46" i="43"/>
  <c r="AP46" i="29"/>
  <c r="AF46" i="29"/>
  <c r="N38" i="27"/>
  <c r="N38" i="28"/>
  <c r="T38" i="28"/>
  <c r="AO38" i="30"/>
  <c r="AE38" i="30"/>
  <c r="AG38" i="30"/>
  <c r="T14" i="28"/>
  <c r="AP14" i="29"/>
  <c r="AF14" i="29"/>
  <c r="AC14" i="43"/>
  <c r="AC66" i="43"/>
  <c r="Z406" i="37"/>
  <c r="AF406" i="37"/>
  <c r="AE327" i="38"/>
  <c r="Z327" i="38"/>
  <c r="K657" i="41"/>
  <c r="N657" i="41"/>
  <c r="N7" i="29"/>
  <c r="T7" i="29"/>
  <c r="AM7" i="29"/>
  <c r="N13" i="43"/>
  <c r="N65" i="43"/>
  <c r="AE155" i="38"/>
  <c r="Z155" i="38"/>
  <c r="AF559" i="37"/>
  <c r="Z559" i="37"/>
  <c r="AL22" i="28"/>
  <c r="AJ46" i="28"/>
  <c r="AJ46" i="29"/>
  <c r="AL46" i="29"/>
  <c r="Z640" i="37"/>
  <c r="K640" i="41"/>
  <c r="N640" i="41"/>
  <c r="N51" i="43"/>
  <c r="N103" i="43"/>
  <c r="AF361" i="37"/>
  <c r="Z361" i="37"/>
  <c r="AJ8" i="27"/>
  <c r="AJ8" i="28"/>
  <c r="AJ8" i="29"/>
  <c r="AL8" i="29"/>
  <c r="N252" i="41"/>
  <c r="K252" i="41"/>
  <c r="Z632" i="37"/>
  <c r="K632" i="41"/>
  <c r="N632" i="41"/>
  <c r="N71" i="41"/>
  <c r="K71" i="41"/>
  <c r="Z209" i="37"/>
  <c r="K209" i="41"/>
  <c r="N209" i="41"/>
  <c r="N520" i="41"/>
  <c r="K520" i="41"/>
  <c r="Y148" i="37"/>
  <c r="AE148" i="37"/>
  <c r="Z25" i="37"/>
  <c r="AF25" i="37"/>
  <c r="N332" i="41"/>
  <c r="K332" i="41"/>
  <c r="AF522" i="37"/>
  <c r="Z522" i="37"/>
  <c r="AF568" i="37"/>
  <c r="Z568" i="37"/>
  <c r="AE199" i="38"/>
  <c r="Z199" i="38"/>
  <c r="Z23" i="37"/>
  <c r="AF23" i="37"/>
  <c r="AF540" i="37"/>
  <c r="Z540" i="37"/>
  <c r="AE58" i="38"/>
  <c r="Z58" i="38"/>
  <c r="N50" i="29"/>
  <c r="T50" i="29"/>
  <c r="AM50" i="29"/>
  <c r="N328" i="41"/>
  <c r="K328" i="41"/>
  <c r="AE51" i="38"/>
  <c r="Z51" i="38"/>
  <c r="N365" i="41"/>
  <c r="K365" i="41"/>
  <c r="I5" i="55"/>
  <c r="I6" i="55"/>
  <c r="F6" i="55"/>
  <c r="F5" i="55"/>
  <c r="AJ42" i="27"/>
  <c r="N42" i="27"/>
  <c r="N42" i="28"/>
  <c r="N42" i="43"/>
  <c r="N94" i="43"/>
  <c r="AJ38" i="27"/>
  <c r="AJ38" i="28"/>
  <c r="AL38" i="28"/>
  <c r="Z418" i="37"/>
  <c r="AF418" i="37"/>
  <c r="K658" i="41"/>
  <c r="N658" i="41"/>
  <c r="AJ40" i="27"/>
  <c r="AJ40" i="28"/>
  <c r="AJ40" i="29"/>
  <c r="AL40" i="29"/>
  <c r="AE5" i="38"/>
  <c r="Z5" i="38"/>
  <c r="AE144" i="38"/>
  <c r="Z144" i="38"/>
  <c r="Y44" i="37"/>
  <c r="J44" i="41"/>
  <c r="M44" i="41"/>
  <c r="N322" i="41"/>
  <c r="K322" i="41"/>
  <c r="N280" i="41"/>
  <c r="K280" i="41"/>
  <c r="AE195" i="37"/>
  <c r="AC69" i="43"/>
  <c r="T17" i="28"/>
  <c r="AP17" i="29"/>
  <c r="AF17" i="29"/>
  <c r="AC17" i="43"/>
  <c r="AE382" i="37"/>
  <c r="Y382" i="37"/>
  <c r="AF133" i="37"/>
  <c r="AF545" i="37"/>
  <c r="Z545" i="37"/>
  <c r="T25" i="28"/>
  <c r="AP25" i="30"/>
  <c r="AF25" i="30"/>
  <c r="AE350" i="38"/>
  <c r="Z350" i="38"/>
  <c r="AF410" i="37"/>
  <c r="N113" i="41"/>
  <c r="K113" i="41"/>
  <c r="N532" i="41"/>
  <c r="K532" i="41"/>
  <c r="N282" i="41"/>
  <c r="K282" i="41"/>
  <c r="AE295" i="38"/>
  <c r="Z295" i="38"/>
  <c r="AF683" i="37"/>
  <c r="AE103" i="38"/>
  <c r="Z103" i="38"/>
  <c r="AJ22" i="28"/>
  <c r="AJ22" i="29"/>
  <c r="AL22" i="29"/>
  <c r="AF477" i="37"/>
  <c r="AE162" i="37"/>
  <c r="Z71" i="37"/>
  <c r="AF71" i="37"/>
  <c r="AF86" i="37"/>
  <c r="N548" i="41"/>
  <c r="K548" i="41"/>
  <c r="Y63" i="37"/>
  <c r="AE63" i="37"/>
  <c r="AK23" i="29"/>
  <c r="AK23" i="27"/>
  <c r="AK23" i="28"/>
  <c r="AK23" i="30"/>
  <c r="Z171" i="37"/>
  <c r="AF171" i="37"/>
  <c r="Y195" i="37"/>
  <c r="J195" i="41"/>
  <c r="M195" i="41"/>
  <c r="Z133" i="37"/>
  <c r="K133" i="41"/>
  <c r="N133" i="41"/>
  <c r="AJ13" i="28"/>
  <c r="AL13" i="28"/>
  <c r="Z113" i="37"/>
  <c r="AF113" i="37"/>
  <c r="N496" i="41"/>
  <c r="K496" i="41"/>
  <c r="M384" i="41"/>
  <c r="J384" i="41"/>
  <c r="R11" i="55"/>
  <c r="AM21" i="28"/>
  <c r="U11" i="55"/>
  <c r="AF230" i="37"/>
  <c r="Z410" i="37"/>
  <c r="K410" i="41"/>
  <c r="N410" i="41"/>
  <c r="Y71" i="38"/>
  <c r="AD71" i="38"/>
  <c r="AJ6" i="38"/>
  <c r="AJ44" i="27"/>
  <c r="N44" i="27"/>
  <c r="N44" i="28"/>
  <c r="N44" i="29"/>
  <c r="T44" i="29"/>
  <c r="AM44" i="29"/>
  <c r="N598" i="41"/>
  <c r="K598" i="41"/>
  <c r="Z82" i="37"/>
  <c r="AF82" i="37"/>
  <c r="AJ25" i="27"/>
  <c r="N25" i="27"/>
  <c r="N25" i="28"/>
  <c r="N25" i="29"/>
  <c r="T25" i="29"/>
  <c r="AM25" i="29"/>
  <c r="AJ51" i="27"/>
  <c r="N51" i="27"/>
  <c r="N51" i="28"/>
  <c r="T51" i="28"/>
  <c r="AM51" i="28"/>
  <c r="Z683" i="37"/>
  <c r="K683" i="41"/>
  <c r="N683" i="41"/>
  <c r="Z623" i="37"/>
  <c r="AF623" i="37"/>
  <c r="N6" i="28"/>
  <c r="T6" i="28"/>
  <c r="AM6" i="28"/>
  <c r="Y3" i="37"/>
  <c r="AE3" i="37"/>
  <c r="AJ22" i="27"/>
  <c r="N22" i="27"/>
  <c r="N22" i="28"/>
  <c r="T22" i="28"/>
  <c r="AM22" i="28"/>
  <c r="Z463" i="37"/>
  <c r="AF463" i="37"/>
  <c r="AE285" i="38"/>
  <c r="Z285" i="38"/>
  <c r="AF354" i="37"/>
  <c r="Z354" i="37"/>
  <c r="Z477" i="37"/>
  <c r="K483" i="41"/>
  <c r="N483" i="41"/>
  <c r="Y162" i="37"/>
  <c r="J162" i="41"/>
  <c r="M162" i="41"/>
  <c r="N540" i="41"/>
  <c r="K540" i="41"/>
  <c r="K340" i="41"/>
  <c r="N340" i="41"/>
  <c r="Z230" i="37"/>
  <c r="K330" i="41"/>
  <c r="N330" i="41"/>
  <c r="Z86" i="37"/>
  <c r="K86" i="41"/>
  <c r="N86" i="41"/>
  <c r="AB10" i="41"/>
  <c r="AF637" i="37"/>
  <c r="AF630" i="37"/>
  <c r="AE203" i="37"/>
  <c r="AF647" i="37"/>
  <c r="Z432" i="37"/>
  <c r="AF432" i="37"/>
  <c r="AK53" i="29"/>
  <c r="Z165" i="37"/>
  <c r="AF165" i="37"/>
  <c r="AF509" i="37"/>
  <c r="Z509" i="37"/>
  <c r="T46" i="28"/>
  <c r="AO46" i="29"/>
  <c r="AE46" i="29"/>
  <c r="AG46" i="29"/>
  <c r="AO20" i="30"/>
  <c r="AE20" i="30"/>
  <c r="AG20" i="30"/>
  <c r="Z112" i="37"/>
  <c r="AF112" i="37"/>
  <c r="Y201" i="37"/>
  <c r="AE201" i="37"/>
  <c r="H15" i="55"/>
  <c r="N9" i="28"/>
  <c r="T9" i="28"/>
  <c r="AM9" i="28"/>
  <c r="E15" i="55"/>
  <c r="R9" i="55"/>
  <c r="U9" i="55"/>
  <c r="Z657" i="37"/>
  <c r="K667" i="41"/>
  <c r="N667" i="41"/>
  <c r="AO10" i="29"/>
  <c r="AE10" i="29"/>
  <c r="AG10" i="29"/>
  <c r="N45" i="27"/>
  <c r="N45" i="28"/>
  <c r="T45" i="28"/>
  <c r="AO45" i="29"/>
  <c r="AE45" i="29"/>
  <c r="AG45" i="29"/>
  <c r="T21" i="28"/>
  <c r="AP21" i="29"/>
  <c r="AF21" i="29"/>
  <c r="AC21" i="43"/>
  <c r="AC73" i="43"/>
  <c r="AJ27" i="27"/>
  <c r="N27" i="27"/>
  <c r="N27" i="28"/>
  <c r="T27" i="28"/>
  <c r="AM27" i="28"/>
  <c r="Z73" i="37"/>
  <c r="AF73" i="37"/>
  <c r="AK10" i="30"/>
  <c r="AK7" i="27"/>
  <c r="AK55" i="27"/>
  <c r="AK60" i="27"/>
  <c r="AK10" i="28"/>
  <c r="AK10" i="29"/>
  <c r="AE144" i="37"/>
  <c r="Z252" i="37"/>
  <c r="AF252" i="37"/>
  <c r="AG32" i="29"/>
  <c r="AE236" i="38"/>
  <c r="Z236" i="38"/>
  <c r="AL45" i="28"/>
  <c r="N628" i="41"/>
  <c r="K628" i="41"/>
  <c r="AM13" i="29"/>
  <c r="AJ13" i="27"/>
  <c r="N13" i="27"/>
  <c r="N13" i="28"/>
  <c r="N13" i="29"/>
  <c r="T13" i="29"/>
  <c r="AE139" i="38"/>
  <c r="Z139" i="38"/>
  <c r="Z111" i="37"/>
  <c r="K111" i="41"/>
  <c r="N111" i="41"/>
  <c r="AE100" i="38"/>
  <c r="Z100" i="38"/>
  <c r="AE11" i="38"/>
  <c r="Z11" i="38"/>
  <c r="N318" i="41"/>
  <c r="K318" i="41"/>
  <c r="M386" i="41"/>
  <c r="J386" i="41"/>
  <c r="AJ21" i="27"/>
  <c r="N21" i="27"/>
  <c r="N21" i="28"/>
  <c r="N21" i="29"/>
  <c r="T21" i="29"/>
  <c r="AM21" i="29"/>
  <c r="H12" i="55"/>
  <c r="E9" i="55"/>
  <c r="H9" i="55"/>
  <c r="E12" i="55"/>
  <c r="AF614" i="37"/>
  <c r="AE242" i="37"/>
  <c r="AF482" i="37"/>
  <c r="AJ24" i="27"/>
  <c r="N24" i="27"/>
  <c r="N24" i="28"/>
  <c r="T24" i="28"/>
  <c r="AM24" i="28"/>
  <c r="Z482" i="37"/>
  <c r="R31" i="55"/>
  <c r="U31" i="55"/>
  <c r="Z211" i="37"/>
  <c r="AF211" i="37"/>
  <c r="N590" i="41"/>
  <c r="AJ20" i="27"/>
  <c r="N20" i="27"/>
  <c r="N20" i="28"/>
  <c r="T20" i="28"/>
  <c r="AM20" i="28"/>
  <c r="Z401" i="37"/>
  <c r="K590" i="41"/>
  <c r="Z490" i="37"/>
  <c r="AF490" i="37"/>
  <c r="AK4" i="37"/>
  <c r="AL4" i="37"/>
  <c r="AE316" i="38"/>
  <c r="Z316" i="38"/>
  <c r="Z637" i="37"/>
  <c r="K637" i="41"/>
  <c r="N637" i="41"/>
  <c r="Z630" i="37"/>
  <c r="K630" i="41"/>
  <c r="N630" i="41"/>
  <c r="J297" i="41"/>
  <c r="M297" i="41"/>
  <c r="Y203" i="37"/>
  <c r="J203" i="41"/>
  <c r="M203" i="41"/>
  <c r="Z465" i="37"/>
  <c r="AF465" i="37"/>
  <c r="Z647" i="37"/>
  <c r="K647" i="41"/>
  <c r="N647" i="41"/>
  <c r="N7" i="28"/>
  <c r="T7" i="28"/>
  <c r="AM7" i="28"/>
  <c r="Z8" i="37"/>
  <c r="AF8" i="37"/>
  <c r="N46" i="30"/>
  <c r="T46" i="30"/>
  <c r="AM46" i="30"/>
  <c r="Y144" i="37"/>
  <c r="J144" i="41"/>
  <c r="M144" i="41"/>
  <c r="AJ32" i="27"/>
  <c r="N32" i="27"/>
  <c r="N32" i="28"/>
  <c r="T32" i="28"/>
  <c r="AO32" i="29"/>
  <c r="AE32" i="29"/>
  <c r="AB32" i="43"/>
  <c r="AB84" i="43"/>
  <c r="N321" i="41"/>
  <c r="K321" i="41"/>
  <c r="AJ45" i="27"/>
  <c r="AJ45" i="28"/>
  <c r="AJ45" i="30"/>
  <c r="AL45" i="30"/>
  <c r="AJ46" i="27"/>
  <c r="N46" i="27"/>
  <c r="N46" i="28"/>
  <c r="N46" i="29"/>
  <c r="T46" i="29"/>
  <c r="AM46" i="29"/>
  <c r="Z628" i="37"/>
  <c r="AF628" i="37"/>
  <c r="AO48" i="29"/>
  <c r="AE48" i="29"/>
  <c r="AG48" i="29"/>
  <c r="AP10" i="30"/>
  <c r="AF10" i="30"/>
  <c r="Y86" i="38"/>
  <c r="AD86" i="38"/>
  <c r="AE7" i="38"/>
  <c r="Z7" i="38"/>
  <c r="AJ50" i="27"/>
  <c r="N50" i="27"/>
  <c r="N50" i="28"/>
  <c r="T50" i="28"/>
  <c r="AM50" i="28"/>
  <c r="Z679" i="37"/>
  <c r="AF679" i="37"/>
  <c r="Z208" i="37"/>
  <c r="AF208" i="37"/>
  <c r="I11" i="55"/>
  <c r="F11" i="55"/>
  <c r="AP48" i="29"/>
  <c r="AF48" i="29"/>
  <c r="AC48" i="43"/>
  <c r="AC100" i="43"/>
  <c r="AJ23" i="27"/>
  <c r="N23" i="27"/>
  <c r="N23" i="28"/>
  <c r="T23" i="28"/>
  <c r="AM23" i="28"/>
  <c r="Z474" i="37"/>
  <c r="AF474" i="37"/>
  <c r="Y387" i="37"/>
  <c r="AE387" i="37"/>
  <c r="Z614" i="37"/>
  <c r="K614" i="41"/>
  <c r="N614" i="41"/>
  <c r="Y242" i="37"/>
  <c r="J346" i="41"/>
  <c r="M346" i="41"/>
  <c r="AJ14" i="27"/>
  <c r="N14" i="27"/>
  <c r="N14" i="28"/>
  <c r="N14" i="29"/>
  <c r="T14" i="29"/>
  <c r="AM14" i="29"/>
  <c r="AJ48" i="27"/>
  <c r="N48" i="27"/>
  <c r="N48" i="28"/>
  <c r="T48" i="28"/>
  <c r="AM48" i="28"/>
  <c r="Z665" i="37"/>
  <c r="AF665" i="37"/>
  <c r="Z184" i="37"/>
  <c r="AF184" i="37"/>
  <c r="Z254" i="37"/>
  <c r="AF254" i="37"/>
  <c r="Y199" i="37"/>
  <c r="AE199" i="37"/>
  <c r="R16" i="55"/>
  <c r="U26" i="55"/>
  <c r="R21" i="55"/>
  <c r="R26" i="55"/>
  <c r="U16" i="55"/>
  <c r="AJ33" i="27"/>
  <c r="N33" i="27"/>
  <c r="N33" i="28"/>
  <c r="T33" i="28"/>
  <c r="AM33" i="28"/>
  <c r="U21" i="55"/>
  <c r="F10" i="55"/>
  <c r="AJ11" i="27"/>
  <c r="N11" i="27"/>
  <c r="N11" i="28"/>
  <c r="T11" i="28"/>
  <c r="AM11" i="28"/>
  <c r="I10" i="55"/>
  <c r="AJ7" i="27"/>
  <c r="N7" i="27"/>
  <c r="N55" i="27"/>
  <c r="N60" i="27"/>
  <c r="N10" i="28"/>
  <c r="T10" i="28"/>
  <c r="AM10" i="28"/>
  <c r="Y59" i="37"/>
  <c r="AE59" i="37"/>
  <c r="N64" i="27"/>
  <c r="AJ17" i="27"/>
  <c r="N17" i="27"/>
  <c r="N17" i="28"/>
  <c r="L66" i="27"/>
  <c r="L64" i="27"/>
  <c r="L70" i="27"/>
  <c r="N63" i="27"/>
  <c r="AJ12" i="27"/>
  <c r="N12" i="27"/>
  <c r="N12" i="28"/>
  <c r="T12" i="28"/>
  <c r="AM12" i="28"/>
  <c r="Z221" i="37"/>
  <c r="AF221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D870886A-9AD2-4308-BA6D-3B68D648705B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B89202-4250-493F-9104-2ECE2521B178}" name="Conexão" type="7" refreshedVersion="7" background="1" saveData="1"/>
  <connection id="2" xr16:uid="{6E643B79-F0C3-42F9-85C2-374840DCC17D}" name="Conexão1" type="7" refreshedVersion="7" background="1" saveData="1"/>
  <connection id="3" xr16:uid="{FC0BB447-3085-4AC8-8374-20A61669ADB0}" name="Conexão2" type="7" refreshedVersion="7" background="1" saveData="1"/>
</connections>
</file>

<file path=xl/sharedStrings.xml><?xml version="1.0" encoding="utf-8"?>
<sst xmlns="http://schemas.openxmlformats.org/spreadsheetml/2006/main" count="30432" uniqueCount="1073">
  <si>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</si>
  <si>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</si>
  <si>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</si>
  <si>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</si>
  <si>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</si>
  <si>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</si>
  <si>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</si>
  <si>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</si>
  <si>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</si>
  <si>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</si>
  <si>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</si>
  <si>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</si>
  <si>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</si>
  <si>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</si>
  <si>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</si>
  <si>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</si>
  <si>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</si>
  <si>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</si>
  <si>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</si>
  <si>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</si>
  <si>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</si>
  <si>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</si>
  <si>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</si>
  <si>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</si>
  <si>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</si>
  <si>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</si>
  <si>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</si>
  <si>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</si>
  <si>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</si>
  <si>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</si>
  <si>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</si>
  <si>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</si>
  <si>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</si>
  <si>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A4</t>
  </si>
  <si>
    <t>Verde</t>
  </si>
  <si>
    <t>Ponta</t>
  </si>
  <si>
    <t>Fora ponta</t>
  </si>
  <si>
    <t>B3</t>
  </si>
  <si>
    <t>Industrial</t>
  </si>
  <si>
    <t>Comercial</t>
  </si>
  <si>
    <t>B2</t>
  </si>
  <si>
    <t>Rural</t>
  </si>
  <si>
    <t>Poder público</t>
  </si>
  <si>
    <t>Azul</t>
  </si>
  <si>
    <t>B4</t>
  </si>
  <si>
    <t>Iluminação pública</t>
  </si>
  <si>
    <t>Iluminação pública – B4a</t>
  </si>
  <si>
    <t>Iluminação pública – B4b</t>
  </si>
  <si>
    <t>Serviço público</t>
  </si>
  <si>
    <t>Água, esgoto e saneamento</t>
  </si>
  <si>
    <t>Agropecuária rural</t>
  </si>
  <si>
    <t>IRRIG./AQUIC.</t>
  </si>
  <si>
    <t>IRRIG./AQUIC. PR</t>
  </si>
  <si>
    <t>Aquicultura</t>
  </si>
  <si>
    <t>PROJETADO</t>
  </si>
  <si>
    <t>Fonte incentivada</t>
  </si>
  <si>
    <t>LIVRE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</si>
  <si>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</si>
  <si>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</si>
  <si>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</si>
  <si>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</si>
  <si>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</si>
  <si>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</si>
  <si>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</si>
  <si>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</si>
  <si>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</si>
  <si>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</si>
  <si>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</si>
  <si>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</si>
  <si>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</si>
  <si>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</si>
  <si>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</si>
  <si>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</si>
  <si>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</si>
  <si>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</si>
  <si>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</si>
  <si>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</si>
  <si>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</si>
  <si>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</si>
  <si>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</si>
  <si>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APE</t>
  </si>
  <si>
    <t>Geração</t>
  </si>
  <si>
    <t>B</t>
  </si>
  <si>
    <t>TIPO 01</t>
  </si>
  <si>
    <t>TIPO 02</t>
  </si>
  <si>
    <t>EINT</t>
  </si>
  <si>
    <t>Energia convencional</t>
  </si>
  <si>
    <t>Branca</t>
  </si>
  <si>
    <t>Energia convencional pré-pagamento</t>
  </si>
  <si>
    <t>Convencional pré-pagamento</t>
  </si>
  <si>
    <t>Cooperativa de eletrificação rural</t>
  </si>
  <si>
    <t>Serviço público de irrigação rural</t>
  </si>
  <si>
    <t>CHAVE TUSD</t>
  </si>
  <si>
    <t>44287A4AzulNão se aplicaNão se aplicaNão se aplicaNão se aplicaFora ponta</t>
  </si>
  <si>
    <t>44317A4AzulNão se aplicaNão se aplicaNão se aplicaNão se aplicaFora ponta</t>
  </si>
  <si>
    <t>44348A4AzulNão se aplicaNão se aplicaNão se aplicaNão se aplicaFora ponta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</si>
  <si>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</si>
  <si>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</si>
  <si>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</si>
  <si>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</si>
  <si>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</si>
  <si>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</si>
  <si>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</si>
  <si>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</si>
  <si>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</si>
  <si>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44287A4AzulNão se aplicaNão se aplicaNão se aplicaNão se aplicaPonta</t>
  </si>
  <si>
    <t>44317A4AzulNão se aplicaNão se aplicaNão se aplicaNão se aplicaPonta</t>
  </si>
  <si>
    <t>44348A4AzulNão se aplicaNão se aplicaNão se aplicaNão se aplicaPonta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</si>
  <si>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</si>
  <si>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</si>
  <si>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</si>
  <si>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</si>
  <si>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</si>
  <si>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</si>
  <si>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</si>
  <si>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</si>
  <si>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</si>
  <si>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44287A4VerdeNão se aplicaNão se aplicaNão se aplicaNão se aplicaFora ponta</t>
  </si>
  <si>
    <t>44317A4VerdeNão se aplicaNão se aplicaNão se aplicaNão se aplicaFora ponta</t>
  </si>
  <si>
    <t>44348A4VerdeNão se aplicaNão se aplicaNão se aplicaNão se aplicaFora ponta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</si>
  <si>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</si>
  <si>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</si>
  <si>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</si>
  <si>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</si>
  <si>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</si>
  <si>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</si>
  <si>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</si>
  <si>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</si>
  <si>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</si>
  <si>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44287A4VerdeNão se aplicaNão se aplicaNão se aplicaNão se aplicaNão se aplica</t>
  </si>
  <si>
    <t>44317A4VerdeNão se aplicaNão se aplicaNão se aplicaNão se aplicaNão se aplica</t>
  </si>
  <si>
    <t>44348A4VerdeNão se aplicaNão se aplicaNão se aplicaNão se aplicaNão se aplica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</si>
  <si>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</si>
  <si>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</si>
  <si>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</si>
  <si>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</si>
  <si>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</si>
  <si>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</si>
  <si>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</si>
  <si>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</si>
  <si>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</si>
  <si>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44287A4VerdeNão se aplicaNão se aplicaNão se aplicaNão se aplicaPonta</t>
  </si>
  <si>
    <t>44317A4VerdeNão se aplicaNão se aplicaNão se aplicaNão se aplicaPonta</t>
  </si>
  <si>
    <t>44348A4VerdeNão se aplicaNão se aplicaNão se aplicaNão se aplicaPonta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</si>
  <si>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</si>
  <si>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</si>
  <si>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</si>
  <si>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</si>
  <si>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</si>
  <si>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</si>
  <si>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</si>
  <si>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</si>
  <si>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</si>
  <si>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44287B1ConvencionalResidencialResidencialNão se aplicaNão se aplicaNão se aplica</t>
  </si>
  <si>
    <t>44317B1ConvencionalResidencialResidencialNão se aplicaNão se aplicaNão se aplica</t>
  </si>
  <si>
    <t>44348B1ConvencionalResidencialResidencialNão se aplicaNão se aplicaNão se aplica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</si>
  <si>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</si>
  <si>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</si>
  <si>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</si>
  <si>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</si>
  <si>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</si>
  <si>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</si>
  <si>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</si>
  <si>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</si>
  <si>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</si>
  <si>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44287B1ConvencionalResidencialResidencial baixa renda – faixa 01Não se aplicaNão se aplicaNão se aplica</t>
  </si>
  <si>
    <t>44317B1ConvencionalResidencialResidencial baixa renda – faixa 01Não se aplicaNão se aplicaNão se aplica</t>
  </si>
  <si>
    <t>44348B1ConvencionalResidencialResidencial baixa renda – faixa 01Não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</si>
  <si>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</si>
  <si>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</si>
  <si>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</si>
  <si>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</si>
  <si>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</si>
  <si>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</si>
  <si>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</si>
  <si>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</si>
  <si>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</si>
  <si>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44287B1ConvencionalResidencialResidencial baixa renda – faixa 02Não se aplicaNão se aplicaNão se aplica</t>
  </si>
  <si>
    <t>44317B1ConvencionalResidencialResidencial baixa renda – faixa 02Não se aplicaNão se aplicaNão se aplica</t>
  </si>
  <si>
    <t>44348B1ConvencionalResidencialResidencial baixa renda – faixa 02Não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</si>
  <si>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</si>
  <si>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</si>
  <si>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</si>
  <si>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</si>
  <si>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</si>
  <si>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</si>
  <si>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</si>
  <si>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</si>
  <si>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</si>
  <si>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44287B1ConvencionalResidencialResidencial baixa renda – faixa 03Não se aplicaNão se aplicaNão se aplica</t>
  </si>
  <si>
    <t>44317B1ConvencionalResidencialResidencial baixa renda – faixa 03Não se aplicaNão se aplicaNão se aplica</t>
  </si>
  <si>
    <t>44348B1ConvencionalResidencialResidencial baixa renda – faixa 03Não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</si>
  <si>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</si>
  <si>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</si>
  <si>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</si>
  <si>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</si>
  <si>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</si>
  <si>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</si>
  <si>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</si>
  <si>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</si>
  <si>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</si>
  <si>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44287B1ConvencionalResidencialResidencial baixa renda – faixa 04Não se aplicaNão se aplicaNão se aplica</t>
  </si>
  <si>
    <t>44317B1ConvencionalResidencialResidencial baixa renda – faixa 04Não se aplicaNão se aplicaNão se aplica</t>
  </si>
  <si>
    <t>44348B1ConvencionalResidencialResidencial baixa renda – faixa 04Não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</si>
  <si>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</si>
  <si>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</si>
  <si>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</si>
  <si>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</si>
  <si>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</si>
  <si>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</si>
  <si>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</si>
  <si>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</si>
  <si>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</si>
  <si>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44287B2ConvencionalRuralNão se aplicaNão se aplicaNão se aplicaNão se aplica</t>
  </si>
  <si>
    <t>44317B2ConvencionalRuralNão se aplicaNão se aplicaNão se aplicaNão se aplica</t>
  </si>
  <si>
    <t>44348B2ConvencionalRuralNão se aplicaNão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</si>
  <si>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</si>
  <si>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</si>
  <si>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</si>
  <si>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</si>
  <si>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</si>
  <si>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</si>
  <si>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</si>
  <si>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</si>
  <si>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</si>
  <si>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44287B3ConvencionalNão se aplicaNão se aplicaNão se aplicaNão se aplicaNão se aplica</t>
  </si>
  <si>
    <t>44317B3ConvencionalNão se aplicaNão se aplicaNão se aplicaNão se aplicaNão se aplica</t>
  </si>
  <si>
    <t>44348B3ConvencionalNão se aplicaNão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</si>
  <si>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</si>
  <si>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</si>
  <si>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</si>
  <si>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</si>
  <si>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</si>
  <si>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</si>
  <si>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</si>
  <si>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</si>
  <si>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</si>
  <si>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44287B4ConvencionalIluminação públicaIluminação pública – B4aNão se aplicaNão se aplicaNão se aplica</t>
  </si>
  <si>
    <t>44317B4ConvencionalIluminação públicaIluminação pública – B4aNão se aplicaNão se aplicaNão se aplica</t>
  </si>
  <si>
    <t>44348B4ConvencionalIluminação públicaIluminação pública – B4aNão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</si>
  <si>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</si>
  <si>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</si>
  <si>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</si>
  <si>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</si>
  <si>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</si>
  <si>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</si>
  <si>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</si>
  <si>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</si>
  <si>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</si>
  <si>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44287B4ConvencionalIluminação públicaIluminação pública – B4bNão se aplicaNão se aplicaNão se aplica</t>
  </si>
  <si>
    <t>44317B4ConvencionalIluminação públicaIluminação pública – B4bNão se aplicaNão se aplicaNão se aplica</t>
  </si>
  <si>
    <t>44348B4ConvencionalIluminação públicaIluminação pública – B4bNão se aplicaNão se aplicaNão se aplica</t>
  </si>
  <si>
    <t>44378B4ConvencionalIluminação públicaIluminação pública – B4bNão se aplicaNão se aplicaNão se aplica</t>
  </si>
  <si>
    <t>44409B4ConvencionalIluminação públicaIluminação pública – B4bNão se aplicaNão se aplicaNão se aplica</t>
  </si>
  <si>
    <t>44440B4ConvencionalIluminação públicaIluminação pública – B4bNão se aplicaNão se aplicaNão se aplica</t>
  </si>
  <si>
    <t>44470B4ConvencionalIluminação públicaIluminação pública – B4bNão se aplicaNão se aplicaNão se aplica</t>
  </si>
  <si>
    <t>44501B4ConvencionalIluminação públicaIluminação pública – B4bNão se aplicaNão se aplicaNão se aplica</t>
  </si>
  <si>
    <t>44531B4ConvencionalIluminação públicaIluminação pública – B4bNão se aplicaNão se aplicaNão se aplica</t>
  </si>
  <si>
    <t>44562B4ConvencionalIluminação públicaIluminação pública – B4bNão se aplicaNão se aplicaNão se aplica</t>
  </si>
  <si>
    <t>44593B4ConvencionalIluminação públicaIluminação pública – B4bNão se aplicaNão se aplicaNão se aplica</t>
  </si>
  <si>
    <t>44621B4ConvencionalIluminação públicaIluminação pública – B4bNão se aplicaNão se aplicaNão se aplica</t>
  </si>
  <si>
    <t>CHAVE TE</t>
  </si>
  <si>
    <t>44287A4Energia horáriaNão se aplicaNão se aplicaNão se aplicaNão se aplicaFora ponta</t>
  </si>
  <si>
    <t>44317A4Energia horáriaNão se aplicaNão se aplicaNão se aplicaNão se aplicaFora ponta</t>
  </si>
  <si>
    <t>44348A4Energia horáriaNão se aplicaNão se aplicaNão se aplicaNão se aplicaFora ponta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</si>
  <si>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</si>
  <si>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</si>
  <si>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</si>
  <si>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</si>
  <si>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</si>
  <si>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</si>
  <si>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</si>
  <si>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</si>
  <si>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</si>
  <si>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44287A4Energia horáriaNão se aplicaNão se aplicaNão se aplicaNão se aplicaPonta</t>
  </si>
  <si>
    <t>44317A4Energia horáriaNão se aplicaNão se aplicaNão se aplicaNão se aplicaPonta</t>
  </si>
  <si>
    <t>44348A4Energia horáriaNão se aplicaNão se aplicaNão se aplicaNão se aplicaPonta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</si>
  <si>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</si>
  <si>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</si>
  <si>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</si>
  <si>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</si>
  <si>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</si>
  <si>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</si>
  <si>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</si>
  <si>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</si>
  <si>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</si>
  <si>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</si>
  <si>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</si>
  <si>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</si>
  <si>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</si>
  <si>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44287B1Energia convencionalResidencialResidencialNão se aplicaNão se aplicaNão se aplica</t>
  </si>
  <si>
    <t>44317B1Energia convencionalResidencialResidencialNão se aplicaNão se aplicaNão se aplica</t>
  </si>
  <si>
    <t>44348B1Energia convencionalResidencialResidencialNão se aplicaNão se aplicaNão se aplica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</si>
  <si>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</si>
  <si>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</si>
  <si>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</si>
  <si>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</si>
  <si>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</si>
  <si>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</si>
  <si>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</si>
  <si>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</si>
  <si>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</si>
  <si>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44287B1Energia convencionalResidencialResidencial baixa renda – faixa 01Não se aplicaNão se aplicaNão se aplica</t>
  </si>
  <si>
    <t>44317B1Energia convencionalResidencialResidencial baixa renda – faixa 01Não se aplicaNão se aplicaNão se aplica</t>
  </si>
  <si>
    <t>44348B1Energia convencionalResidencialResidencial baixa renda – faixa 01Não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</si>
  <si>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</si>
  <si>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</si>
  <si>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</si>
  <si>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</si>
  <si>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</si>
  <si>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</si>
  <si>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</si>
  <si>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</si>
  <si>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</si>
  <si>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44287B1Energia convencionalResidencialResidencial baixa renda – faixa 02Não se aplicaNão se aplicaNão se aplica</t>
  </si>
  <si>
    <t>44317B1Energia convencionalResidencialResidencial baixa renda – faixa 02Não se aplicaNão se aplicaNão se aplica</t>
  </si>
  <si>
    <t>44348B1Energia convencionalResidencialResidencial baixa renda – faixa 02Não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</si>
  <si>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</si>
  <si>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</si>
  <si>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</si>
  <si>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</si>
  <si>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</si>
  <si>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</si>
  <si>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</si>
  <si>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</si>
  <si>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</si>
  <si>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44287B1Energia convencionalResidencialResidencial baixa renda – faixa 03Não se aplicaNão se aplicaNão se aplica</t>
  </si>
  <si>
    <t>44317B1Energia convencionalResidencialResidencial baixa renda – faixa 03Não se aplicaNão se aplicaNão se aplica</t>
  </si>
  <si>
    <t>44348B1Energia convencionalResidencialResidencial baixa renda – faixa 03Não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</si>
  <si>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</si>
  <si>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</si>
  <si>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</si>
  <si>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</si>
  <si>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</si>
  <si>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</si>
  <si>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</si>
  <si>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</si>
  <si>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</si>
  <si>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44287B1Energia convencionalResidencialResidencial baixa renda – faixa 04Não se aplicaNão se aplicaNão se aplica</t>
  </si>
  <si>
    <t>44317B1Energia convencionalResidencialResidencial baixa renda – faixa 04Não se aplicaNão se aplicaNão se aplica</t>
  </si>
  <si>
    <t>44348B1Energia convencionalResidencialResidencial baixa renda – faixa 04Não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</si>
  <si>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</si>
  <si>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</si>
  <si>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</si>
  <si>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</si>
  <si>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</si>
  <si>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</si>
  <si>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</si>
  <si>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</si>
  <si>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</si>
  <si>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44287B2Energia convencionalRuralNão se aplicaNão se aplicaNão se aplicaNão se aplica</t>
  </si>
  <si>
    <t>44317B2Energia convencionalRuralNão se aplicaNão se aplicaNão se aplicaNão se aplica</t>
  </si>
  <si>
    <t>44348B2Energia convencionalRuralNão se aplicaNão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</si>
  <si>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</si>
  <si>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</si>
  <si>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</si>
  <si>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</si>
  <si>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</si>
  <si>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</si>
  <si>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</si>
  <si>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</si>
  <si>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</si>
  <si>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44287B3Energia convencionalNão se aplicaNão se aplicaNão se aplicaNão se aplicaNão se aplica</t>
  </si>
  <si>
    <t>44317B3Energia convencionalNão se aplicaNão se aplicaNão se aplicaNão se aplicaNão se aplica</t>
  </si>
  <si>
    <t>44348B3Energia convencionalNão se aplicaNão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</si>
  <si>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</si>
  <si>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</si>
  <si>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</si>
  <si>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</si>
  <si>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</si>
  <si>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</si>
  <si>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</si>
  <si>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</si>
  <si>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</si>
  <si>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44287B4Energia convencionalIluminação públicaIluminação pública – B4aNão se aplicaNão se aplicaNão se aplica</t>
  </si>
  <si>
    <t>44317B4Energia convencionalIluminação públicaIluminação pública – B4aNão se aplicaNão se aplicaNão se aplica</t>
  </si>
  <si>
    <t>44348B4Energia convencionalIluminação públicaIluminação pública – B4aNão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</si>
  <si>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</si>
  <si>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</si>
  <si>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</si>
  <si>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</si>
  <si>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</si>
  <si>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</si>
  <si>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</si>
  <si>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</si>
  <si>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</si>
  <si>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44287B4Energia convencionalIluminação públicaIluminação pública – B4bNão se aplicaNão se aplicaNão se aplica</t>
  </si>
  <si>
    <t>44317B4Energia convencionalIluminação públicaIluminação pública – B4bNão se aplicaNão se aplicaNão se aplica</t>
  </si>
  <si>
    <t>44348B4Energia convencionalIluminação públicaIluminação pública – B4bNão se aplicaNão se aplicaNão se aplica</t>
  </si>
  <si>
    <t>44378B4Energia convencionalIluminação públicaIluminação pública – B4bNão se aplicaNão se aplicaNão se aplica</t>
  </si>
  <si>
    <t>44409B4Energia convencionalIluminação públicaIluminação pública – B4bNão se aplicaNão se aplicaNão se aplica</t>
  </si>
  <si>
    <t>44440B4Energia convencionalIluminação públicaIluminação pública – B4bNão se aplicaNão se aplicaNão se aplica</t>
  </si>
  <si>
    <t>44470B4Energia convencionalIluminação públicaIluminação pública – B4bNão se aplicaNão se aplicaNão se aplica</t>
  </si>
  <si>
    <t>44501B4Energia convencionalIluminação públicaIluminação pública – B4bNão se aplicaNão se aplicaNão se aplica</t>
  </si>
  <si>
    <t>44531B4Energia convencionalIluminação públicaIluminação pública – B4bNão se aplicaNão se aplicaNão se aplica</t>
  </si>
  <si>
    <t>44562B4Energia convencionalIluminação públicaIluminação pública – B4bNão se aplicaNão se aplicaNão se aplica</t>
  </si>
  <si>
    <t>44593B4Energia convencionalIluminação públicaIluminação pública – B4bNão se aplicaNão se aplicaNão se aplica</t>
  </si>
  <si>
    <t>44621B4Energia convencionalIluminação públicaIluminação pública – B4bNão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</si>
  <si>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</si>
  <si>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</si>
  <si>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</si>
  <si>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</si>
  <si>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</si>
  <si>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</si>
  <si>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</si>
  <si>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</si>
  <si>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</si>
  <si>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</si>
  <si>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</si>
  <si>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</si>
  <si>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</si>
  <si>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</si>
  <si>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</si>
  <si>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</si>
  <si>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</si>
  <si>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</si>
  <si>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</si>
  <si>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</si>
  <si>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</si>
  <si>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</si>
  <si>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</si>
  <si>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</si>
  <si>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</si>
  <si>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</si>
  <si>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</si>
  <si>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</si>
  <si>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</si>
  <si>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</si>
  <si>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</si>
  <si>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</si>
  <si>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</si>
  <si>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</si>
  <si>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</si>
  <si>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</si>
  <si>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</si>
  <si>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</si>
  <si>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</si>
  <si>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</si>
  <si>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</si>
  <si>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</si>
  <si>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</si>
  <si>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</si>
  <si>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</si>
  <si>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</si>
  <si>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</si>
  <si>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</si>
  <si>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</si>
  <si>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</si>
  <si>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</si>
  <si>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</si>
  <si>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</si>
  <si>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</si>
  <si>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</si>
  <si>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</si>
  <si>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</si>
  <si>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</si>
  <si>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</si>
  <si>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</si>
  <si>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</si>
  <si>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</si>
  <si>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</si>
  <si>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</si>
  <si>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</si>
  <si>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</si>
  <si>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</si>
  <si>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</si>
  <si>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</si>
  <si>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</si>
  <si>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</si>
  <si>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</si>
  <si>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</si>
  <si>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</si>
  <si>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</si>
  <si>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</si>
  <si>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</si>
  <si>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</si>
  <si>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</si>
  <si>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</si>
  <si>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</si>
  <si>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</si>
  <si>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</si>
  <si>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</si>
  <si>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</si>
  <si>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</si>
  <si>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</si>
  <si>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</si>
  <si>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</si>
  <si>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</si>
  <si>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</si>
  <si>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</si>
  <si>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</si>
  <si>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</si>
  <si>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</si>
  <si>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</si>
  <si>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</si>
  <si>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</si>
  <si>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</si>
  <si>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</si>
  <si>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</si>
  <si>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</si>
  <si>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</si>
  <si>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</si>
  <si>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</si>
  <si>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</si>
  <si>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</si>
  <si>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</si>
  <si>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</si>
  <si>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</si>
  <si>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</si>
  <si>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</si>
  <si>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</si>
  <si>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A2</t>
  </si>
  <si>
    <t>A3</t>
  </si>
  <si>
    <t>A3a</t>
  </si>
  <si>
    <t>AS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</si>
  <si>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</si>
  <si>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</si>
  <si>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</si>
  <si>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</si>
  <si>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</si>
  <si>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</si>
  <si>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</si>
  <si>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</si>
  <si>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Intermediário</t>
  </si>
  <si>
    <t>Potência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</si>
  <si>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</si>
  <si>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</si>
  <si>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</si>
  <si>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</si>
  <si>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</si>
  <si>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</si>
  <si>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</si>
  <si>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</si>
  <si>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</si>
  <si>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</si>
  <si>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</si>
  <si>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</si>
  <si>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</si>
  <si>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</si>
  <si>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</si>
  <si>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</si>
  <si>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</si>
  <si>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</si>
  <si>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</si>
  <si>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</si>
  <si>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</si>
  <si>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</si>
  <si>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</si>
  <si>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</si>
  <si>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</si>
  <si>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</si>
  <si>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</si>
  <si>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</si>
  <si>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</si>
  <si>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</si>
  <si>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</si>
  <si>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</si>
  <si>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</si>
  <si>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</si>
  <si>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</si>
  <si>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</si>
  <si>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</si>
  <si>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</si>
  <si>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RURAL</t>
  </si>
  <si>
    <t>SUBSIDIO IRRIGANTE/AQUICULTOR</t>
  </si>
  <si>
    <t>SUBSIDIO ÁGUA, ESGOTO E SANEAMENTO</t>
  </si>
  <si>
    <t>SUBSIDIO BAIXA RENDA</t>
  </si>
  <si>
    <t>R$ (TV)</t>
  </si>
  <si>
    <t>R$ (TN)</t>
  </si>
  <si>
    <t>SUBSIDIO GERAÇÃO FONTE INCENTIVADA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</si>
  <si>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</si>
  <si>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</si>
  <si>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</si>
  <si>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</si>
  <si>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</si>
  <si>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</si>
  <si>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</si>
  <si>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</si>
  <si>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</si>
  <si>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Convencional1RuralNão se aplicaRuralB2</t>
  </si>
  <si>
    <t>2021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</si>
  <si>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</si>
  <si>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</si>
  <si>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</si>
  <si>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</si>
  <si>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</si>
  <si>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</si>
  <si>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</si>
  <si>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</si>
  <si>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</si>
  <si>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</si>
  <si>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</si>
  <si>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</si>
  <si>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</si>
  <si>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</si>
  <si>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</si>
  <si>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</si>
  <si>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</si>
  <si>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</si>
  <si>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</si>
  <si>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</si>
  <si>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</si>
  <si>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</si>
  <si>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</si>
  <si>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</si>
  <si>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</si>
  <si>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</si>
  <si>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</si>
  <si>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</si>
  <si>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</si>
  <si>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</si>
  <si>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</si>
  <si>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</si>
  <si>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</si>
  <si>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</si>
  <si>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</si>
  <si>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</si>
  <si>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</si>
  <si>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</si>
  <si>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</si>
  <si>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</si>
  <si>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</si>
  <si>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</si>
  <si>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</si>
  <si>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</si>
  <si>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</si>
  <si>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</si>
  <si>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</si>
  <si>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</si>
  <si>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</si>
  <si>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</si>
  <si>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</si>
  <si>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</si>
  <si>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</si>
  <si>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</si>
  <si>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</si>
  <si>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</si>
  <si>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</si>
  <si>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</si>
  <si>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</si>
  <si>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</si>
  <si>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</si>
  <si>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</si>
  <si>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</si>
  <si>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</si>
  <si>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</si>
  <si>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</si>
  <si>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</si>
  <si>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</si>
  <si>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GERAÇÃO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</si>
  <si>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</si>
  <si>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</si>
  <si>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</si>
  <si>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</si>
  <si>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</si>
  <si>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</si>
  <si>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</si>
  <si>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</si>
  <si>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</si>
  <si>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</si>
  <si>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</si>
  <si>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</si>
  <si>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</si>
  <si>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</si>
  <si>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</si>
  <si>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</si>
  <si>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</si>
  <si>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</si>
  <si>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</si>
  <si>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</si>
  <si>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</si>
  <si>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</si>
  <si>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</si>
  <si>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</si>
  <si>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</si>
  <si>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</si>
  <si>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</si>
  <si>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</si>
  <si>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</si>
  <si>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</si>
  <si>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</si>
  <si>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</si>
  <si>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</si>
  <si>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</si>
  <si>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</si>
  <si>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</si>
  <si>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</si>
  <si>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</si>
  <si>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</si>
  <si>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</si>
  <si>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</si>
  <si>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</si>
  <si>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</si>
  <si>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</si>
  <si>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</si>
  <si>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</si>
  <si>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</si>
  <si>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</si>
  <si>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</si>
  <si>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</si>
  <si>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</si>
  <si>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</si>
  <si>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</si>
  <si>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</si>
  <si>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</si>
  <si>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</si>
  <si>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</si>
  <si>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</si>
  <si>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</si>
  <si>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</si>
  <si>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</si>
  <si>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</si>
  <si>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</si>
  <si>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</si>
  <si>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</si>
  <si>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</si>
  <si>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</si>
  <si>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</si>
  <si>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</si>
  <si>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</si>
  <si>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</si>
  <si>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</si>
  <si>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</si>
  <si>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</si>
  <si>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</si>
  <si>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</si>
  <si>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</si>
  <si>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</si>
  <si>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</si>
  <si>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</si>
  <si>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</si>
  <si>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</si>
  <si>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</si>
  <si>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</si>
  <si>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</si>
  <si>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</si>
  <si>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</si>
  <si>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</si>
  <si>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</si>
  <si>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</si>
  <si>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</si>
  <si>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</si>
  <si>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</si>
  <si>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</si>
  <si>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</si>
  <si>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</si>
  <si>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</si>
  <si>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</si>
  <si>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</si>
  <si>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</si>
  <si>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</si>
  <si>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</si>
  <si>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</si>
  <si>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</si>
  <si>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</si>
  <si>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</si>
  <si>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</si>
  <si>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</si>
  <si>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</si>
  <si>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</si>
  <si>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</si>
  <si>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</si>
  <si>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</si>
  <si>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</si>
  <si>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</si>
  <si>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</si>
  <si>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</si>
  <si>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</si>
  <si>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</si>
  <si>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</si>
  <si>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</si>
  <si>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</si>
  <si>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</si>
  <si>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</si>
  <si>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</si>
  <si>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</si>
  <si>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</si>
  <si>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</si>
  <si>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</si>
  <si>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</si>
  <si>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</si>
  <si>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</si>
  <si>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</si>
  <si>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</si>
  <si>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</si>
  <si>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</si>
  <si>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</si>
  <si>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</si>
  <si>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</si>
  <si>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</si>
  <si>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</si>
  <si>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</si>
  <si>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</si>
  <si>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</si>
  <si>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</si>
  <si>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</si>
  <si>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</si>
  <si>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</si>
  <si>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</si>
  <si>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</si>
  <si>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</si>
  <si>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</si>
  <si>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</si>
  <si>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</si>
  <si>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</si>
  <si>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</si>
  <si>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</si>
  <si>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</si>
  <si>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</si>
  <si>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</si>
  <si>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</si>
  <si>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</si>
  <si>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</si>
  <si>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</si>
  <si>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</si>
  <si>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</si>
  <si>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</si>
  <si>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</si>
  <si>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</si>
  <si>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</si>
  <si>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</si>
  <si>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</si>
  <si>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</si>
  <si>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</si>
  <si>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</si>
  <si>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</si>
  <si>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</si>
  <si>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</si>
  <si>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</si>
  <si>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</si>
  <si>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</si>
  <si>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</si>
  <si>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</si>
  <si>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</si>
  <si>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</si>
  <si>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</si>
  <si>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</si>
  <si>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</si>
  <si>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</si>
  <si>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</si>
  <si>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</si>
  <si>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</si>
  <si>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</si>
  <si>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</si>
  <si>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</si>
  <si>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</si>
  <si>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</si>
  <si>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</si>
  <si>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</si>
  <si>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</si>
  <si>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</si>
  <si>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</si>
  <si>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</si>
  <si>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</si>
  <si>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</si>
  <si>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</si>
  <si>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</si>
  <si>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</si>
  <si>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</si>
  <si>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</si>
  <si>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</si>
  <si>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</si>
  <si>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</si>
  <si>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</si>
  <si>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</si>
  <si>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</si>
  <si>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</si>
  <si>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</si>
  <si>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</si>
  <si>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</si>
  <si>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</si>
  <si>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</si>
  <si>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</si>
  <si>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</si>
  <si>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</si>
  <si>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</si>
  <si>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</si>
  <si>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</si>
  <si>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</si>
  <si>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</si>
  <si>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</si>
  <si>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</si>
  <si>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</si>
  <si>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</si>
  <si>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</si>
  <si>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</si>
  <si>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</si>
  <si>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</si>
  <si>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</si>
  <si>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</si>
  <si>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</si>
  <si>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</si>
  <si>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</si>
  <si>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</si>
  <si>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</si>
  <si>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</si>
  <si>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</si>
  <si>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</si>
  <si>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</si>
  <si>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</si>
  <si>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</si>
  <si>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</si>
  <si>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</si>
  <si>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</si>
  <si>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</si>
  <si>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</si>
  <si>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</si>
  <si>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</si>
  <si>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</si>
  <si>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</si>
  <si>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</si>
  <si>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</si>
  <si>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</si>
  <si>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</si>
  <si>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</si>
  <si>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</si>
  <si>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</si>
  <si>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</si>
  <si>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</si>
  <si>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</si>
  <si>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</si>
  <si>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</si>
  <si>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</si>
  <si>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</si>
  <si>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</si>
  <si>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</si>
  <si>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</si>
  <si>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</si>
  <si>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</si>
  <si>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</si>
  <si>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</si>
  <si>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</si>
  <si>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</si>
  <si>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</si>
  <si>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</si>
  <si>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</si>
  <si>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</si>
  <si>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</si>
  <si>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</si>
  <si>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</si>
  <si>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</si>
  <si>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</si>
  <si>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</si>
  <si>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</si>
  <si>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</si>
  <si>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</si>
  <si>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</si>
  <si>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</si>
  <si>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</si>
  <si>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</si>
  <si>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</si>
  <si>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</si>
  <si>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</si>
  <si>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</si>
  <si>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</si>
  <si>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</si>
  <si>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</si>
  <si>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</si>
  <si>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</si>
  <si>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</si>
  <si>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</si>
  <si>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</si>
  <si>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</si>
  <si>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</si>
  <si>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</si>
  <si>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</si>
  <si>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</si>
  <si>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</si>
  <si>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</si>
  <si>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</si>
  <si>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</si>
  <si>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</si>
  <si>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</si>
  <si>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</si>
  <si>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</si>
  <si>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</si>
  <si>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</si>
  <si>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</si>
  <si>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</si>
  <si>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</si>
  <si>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(SUB)GRUPO</t>
  </si>
  <si>
    <t>TUSD (R$)</t>
  </si>
  <si>
    <t>TUSD (MWh)</t>
  </si>
  <si>
    <t>PNT (R$/MWh)</t>
  </si>
  <si>
    <t>VAR. AX01</t>
  </si>
  <si>
    <t>VAR. AX02</t>
  </si>
  <si>
    <t>TOTAL ABAS</t>
  </si>
  <si>
    <t>AVALIAÇÃO</t>
  </si>
  <si>
    <t>Coeficientes de transição</t>
  </si>
  <si>
    <t>Carga</t>
  </si>
  <si>
    <t>Ajustado para o passo 4 da transição. Não altere.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</si>
  <si>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</si>
  <si>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</si>
  <si>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</si>
  <si>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</si>
  <si>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</si>
  <si>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</si>
  <si>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</si>
  <si>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</si>
  <si>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</si>
  <si>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</si>
  <si>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</si>
  <si>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</si>
  <si>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Convencional 1Serviço públicoÁgua, esgoto e saneamentoPlanilha CUSTOA4</t>
  </si>
  <si>
    <t xml:space="preserve">Convencional </t>
  </si>
  <si>
    <t>Planilha CUSTO</t>
  </si>
  <si>
    <t>Branca1RuralNão se aplicaRuralB2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</si>
  <si>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</si>
  <si>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</si>
  <si>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</si>
  <si>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Convencional1RuralServiço público de irrigação ruralPlanilha CUSTOB2</t>
  </si>
  <si>
    <t>Branca1RuralServiço público de irrigação ruralPlanilha CUSTOB2</t>
  </si>
  <si>
    <t>Convencional1Serviço públicoÁgua, esgoto e saneamentoPlanilha CUSTOB3</t>
  </si>
  <si>
    <t>Branca1Serviço públicoÁgua, esgoto e saneamentoPlanilha CUSTOB3</t>
  </si>
  <si>
    <t>Azul1RuralNão se aplicaPlanilha CustoA4</t>
  </si>
  <si>
    <t>Planilha Custo</t>
  </si>
  <si>
    <t>Verde1RuralNão se aplicaPlanilha CustoA4</t>
  </si>
  <si>
    <t>Convencional 1RuralNão se aplicaPlanilha CustoA4</t>
  </si>
  <si>
    <t>Azul1Serviço públicoÁgua, esgoto e saneamentoPlanilha CUSTOA4</t>
  </si>
  <si>
    <t>Verde1Serviço públicoÁgua, esgoto e saneamentoPlanilha CUSTOA4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</si>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</sst>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 ;[Red]\-#,##0.00\ "/>
    <numFmt numFmtId="169" formatCode="#,##0.00;[Red]#,##0.00"/>
  </numFmts>
  <fonts count="1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153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40" fontId="3" fillId="0" borderId="8" xfId="0" applyNumberFormat="1" applyFont="1" applyBorder="1" applyAlignment="1">
      <alignment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165" fontId="3" fillId="0" borderId="0" xfId="0" applyNumberFormat="1" applyFont="1"/>
    <xf numFmtId="0" fontId="4" fillId="0" borderId="0" xfId="0" applyFont="1" applyAlignment="1">
      <alignment horizontal="center" vertical="center"/>
    </xf>
    <xf numFmtId="0" fontId="3" fillId="0" borderId="8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0" xfId="0" applyNumberFormat="1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/>
    </xf>
    <xf numFmtId="40" fontId="3" fillId="0" borderId="9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40" fontId="4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11" xfId="0" applyBorder="1"/>
    <xf numFmtId="0" fontId="0" fillId="0" borderId="14" xfId="0" applyBorder="1"/>
    <xf numFmtId="0" fontId="2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40" fontId="1" fillId="0" borderId="14" xfId="0" applyNumberFormat="1" applyFont="1" applyBorder="1" applyAlignment="1">
      <alignment horizontal="center" vertical="center"/>
    </xf>
    <xf numFmtId="166" fontId="1" fillId="0" borderId="14" xfId="0" applyNumberFormat="1" applyFont="1" applyBorder="1" applyAlignment="1">
      <alignment horizontal="center" vertical="center"/>
    </xf>
    <xf numFmtId="0" fontId="3" fillId="0" borderId="14" xfId="0" applyFont="1" applyBorder="1"/>
    <xf numFmtId="0" fontId="4" fillId="0" borderId="14" xfId="0" applyFont="1" applyBorder="1"/>
    <xf numFmtId="40" fontId="1" fillId="2" borderId="0" xfId="0" applyNumberFormat="1" applyFont="1" applyFill="1" applyAlignment="1">
      <alignment horizontal="center" vertical="center"/>
    </xf>
    <xf numFmtId="40" fontId="7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14" fontId="2" fillId="0" borderId="14" xfId="0" applyNumberFormat="1" applyFont="1" applyBorder="1" applyAlignment="1">
      <alignment horizontal="center" vertical="center"/>
    </xf>
    <xf numFmtId="14" fontId="1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/>
    <xf numFmtId="40" fontId="2" fillId="0" borderId="14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40" fontId="3" fillId="0" borderId="9" xfId="0" applyNumberFormat="1" applyFont="1" applyBorder="1" applyAlignment="1">
      <alignment horizontal="left"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168" fontId="3" fillId="0" borderId="0" xfId="0" applyNumberFormat="1" applyFont="1"/>
    <xf numFmtId="164" fontId="3" fillId="0" borderId="0" xfId="1" applyFont="1"/>
    <xf numFmtId="164" fontId="3" fillId="0" borderId="0" xfId="0" applyNumberFormat="1" applyFont="1"/>
    <xf numFmtId="164" fontId="1" fillId="0" borderId="0" xfId="0" applyNumberFormat="1" applyFont="1" applyAlignment="1">
      <alignment horizontal="center" vertical="center"/>
    </xf>
    <xf numFmtId="165" fontId="3" fillId="0" borderId="14" xfId="0" applyNumberFormat="1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 indent="1"/>
    </xf>
    <xf numFmtId="40" fontId="3" fillId="0" borderId="14" xfId="0" quotePrefix="1" applyNumberFormat="1" applyFont="1" applyBorder="1" applyAlignment="1">
      <alignment horizontal="left" vertical="center" indent="1"/>
    </xf>
    <xf numFmtId="10" fontId="3" fillId="0" borderId="0" xfId="0" applyNumberFormat="1" applyFont="1"/>
    <xf numFmtId="2" fontId="9" fillId="3" borderId="16" xfId="0" applyNumberFormat="1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left" vertical="center" indent="1"/>
    </xf>
    <xf numFmtId="4" fontId="9" fillId="4" borderId="0" xfId="0" applyNumberFormat="1" applyFont="1" applyFill="1" applyAlignment="1">
      <alignment vertical="center"/>
    </xf>
    <xf numFmtId="0" fontId="9" fillId="4" borderId="0" xfId="0" applyFont="1" applyFill="1" applyAlignment="1">
      <alignment horizontal="left" vertical="center" indent="1"/>
    </xf>
    <xf numFmtId="10" fontId="9" fillId="3" borderId="0" xfId="0" applyNumberFormat="1" applyFont="1" applyFill="1" applyAlignment="1">
      <alignment vertical="center"/>
    </xf>
    <xf numFmtId="0" fontId="9" fillId="3" borderId="0" xfId="0" applyFont="1" applyFill="1" applyAlignment="1">
      <alignment horizontal="left" vertical="center" indent="1"/>
    </xf>
    <xf numFmtId="10" fontId="9" fillId="4" borderId="0" xfId="0" applyNumberFormat="1" applyFont="1" applyFill="1" applyAlignment="1">
      <alignment vertical="center"/>
    </xf>
    <xf numFmtId="0" fontId="10" fillId="5" borderId="17" xfId="0" applyFont="1" applyFill="1" applyBorder="1" applyAlignment="1">
      <alignment horizontal="center" vertical="center"/>
    </xf>
    <xf numFmtId="40" fontId="9" fillId="3" borderId="16" xfId="0" applyNumberFormat="1" applyFont="1" applyFill="1" applyBorder="1" applyAlignment="1">
      <alignment horizontal="center" vertical="center"/>
    </xf>
    <xf numFmtId="169" fontId="9" fillId="4" borderId="0" xfId="0" applyNumberFormat="1" applyFont="1" applyFill="1" applyAlignment="1">
      <alignment horizontal="center" vertical="center"/>
    </xf>
    <xf numFmtId="0" fontId="3" fillId="0" borderId="14" xfId="0" applyFont="1" applyBorder="1" applyAlignment="1">
      <alignment vertical="center"/>
    </xf>
    <xf numFmtId="4" fontId="12" fillId="6" borderId="19" xfId="0" applyNumberFormat="1" applyFont="1" applyFill="1" applyBorder="1"/>
    <xf numFmtId="4" fontId="12" fillId="6" borderId="13" xfId="0" applyNumberFormat="1" applyFont="1" applyFill="1" applyBorder="1"/>
    <xf numFmtId="4" fontId="12" fillId="6" borderId="20" xfId="0" applyNumberFormat="1" applyFont="1" applyFill="1" applyBorder="1"/>
    <xf numFmtId="4" fontId="12" fillId="6" borderId="3" xfId="0" applyNumberFormat="1" applyFont="1" applyFill="1" applyBorder="1"/>
    <xf numFmtId="4" fontId="12" fillId="6" borderId="14" xfId="0" applyNumberFormat="1" applyFont="1" applyFill="1" applyBorder="1"/>
    <xf numFmtId="4" fontId="12" fillId="6" borderId="2" xfId="0" applyNumberFormat="1" applyFont="1" applyFill="1" applyBorder="1"/>
    <xf numFmtId="4" fontId="12" fillId="6" borderId="21" xfId="0" applyNumberFormat="1" applyFont="1" applyFill="1" applyBorder="1"/>
    <xf numFmtId="4" fontId="12" fillId="6" borderId="11" xfId="0" applyNumberFormat="1" applyFont="1" applyFill="1" applyBorder="1"/>
    <xf numFmtId="4" fontId="12" fillId="6" borderId="18" xfId="0" applyNumberFormat="1" applyFont="1" applyFill="1" applyBorder="1"/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4" fontId="12" fillId="6" borderId="13" xfId="0" applyNumberFormat="1" applyFont="1" applyFill="1" applyBorder="1" applyAlignment="1">
      <alignment horizontal="center"/>
    </xf>
    <xf numFmtId="4" fontId="12" fillId="6" borderId="20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4" xfId="0" applyBorder="1" applyAlignment="1">
      <alignment vertical="center"/>
    </xf>
    <xf numFmtId="0" fontId="4" fillId="0" borderId="15" xfId="0" applyFont="1" applyBorder="1" applyAlignment="1">
      <alignment horizontal="center" vertical="center"/>
    </xf>
    <xf numFmtId="40" fontId="3" fillId="0" borderId="9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0" fontId="4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40" fontId="6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left" vertical="center"/>
    </xf>
    <xf numFmtId="0" fontId="3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4" fontId="12" fillId="6" borderId="14" xfId="0" applyNumberFormat="1" applyFont="1" applyFill="1" applyBorder="1" applyAlignment="1">
      <alignment horizontal="center"/>
    </xf>
    <xf numFmtId="4" fontId="12" fillId="6" borderId="2" xfId="0" applyNumberFormat="1" applyFont="1" applyFill="1" applyBorder="1" applyAlignment="1">
      <alignment horizontal="center"/>
    </xf>
    <xf numFmtId="4" fontId="12" fillId="6" borderId="13" xfId="0" applyNumberFormat="1" applyFont="1" applyFill="1" applyBorder="1" applyAlignment="1">
      <alignment horizontal="center"/>
    </xf>
    <xf numFmtId="4" fontId="12" fillId="6" borderId="20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1012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70" formatCode="#,##0.00_);[Red]\(#,##0.00\)"/>
    </dxf>
    <dxf>
      <numFmt numFmtId="170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70" formatCode="#,##0.00_);[Red]\(#,##0.00\)"/>
    </dxf>
    <dxf>
      <numFmt numFmtId="170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0</c:v>
                </c:pt>
                <c:pt idx="1">
                  <c:v>4.8682633644721117E-4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6.8822615012762614E-2</c:v>
                </c:pt>
                <c:pt idx="6">
                  <c:v>1.373866170772573E-2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9.2389534433159407E-3</c:v>
                </c:pt>
                <c:pt idx="13">
                  <c:v>0</c:v>
                </c:pt>
                <c:pt idx="14">
                  <c:v>0</c:v>
                </c:pt>
                <c:pt idx="15">
                  <c:v>2.1225252888076709E-2</c:v>
                </c:pt>
                <c:pt idx="16">
                  <c:v>2.2612597666104427E-2</c:v>
                </c:pt>
                <c:pt idx="17">
                  <c:v>0</c:v>
                </c:pt>
                <c:pt idx="18">
                  <c:v>1.3722146719171007E-2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4-4AFE-875B-67EECA5EBDA8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0</c:v>
                </c:pt>
                <c:pt idx="1">
                  <c:v>4.3418256446501647E-4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6.7248578324183433E-2</c:v>
                </c:pt>
                <c:pt idx="6">
                  <c:v>1.5442241475297285E-2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3.0369891517708515E-3</c:v>
                </c:pt>
                <c:pt idx="13">
                  <c:v>0</c:v>
                </c:pt>
                <c:pt idx="14">
                  <c:v>0</c:v>
                </c:pt>
                <c:pt idx="15">
                  <c:v>8.696110646865202E-3</c:v>
                </c:pt>
                <c:pt idx="16">
                  <c:v>2.1654123433696056E-2</c:v>
                </c:pt>
                <c:pt idx="17">
                  <c:v>0</c:v>
                </c:pt>
                <c:pt idx="18">
                  <c:v>9.0997645167195558E-3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74-4AFE-875B-67EECA5EBDA8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0</c:v>
                </c:pt>
                <c:pt idx="1">
                  <c:v>4.3418256446501647E-4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6.7248578324183433E-2</c:v>
                </c:pt>
                <c:pt idx="6">
                  <c:v>1.5442241475297285E-2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3.0369891517708515E-3</c:v>
                </c:pt>
                <c:pt idx="13">
                  <c:v>0</c:v>
                </c:pt>
                <c:pt idx="14">
                  <c:v>0</c:v>
                </c:pt>
                <c:pt idx="15">
                  <c:v>8.696110646865202E-3</c:v>
                </c:pt>
                <c:pt idx="16">
                  <c:v>2.1654123433696056E-2</c:v>
                </c:pt>
                <c:pt idx="17">
                  <c:v>0</c:v>
                </c:pt>
                <c:pt idx="18">
                  <c:v>9.0997645167195558E-3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74-4AFE-875B-67EECA5EBDA8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9A74-4AFE-875B-67EECA5EBDA8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9A74-4AFE-875B-67EECA5EBDA8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9A74-4AFE-875B-67EECA5E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233504"/>
        <c:axId val="1052237440"/>
      </c:radarChart>
      <c:catAx>
        <c:axId val="10522335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052237440"/>
        <c:crosses val="autoZero"/>
        <c:auto val="1"/>
        <c:lblAlgn val="ctr"/>
        <c:lblOffset val="100"/>
        <c:noMultiLvlLbl val="0"/>
      </c:catAx>
      <c:valAx>
        <c:axId val="1052237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2233504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TE'!$B$13:$K$13</c:f>
              <c:numCache>
                <c:formatCode>General</c:formatCode>
                <c:ptCount val="10"/>
                <c:pt idx="0">
                  <c:v>0</c:v>
                </c:pt>
                <c:pt idx="1">
                  <c:v>7.3206593253297481E-2</c:v>
                </c:pt>
                <c:pt idx="2">
                  <c:v>0</c:v>
                </c:pt>
                <c:pt idx="3">
                  <c:v>0</c:v>
                </c:pt>
                <c:pt idx="4">
                  <c:v>-9.7004002339824841E-2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1.6844050664987481E-2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7-49F0-8169-ADFEBD3A17B3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TE'!$B$14:$K$14</c:f>
              <c:numCache>
                <c:formatCode>General</c:formatCode>
                <c:ptCount val="10"/>
                <c:pt idx="0">
                  <c:v>0</c:v>
                </c:pt>
                <c:pt idx="1">
                  <c:v>7.1712991764544751E-2</c:v>
                </c:pt>
                <c:pt idx="2">
                  <c:v>0</c:v>
                </c:pt>
                <c:pt idx="3">
                  <c:v>0</c:v>
                </c:pt>
                <c:pt idx="4">
                  <c:v>-0.11594320893213091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1.7016170789559887E-2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17-49F0-8169-ADFEBD3A17B3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TE'!$B$15:$K$15</c:f>
              <c:numCache>
                <c:formatCode>General</c:formatCode>
                <c:ptCount val="10"/>
                <c:pt idx="0">
                  <c:v>0</c:v>
                </c:pt>
                <c:pt idx="1">
                  <c:v>7.1712991764544751E-2</c:v>
                </c:pt>
                <c:pt idx="2">
                  <c:v>0</c:v>
                </c:pt>
                <c:pt idx="3">
                  <c:v>0</c:v>
                </c:pt>
                <c:pt idx="4">
                  <c:v>-0.11594320893213091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1.7016170789559887E-2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17-49F0-8169-ADFEBD3A17B3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C617-49F0-8169-ADFEBD3A17B3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C617-49F0-8169-ADFEBD3A17B3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C617-49F0-8169-ADFEBD3A1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261384"/>
        <c:axId val="1052254824"/>
      </c:radarChart>
      <c:catAx>
        <c:axId val="10522613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052254824"/>
        <c:crosses val="autoZero"/>
        <c:auto val="1"/>
        <c:lblAlgn val="ctr"/>
        <c:lblOffset val="100"/>
        <c:noMultiLvlLbl val="0"/>
      </c:catAx>
      <c:valAx>
        <c:axId val="1052254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2261384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400051</xdr:colOff>
      <xdr:row>16</xdr:row>
      <xdr:rowOff>0</xdr:rowOff>
    </xdr:from>
    <xdr:to>
      <xdr:col>14</xdr:col>
      <xdr:colOff>257176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65819ED-9E6B-4C0D-B0E8-611CCD6CA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523876</xdr:colOff>
      <xdr:row>16</xdr:row>
      <xdr:rowOff>0</xdr:rowOff>
    </xdr:from>
    <xdr:to>
      <xdr:col>13</xdr:col>
      <xdr:colOff>552451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DF2FD04-6778-4520-A535-7855BB1BD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64.831267824076" createdVersion="5" refreshedVersion="7" minRefreshableVersion="3" recordCount="692" xr:uid="{7A47C0E5-8275-467E-983C-724366CF8F21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3">
        <s v="Azul"/>
        <s v="Verde"/>
        <s v="Convencional"/>
      </sharedItems>
    </cacheField>
    <cacheField name="Classe" numFmtId="0">
      <sharedItems count="7">
        <s v="Poder público"/>
        <s v="Comercial"/>
        <s v="Industrial"/>
        <s v="Residencial"/>
        <s v="Rural"/>
        <s v="Serviço público"/>
        <s v="Iluminação pública"/>
      </sharedItems>
    </cacheField>
    <cacheField name="Subclasse" numFmtId="0">
      <sharedItems count="11">
        <s v="Não se aplica"/>
        <s v="Residencial"/>
        <s v="Agropecuária rural"/>
        <s v="Água, esgoto e saneamento"/>
        <s v="Residencial baixa renda – faixa 01"/>
        <s v="Residencial baixa renda – faixa 02"/>
        <s v="Residencial baixa renda – faixa 03"/>
        <s v="Residencial baixa renda – faixa 04"/>
        <s v="Aquicultura"/>
        <s v="Iluminação pública – B4a"/>
        <s v="Iluminação pública – B4b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1">
        <s v="Não se aplica"/>
      </sharedItems>
    </cacheField>
    <cacheField name="Posto" numFmtId="0">
      <sharedItems count="3">
        <s v="Fora ponta"/>
        <s v="Ponta"/>
        <s v="Não se aplica"/>
      </sharedItems>
    </cacheField>
    <cacheField name="AnoMes" numFmtId="14">
      <sharedItems containsSemiMixedTypes="0" containsNonDate="0" containsDate="1" containsString="0" minDate="2021-04-01T00:00:00" maxDate="2022-03-02T00:00:00" count="12"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</sharedItems>
    </cacheField>
    <cacheField name="D" numFmtId="40">
      <sharedItems containsSemiMixedTypes="0" containsString="0" containsNumber="1" containsInteger="1" minValue="0" maxValue="47299"/>
    </cacheField>
    <cacheField name="Daj" numFmtId="40">
      <sharedItems containsSemiMixedTypes="0" containsString="0" containsNumber="1" minValue="0" maxValue="45407.040000000001"/>
    </cacheField>
    <cacheField name="TUSD_E" numFmtId="40">
      <sharedItems containsSemiMixedTypes="0" containsString="0" containsNumber="1" minValue="-4000.4" maxValue="5156.4939999999997"/>
    </cacheField>
    <cacheField name="TUSD_Eaj" numFmtId="40">
      <sharedItems containsSemiMixedTypes="0" containsString="0" containsNumber="1" minValue="-4000.4" maxValue="5156.4939999999997"/>
    </cacheField>
    <cacheField name="TE_E" numFmtId="40">
      <sharedItems containsSemiMixedTypes="0" containsString="0" containsNumber="1" minValue="-4000.4" maxValue="5156.4939999999997"/>
    </cacheField>
    <cacheField name="TE_Eaj" numFmtId="40">
      <sharedItems containsSemiMixedTypes="0" containsString="0" containsNumber="1" minValue="-4000.4" maxValue="5156.4939999999997"/>
    </cacheField>
    <cacheField name="UC" numFmtId="40">
      <sharedItems containsSemiMixedTypes="0" containsString="0" containsNumber="1" containsInteger="1" minValue="0" maxValue="9086"/>
    </cacheField>
    <cacheField name="OPÇÃO" numFmtId="0">
      <sharedItems count="2">
        <s v="CATIVO"/>
        <s v="LIVRE"/>
      </sharedItems>
    </cacheField>
    <cacheField name="CóD. AUX." numFmtId="0">
      <sharedItems containsSemiMixedTypes="0" containsString="0" containsNumber="1" containsInteger="1" minValue="0" maxValue="0"/>
    </cacheField>
    <cacheField name="CóD. AUX. TUSD R$/kW" numFmtId="40">
      <sharedItems containsSemiMixedTypes="0" containsString="0" containsNumber="1" containsInteger="1" minValue="0" maxValue="65"/>
    </cacheField>
    <cacheField name="CóD. AUX. TUSD R$/MWh" numFmtId="40">
      <sharedItems containsSemiMixedTypes="0" containsString="0" containsNumber="1" containsInteger="1" minValue="0" maxValue="70"/>
    </cacheField>
    <cacheField name="CóD. AUX. TE R$/MWh" numFmtId="40">
      <sharedItems containsSemiMixedTypes="0" containsString="0" containsNumber="1" containsInteger="1" minValue="0" maxValue="42"/>
    </cacheField>
    <cacheField name="TUSD (R$/kW)" numFmtId="40">
      <sharedItems containsSemiMixedTypes="0" containsString="0" containsNumber="1" minValue="0" maxValue="91.15"/>
    </cacheField>
    <cacheField name="TUSD (R$/MWh)" numFmtId="40">
      <sharedItems containsSemiMixedTypes="0" containsString="0" containsNumber="1" minValue="0" maxValue="2263.58"/>
    </cacheField>
    <cacheField name="TE (R$/MWh)" numFmtId="40">
      <sharedItems containsSemiMixedTypes="0" containsString="0" containsNumber="1" minValue="0" maxValue="223.72"/>
    </cacheField>
    <cacheField name="TUSD (R$/kW) NOVA" numFmtId="40">
      <sharedItems containsString="0" containsBlank="1" containsNumber="1" minValue="23.763428126815878" maxValue="92.507952398514206"/>
    </cacheField>
    <cacheField name="TUSD (R$/MWh) NOVA" numFmtId="40">
      <sharedItems containsString="0" containsBlank="1" containsNumber="1" minValue="102.01454208880898" maxValue="2325.9355132623718"/>
    </cacheField>
    <cacheField name="TE (R$/MWh) NOVA" numFmtId="40">
      <sharedItems containsString="0" containsBlank="1" containsNumber="1" minValue="77.472693713861844" maxValue="221.35055346817671"/>
    </cacheField>
    <cacheField name="RA0 ou RV - TUSD (kW)" numFmtId="40">
      <sharedItems containsSemiMixedTypes="0" containsString="0" containsNumber="1" minValue="0" maxValue="1062978.8064000001"/>
    </cacheField>
    <cacheField name="RA0 ou RV - TUSD (MWh)" numFmtId="40">
      <sharedItems containsSemiMixedTypes="0" containsString="0" containsNumber="1" minValue="-1549314.9160000002" maxValue="1997058.5612599999"/>
    </cacheField>
    <cacheField name="RA0 ou RV - TE (MWh)" numFmtId="40">
      <sharedItems containsSemiMixedTypes="0" containsString="0" containsNumber="1" minValue="-787558.74800000002" maxValue="1015158.97378"/>
    </cacheField>
    <cacheField name="RA1 ou RRD - TUSD (kW)" numFmtId="40">
      <sharedItems containsSemiMixedTypes="0" containsString="0" containsNumber="1" minValue="0" maxValue="1079026.9314914537"/>
    </cacheField>
    <cacheField name="RA1 ou RRD - TUSD (MWh)" numFmtId="40">
      <sharedItems containsSemiMixedTypes="0" containsString="0" containsNumber="1" minValue="-1824523.4066643359" maxValue="2351800.8197490769"/>
    </cacheField>
    <cacheField name="RA1 ou RRD - TE (MWh)" numFmtId="40">
      <sharedItems containsSemiMixedTypes="0" containsString="0" containsNumber="1" minValue="-832361.30884844845" maxValue="1072909.2328040125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64.831366550927" createdVersion="5" refreshedVersion="7" minRefreshableVersion="3" recordCount="355" xr:uid="{527663E4-23F6-4D7B-9F30-DE89D342BF34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2">
        <s v="Verde"/>
        <s v="Convencional"/>
      </sharedItems>
    </cacheField>
    <cacheField name="Classe" numFmtId="0">
      <sharedItems count="4">
        <s v="Industrial"/>
        <s v="Rural"/>
        <s v="Serviço público"/>
        <s v="Residencial"/>
      </sharedItems>
    </cacheField>
    <cacheField name="Subclasse" numFmtId="0">
      <sharedItems count="9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</sharedItems>
    </cacheField>
    <cacheField name="Detalhe" numFmtId="0">
      <sharedItems count="4">
        <s v="Fonte incentivada"/>
        <s v="IRRIG./AQUIC. PR"/>
        <s v="Não se aplica"/>
        <s v="IRRIG./AQUIC."/>
      </sharedItems>
    </cacheField>
    <cacheField name="Agente" numFmtId="0">
      <sharedItems count="1">
        <s v="Não se aplica"/>
      </sharedItems>
    </cacheField>
    <cacheField name="Posto" numFmtId="0">
      <sharedItems count="3">
        <s v="Fora ponta"/>
        <s v="Não se aplica"/>
        <s v="Ponta"/>
      </sharedItems>
    </cacheField>
    <cacheField name="AnoMes" numFmtId="14">
      <sharedItems containsSemiMixedTypes="0" containsNonDate="0" containsDate="1" containsString="0" minDate="2021-04-01T00:00:00" maxDate="2022-03-02T00:00:00" count="12"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</sharedItems>
    </cacheField>
    <cacheField name="D" numFmtId="40">
      <sharedItems containsSemiMixedTypes="0" containsString="0" containsNumber="1" containsInteger="1" minValue="0" maxValue="47299"/>
    </cacheField>
    <cacheField name="Daj" numFmtId="40">
      <sharedItems containsSemiMixedTypes="0" containsString="0" containsNumber="1" minValue="0" maxValue="45407.040000000001"/>
    </cacheField>
    <cacheField name="TUSD_E" numFmtId="40">
      <sharedItems containsSemiMixedTypes="0" containsString="0" containsNumber="1" minValue="-4000.4" maxValue="5156.4939999999997"/>
    </cacheField>
    <cacheField name="TUSD_Eaj" numFmtId="40">
      <sharedItems containsSemiMixedTypes="0" containsString="0" containsNumber="1" minValue="-4000.4" maxValue="5156.4939999999997"/>
    </cacheField>
    <cacheField name="TE_E" numFmtId="40">
      <sharedItems containsSemiMixedTypes="0" containsString="0" containsNumber="1" minValue="-4000.4" maxValue="5156.4939999999997"/>
    </cacheField>
    <cacheField name="TE_Eaj" numFmtId="40">
      <sharedItems containsSemiMixedTypes="0" containsString="0" containsNumber="1" minValue="-4000.4" maxValue="5156.4939999999997"/>
    </cacheField>
    <cacheField name="UC" numFmtId="40">
      <sharedItems containsSemiMixedTypes="0" containsString="0" containsNumber="1" containsInteger="1" minValue="0" maxValue="8530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0"/>
    </cacheField>
    <cacheField name="CóD. AUX. TUSD R$/kW" numFmtId="0">
      <sharedItems containsSemiMixedTypes="0" containsString="0" containsNumber="1" containsInteger="1" minValue="0" maxValue="65"/>
    </cacheField>
    <cacheField name="CóD. AUX. TUSD R$/MWh" numFmtId="0">
      <sharedItems containsSemiMixedTypes="0" containsString="0" containsNumber="1" containsInteger="1" minValue="0" maxValue="70"/>
    </cacheField>
    <cacheField name="CóD. AUX. TE R$/MWh" numFmtId="0">
      <sharedItems containsSemiMixedTypes="0" containsString="0" containsNumber="1" containsInteger="1" minValue="0" maxValue="31"/>
    </cacheField>
    <cacheField name="TUSD (R$/kW)" numFmtId="40">
      <sharedItems containsSemiMixedTypes="0" containsString="0" containsNumber="1" minValue="0" maxValue="23.41"/>
    </cacheField>
    <cacheField name="TUSD (R$/MWh)" numFmtId="40">
      <sharedItems containsSemiMixedTypes="0" containsString="0" containsNumber="1" minValue="0" maxValue="2263.58"/>
    </cacheField>
    <cacheField name="TE (R$/MWh)" numFmtId="40">
      <sharedItems containsSemiMixedTypes="0" containsString="0" containsNumber="1" minValue="0" maxValue="223.72"/>
    </cacheField>
    <cacheField name="TUSD (R$/kW) NOVA" numFmtId="40">
      <sharedItems containsString="0" containsBlank="1" containsNumber="1" minValue="23.763428126815878" maxValue="23.763428126815878"/>
    </cacheField>
    <cacheField name="TUSD (R$/MWh) NOVA" numFmtId="40">
      <sharedItems containsString="0" containsBlank="1" containsNumber="1" minValue="102.01454208880898" maxValue="2325.9355132623718"/>
    </cacheField>
    <cacheField name="TE (R$/MWh) NOVA" numFmtId="40">
      <sharedItems containsString="0" containsBlank="1" containsNumber="1" minValue="77.472693713861844" maxValue="221.35055346817671"/>
    </cacheField>
    <cacheField name="SUBSIDIO kW - TV" numFmtId="40">
      <sharedItems containsSemiMixedTypes="0" containsString="0" containsNumber="1" minValue="0" maxValue="104619.29"/>
    </cacheField>
    <cacheField name="SUBSIDIO MWh - TV" numFmtId="40">
      <sharedItems containsSemiMixedTypes="0" containsString="0" containsNumber="1" minValue="-318671.86400000012" maxValue="648078.20563500002"/>
    </cacheField>
    <cacheField name="SUBSIDIO kW - TN" numFmtId="40">
      <sharedItems containsSemiMixedTypes="0" containsString="0" containsNumber="1" minValue="0" maxValue="106198.76029874016"/>
    </cacheField>
    <cacheField name="SUBSIDIO MWh - TN" numFmtId="40">
      <sharedItems containsSemiMixedTypes="0" containsString="0" containsNumber="1" minValue="-169588.38609656077" maxValue="708112.42065741378"/>
    </cacheField>
    <cacheField name="TIPO" numFmtId="0">
      <sharedItems containsBlank="1" count="6">
        <s v="SUBSIDIO CARGA FONTE INCENTIVADA"/>
        <s v="SUBSIDIO IRRIGANTE/AQUICULTOR"/>
        <s v="SUBSIDIO RURAL"/>
        <s v="SUBSIDIO ÁGUA, ESGOTO E SANEAMENTO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2">
  <r>
    <s v="Regular"/>
    <x v="0"/>
    <x v="0"/>
    <x v="0"/>
    <x v="0"/>
    <x v="0"/>
    <x v="0"/>
    <x v="0"/>
    <x v="0"/>
    <n v="144"/>
    <n v="144"/>
    <n v="49.137999999999998"/>
    <n v="49.137999999999998"/>
    <n v="49.137999999999998"/>
    <n v="49.137999999999998"/>
    <n v="0"/>
    <x v="0"/>
    <n v="0"/>
    <n v="43"/>
    <n v="44"/>
    <n v="27"/>
    <n v="23.41"/>
    <n v="72.23"/>
    <n v="223.72"/>
    <n v="23.763428126815878"/>
    <n v="102.01454208880898"/>
    <n v="221.35055346817671"/>
    <n v="3371.04"/>
    <n v="3549.23774"/>
    <n v="10993.15336"/>
    <n v="3421.9336502614865"/>
    <n v="5012.7905691598953"/>
    <n v="10876.723496319268"/>
  </r>
  <r>
    <s v="Regular"/>
    <x v="0"/>
    <x v="0"/>
    <x v="0"/>
    <x v="0"/>
    <x v="0"/>
    <x v="0"/>
    <x v="0"/>
    <x v="1"/>
    <n v="141"/>
    <n v="141"/>
    <n v="46.371000000000002"/>
    <n v="46.371000000000002"/>
    <n v="46.371000000000002"/>
    <n v="46.371000000000002"/>
    <n v="0"/>
    <x v="0"/>
    <n v="0"/>
    <n v="43"/>
    <n v="44"/>
    <n v="27"/>
    <n v="23.41"/>
    <n v="72.23"/>
    <n v="223.72"/>
    <n v="23.763428126815878"/>
    <n v="102.01454208880898"/>
    <n v="221.35055346817671"/>
    <n v="3300.81"/>
    <n v="3349.3773300000003"/>
    <n v="10374.12012"/>
    <n v="3350.6433658810388"/>
    <n v="4730.5163312001614"/>
    <n v="10264.246514872822"/>
  </r>
  <r>
    <s v="Regular"/>
    <x v="0"/>
    <x v="0"/>
    <x v="0"/>
    <x v="0"/>
    <x v="0"/>
    <x v="0"/>
    <x v="0"/>
    <x v="2"/>
    <n v="133"/>
    <n v="133"/>
    <n v="47.781999999999996"/>
    <n v="47.781999999999996"/>
    <n v="47.781999999999996"/>
    <n v="47.781999999999996"/>
    <n v="0"/>
    <x v="0"/>
    <n v="0"/>
    <n v="43"/>
    <n v="44"/>
    <n v="27"/>
    <n v="23.41"/>
    <n v="72.23"/>
    <n v="223.72"/>
    <n v="23.763428126815878"/>
    <n v="102.01454208880898"/>
    <n v="221.35055346817671"/>
    <n v="3113.53"/>
    <n v="3451.2938599999998"/>
    <n v="10689.78904"/>
    <n v="3160.5359408665117"/>
    <n v="4874.4588500874706"/>
    <n v="10576.572145816419"/>
  </r>
  <r>
    <s v="Regular"/>
    <x v="0"/>
    <x v="0"/>
    <x v="0"/>
    <x v="0"/>
    <x v="0"/>
    <x v="0"/>
    <x v="0"/>
    <x v="3"/>
    <n v="130"/>
    <n v="130"/>
    <n v="44.892000000000003"/>
    <n v="44.892000000000003"/>
    <n v="44.892000000000003"/>
    <n v="44.892000000000003"/>
    <n v="0"/>
    <x v="0"/>
    <n v="0"/>
    <n v="43"/>
    <n v="44"/>
    <n v="27"/>
    <n v="23.41"/>
    <n v="72.23"/>
    <n v="223.72"/>
    <n v="23.763428126815878"/>
    <n v="102.01454208880898"/>
    <n v="221.35055346817671"/>
    <n v="3043.3"/>
    <n v="3242.5491600000005"/>
    <n v="10043.238240000001"/>
    <n v="3089.245656486064"/>
    <n v="4579.6368234508127"/>
    <n v="9936.8690462933901"/>
  </r>
  <r>
    <s v="Regular"/>
    <x v="0"/>
    <x v="0"/>
    <x v="0"/>
    <x v="0"/>
    <x v="0"/>
    <x v="0"/>
    <x v="0"/>
    <x v="4"/>
    <n v="134"/>
    <n v="134"/>
    <n v="49.273000000000003"/>
    <n v="49.273000000000003"/>
    <n v="49.273000000000003"/>
    <n v="49.273000000000003"/>
    <n v="0"/>
    <x v="0"/>
    <n v="0"/>
    <n v="43"/>
    <n v="44"/>
    <n v="27"/>
    <n v="23.41"/>
    <n v="72.23"/>
    <n v="223.72"/>
    <n v="23.763428126815878"/>
    <n v="102.01454208880898"/>
    <n v="221.35055346817671"/>
    <n v="3136.94"/>
    <n v="3558.9887900000003"/>
    <n v="11023.35556"/>
    <n v="3184.2993689933278"/>
    <n v="5026.5625323418853"/>
    <n v="10906.605821037472"/>
  </r>
  <r>
    <s v="Regular"/>
    <x v="0"/>
    <x v="0"/>
    <x v="0"/>
    <x v="0"/>
    <x v="0"/>
    <x v="0"/>
    <x v="0"/>
    <x v="5"/>
    <n v="144"/>
    <n v="144"/>
    <n v="48.862000000000002"/>
    <n v="48.862000000000002"/>
    <n v="48.862000000000002"/>
    <n v="48.862000000000002"/>
    <n v="0"/>
    <x v="0"/>
    <n v="0"/>
    <n v="43"/>
    <n v="44"/>
    <n v="27"/>
    <n v="23.41"/>
    <n v="72.23"/>
    <n v="223.72"/>
    <n v="23.763428126815878"/>
    <n v="102.01454208880898"/>
    <n v="221.35055346817671"/>
    <n v="3371.04"/>
    <n v="3529.3022600000004"/>
    <n v="10931.406640000001"/>
    <n v="3421.9336502614865"/>
    <n v="4984.6345555433845"/>
    <n v="10815.630743562051"/>
  </r>
  <r>
    <s v="Regular"/>
    <x v="0"/>
    <x v="0"/>
    <x v="0"/>
    <x v="0"/>
    <x v="0"/>
    <x v="0"/>
    <x v="0"/>
    <x v="6"/>
    <n v="146"/>
    <n v="146"/>
    <n v="47.463999999999999"/>
    <n v="47.463999999999999"/>
    <n v="47.463999999999999"/>
    <n v="47.463999999999999"/>
    <n v="0"/>
    <x v="0"/>
    <n v="0"/>
    <n v="43"/>
    <n v="44"/>
    <n v="27"/>
    <n v="23.41"/>
    <n v="72.23"/>
    <n v="223.72"/>
    <n v="23.763428126815878"/>
    <n v="102.01454208880898"/>
    <n v="221.35055346817671"/>
    <n v="3417.86"/>
    <n v="3428.3247200000001"/>
    <n v="10618.64608"/>
    <n v="3469.4605065151181"/>
    <n v="4842.0182257032293"/>
    <n v="10506.182669813539"/>
  </r>
  <r>
    <s v="Regular"/>
    <x v="0"/>
    <x v="0"/>
    <x v="0"/>
    <x v="0"/>
    <x v="0"/>
    <x v="0"/>
    <x v="0"/>
    <x v="7"/>
    <n v="136"/>
    <n v="136"/>
    <n v="48.194000000000003"/>
    <n v="48.194000000000003"/>
    <n v="48.194000000000003"/>
    <n v="48.194000000000003"/>
    <n v="0"/>
    <x v="0"/>
    <n v="0"/>
    <n v="43"/>
    <n v="44"/>
    <n v="27"/>
    <n v="23.41"/>
    <n v="72.23"/>
    <n v="223.72"/>
    <n v="23.763428126815878"/>
    <n v="102.01454208880898"/>
    <n v="221.35055346817671"/>
    <n v="3183.76"/>
    <n v="3481.0526200000004"/>
    <n v="10781.96168"/>
    <n v="3231.8262252469594"/>
    <n v="4916.4888414280604"/>
    <n v="10667.768573845309"/>
  </r>
  <r>
    <s v="Regular"/>
    <x v="0"/>
    <x v="0"/>
    <x v="0"/>
    <x v="0"/>
    <x v="0"/>
    <x v="0"/>
    <x v="0"/>
    <x v="8"/>
    <n v="145"/>
    <n v="145"/>
    <n v="47.460999999999999"/>
    <n v="47.460999999999999"/>
    <n v="47.460999999999999"/>
    <n v="47.460999999999999"/>
    <n v="0"/>
    <x v="0"/>
    <n v="0"/>
    <n v="43"/>
    <n v="44"/>
    <n v="27"/>
    <n v="23.41"/>
    <n v="72.23"/>
    <n v="223.72"/>
    <n v="23.763428126815878"/>
    <n v="102.01454208880898"/>
    <n v="221.35055346817671"/>
    <n v="3394.45"/>
    <n v="3428.1080299999999"/>
    <n v="10617.974919999999"/>
    <n v="3445.6970783883021"/>
    <n v="4841.7121820769626"/>
    <n v="10505.518618153135"/>
  </r>
  <r>
    <s v="Regular"/>
    <x v="0"/>
    <x v="0"/>
    <x v="0"/>
    <x v="0"/>
    <x v="0"/>
    <x v="0"/>
    <x v="0"/>
    <x v="9"/>
    <n v="138"/>
    <n v="138"/>
    <n v="49.167000000000002"/>
    <n v="49.167000000000002"/>
    <n v="49.167000000000002"/>
    <n v="49.167000000000002"/>
    <n v="0"/>
    <x v="0"/>
    <n v="0"/>
    <n v="43"/>
    <n v="44"/>
    <n v="27"/>
    <n v="23.41"/>
    <n v="72.23"/>
    <n v="223.72"/>
    <n v="23.763428126815878"/>
    <n v="102.01454208880898"/>
    <n v="221.35055346817671"/>
    <n v="3230.58"/>
    <n v="3551.3324100000004"/>
    <n v="10999.641240000001"/>
    <n v="3279.3530815005911"/>
    <n v="5015.748990880471"/>
    <n v="10883.142662369844"/>
  </r>
  <r>
    <s v="Regular"/>
    <x v="0"/>
    <x v="0"/>
    <x v="0"/>
    <x v="0"/>
    <x v="0"/>
    <x v="0"/>
    <x v="0"/>
    <x v="10"/>
    <n v="146"/>
    <n v="146"/>
    <n v="49.627000000000002"/>
    <n v="49.627000000000002"/>
    <n v="49.627000000000002"/>
    <n v="49.627000000000002"/>
    <n v="0"/>
    <x v="0"/>
    <n v="0"/>
    <n v="43"/>
    <n v="44"/>
    <n v="27"/>
    <n v="23.41"/>
    <n v="72.23"/>
    <n v="223.72"/>
    <n v="23.763428126815878"/>
    <n v="102.01454208880898"/>
    <n v="221.35055346817671"/>
    <n v="3417.86"/>
    <n v="3584.5582100000006"/>
    <n v="11102.552440000001"/>
    <n v="3469.4605065151181"/>
    <n v="5062.6756802413238"/>
    <n v="10984.963916965205"/>
  </r>
  <r>
    <s v="PROJETADO"/>
    <x v="0"/>
    <x v="0"/>
    <x v="0"/>
    <x v="0"/>
    <x v="0"/>
    <x v="0"/>
    <x v="0"/>
    <x v="11"/>
    <n v="146"/>
    <n v="146"/>
    <n v="49.627000000000002"/>
    <n v="49.627000000000002"/>
    <n v="49.627000000000002"/>
    <n v="49.627000000000002"/>
    <n v="0"/>
    <x v="0"/>
    <n v="0"/>
    <n v="43"/>
    <n v="44"/>
    <n v="27"/>
    <n v="23.41"/>
    <n v="72.23"/>
    <n v="223.72"/>
    <n v="23.763428126815878"/>
    <n v="102.01454208880898"/>
    <n v="221.35055346817671"/>
    <n v="3417.86"/>
    <n v="3584.5582100000006"/>
    <n v="11102.552440000001"/>
    <n v="3469.4605065151181"/>
    <n v="5062.6756802413238"/>
    <n v="10984.963916965205"/>
  </r>
  <r>
    <s v="Regular"/>
    <x v="0"/>
    <x v="0"/>
    <x v="0"/>
    <x v="0"/>
    <x v="0"/>
    <x v="0"/>
    <x v="1"/>
    <x v="0"/>
    <n v="141"/>
    <n v="141"/>
    <n v="5.5830000000000002"/>
    <n v="5.5830000000000002"/>
    <n v="5.5830000000000002"/>
    <n v="5.5830000000000002"/>
    <n v="0"/>
    <x v="0"/>
    <n v="0"/>
    <n v="64"/>
    <n v="44"/>
    <n v="6"/>
    <n v="91.15"/>
    <n v="72.23"/>
    <n v="223.72"/>
    <n v="92.507952398514206"/>
    <n v="102.01454208880898"/>
    <n v="221.35055346817671"/>
    <n v="12852.150000000001"/>
    <n v="403.26009000000005"/>
    <n v="1249.0287600000001"/>
    <n v="13043.621288190503"/>
    <n v="569.54718848182051"/>
    <n v="1235.8001400128305"/>
  </r>
  <r>
    <s v="Regular"/>
    <x v="0"/>
    <x v="0"/>
    <x v="0"/>
    <x v="0"/>
    <x v="0"/>
    <x v="0"/>
    <x v="1"/>
    <x v="1"/>
    <n v="130"/>
    <n v="130"/>
    <n v="5.7889999999999997"/>
    <n v="5.7889999999999997"/>
    <n v="5.7889999999999997"/>
    <n v="5.7889999999999997"/>
    <n v="0"/>
    <x v="0"/>
    <n v="0"/>
    <n v="64"/>
    <n v="44"/>
    <n v="6"/>
    <n v="91.15"/>
    <n v="72.23"/>
    <n v="223.72"/>
    <n v="92.507952398514206"/>
    <n v="102.01454208880898"/>
    <n v="221.35055346817671"/>
    <n v="11849.5"/>
    <n v="418.13947000000002"/>
    <n v="1295.11508"/>
    <n v="12026.033811806847"/>
    <n v="590.56218415211515"/>
    <n v="1281.398354027275"/>
  </r>
  <r>
    <s v="Regular"/>
    <x v="0"/>
    <x v="0"/>
    <x v="0"/>
    <x v="0"/>
    <x v="0"/>
    <x v="0"/>
    <x v="1"/>
    <x v="2"/>
    <n v="131"/>
    <n v="131"/>
    <n v="5.8019999999999996"/>
    <n v="5.8019999999999996"/>
    <n v="5.8019999999999996"/>
    <n v="5.8019999999999996"/>
    <n v="0"/>
    <x v="0"/>
    <n v="0"/>
    <n v="64"/>
    <n v="44"/>
    <n v="6"/>
    <n v="91.15"/>
    <n v="72.23"/>
    <n v="223.72"/>
    <n v="92.507952398514206"/>
    <n v="102.01454208880898"/>
    <n v="221.35055346817671"/>
    <n v="11940.650000000001"/>
    <n v="419.07846000000001"/>
    <n v="1298.0234399999999"/>
    <n v="12118.541764205362"/>
    <n v="591.88837319926961"/>
    <n v="1284.2759112223612"/>
  </r>
  <r>
    <s v="Regular"/>
    <x v="0"/>
    <x v="0"/>
    <x v="0"/>
    <x v="0"/>
    <x v="0"/>
    <x v="0"/>
    <x v="1"/>
    <x v="3"/>
    <n v="138"/>
    <n v="138"/>
    <n v="5.3609999999999998"/>
    <n v="5.3609999999999998"/>
    <n v="5.3609999999999998"/>
    <n v="5.3609999999999998"/>
    <n v="0"/>
    <x v="0"/>
    <n v="0"/>
    <n v="64"/>
    <n v="44"/>
    <n v="6"/>
    <n v="91.15"/>
    <n v="72.23"/>
    <n v="223.72"/>
    <n v="92.507952398514206"/>
    <n v="102.01454208880898"/>
    <n v="221.35055346817671"/>
    <n v="12578.7"/>
    <n v="387.22503"/>
    <n v="1199.36292"/>
    <n v="12766.09743099496"/>
    <n v="546.89996013810492"/>
    <n v="1186.6603171428953"/>
  </r>
  <r>
    <s v="Regular"/>
    <x v="0"/>
    <x v="0"/>
    <x v="0"/>
    <x v="0"/>
    <x v="0"/>
    <x v="0"/>
    <x v="1"/>
    <x v="4"/>
    <n v="147"/>
    <n v="147"/>
    <n v="5.9880000000000004"/>
    <n v="5.9880000000000004"/>
    <n v="5.9880000000000004"/>
    <n v="5.9880000000000004"/>
    <n v="0"/>
    <x v="0"/>
    <n v="0"/>
    <n v="64"/>
    <n v="44"/>
    <n v="6"/>
    <n v="91.15"/>
    <n v="72.23"/>
    <n v="223.72"/>
    <n v="92.507952398514206"/>
    <n v="102.01454208880898"/>
    <n v="221.35055346817671"/>
    <n v="13399.050000000001"/>
    <n v="432.51324000000005"/>
    <n v="1339.63536"/>
    <n v="13598.669002581588"/>
    <n v="610.86307802778822"/>
    <n v="1325.4471141674424"/>
  </r>
  <r>
    <s v="Regular"/>
    <x v="0"/>
    <x v="0"/>
    <x v="0"/>
    <x v="0"/>
    <x v="0"/>
    <x v="0"/>
    <x v="1"/>
    <x v="5"/>
    <n v="140"/>
    <n v="140"/>
    <n v="5.9980000000000002"/>
    <n v="5.9980000000000002"/>
    <n v="5.9980000000000002"/>
    <n v="5.9980000000000002"/>
    <n v="0"/>
    <x v="0"/>
    <n v="0"/>
    <n v="64"/>
    <n v="44"/>
    <n v="6"/>
    <n v="91.15"/>
    <n v="72.23"/>
    <n v="223.72"/>
    <n v="92.507952398514206"/>
    <n v="102.01454208880898"/>
    <n v="221.35055346817671"/>
    <n v="12761"/>
    <n v="433.23554000000001"/>
    <n v="1341.87256"/>
    <n v="12951.113335791988"/>
    <n v="611.88322344867629"/>
    <n v="1327.660619702124"/>
  </r>
  <r>
    <s v="Regular"/>
    <x v="0"/>
    <x v="0"/>
    <x v="0"/>
    <x v="0"/>
    <x v="0"/>
    <x v="0"/>
    <x v="1"/>
    <x v="6"/>
    <n v="146"/>
    <n v="146"/>
    <n v="5.1360000000000001"/>
    <n v="5.1360000000000001"/>
    <n v="5.1360000000000001"/>
    <n v="5.1360000000000001"/>
    <n v="0"/>
    <x v="0"/>
    <n v="0"/>
    <n v="64"/>
    <n v="44"/>
    <n v="6"/>
    <n v="91.15"/>
    <n v="72.23"/>
    <n v="223.72"/>
    <n v="92.507952398514206"/>
    <n v="102.01454208880898"/>
    <n v="221.35055346817671"/>
    <n v="13307.900000000001"/>
    <n v="370.97328000000005"/>
    <n v="1149.02592"/>
    <n v="13506.161050183075"/>
    <n v="523.94668816812293"/>
    <n v="1136.8564426125556"/>
  </r>
  <r>
    <s v="Regular"/>
    <x v="0"/>
    <x v="0"/>
    <x v="0"/>
    <x v="0"/>
    <x v="0"/>
    <x v="0"/>
    <x v="1"/>
    <x v="7"/>
    <n v="135"/>
    <n v="135"/>
    <n v="5.3890000000000002"/>
    <n v="5.3890000000000002"/>
    <n v="5.3890000000000002"/>
    <n v="5.3890000000000002"/>
    <n v="0"/>
    <x v="0"/>
    <n v="0"/>
    <n v="64"/>
    <n v="44"/>
    <n v="6"/>
    <n v="91.15"/>
    <n v="72.23"/>
    <n v="223.72"/>
    <n v="92.507952398514206"/>
    <n v="102.01454208880898"/>
    <n v="221.35055346817671"/>
    <n v="12305.25"/>
    <n v="389.24747000000002"/>
    <n v="1205.62708"/>
    <n v="12488.573573799418"/>
    <n v="549.75636731659165"/>
    <n v="1192.8581326400044"/>
  </r>
  <r>
    <s v="Regular"/>
    <x v="0"/>
    <x v="0"/>
    <x v="0"/>
    <x v="0"/>
    <x v="0"/>
    <x v="0"/>
    <x v="1"/>
    <x v="8"/>
    <n v="149"/>
    <n v="149"/>
    <n v="5.649"/>
    <n v="5.649"/>
    <n v="5.649"/>
    <n v="5.649"/>
    <n v="0"/>
    <x v="0"/>
    <n v="0"/>
    <n v="64"/>
    <n v="44"/>
    <n v="6"/>
    <n v="91.15"/>
    <n v="72.23"/>
    <n v="223.72"/>
    <n v="92.507952398514206"/>
    <n v="102.01454208880898"/>
    <n v="221.35055346817671"/>
    <n v="13581.35"/>
    <n v="408.02727000000004"/>
    <n v="1263.7942800000001"/>
    <n v="13783.684907378616"/>
    <n v="576.28014825968194"/>
    <n v="1250.4092765417302"/>
  </r>
  <r>
    <s v="Regular"/>
    <x v="0"/>
    <x v="0"/>
    <x v="0"/>
    <x v="0"/>
    <x v="0"/>
    <x v="0"/>
    <x v="1"/>
    <x v="9"/>
    <n v="140"/>
    <n v="140"/>
    <n v="5.13"/>
    <n v="5.13"/>
    <n v="5.13"/>
    <n v="5.13"/>
    <n v="0"/>
    <x v="0"/>
    <n v="0"/>
    <n v="64"/>
    <n v="44"/>
    <n v="6"/>
    <n v="91.15"/>
    <n v="72.23"/>
    <n v="223.72"/>
    <n v="92.507952398514206"/>
    <n v="102.01454208880898"/>
    <n v="221.35055346817671"/>
    <n v="12761"/>
    <n v="370.53989999999999"/>
    <n v="1147.6836000000001"/>
    <n v="12951.113335791988"/>
    <n v="523.33460091559004"/>
    <n v="1135.5283392917465"/>
  </r>
  <r>
    <s v="Regular"/>
    <x v="0"/>
    <x v="0"/>
    <x v="0"/>
    <x v="0"/>
    <x v="0"/>
    <x v="0"/>
    <x v="1"/>
    <x v="10"/>
    <n v="141"/>
    <n v="141"/>
    <n v="5.7220000000000004"/>
    <n v="5.7220000000000004"/>
    <n v="5.7220000000000004"/>
    <n v="5.7220000000000004"/>
    <n v="0"/>
    <x v="0"/>
    <n v="0"/>
    <n v="64"/>
    <n v="44"/>
    <n v="6"/>
    <n v="91.15"/>
    <n v="72.23"/>
    <n v="223.72"/>
    <n v="92.507952398514206"/>
    <n v="102.01454208880898"/>
    <n v="221.35055346817671"/>
    <n v="12852.150000000001"/>
    <n v="413.30006000000003"/>
    <n v="1280.1258400000002"/>
    <n v="13043.621288190503"/>
    <n v="583.72720983216504"/>
    <n v="1266.5678669449073"/>
  </r>
  <r>
    <s v="PROJETADO"/>
    <x v="0"/>
    <x v="0"/>
    <x v="0"/>
    <x v="0"/>
    <x v="0"/>
    <x v="0"/>
    <x v="1"/>
    <x v="11"/>
    <n v="141"/>
    <n v="141"/>
    <n v="5.7220000000000004"/>
    <n v="5.7220000000000004"/>
    <n v="5.7220000000000004"/>
    <n v="5.7220000000000004"/>
    <n v="0"/>
    <x v="0"/>
    <n v="0"/>
    <n v="64"/>
    <n v="44"/>
    <n v="6"/>
    <n v="91.15"/>
    <n v="72.23"/>
    <n v="223.72"/>
    <n v="92.507952398514206"/>
    <n v="102.01454208880898"/>
    <n v="221.35055346817671"/>
    <n v="12852.150000000001"/>
    <n v="413.30006000000003"/>
    <n v="1280.1258400000002"/>
    <n v="13043.621288190503"/>
    <n v="583.72720983216504"/>
    <n v="1266.5678669449073"/>
  </r>
  <r>
    <s v="Regular"/>
    <x v="0"/>
    <x v="1"/>
    <x v="1"/>
    <x v="0"/>
    <x v="0"/>
    <x v="0"/>
    <x v="0"/>
    <x v="0"/>
    <n v="0"/>
    <n v="0"/>
    <n v="296.86"/>
    <n v="296.86"/>
    <n v="296.86"/>
    <n v="296.86"/>
    <n v="0"/>
    <x v="0"/>
    <n v="0"/>
    <n v="0"/>
    <n v="47"/>
    <n v="27"/>
    <n v="0"/>
    <n v="72.23"/>
    <n v="223.72"/>
    <m/>
    <n v="102.01454208880898"/>
    <n v="221.35055346817671"/>
    <n v="0"/>
    <n v="21442.197800000002"/>
    <n v="66413.51920000001"/>
    <n v="0"/>
    <n v="30284.036964483836"/>
    <n v="65710.125302562941"/>
  </r>
  <r>
    <s v="Sistema de Compensação"/>
    <x v="0"/>
    <x v="1"/>
    <x v="1"/>
    <x v="0"/>
    <x v="0"/>
    <x v="0"/>
    <x v="0"/>
    <x v="0"/>
    <n v="0"/>
    <n v="0"/>
    <n v="2.214"/>
    <n v="2.214"/>
    <n v="2.214"/>
    <n v="2.214"/>
    <n v="0"/>
    <x v="0"/>
    <n v="0"/>
    <n v="0"/>
    <n v="47"/>
    <n v="27"/>
    <n v="0"/>
    <n v="72.23"/>
    <n v="223.72"/>
    <m/>
    <n v="102.01454208880898"/>
    <n v="221.35055346817671"/>
    <n v="0"/>
    <n v="159.91722000000001"/>
    <n v="495.31608"/>
    <n v="0"/>
    <n v="225.86019618462308"/>
    <n v="490.07012537854325"/>
  </r>
  <r>
    <s v="Regular"/>
    <x v="0"/>
    <x v="1"/>
    <x v="1"/>
    <x v="0"/>
    <x v="0"/>
    <x v="0"/>
    <x v="0"/>
    <x v="1"/>
    <n v="0"/>
    <n v="0"/>
    <n v="198.17699999999999"/>
    <n v="198.17699999999999"/>
    <n v="198.17699999999999"/>
    <n v="198.17699999999999"/>
    <n v="0"/>
    <x v="0"/>
    <n v="0"/>
    <n v="0"/>
    <n v="47"/>
    <n v="27"/>
    <n v="0"/>
    <n v="72.23"/>
    <n v="223.72"/>
    <m/>
    <n v="102.01454208880898"/>
    <n v="221.35055346817671"/>
    <n v="0"/>
    <n v="14314.324710000001"/>
    <n v="44336.158439999999"/>
    <n v="0"/>
    <n v="20216.935907533898"/>
    <n v="43866.588634662854"/>
  </r>
  <r>
    <s v="Regular"/>
    <x v="0"/>
    <x v="1"/>
    <x v="1"/>
    <x v="0"/>
    <x v="0"/>
    <x v="0"/>
    <x v="0"/>
    <x v="2"/>
    <n v="0"/>
    <n v="0"/>
    <n v="179.04400000000001"/>
    <n v="179.04400000000001"/>
    <n v="179.04400000000001"/>
    <n v="179.04400000000001"/>
    <n v="0"/>
    <x v="0"/>
    <n v="0"/>
    <n v="0"/>
    <n v="47"/>
    <n v="27"/>
    <n v="0"/>
    <n v="72.23"/>
    <n v="223.72"/>
    <m/>
    <n v="102.01454208880898"/>
    <n v="221.35055346817671"/>
    <n v="0"/>
    <n v="12932.348120000002"/>
    <n v="40055.723680000003"/>
    <n v="0"/>
    <n v="18265.091673748717"/>
    <n v="39631.488495156234"/>
  </r>
  <r>
    <s v="Sistema de Compensação"/>
    <x v="0"/>
    <x v="1"/>
    <x v="1"/>
    <x v="0"/>
    <x v="0"/>
    <x v="0"/>
    <x v="0"/>
    <x v="2"/>
    <n v="0"/>
    <n v="0"/>
    <n v="7.2919999999999998"/>
    <n v="7.2919999999999998"/>
    <n v="7.2919999999999998"/>
    <n v="7.2919999999999998"/>
    <n v="0"/>
    <x v="0"/>
    <n v="0"/>
    <n v="0"/>
    <n v="47"/>
    <n v="27"/>
    <n v="0"/>
    <n v="72.23"/>
    <n v="223.72"/>
    <m/>
    <n v="102.01454208880898"/>
    <n v="221.35055346817671"/>
    <n v="0"/>
    <n v="526.70115999999996"/>
    <n v="1631.3662400000001"/>
    <n v="0"/>
    <n v="743.89004091159507"/>
    <n v="1614.0882358899446"/>
  </r>
  <r>
    <s v="Regular"/>
    <x v="0"/>
    <x v="1"/>
    <x v="1"/>
    <x v="0"/>
    <x v="0"/>
    <x v="0"/>
    <x v="0"/>
    <x v="3"/>
    <n v="0"/>
    <n v="0"/>
    <n v="235.37799999999999"/>
    <n v="235.37799999999999"/>
    <n v="235.37799999999999"/>
    <n v="235.37799999999999"/>
    <n v="0"/>
    <x v="0"/>
    <n v="0"/>
    <n v="0"/>
    <n v="47"/>
    <n v="27"/>
    <n v="0"/>
    <n v="72.23"/>
    <n v="223.72"/>
    <m/>
    <n v="102.01454208880898"/>
    <n v="221.35055346817671"/>
    <n v="0"/>
    <n v="17001.352940000001"/>
    <n v="52658.766159999999"/>
    <n v="0"/>
    <n v="24011.978887779678"/>
    <n v="52101.050574232497"/>
  </r>
  <r>
    <s v="Sistema de Compensação"/>
    <x v="0"/>
    <x v="1"/>
    <x v="1"/>
    <x v="0"/>
    <x v="0"/>
    <x v="0"/>
    <x v="0"/>
    <x v="3"/>
    <n v="0"/>
    <n v="0"/>
    <n v="0.127"/>
    <n v="0.127"/>
    <n v="0.127"/>
    <n v="0.127"/>
    <n v="0"/>
    <x v="0"/>
    <n v="0"/>
    <n v="0"/>
    <n v="47"/>
    <n v="27"/>
    <n v="0"/>
    <n v="72.23"/>
    <n v="223.72"/>
    <m/>
    <n v="102.01454208880898"/>
    <n v="221.35055346817671"/>
    <n v="0"/>
    <n v="9.173210000000001"/>
    <n v="28.41244"/>
    <n v="0"/>
    <n v="12.955846845278741"/>
    <n v="28.111520290458444"/>
  </r>
  <r>
    <s v="Regular"/>
    <x v="0"/>
    <x v="1"/>
    <x v="1"/>
    <x v="0"/>
    <x v="0"/>
    <x v="0"/>
    <x v="0"/>
    <x v="4"/>
    <n v="0"/>
    <n v="0"/>
    <n v="273.22199999999998"/>
    <n v="273.22199999999998"/>
    <n v="273.22199999999998"/>
    <n v="273.22199999999998"/>
    <n v="0"/>
    <x v="0"/>
    <n v="0"/>
    <n v="0"/>
    <n v="47"/>
    <n v="27"/>
    <n v="0"/>
    <n v="72.23"/>
    <n v="223.72"/>
    <m/>
    <n v="102.01454208880898"/>
    <n v="221.35055346817671"/>
    <n v="0"/>
    <n v="19734.825059999999"/>
    <n v="61125.225839999992"/>
    <n v="0"/>
    <n v="27872.617218588566"/>
    <n v="60477.840919682174"/>
  </r>
  <r>
    <s v="Sistema de Compensação"/>
    <x v="0"/>
    <x v="1"/>
    <x v="1"/>
    <x v="0"/>
    <x v="0"/>
    <x v="0"/>
    <x v="0"/>
    <x v="4"/>
    <n v="0"/>
    <n v="0"/>
    <n v="24.135999999999999"/>
    <n v="24.135999999999999"/>
    <n v="24.135999999999999"/>
    <n v="24.135999999999999"/>
    <n v="0"/>
    <x v="0"/>
    <n v="0"/>
    <n v="0"/>
    <n v="47"/>
    <n v="27"/>
    <n v="0"/>
    <n v="72.23"/>
    <n v="223.72"/>
    <m/>
    <n v="102.01454208880898"/>
    <n v="221.35055346817671"/>
    <n v="0"/>
    <n v="1743.34328"/>
    <n v="5399.7059199999994"/>
    <n v="0"/>
    <n v="2462.2229878554936"/>
    <n v="5342.5169585079129"/>
  </r>
  <r>
    <s v="Regular"/>
    <x v="0"/>
    <x v="1"/>
    <x v="1"/>
    <x v="0"/>
    <x v="0"/>
    <x v="0"/>
    <x v="0"/>
    <x v="5"/>
    <n v="0"/>
    <n v="0"/>
    <n v="222.143"/>
    <n v="222.143"/>
    <n v="222.143"/>
    <n v="222.143"/>
    <n v="0"/>
    <x v="0"/>
    <n v="0"/>
    <n v="0"/>
    <n v="47"/>
    <n v="27"/>
    <n v="0"/>
    <n v="72.23"/>
    <n v="223.72"/>
    <m/>
    <n v="102.01454208880898"/>
    <n v="221.35055346817671"/>
    <n v="0"/>
    <n v="16045.38889"/>
    <n v="49697.831960000003"/>
    <n v="0"/>
    <n v="22661.816423234293"/>
    <n v="49171.47599908118"/>
  </r>
  <r>
    <s v="Sistema de Compensação"/>
    <x v="0"/>
    <x v="1"/>
    <x v="1"/>
    <x v="0"/>
    <x v="0"/>
    <x v="0"/>
    <x v="0"/>
    <x v="5"/>
    <n v="0"/>
    <n v="0"/>
    <n v="16.643000000000001"/>
    <n v="16.643000000000001"/>
    <n v="16.643000000000001"/>
    <n v="16.643000000000001"/>
    <n v="0"/>
    <x v="0"/>
    <n v="0"/>
    <n v="0"/>
    <n v="47"/>
    <n v="27"/>
    <n v="0"/>
    <n v="72.23"/>
    <n v="223.72"/>
    <m/>
    <n v="102.01454208880898"/>
    <n v="221.35055346817671"/>
    <n v="0"/>
    <n v="1202.1238900000001"/>
    <n v="3723.3719599999999"/>
    <n v="0"/>
    <n v="1697.8280239840478"/>
    <n v="3683.9372613708651"/>
  </r>
  <r>
    <s v="Regular"/>
    <x v="0"/>
    <x v="1"/>
    <x v="1"/>
    <x v="0"/>
    <x v="0"/>
    <x v="0"/>
    <x v="0"/>
    <x v="6"/>
    <n v="0"/>
    <n v="0"/>
    <n v="219.99100000000001"/>
    <n v="219.99100000000001"/>
    <n v="219.99100000000001"/>
    <n v="219.99100000000001"/>
    <n v="0"/>
    <x v="0"/>
    <n v="0"/>
    <n v="0"/>
    <n v="47"/>
    <n v="27"/>
    <n v="0"/>
    <n v="72.23"/>
    <n v="223.72"/>
    <m/>
    <n v="102.01454208880898"/>
    <n v="221.35055346817671"/>
    <n v="0"/>
    <n v="15889.949930000002"/>
    <n v="49216.38652"/>
    <n v="0"/>
    <n v="22442.281128659179"/>
    <n v="48695.129608017669"/>
  </r>
  <r>
    <s v="Sistema de Compensação"/>
    <x v="0"/>
    <x v="1"/>
    <x v="1"/>
    <x v="0"/>
    <x v="0"/>
    <x v="0"/>
    <x v="0"/>
    <x v="6"/>
    <n v="0"/>
    <n v="0"/>
    <n v="5.1479999999999997"/>
    <n v="5.1479999999999997"/>
    <n v="5.1479999999999997"/>
    <n v="5.1479999999999997"/>
    <n v="0"/>
    <x v="0"/>
    <n v="0"/>
    <n v="0"/>
    <n v="47"/>
    <n v="27"/>
    <n v="0"/>
    <n v="72.23"/>
    <n v="223.72"/>
    <m/>
    <n v="102.01454208880898"/>
    <n v="221.35055346817671"/>
    <n v="0"/>
    <n v="371.84003999999999"/>
    <n v="1151.71056"/>
    <n v="0"/>
    <n v="525.17086267318859"/>
    <n v="1139.5126492541735"/>
  </r>
  <r>
    <s v="Regular"/>
    <x v="0"/>
    <x v="1"/>
    <x v="1"/>
    <x v="0"/>
    <x v="0"/>
    <x v="0"/>
    <x v="0"/>
    <x v="7"/>
    <n v="0"/>
    <n v="0"/>
    <n v="285.875"/>
    <n v="285.875"/>
    <n v="285.875"/>
    <n v="285.875"/>
    <n v="0"/>
    <x v="0"/>
    <n v="0"/>
    <n v="0"/>
    <n v="47"/>
    <n v="27"/>
    <n v="0"/>
    <n v="72.23"/>
    <n v="223.72"/>
    <m/>
    <n v="102.01454208880898"/>
    <n v="221.35055346817671"/>
    <n v="0"/>
    <n v="20648.751250000001"/>
    <n v="63955.955000000002"/>
    <n v="0"/>
    <n v="29163.407219638266"/>
    <n v="63278.589472715015"/>
  </r>
  <r>
    <s v="Regular"/>
    <x v="0"/>
    <x v="1"/>
    <x v="1"/>
    <x v="0"/>
    <x v="0"/>
    <x v="0"/>
    <x v="0"/>
    <x v="8"/>
    <n v="0"/>
    <n v="0"/>
    <n v="293.13"/>
    <n v="293.13"/>
    <n v="293.13"/>
    <n v="293.13"/>
    <n v="0"/>
    <x v="0"/>
    <n v="0"/>
    <n v="0"/>
    <n v="47"/>
    <n v="27"/>
    <n v="0"/>
    <n v="72.23"/>
    <n v="223.72"/>
    <m/>
    <n v="102.01454208880898"/>
    <n v="221.35055346817671"/>
    <n v="0"/>
    <n v="21172.779900000001"/>
    <n v="65579.043600000005"/>
    <n v="0"/>
    <n v="29903.522722492577"/>
    <n v="64884.487738126641"/>
  </r>
  <r>
    <s v="Regular"/>
    <x v="0"/>
    <x v="1"/>
    <x v="1"/>
    <x v="0"/>
    <x v="0"/>
    <x v="0"/>
    <x v="0"/>
    <x v="9"/>
    <n v="0"/>
    <n v="0"/>
    <n v="302.39600000000002"/>
    <n v="302.39600000000002"/>
    <n v="302.39600000000002"/>
    <n v="302.39600000000002"/>
    <n v="0"/>
    <x v="0"/>
    <n v="0"/>
    <n v="0"/>
    <n v="47"/>
    <n v="27"/>
    <n v="0"/>
    <n v="72.23"/>
    <n v="223.72"/>
    <m/>
    <n v="102.01454208880898"/>
    <n v="221.35055346817671"/>
    <n v="0"/>
    <n v="21842.063080000004"/>
    <n v="67652.033120000007"/>
    <n v="0"/>
    <n v="30848.789469487481"/>
    <n v="66935.521966562766"/>
  </r>
  <r>
    <s v="Regular"/>
    <x v="0"/>
    <x v="1"/>
    <x v="1"/>
    <x v="0"/>
    <x v="0"/>
    <x v="0"/>
    <x v="0"/>
    <x v="10"/>
    <n v="0"/>
    <n v="0"/>
    <n v="339.04399999999998"/>
    <n v="339.04399999999998"/>
    <n v="339.04399999999998"/>
    <n v="339.04399999999998"/>
    <n v="0"/>
    <x v="0"/>
    <n v="0"/>
    <n v="0"/>
    <n v="47"/>
    <n v="27"/>
    <n v="0"/>
    <n v="72.23"/>
    <n v="223.72"/>
    <m/>
    <n v="102.01454208880898"/>
    <n v="221.35055346817671"/>
    <n v="0"/>
    <n v="24489.148120000002"/>
    <n v="75850.923679999993"/>
    <n v="0"/>
    <n v="34587.418407958154"/>
    <n v="75047.577050064501"/>
  </r>
  <r>
    <s v="PROJETADO"/>
    <x v="0"/>
    <x v="1"/>
    <x v="1"/>
    <x v="0"/>
    <x v="0"/>
    <x v="0"/>
    <x v="0"/>
    <x v="11"/>
    <n v="0"/>
    <n v="0"/>
    <n v="339.04399999999998"/>
    <n v="339.04399999999998"/>
    <n v="339.04399999999998"/>
    <n v="339.04399999999998"/>
    <n v="0"/>
    <x v="0"/>
    <n v="0"/>
    <n v="0"/>
    <n v="47"/>
    <n v="27"/>
    <n v="0"/>
    <n v="72.23"/>
    <n v="223.72"/>
    <m/>
    <n v="102.01454208880898"/>
    <n v="221.35055346817671"/>
    <n v="0"/>
    <n v="24489.148120000002"/>
    <n v="75850.923679999993"/>
    <n v="0"/>
    <n v="34587.418407958154"/>
    <n v="75047.577050064501"/>
  </r>
  <r>
    <s v="Regular"/>
    <x v="0"/>
    <x v="1"/>
    <x v="1"/>
    <x v="0"/>
    <x v="0"/>
    <x v="0"/>
    <x v="2"/>
    <x v="0"/>
    <n v="2379"/>
    <n v="2379"/>
    <n v="0"/>
    <n v="0"/>
    <n v="0"/>
    <n v="0"/>
    <n v="17"/>
    <x v="0"/>
    <n v="0"/>
    <n v="65"/>
    <n v="0"/>
    <n v="0"/>
    <n v="23.41"/>
    <n v="0"/>
    <n v="0"/>
    <n v="23.763428126815878"/>
    <m/>
    <m/>
    <n v="55692.39"/>
    <n v="0"/>
    <n v="0"/>
    <n v="56533.195513694976"/>
    <n v="0"/>
    <n v="0"/>
  </r>
  <r>
    <s v="Sistema de Compensação"/>
    <x v="0"/>
    <x v="1"/>
    <x v="1"/>
    <x v="0"/>
    <x v="0"/>
    <x v="0"/>
    <x v="2"/>
    <x v="0"/>
    <n v="330"/>
    <n v="330"/>
    <n v="0"/>
    <n v="0"/>
    <n v="0"/>
    <n v="0"/>
    <n v="1"/>
    <x v="0"/>
    <n v="0"/>
    <n v="65"/>
    <n v="0"/>
    <n v="0"/>
    <n v="23.41"/>
    <n v="0"/>
    <n v="0"/>
    <n v="23.763428126815878"/>
    <m/>
    <m/>
    <n v="7725.3"/>
    <n v="0"/>
    <n v="0"/>
    <n v="7841.9312818492399"/>
    <n v="0"/>
    <n v="0"/>
  </r>
  <r>
    <s v="Regular"/>
    <x v="0"/>
    <x v="1"/>
    <x v="1"/>
    <x v="0"/>
    <x v="0"/>
    <x v="0"/>
    <x v="2"/>
    <x v="1"/>
    <n v="2071"/>
    <n v="2071"/>
    <n v="0"/>
    <n v="0"/>
    <n v="0"/>
    <n v="0"/>
    <n v="16"/>
    <x v="0"/>
    <n v="0"/>
    <n v="65"/>
    <n v="0"/>
    <n v="0"/>
    <n v="23.41"/>
    <n v="0"/>
    <n v="0"/>
    <n v="23.763428126815878"/>
    <m/>
    <m/>
    <n v="48482.11"/>
    <n v="0"/>
    <n v="0"/>
    <n v="49214.059650635681"/>
    <n v="0"/>
    <n v="0"/>
  </r>
  <r>
    <s v="Sistema de Compensação"/>
    <x v="0"/>
    <x v="1"/>
    <x v="1"/>
    <x v="0"/>
    <x v="0"/>
    <x v="0"/>
    <x v="2"/>
    <x v="1"/>
    <n v="330"/>
    <n v="330"/>
    <n v="0"/>
    <n v="0"/>
    <n v="0"/>
    <n v="0"/>
    <n v="1"/>
    <x v="0"/>
    <n v="0"/>
    <n v="65"/>
    <n v="0"/>
    <n v="0"/>
    <n v="23.41"/>
    <n v="0"/>
    <n v="0"/>
    <n v="23.763428126815878"/>
    <m/>
    <m/>
    <n v="7725.3"/>
    <n v="0"/>
    <n v="0"/>
    <n v="7841.9312818492399"/>
    <n v="0"/>
    <n v="0"/>
  </r>
  <r>
    <s v="Regular"/>
    <x v="0"/>
    <x v="1"/>
    <x v="1"/>
    <x v="0"/>
    <x v="0"/>
    <x v="0"/>
    <x v="2"/>
    <x v="2"/>
    <n v="2040"/>
    <n v="2040"/>
    <n v="0"/>
    <n v="0"/>
    <n v="0"/>
    <n v="0"/>
    <n v="15"/>
    <x v="0"/>
    <n v="0"/>
    <n v="65"/>
    <n v="0"/>
    <n v="0"/>
    <n v="23.41"/>
    <n v="0"/>
    <n v="0"/>
    <n v="23.763428126815878"/>
    <m/>
    <m/>
    <n v="47756.4"/>
    <n v="0"/>
    <n v="0"/>
    <n v="48477.393378704393"/>
    <n v="0"/>
    <n v="0"/>
  </r>
  <r>
    <s v="Sistema de Compensação"/>
    <x v="0"/>
    <x v="1"/>
    <x v="1"/>
    <x v="0"/>
    <x v="0"/>
    <x v="0"/>
    <x v="2"/>
    <x v="2"/>
    <n v="330"/>
    <n v="330"/>
    <n v="0"/>
    <n v="0"/>
    <n v="0"/>
    <n v="0"/>
    <n v="1"/>
    <x v="0"/>
    <n v="0"/>
    <n v="65"/>
    <n v="0"/>
    <n v="0"/>
    <n v="23.41"/>
    <n v="0"/>
    <n v="0"/>
    <n v="23.763428126815878"/>
    <m/>
    <m/>
    <n v="7725.3"/>
    <n v="0"/>
    <n v="0"/>
    <n v="7841.9312818492399"/>
    <n v="0"/>
    <n v="0"/>
  </r>
  <r>
    <s v="Regular"/>
    <x v="0"/>
    <x v="1"/>
    <x v="1"/>
    <x v="0"/>
    <x v="0"/>
    <x v="0"/>
    <x v="2"/>
    <x v="3"/>
    <n v="2061"/>
    <n v="2061"/>
    <n v="0"/>
    <n v="0"/>
    <n v="0"/>
    <n v="0"/>
    <n v="15"/>
    <x v="0"/>
    <n v="0"/>
    <n v="65"/>
    <n v="0"/>
    <n v="0"/>
    <n v="23.41"/>
    <n v="0"/>
    <n v="0"/>
    <n v="23.763428126815878"/>
    <m/>
    <m/>
    <n v="48248.01"/>
    <n v="0"/>
    <n v="0"/>
    <n v="48976.425369367527"/>
    <n v="0"/>
    <n v="0"/>
  </r>
  <r>
    <s v="Sistema de Compensação"/>
    <x v="0"/>
    <x v="1"/>
    <x v="1"/>
    <x v="0"/>
    <x v="0"/>
    <x v="0"/>
    <x v="2"/>
    <x v="3"/>
    <n v="330"/>
    <n v="330"/>
    <n v="0"/>
    <n v="0"/>
    <n v="0"/>
    <n v="0"/>
    <n v="1"/>
    <x v="0"/>
    <n v="0"/>
    <n v="65"/>
    <n v="0"/>
    <n v="0"/>
    <n v="23.41"/>
    <n v="0"/>
    <n v="0"/>
    <n v="23.763428126815878"/>
    <m/>
    <m/>
    <n v="7725.3"/>
    <n v="0"/>
    <n v="0"/>
    <n v="7841.9312818492399"/>
    <n v="0"/>
    <n v="0"/>
  </r>
  <r>
    <s v="Regular"/>
    <x v="0"/>
    <x v="1"/>
    <x v="1"/>
    <x v="0"/>
    <x v="0"/>
    <x v="0"/>
    <x v="2"/>
    <x v="4"/>
    <n v="2146"/>
    <n v="2146"/>
    <n v="0"/>
    <n v="0"/>
    <n v="0"/>
    <n v="0"/>
    <n v="15"/>
    <x v="0"/>
    <n v="0"/>
    <n v="65"/>
    <n v="0"/>
    <n v="0"/>
    <n v="23.41"/>
    <n v="0"/>
    <n v="0"/>
    <n v="23.763428126815878"/>
    <m/>
    <m/>
    <n v="50237.86"/>
    <n v="0"/>
    <n v="0"/>
    <n v="50996.316760146874"/>
    <n v="0"/>
    <n v="0"/>
  </r>
  <r>
    <s v="Sistema de Compensação"/>
    <x v="0"/>
    <x v="1"/>
    <x v="1"/>
    <x v="0"/>
    <x v="0"/>
    <x v="0"/>
    <x v="2"/>
    <x v="4"/>
    <n v="330"/>
    <n v="330"/>
    <n v="0"/>
    <n v="0"/>
    <n v="0"/>
    <n v="0"/>
    <n v="1"/>
    <x v="0"/>
    <n v="0"/>
    <n v="65"/>
    <n v="0"/>
    <n v="0"/>
    <n v="23.41"/>
    <n v="0"/>
    <n v="0"/>
    <n v="23.763428126815878"/>
    <m/>
    <m/>
    <n v="7725.3"/>
    <n v="0"/>
    <n v="0"/>
    <n v="7841.9312818492399"/>
    <n v="0"/>
    <n v="0"/>
  </r>
  <r>
    <s v="Regular"/>
    <x v="0"/>
    <x v="1"/>
    <x v="1"/>
    <x v="0"/>
    <x v="0"/>
    <x v="0"/>
    <x v="2"/>
    <x v="5"/>
    <n v="2044"/>
    <n v="2044"/>
    <n v="0"/>
    <n v="0"/>
    <n v="0"/>
    <n v="0"/>
    <n v="15"/>
    <x v="0"/>
    <n v="0"/>
    <n v="65"/>
    <n v="0"/>
    <n v="0"/>
    <n v="23.41"/>
    <n v="0"/>
    <n v="0"/>
    <n v="23.763428126815878"/>
    <m/>
    <m/>
    <n v="47850.04"/>
    <n v="0"/>
    <n v="0"/>
    <n v="48572.447091211652"/>
    <n v="0"/>
    <n v="0"/>
  </r>
  <r>
    <s v="Sistema de Compensação"/>
    <x v="0"/>
    <x v="1"/>
    <x v="1"/>
    <x v="0"/>
    <x v="0"/>
    <x v="0"/>
    <x v="2"/>
    <x v="5"/>
    <n v="330"/>
    <n v="330"/>
    <n v="0"/>
    <n v="0"/>
    <n v="0"/>
    <n v="0"/>
    <n v="1"/>
    <x v="0"/>
    <n v="0"/>
    <n v="65"/>
    <n v="0"/>
    <n v="0"/>
    <n v="23.41"/>
    <n v="0"/>
    <n v="0"/>
    <n v="23.763428126815878"/>
    <m/>
    <m/>
    <n v="7725.3"/>
    <n v="0"/>
    <n v="0"/>
    <n v="7841.9312818492399"/>
    <n v="0"/>
    <n v="0"/>
  </r>
  <r>
    <s v="Regular"/>
    <x v="0"/>
    <x v="1"/>
    <x v="1"/>
    <x v="0"/>
    <x v="0"/>
    <x v="0"/>
    <x v="2"/>
    <x v="6"/>
    <n v="2011"/>
    <n v="2011"/>
    <n v="0"/>
    <n v="0"/>
    <n v="0"/>
    <n v="0"/>
    <n v="15"/>
    <x v="0"/>
    <n v="0"/>
    <n v="65"/>
    <n v="0"/>
    <n v="0"/>
    <n v="23.41"/>
    <n v="0"/>
    <n v="0"/>
    <n v="23.763428126815878"/>
    <m/>
    <m/>
    <n v="47077.51"/>
    <n v="0"/>
    <n v="0"/>
    <n v="47788.253963026727"/>
    <n v="0"/>
    <n v="0"/>
  </r>
  <r>
    <s v="Sistema de Compensação"/>
    <x v="0"/>
    <x v="1"/>
    <x v="1"/>
    <x v="0"/>
    <x v="0"/>
    <x v="0"/>
    <x v="2"/>
    <x v="6"/>
    <n v="330"/>
    <n v="330"/>
    <n v="0"/>
    <n v="0"/>
    <n v="0"/>
    <n v="0"/>
    <n v="1"/>
    <x v="0"/>
    <n v="0"/>
    <n v="65"/>
    <n v="0"/>
    <n v="0"/>
    <n v="23.41"/>
    <n v="0"/>
    <n v="0"/>
    <n v="23.763428126815878"/>
    <m/>
    <m/>
    <n v="7725.3"/>
    <n v="0"/>
    <n v="0"/>
    <n v="7841.9312818492399"/>
    <n v="0"/>
    <n v="0"/>
  </r>
  <r>
    <s v="Regular"/>
    <x v="0"/>
    <x v="1"/>
    <x v="1"/>
    <x v="0"/>
    <x v="0"/>
    <x v="0"/>
    <x v="2"/>
    <x v="7"/>
    <n v="2100"/>
    <n v="2100"/>
    <n v="0"/>
    <n v="0"/>
    <n v="0"/>
    <n v="0"/>
    <n v="15"/>
    <x v="0"/>
    <n v="0"/>
    <n v="65"/>
    <n v="0"/>
    <n v="0"/>
    <n v="23.41"/>
    <n v="0"/>
    <n v="0"/>
    <n v="23.763428126815878"/>
    <m/>
    <m/>
    <n v="49161"/>
    <n v="0"/>
    <n v="0"/>
    <n v="49903.199066313347"/>
    <n v="0"/>
    <n v="0"/>
  </r>
  <r>
    <s v="Sistema de Compensação"/>
    <x v="0"/>
    <x v="1"/>
    <x v="1"/>
    <x v="0"/>
    <x v="0"/>
    <x v="0"/>
    <x v="2"/>
    <x v="7"/>
    <n v="330"/>
    <n v="330"/>
    <n v="0"/>
    <n v="0"/>
    <n v="0"/>
    <n v="0"/>
    <n v="1"/>
    <x v="0"/>
    <n v="0"/>
    <n v="65"/>
    <n v="0"/>
    <n v="0"/>
    <n v="23.41"/>
    <n v="0"/>
    <n v="0"/>
    <n v="23.763428126815878"/>
    <m/>
    <m/>
    <n v="7725.3"/>
    <n v="0"/>
    <n v="0"/>
    <n v="7841.9312818492399"/>
    <n v="0"/>
    <n v="0"/>
  </r>
  <r>
    <s v="Regular"/>
    <x v="0"/>
    <x v="1"/>
    <x v="1"/>
    <x v="0"/>
    <x v="0"/>
    <x v="0"/>
    <x v="2"/>
    <x v="8"/>
    <n v="2082"/>
    <n v="2082"/>
    <n v="0"/>
    <n v="0"/>
    <n v="0"/>
    <n v="0"/>
    <n v="15"/>
    <x v="0"/>
    <n v="0"/>
    <n v="65"/>
    <n v="0"/>
    <n v="0"/>
    <n v="23.41"/>
    <n v="0"/>
    <n v="0"/>
    <n v="23.763428126815878"/>
    <m/>
    <m/>
    <n v="48739.62"/>
    <n v="0"/>
    <n v="0"/>
    <n v="49475.457360030661"/>
    <n v="0"/>
    <n v="0"/>
  </r>
  <r>
    <s v="Sistema de Compensação"/>
    <x v="0"/>
    <x v="1"/>
    <x v="1"/>
    <x v="0"/>
    <x v="0"/>
    <x v="0"/>
    <x v="2"/>
    <x v="8"/>
    <n v="330"/>
    <n v="330"/>
    <n v="0"/>
    <n v="0"/>
    <n v="0"/>
    <n v="0"/>
    <n v="1"/>
    <x v="0"/>
    <n v="0"/>
    <n v="65"/>
    <n v="0"/>
    <n v="0"/>
    <n v="23.41"/>
    <n v="0"/>
    <n v="0"/>
    <n v="23.763428126815878"/>
    <m/>
    <m/>
    <n v="7725.3"/>
    <n v="0"/>
    <n v="0"/>
    <n v="7841.9312818492399"/>
    <n v="0"/>
    <n v="0"/>
  </r>
  <r>
    <s v="Regular"/>
    <x v="0"/>
    <x v="1"/>
    <x v="1"/>
    <x v="0"/>
    <x v="0"/>
    <x v="0"/>
    <x v="2"/>
    <x v="9"/>
    <n v="2105"/>
    <n v="2105"/>
    <n v="0"/>
    <n v="0"/>
    <n v="0"/>
    <n v="0"/>
    <n v="15"/>
    <x v="0"/>
    <n v="0"/>
    <n v="65"/>
    <n v="0"/>
    <n v="0"/>
    <n v="23.41"/>
    <n v="0"/>
    <n v="0"/>
    <n v="23.763428126815878"/>
    <m/>
    <m/>
    <n v="49278.05"/>
    <n v="0"/>
    <n v="0"/>
    <n v="50022.016206947425"/>
    <n v="0"/>
    <n v="0"/>
  </r>
  <r>
    <s v="Sistema de Compensação"/>
    <x v="0"/>
    <x v="1"/>
    <x v="1"/>
    <x v="0"/>
    <x v="0"/>
    <x v="0"/>
    <x v="2"/>
    <x v="9"/>
    <n v="330"/>
    <n v="330"/>
    <n v="0"/>
    <n v="0"/>
    <n v="0"/>
    <n v="0"/>
    <n v="1"/>
    <x v="0"/>
    <n v="0"/>
    <n v="65"/>
    <n v="0"/>
    <n v="0"/>
    <n v="23.41"/>
    <n v="0"/>
    <n v="0"/>
    <n v="23.763428126815878"/>
    <m/>
    <m/>
    <n v="7725.3"/>
    <n v="0"/>
    <n v="0"/>
    <n v="7841.9312818492399"/>
    <n v="0"/>
    <n v="0"/>
  </r>
  <r>
    <s v="Regular"/>
    <x v="0"/>
    <x v="1"/>
    <x v="1"/>
    <x v="0"/>
    <x v="0"/>
    <x v="0"/>
    <x v="2"/>
    <x v="10"/>
    <n v="2176"/>
    <n v="2176"/>
    <n v="0"/>
    <n v="0"/>
    <n v="0"/>
    <n v="0"/>
    <n v="16"/>
    <x v="0"/>
    <n v="0"/>
    <n v="65"/>
    <n v="0"/>
    <n v="0"/>
    <n v="23.41"/>
    <n v="0"/>
    <n v="0"/>
    <n v="23.763428126815878"/>
    <m/>
    <m/>
    <n v="50940.160000000003"/>
    <n v="0"/>
    <n v="0"/>
    <n v="51709.219603951351"/>
    <n v="0"/>
    <n v="0"/>
  </r>
  <r>
    <s v="Sistema de Compensação"/>
    <x v="0"/>
    <x v="1"/>
    <x v="1"/>
    <x v="0"/>
    <x v="0"/>
    <x v="0"/>
    <x v="2"/>
    <x v="10"/>
    <n v="330"/>
    <n v="330"/>
    <n v="0"/>
    <n v="0"/>
    <n v="0"/>
    <n v="0"/>
    <n v="1"/>
    <x v="0"/>
    <n v="0"/>
    <n v="65"/>
    <n v="0"/>
    <n v="0"/>
    <n v="23.41"/>
    <n v="0"/>
    <n v="0"/>
    <n v="23.763428126815878"/>
    <m/>
    <m/>
    <n v="7725.3"/>
    <n v="0"/>
    <n v="0"/>
    <n v="7841.9312818492399"/>
    <n v="0"/>
    <n v="0"/>
  </r>
  <r>
    <s v="PROJETADO"/>
    <x v="0"/>
    <x v="1"/>
    <x v="1"/>
    <x v="0"/>
    <x v="0"/>
    <x v="0"/>
    <x v="2"/>
    <x v="11"/>
    <n v="2176"/>
    <n v="2176"/>
    <n v="0"/>
    <n v="0"/>
    <n v="0"/>
    <n v="0"/>
    <n v="16"/>
    <x v="0"/>
    <n v="0"/>
    <n v="65"/>
    <n v="0"/>
    <n v="0"/>
    <n v="23.41"/>
    <n v="0"/>
    <n v="0"/>
    <n v="23.763428126815878"/>
    <m/>
    <m/>
    <n v="50940.160000000003"/>
    <n v="0"/>
    <n v="0"/>
    <n v="51709.219603951351"/>
    <n v="0"/>
    <n v="0"/>
  </r>
  <r>
    <s v="PROJETADO"/>
    <x v="0"/>
    <x v="1"/>
    <x v="1"/>
    <x v="0"/>
    <x v="0"/>
    <x v="0"/>
    <x v="2"/>
    <x v="11"/>
    <n v="330"/>
    <n v="330"/>
    <n v="0"/>
    <n v="0"/>
    <n v="0"/>
    <n v="0"/>
    <n v="1"/>
    <x v="0"/>
    <n v="0"/>
    <n v="65"/>
    <n v="0"/>
    <n v="0"/>
    <n v="23.41"/>
    <n v="0"/>
    <n v="0"/>
    <n v="23.763428126815878"/>
    <m/>
    <m/>
    <n v="7725.3"/>
    <n v="0"/>
    <n v="0"/>
    <n v="7841.9312818492399"/>
    <n v="0"/>
    <n v="0"/>
  </r>
  <r>
    <s v="Regular"/>
    <x v="0"/>
    <x v="1"/>
    <x v="1"/>
    <x v="0"/>
    <x v="0"/>
    <x v="0"/>
    <x v="1"/>
    <x v="0"/>
    <n v="0"/>
    <n v="0"/>
    <n v="25.306999999999999"/>
    <n v="25.306999999999999"/>
    <n v="25.306999999999999"/>
    <n v="25.306999999999999"/>
    <n v="0"/>
    <x v="0"/>
    <n v="0"/>
    <n v="0"/>
    <n v="66"/>
    <n v="6"/>
    <n v="0"/>
    <n v="2263.58"/>
    <n v="223.72"/>
    <m/>
    <n v="2325.9355132623718"/>
    <n v="221.35055346817671"/>
    <n v="0"/>
    <n v="57284.419059999993"/>
    <n v="5661.6820399999997"/>
    <n v="0"/>
    <n v="58862.450034130838"/>
    <n v="5601.7184566191481"/>
  </r>
  <r>
    <s v="Sistema de Compensação"/>
    <x v="0"/>
    <x v="1"/>
    <x v="1"/>
    <x v="0"/>
    <x v="0"/>
    <x v="0"/>
    <x v="1"/>
    <x v="0"/>
    <n v="0"/>
    <n v="0"/>
    <n v="1.698"/>
    <n v="1.698"/>
    <n v="1.698"/>
    <n v="1.698"/>
    <n v="0"/>
    <x v="0"/>
    <n v="0"/>
    <n v="0"/>
    <n v="66"/>
    <n v="6"/>
    <n v="0"/>
    <n v="2263.58"/>
    <n v="223.72"/>
    <m/>
    <n v="2325.9355132623718"/>
    <n v="221.35055346817671"/>
    <n v="0"/>
    <n v="3843.5588399999997"/>
    <n v="379.87655999999998"/>
    <n v="0"/>
    <n v="3949.4385015195071"/>
    <n v="375.85323978896406"/>
  </r>
  <r>
    <s v="Regular"/>
    <x v="0"/>
    <x v="1"/>
    <x v="1"/>
    <x v="0"/>
    <x v="0"/>
    <x v="0"/>
    <x v="1"/>
    <x v="1"/>
    <n v="0"/>
    <n v="0"/>
    <n v="18.885999999999999"/>
    <n v="18.885999999999999"/>
    <n v="18.885999999999999"/>
    <n v="18.885999999999999"/>
    <n v="0"/>
    <x v="0"/>
    <n v="0"/>
    <n v="0"/>
    <n v="66"/>
    <n v="6"/>
    <n v="0"/>
    <n v="2263.58"/>
    <n v="223.72"/>
    <m/>
    <n v="2325.9355132623718"/>
    <n v="221.35055346817671"/>
    <n v="0"/>
    <n v="42749.971879999997"/>
    <n v="4225.1759199999997"/>
    <n v="0"/>
    <n v="43927.618103473156"/>
    <n v="4180.4265527999851"/>
  </r>
  <r>
    <s v="Sistema de Compensação"/>
    <x v="0"/>
    <x v="1"/>
    <x v="1"/>
    <x v="0"/>
    <x v="0"/>
    <x v="0"/>
    <x v="1"/>
    <x v="1"/>
    <n v="0"/>
    <n v="0"/>
    <n v="0.66900000000000004"/>
    <n v="0.66900000000000004"/>
    <n v="0.66900000000000004"/>
    <n v="0.66900000000000004"/>
    <n v="0"/>
    <x v="0"/>
    <n v="0"/>
    <n v="0"/>
    <n v="66"/>
    <n v="6"/>
    <n v="0"/>
    <n v="2263.58"/>
    <n v="223.72"/>
    <m/>
    <n v="2325.9355132623718"/>
    <n v="221.35055346817671"/>
    <n v="0"/>
    <n v="1514.33502"/>
    <n v="149.66867999999999"/>
    <n v="0"/>
    <n v="1556.0508583725268"/>
    <n v="148.08352027021024"/>
  </r>
  <r>
    <s v="Regular"/>
    <x v="0"/>
    <x v="1"/>
    <x v="1"/>
    <x v="0"/>
    <x v="0"/>
    <x v="0"/>
    <x v="1"/>
    <x v="2"/>
    <n v="0"/>
    <n v="0"/>
    <n v="16.326000000000001"/>
    <n v="16.326000000000001"/>
    <n v="16.326000000000001"/>
    <n v="16.326000000000001"/>
    <n v="0"/>
    <x v="0"/>
    <n v="0"/>
    <n v="0"/>
    <n v="66"/>
    <n v="6"/>
    <n v="0"/>
    <n v="2263.58"/>
    <n v="223.72"/>
    <m/>
    <n v="2325.9355132623718"/>
    <n v="221.35055346817671"/>
    <n v="0"/>
    <n v="36955.20708"/>
    <n v="3652.4527200000002"/>
    <n v="0"/>
    <n v="37973.223189521486"/>
    <n v="3613.7691359214532"/>
  </r>
  <r>
    <s v="Sistema de Compensação"/>
    <x v="0"/>
    <x v="1"/>
    <x v="1"/>
    <x v="0"/>
    <x v="0"/>
    <x v="0"/>
    <x v="1"/>
    <x v="2"/>
    <n v="0"/>
    <n v="0"/>
    <n v="1.782"/>
    <n v="1.782"/>
    <n v="1.782"/>
    <n v="1.782"/>
    <n v="0"/>
    <x v="0"/>
    <n v="0"/>
    <n v="0"/>
    <n v="66"/>
    <n v="6"/>
    <n v="0"/>
    <n v="2263.58"/>
    <n v="223.72"/>
    <m/>
    <n v="2325.9355132623718"/>
    <n v="221.35055346817671"/>
    <n v="0"/>
    <n v="4033.69956"/>
    <n v="398.66904"/>
    <n v="0"/>
    <n v="4144.817084633547"/>
    <n v="394.44668628029092"/>
  </r>
  <r>
    <s v="Regular"/>
    <x v="0"/>
    <x v="1"/>
    <x v="1"/>
    <x v="0"/>
    <x v="0"/>
    <x v="0"/>
    <x v="1"/>
    <x v="3"/>
    <n v="0"/>
    <n v="0"/>
    <n v="21.773"/>
    <n v="21.773"/>
    <n v="21.773"/>
    <n v="21.773"/>
    <n v="0"/>
    <x v="0"/>
    <n v="0"/>
    <n v="0"/>
    <n v="66"/>
    <n v="6"/>
    <n v="0"/>
    <n v="2263.58"/>
    <n v="223.72"/>
    <m/>
    <n v="2325.9355132623718"/>
    <n v="221.35055346817671"/>
    <n v="0"/>
    <n v="49284.927339999995"/>
    <n v="4871.0555599999998"/>
    <n v="0"/>
    <n v="50642.593930261624"/>
    <n v="4819.4656006626119"/>
  </r>
  <r>
    <s v="Sistema de Compensação"/>
    <x v="0"/>
    <x v="1"/>
    <x v="1"/>
    <x v="0"/>
    <x v="0"/>
    <x v="0"/>
    <x v="1"/>
    <x v="3"/>
    <n v="0"/>
    <n v="0"/>
    <n v="1.75"/>
    <n v="1.75"/>
    <n v="1.75"/>
    <n v="1.75"/>
    <n v="0"/>
    <x v="0"/>
    <n v="0"/>
    <n v="0"/>
    <n v="66"/>
    <n v="6"/>
    <n v="0"/>
    <n v="2263.58"/>
    <n v="223.72"/>
    <m/>
    <n v="2325.9355132623718"/>
    <n v="221.35055346817671"/>
    <n v="0"/>
    <n v="3961.2649999999999"/>
    <n v="391.51"/>
    <n v="0"/>
    <n v="4070.3871482091508"/>
    <n v="387.36346856930925"/>
  </r>
  <r>
    <s v="Regular"/>
    <x v="0"/>
    <x v="1"/>
    <x v="1"/>
    <x v="0"/>
    <x v="0"/>
    <x v="0"/>
    <x v="1"/>
    <x v="4"/>
    <n v="0"/>
    <n v="0"/>
    <n v="27.72"/>
    <n v="27.72"/>
    <n v="27.72"/>
    <n v="27.72"/>
    <n v="0"/>
    <x v="0"/>
    <n v="0"/>
    <n v="0"/>
    <n v="66"/>
    <n v="6"/>
    <n v="0"/>
    <n v="2263.58"/>
    <n v="223.72"/>
    <m/>
    <n v="2325.9355132623718"/>
    <n v="221.35055346817671"/>
    <n v="0"/>
    <n v="62746.437599999997"/>
    <n v="6201.5183999999999"/>
    <n v="0"/>
    <n v="64474.932427632943"/>
    <n v="6135.8373421378583"/>
  </r>
  <r>
    <s v="Sistema de Compensação"/>
    <x v="0"/>
    <x v="1"/>
    <x v="1"/>
    <x v="0"/>
    <x v="0"/>
    <x v="0"/>
    <x v="1"/>
    <x v="4"/>
    <n v="0"/>
    <n v="0"/>
    <n v="6.0789999999999997"/>
    <n v="6.0789999999999997"/>
    <n v="6.0789999999999997"/>
    <n v="6.0789999999999997"/>
    <n v="0"/>
    <x v="0"/>
    <n v="0"/>
    <n v="0"/>
    <n v="66"/>
    <n v="6"/>
    <n v="0"/>
    <n v="2263.58"/>
    <n v="223.72"/>
    <m/>
    <n v="2325.9355132623718"/>
    <n v="221.35055346817671"/>
    <n v="0"/>
    <n v="13760.302819999999"/>
    <n v="1359.99388"/>
    <n v="0"/>
    <n v="14139.361985121957"/>
    <n v="1345.5900145330461"/>
  </r>
  <r>
    <s v="Regular"/>
    <x v="0"/>
    <x v="1"/>
    <x v="1"/>
    <x v="0"/>
    <x v="0"/>
    <x v="0"/>
    <x v="1"/>
    <x v="5"/>
    <n v="0"/>
    <n v="0"/>
    <n v="21.4"/>
    <n v="21.4"/>
    <n v="21.4"/>
    <n v="21.4"/>
    <n v="0"/>
    <x v="0"/>
    <n v="0"/>
    <n v="0"/>
    <n v="66"/>
    <n v="6"/>
    <n v="0"/>
    <n v="2263.58"/>
    <n v="223.72"/>
    <m/>
    <n v="2325.9355132623718"/>
    <n v="221.35055346817671"/>
    <n v="0"/>
    <n v="48440.611999999994"/>
    <n v="4787.6079999999993"/>
    <n v="0"/>
    <n v="49775.019983814753"/>
    <n v="4736.9018442189818"/>
  </r>
  <r>
    <s v="Sistema de Compensação"/>
    <x v="0"/>
    <x v="1"/>
    <x v="1"/>
    <x v="0"/>
    <x v="0"/>
    <x v="0"/>
    <x v="1"/>
    <x v="5"/>
    <n v="0"/>
    <n v="0"/>
    <n v="4.1109999999999998"/>
    <n v="4.1109999999999998"/>
    <n v="4.1109999999999998"/>
    <n v="4.1109999999999998"/>
    <n v="0"/>
    <x v="0"/>
    <n v="0"/>
    <n v="0"/>
    <n v="66"/>
    <n v="6"/>
    <n v="0"/>
    <n v="2263.58"/>
    <n v="223.72"/>
    <m/>
    <n v="2325.9355132623718"/>
    <n v="221.35055346817671"/>
    <n v="0"/>
    <n v="9305.5773799999988"/>
    <n v="919.71291999999994"/>
    <n v="0"/>
    <n v="9561.9208950216107"/>
    <n v="909.97212530767445"/>
  </r>
  <r>
    <s v="Regular"/>
    <x v="0"/>
    <x v="1"/>
    <x v="1"/>
    <x v="0"/>
    <x v="0"/>
    <x v="0"/>
    <x v="1"/>
    <x v="6"/>
    <n v="0"/>
    <n v="0"/>
    <n v="17.369"/>
    <n v="17.369"/>
    <n v="17.369"/>
    <n v="17.369"/>
    <n v="0"/>
    <x v="0"/>
    <n v="0"/>
    <n v="0"/>
    <n v="66"/>
    <n v="6"/>
    <n v="0"/>
    <n v="2263.58"/>
    <n v="223.72"/>
    <m/>
    <n v="2325.9355132623718"/>
    <n v="221.35055346817671"/>
    <n v="0"/>
    <n v="39316.121019999999"/>
    <n v="3885.79268"/>
    <n v="0"/>
    <n v="40399.173929854136"/>
    <n v="3844.6377631887613"/>
  </r>
  <r>
    <s v="Sistema de Compensação"/>
    <x v="0"/>
    <x v="1"/>
    <x v="1"/>
    <x v="0"/>
    <x v="0"/>
    <x v="0"/>
    <x v="1"/>
    <x v="6"/>
    <n v="0"/>
    <n v="0"/>
    <n v="1.661"/>
    <n v="1.661"/>
    <n v="1.661"/>
    <n v="1.661"/>
    <n v="0"/>
    <x v="0"/>
    <n v="0"/>
    <n v="0"/>
    <n v="66"/>
    <n v="6"/>
    <n v="0"/>
    <n v="2263.58"/>
    <n v="223.72"/>
    <m/>
    <n v="2325.9355132623718"/>
    <n v="221.35055346817671"/>
    <n v="0"/>
    <n v="3759.80638"/>
    <n v="371.59892000000002"/>
    <n v="0"/>
    <n v="3863.3788875287996"/>
    <n v="367.66326931064151"/>
  </r>
  <r>
    <s v="Regular"/>
    <x v="0"/>
    <x v="1"/>
    <x v="1"/>
    <x v="0"/>
    <x v="0"/>
    <x v="0"/>
    <x v="1"/>
    <x v="7"/>
    <n v="0"/>
    <n v="0"/>
    <n v="22.556000000000001"/>
    <n v="22.556000000000001"/>
    <n v="22.556000000000001"/>
    <n v="22.556000000000001"/>
    <n v="0"/>
    <x v="0"/>
    <n v="0"/>
    <n v="0"/>
    <n v="66"/>
    <n v="6"/>
    <n v="0"/>
    <n v="2263.58"/>
    <n v="223.72"/>
    <m/>
    <n v="2325.9355132623718"/>
    <n v="221.35055346817671"/>
    <n v="0"/>
    <n v="51057.31048"/>
    <n v="5046.2283200000002"/>
    <n v="0"/>
    <n v="52463.801437146059"/>
    <n v="4992.783084028194"/>
  </r>
  <r>
    <s v="Regular"/>
    <x v="0"/>
    <x v="1"/>
    <x v="1"/>
    <x v="0"/>
    <x v="0"/>
    <x v="0"/>
    <x v="1"/>
    <x v="8"/>
    <n v="0"/>
    <n v="0"/>
    <n v="25.212"/>
    <n v="25.212"/>
    <n v="25.212"/>
    <n v="25.212"/>
    <n v="0"/>
    <x v="0"/>
    <n v="0"/>
    <n v="0"/>
    <n v="66"/>
    <n v="6"/>
    <n v="0"/>
    <n v="2263.58"/>
    <n v="223.72"/>
    <m/>
    <n v="2325.9355132623718"/>
    <n v="221.35055346817671"/>
    <n v="0"/>
    <n v="57069.378959999995"/>
    <n v="5640.4286400000001"/>
    <n v="0"/>
    <n v="58641.486160370921"/>
    <n v="5580.6901540396711"/>
  </r>
  <r>
    <s v="Regular"/>
    <x v="0"/>
    <x v="1"/>
    <x v="1"/>
    <x v="0"/>
    <x v="0"/>
    <x v="0"/>
    <x v="1"/>
    <x v="9"/>
    <n v="0"/>
    <n v="0"/>
    <n v="24.326000000000001"/>
    <n v="24.326000000000001"/>
    <n v="24.326000000000001"/>
    <n v="24.326000000000001"/>
    <n v="0"/>
    <x v="0"/>
    <n v="0"/>
    <n v="0"/>
    <n v="66"/>
    <n v="6"/>
    <n v="0"/>
    <n v="2263.58"/>
    <n v="223.72"/>
    <m/>
    <n v="2325.9355132623718"/>
    <n v="221.35055346817671"/>
    <n v="0"/>
    <n v="55063.84708"/>
    <n v="5442.2127200000004"/>
    <n v="0"/>
    <n v="56580.707295620457"/>
    <n v="5384.5735636668669"/>
  </r>
  <r>
    <s v="Regular"/>
    <x v="0"/>
    <x v="1"/>
    <x v="1"/>
    <x v="0"/>
    <x v="0"/>
    <x v="0"/>
    <x v="1"/>
    <x v="10"/>
    <n v="0"/>
    <n v="0"/>
    <n v="34.677999999999997"/>
    <n v="34.677999999999997"/>
    <n v="34.677999999999997"/>
    <n v="34.677999999999997"/>
    <n v="0"/>
    <x v="0"/>
    <n v="0"/>
    <n v="0"/>
    <n v="66"/>
    <n v="6"/>
    <n v="0"/>
    <n v="2263.58"/>
    <n v="223.72"/>
    <m/>
    <n v="2325.9355132623718"/>
    <n v="221.35055346817671"/>
    <n v="0"/>
    <n v="78496.42723999999"/>
    <n v="7758.1621599999989"/>
    <n v="0"/>
    <n v="80658.791728912518"/>
    <n v="7675.9944931694317"/>
  </r>
  <r>
    <s v="PROJETADO"/>
    <x v="0"/>
    <x v="1"/>
    <x v="1"/>
    <x v="0"/>
    <x v="0"/>
    <x v="0"/>
    <x v="1"/>
    <x v="11"/>
    <n v="0"/>
    <n v="0"/>
    <n v="34.677999999999997"/>
    <n v="34.677999999999997"/>
    <n v="34.677999999999997"/>
    <n v="34.677999999999997"/>
    <n v="0"/>
    <x v="0"/>
    <n v="0"/>
    <n v="0"/>
    <n v="66"/>
    <n v="6"/>
    <n v="0"/>
    <n v="2263.58"/>
    <n v="223.72"/>
    <m/>
    <n v="2325.9355132623718"/>
    <n v="221.35055346817671"/>
    <n v="0"/>
    <n v="78496.42723999999"/>
    <n v="7758.1621599999989"/>
    <n v="0"/>
    <n v="80658.791728912518"/>
    <n v="7675.9944931694317"/>
  </r>
  <r>
    <s v="Regular"/>
    <x v="0"/>
    <x v="1"/>
    <x v="2"/>
    <x v="0"/>
    <x v="1"/>
    <x v="0"/>
    <x v="0"/>
    <x v="0"/>
    <n v="0"/>
    <n v="0"/>
    <n v="183.053"/>
    <n v="91.526499999999999"/>
    <n v="0"/>
    <n v="0"/>
    <n v="0"/>
    <x v="1"/>
    <n v="0"/>
    <n v="0"/>
    <n v="47"/>
    <n v="0"/>
    <n v="0"/>
    <n v="72.23"/>
    <n v="0"/>
    <m/>
    <n v="102.01454208880898"/>
    <m/>
    <n v="0"/>
    <n v="6610.9590950000002"/>
    <n v="0"/>
    <n v="0"/>
    <n v="9337.0339864913749"/>
    <n v="0"/>
  </r>
  <r>
    <s v="Regular"/>
    <x v="0"/>
    <x v="1"/>
    <x v="2"/>
    <x v="0"/>
    <x v="1"/>
    <x v="0"/>
    <x v="0"/>
    <x v="1"/>
    <n v="0"/>
    <n v="0"/>
    <n v="167.06399999999999"/>
    <n v="83.531999999999996"/>
    <n v="0"/>
    <n v="0"/>
    <n v="0"/>
    <x v="1"/>
    <n v="0"/>
    <n v="0"/>
    <n v="47"/>
    <n v="0"/>
    <n v="0"/>
    <n v="72.23"/>
    <n v="0"/>
    <m/>
    <n v="102.01454208880898"/>
    <m/>
    <n v="0"/>
    <n v="6033.5163600000005"/>
    <n v="0"/>
    <n v="0"/>
    <n v="8521.4787297623916"/>
    <n v="0"/>
  </r>
  <r>
    <s v="Regular"/>
    <x v="0"/>
    <x v="1"/>
    <x v="2"/>
    <x v="0"/>
    <x v="1"/>
    <x v="0"/>
    <x v="0"/>
    <x v="2"/>
    <n v="0"/>
    <n v="0"/>
    <n v="1205.672"/>
    <n v="602.83600000000001"/>
    <n v="0"/>
    <n v="0"/>
    <n v="0"/>
    <x v="1"/>
    <n v="0"/>
    <n v="0"/>
    <n v="47"/>
    <n v="0"/>
    <n v="0"/>
    <n v="72.23"/>
    <n v="0"/>
    <m/>
    <n v="102.01454208880898"/>
    <m/>
    <n v="0"/>
    <n v="43542.844280000005"/>
    <n v="0"/>
    <n v="0"/>
    <n v="61498.038494649249"/>
    <n v="0"/>
  </r>
  <r>
    <s v="Regular"/>
    <x v="0"/>
    <x v="1"/>
    <x v="2"/>
    <x v="0"/>
    <x v="1"/>
    <x v="0"/>
    <x v="0"/>
    <x v="3"/>
    <n v="0"/>
    <n v="0"/>
    <n v="1782.691"/>
    <n v="891.34550000000002"/>
    <n v="0"/>
    <n v="0"/>
    <n v="0"/>
    <x v="1"/>
    <n v="0"/>
    <n v="0"/>
    <n v="47"/>
    <n v="0"/>
    <n v="0"/>
    <n v="72.23"/>
    <n v="0"/>
    <m/>
    <n v="102.01454208880898"/>
    <m/>
    <n v="0"/>
    <n v="64381.885465000007"/>
    <n v="0"/>
    <n v="0"/>
    <n v="90930.203025420487"/>
    <n v="0"/>
  </r>
  <r>
    <s v="Regular"/>
    <x v="0"/>
    <x v="1"/>
    <x v="2"/>
    <x v="0"/>
    <x v="1"/>
    <x v="0"/>
    <x v="0"/>
    <x v="4"/>
    <n v="0"/>
    <n v="0"/>
    <n v="1376.5740000000001"/>
    <n v="688.28700000000003"/>
    <n v="0"/>
    <n v="0"/>
    <n v="0"/>
    <x v="1"/>
    <n v="0"/>
    <n v="0"/>
    <n v="47"/>
    <n v="0"/>
    <n v="0"/>
    <n v="72.23"/>
    <n v="0"/>
    <m/>
    <n v="102.01454208880898"/>
    <m/>
    <n v="0"/>
    <n v="49714.970010000005"/>
    <n v="0"/>
    <n v="0"/>
    <n v="70215.283130680065"/>
    <n v="0"/>
  </r>
  <r>
    <s v="Regular"/>
    <x v="0"/>
    <x v="1"/>
    <x v="2"/>
    <x v="0"/>
    <x v="1"/>
    <x v="0"/>
    <x v="0"/>
    <x v="5"/>
    <n v="0"/>
    <n v="0"/>
    <n v="891.61500000000001"/>
    <n v="445.8075"/>
    <n v="0"/>
    <n v="0"/>
    <n v="0"/>
    <x v="1"/>
    <n v="0"/>
    <n v="0"/>
    <n v="47"/>
    <n v="0"/>
    <n v="0"/>
    <n v="72.23"/>
    <n v="0"/>
    <m/>
    <n v="102.01454208880898"/>
    <m/>
    <n v="0"/>
    <n v="32200.675725000001"/>
    <n v="0"/>
    <n v="0"/>
    <n v="45478.847972256714"/>
    <n v="0"/>
  </r>
  <r>
    <s v="Regular"/>
    <x v="0"/>
    <x v="1"/>
    <x v="2"/>
    <x v="0"/>
    <x v="1"/>
    <x v="0"/>
    <x v="0"/>
    <x v="6"/>
    <n v="0"/>
    <n v="0"/>
    <n v="730.61900000000003"/>
    <n v="365.30950000000001"/>
    <n v="0"/>
    <n v="0"/>
    <n v="0"/>
    <x v="1"/>
    <n v="0"/>
    <n v="0"/>
    <n v="47"/>
    <n v="0"/>
    <n v="0"/>
    <n v="72.23"/>
    <n v="0"/>
    <m/>
    <n v="102.01454208880898"/>
    <m/>
    <n v="0"/>
    <n v="26386.305185000001"/>
    <n v="0"/>
    <n v="0"/>
    <n v="37266.881363191766"/>
    <n v="0"/>
  </r>
  <r>
    <s v="Regular"/>
    <x v="0"/>
    <x v="1"/>
    <x v="2"/>
    <x v="0"/>
    <x v="1"/>
    <x v="0"/>
    <x v="0"/>
    <x v="7"/>
    <n v="0"/>
    <n v="0"/>
    <n v="392.88499999999999"/>
    <n v="196.4425"/>
    <n v="0"/>
    <n v="0"/>
    <n v="0"/>
    <x v="1"/>
    <n v="0"/>
    <n v="0"/>
    <n v="47"/>
    <n v="0"/>
    <n v="0"/>
    <n v="72.23"/>
    <n v="0"/>
    <m/>
    <n v="102.01454208880898"/>
    <m/>
    <n v="0"/>
    <n v="14189.041775"/>
    <n v="0"/>
    <n v="0"/>
    <n v="20039.991684280856"/>
    <n v="0"/>
  </r>
  <r>
    <s v="Regular"/>
    <x v="0"/>
    <x v="1"/>
    <x v="2"/>
    <x v="0"/>
    <x v="1"/>
    <x v="0"/>
    <x v="0"/>
    <x v="8"/>
    <n v="0"/>
    <n v="0"/>
    <n v="674.35599999999999"/>
    <n v="337.178"/>
    <n v="0"/>
    <n v="0"/>
    <n v="0"/>
    <x v="1"/>
    <n v="0"/>
    <n v="0"/>
    <n v="47"/>
    <n v="0"/>
    <n v="0"/>
    <n v="72.23"/>
    <n v="0"/>
    <m/>
    <n v="102.01454208880898"/>
    <m/>
    <n v="0"/>
    <n v="24354.36694"/>
    <n v="0"/>
    <n v="0"/>
    <n v="34397.059272420433"/>
    <n v="0"/>
  </r>
  <r>
    <s v="Regular"/>
    <x v="0"/>
    <x v="1"/>
    <x v="2"/>
    <x v="0"/>
    <x v="1"/>
    <x v="0"/>
    <x v="0"/>
    <x v="9"/>
    <n v="0"/>
    <n v="0"/>
    <n v="1234.6990000000001"/>
    <n v="617.34950000000003"/>
    <n v="0"/>
    <n v="0"/>
    <n v="0"/>
    <x v="1"/>
    <n v="0"/>
    <n v="0"/>
    <n v="47"/>
    <n v="0"/>
    <n v="0"/>
    <n v="72.23"/>
    <n v="0"/>
    <m/>
    <n v="102.01454208880898"/>
    <m/>
    <n v="0"/>
    <n v="44591.154385000002"/>
    <n v="0"/>
    <n v="0"/>
    <n v="62978.626551255184"/>
    <n v="0"/>
  </r>
  <r>
    <s v="Regular"/>
    <x v="0"/>
    <x v="1"/>
    <x v="2"/>
    <x v="0"/>
    <x v="1"/>
    <x v="0"/>
    <x v="0"/>
    <x v="10"/>
    <n v="0"/>
    <n v="0"/>
    <n v="354.33600000000001"/>
    <n v="177.16800000000001"/>
    <n v="0"/>
    <n v="0"/>
    <n v="0"/>
    <x v="1"/>
    <n v="0"/>
    <n v="0"/>
    <n v="47"/>
    <n v="0"/>
    <n v="0"/>
    <n v="72.23"/>
    <n v="0"/>
    <m/>
    <n v="102.01454208880898"/>
    <m/>
    <n v="0"/>
    <n v="12796.844640000001"/>
    <n v="0"/>
    <n v="0"/>
    <n v="18073.712392790108"/>
    <n v="0"/>
  </r>
  <r>
    <s v="PROJETADO"/>
    <x v="0"/>
    <x v="1"/>
    <x v="2"/>
    <x v="0"/>
    <x v="1"/>
    <x v="0"/>
    <x v="0"/>
    <x v="11"/>
    <n v="0"/>
    <n v="0"/>
    <n v="354.33600000000001"/>
    <n v="177.16800000000001"/>
    <n v="0"/>
    <n v="0"/>
    <n v="0"/>
    <x v="1"/>
    <n v="0"/>
    <n v="0"/>
    <n v="47"/>
    <n v="0"/>
    <n v="0"/>
    <n v="72.23"/>
    <n v="0"/>
    <m/>
    <n v="102.01454208880898"/>
    <m/>
    <n v="0"/>
    <n v="12796.844640000001"/>
    <n v="0"/>
    <n v="0"/>
    <n v="18073.712392790108"/>
    <n v="0"/>
  </r>
  <r>
    <s v="Regular"/>
    <x v="0"/>
    <x v="1"/>
    <x v="2"/>
    <x v="0"/>
    <x v="1"/>
    <x v="0"/>
    <x v="2"/>
    <x v="0"/>
    <n v="985"/>
    <n v="492.5"/>
    <n v="0"/>
    <n v="0"/>
    <n v="0"/>
    <n v="0"/>
    <n v="1"/>
    <x v="1"/>
    <n v="0"/>
    <n v="65"/>
    <n v="0"/>
    <n v="0"/>
    <n v="23.41"/>
    <n v="0"/>
    <n v="0"/>
    <n v="23.763428126815878"/>
    <m/>
    <m/>
    <n v="11529.424999999999"/>
    <n v="0"/>
    <n v="0"/>
    <n v="11703.488352456819"/>
    <n v="0"/>
    <n v="0"/>
  </r>
  <r>
    <s v="Regular"/>
    <x v="0"/>
    <x v="1"/>
    <x v="2"/>
    <x v="0"/>
    <x v="1"/>
    <x v="0"/>
    <x v="2"/>
    <x v="1"/>
    <n v="1342"/>
    <n v="671"/>
    <n v="0"/>
    <n v="0"/>
    <n v="0"/>
    <n v="0"/>
    <n v="1"/>
    <x v="1"/>
    <n v="0"/>
    <n v="65"/>
    <n v="0"/>
    <n v="0"/>
    <n v="23.41"/>
    <n v="0"/>
    <n v="0"/>
    <n v="23.763428126815878"/>
    <m/>
    <m/>
    <n v="15708.11"/>
    <n v="0"/>
    <n v="0"/>
    <n v="15945.260273093454"/>
    <n v="0"/>
    <n v="0"/>
  </r>
  <r>
    <s v="Regular"/>
    <x v="0"/>
    <x v="1"/>
    <x v="2"/>
    <x v="0"/>
    <x v="1"/>
    <x v="0"/>
    <x v="2"/>
    <x v="2"/>
    <n v="8938"/>
    <n v="4469"/>
    <n v="0"/>
    <n v="0"/>
    <n v="0"/>
    <n v="0"/>
    <n v="1"/>
    <x v="1"/>
    <n v="0"/>
    <n v="65"/>
    <n v="0"/>
    <n v="0"/>
    <n v="23.41"/>
    <n v="0"/>
    <n v="0"/>
    <n v="23.763428126815878"/>
    <m/>
    <m/>
    <n v="104619.29"/>
    <n v="0"/>
    <n v="0"/>
    <n v="106198.76029874016"/>
    <n v="0"/>
    <n v="0"/>
  </r>
  <r>
    <s v="Regular"/>
    <x v="0"/>
    <x v="1"/>
    <x v="2"/>
    <x v="0"/>
    <x v="1"/>
    <x v="0"/>
    <x v="2"/>
    <x v="3"/>
    <n v="2485"/>
    <n v="1242.5"/>
    <n v="0"/>
    <n v="0"/>
    <n v="0"/>
    <n v="0"/>
    <n v="1"/>
    <x v="1"/>
    <n v="0"/>
    <n v="65"/>
    <n v="0"/>
    <n v="0"/>
    <n v="23.41"/>
    <n v="0"/>
    <n v="0"/>
    <n v="23.763428126815878"/>
    <m/>
    <m/>
    <n v="29086.924999999999"/>
    <n v="0"/>
    <n v="0"/>
    <n v="29526.059447568729"/>
    <n v="0"/>
    <n v="0"/>
  </r>
  <r>
    <s v="Regular"/>
    <x v="0"/>
    <x v="1"/>
    <x v="2"/>
    <x v="0"/>
    <x v="1"/>
    <x v="0"/>
    <x v="2"/>
    <x v="4"/>
    <n v="5051"/>
    <n v="2525.5"/>
    <n v="0"/>
    <n v="0"/>
    <n v="0"/>
    <n v="0"/>
    <n v="1"/>
    <x v="1"/>
    <n v="0"/>
    <n v="65"/>
    <n v="0"/>
    <n v="0"/>
    <n v="23.41"/>
    <n v="0"/>
    <n v="0"/>
    <n v="23.763428126815878"/>
    <m/>
    <m/>
    <n v="59121.955000000002"/>
    <n v="0"/>
    <n v="0"/>
    <n v="60014.537734273501"/>
    <n v="0"/>
    <n v="0"/>
  </r>
  <r>
    <s v="Regular"/>
    <x v="0"/>
    <x v="1"/>
    <x v="2"/>
    <x v="0"/>
    <x v="1"/>
    <x v="0"/>
    <x v="2"/>
    <x v="5"/>
    <n v="4911"/>
    <n v="2455.5"/>
    <n v="0"/>
    <n v="0"/>
    <n v="0"/>
    <n v="0"/>
    <n v="1"/>
    <x v="1"/>
    <n v="0"/>
    <n v="65"/>
    <n v="0"/>
    <n v="0"/>
    <n v="23.41"/>
    <n v="0"/>
    <n v="0"/>
    <n v="23.763428126815878"/>
    <m/>
    <m/>
    <n v="57483.254999999997"/>
    <n v="0"/>
    <n v="0"/>
    <n v="58351.097765396386"/>
    <n v="0"/>
    <n v="0"/>
  </r>
  <r>
    <s v="Regular"/>
    <x v="0"/>
    <x v="1"/>
    <x v="2"/>
    <x v="0"/>
    <x v="1"/>
    <x v="0"/>
    <x v="2"/>
    <x v="6"/>
    <n v="5028"/>
    <n v="2514"/>
    <n v="0"/>
    <n v="0"/>
    <n v="0"/>
    <n v="0"/>
    <n v="1"/>
    <x v="1"/>
    <n v="0"/>
    <n v="65"/>
    <n v="0"/>
    <n v="0"/>
    <n v="23.41"/>
    <n v="0"/>
    <n v="0"/>
    <n v="23.763428126815878"/>
    <m/>
    <m/>
    <n v="58852.74"/>
    <n v="0"/>
    <n v="0"/>
    <n v="59741.258310815116"/>
    <n v="0"/>
    <n v="0"/>
  </r>
  <r>
    <s v="Regular"/>
    <x v="0"/>
    <x v="1"/>
    <x v="2"/>
    <x v="0"/>
    <x v="1"/>
    <x v="0"/>
    <x v="2"/>
    <x v="7"/>
    <n v="5012"/>
    <n v="2506"/>
    <n v="0"/>
    <n v="0"/>
    <n v="0"/>
    <n v="0"/>
    <n v="1"/>
    <x v="1"/>
    <n v="0"/>
    <n v="65"/>
    <n v="0"/>
    <n v="0"/>
    <n v="23.41"/>
    <n v="0"/>
    <n v="0"/>
    <n v="23.763428126815878"/>
    <m/>
    <m/>
    <n v="58665.46"/>
    <n v="0"/>
    <n v="0"/>
    <n v="59551.150885800591"/>
    <n v="0"/>
    <n v="0"/>
  </r>
  <r>
    <s v="Regular"/>
    <x v="0"/>
    <x v="1"/>
    <x v="2"/>
    <x v="0"/>
    <x v="1"/>
    <x v="0"/>
    <x v="2"/>
    <x v="8"/>
    <n v="5009"/>
    <n v="2504.5"/>
    <n v="0"/>
    <n v="0"/>
    <n v="0"/>
    <n v="0"/>
    <n v="1"/>
    <x v="1"/>
    <n v="0"/>
    <n v="65"/>
    <n v="0"/>
    <n v="0"/>
    <n v="23.41"/>
    <n v="0"/>
    <n v="0"/>
    <n v="23.763428126815878"/>
    <m/>
    <m/>
    <n v="58630.345000000001"/>
    <n v="0"/>
    <n v="0"/>
    <n v="59515.505743610367"/>
    <n v="0"/>
    <n v="0"/>
  </r>
  <r>
    <s v="Regular"/>
    <x v="0"/>
    <x v="1"/>
    <x v="2"/>
    <x v="0"/>
    <x v="1"/>
    <x v="0"/>
    <x v="2"/>
    <x v="9"/>
    <n v="4969"/>
    <n v="2484.5"/>
    <n v="0"/>
    <n v="0"/>
    <n v="0"/>
    <n v="0"/>
    <n v="1"/>
    <x v="1"/>
    <n v="0"/>
    <n v="65"/>
    <n v="0"/>
    <n v="0"/>
    <n v="23.41"/>
    <n v="0"/>
    <n v="0"/>
    <n v="23.763428126815878"/>
    <m/>
    <m/>
    <n v="58162.144999999997"/>
    <n v="0"/>
    <n v="0"/>
    <n v="59040.237181074051"/>
    <n v="0"/>
    <n v="0"/>
  </r>
  <r>
    <s v="Regular"/>
    <x v="0"/>
    <x v="1"/>
    <x v="2"/>
    <x v="0"/>
    <x v="1"/>
    <x v="0"/>
    <x v="2"/>
    <x v="10"/>
    <n v="5273"/>
    <n v="2636.5"/>
    <n v="0"/>
    <n v="0"/>
    <n v="0"/>
    <n v="0"/>
    <n v="8"/>
    <x v="1"/>
    <n v="0"/>
    <n v="65"/>
    <n v="0"/>
    <n v="0"/>
    <n v="23.41"/>
    <n v="0"/>
    <n v="0"/>
    <n v="23.763428126815878"/>
    <m/>
    <m/>
    <n v="61720.465000000004"/>
    <n v="0"/>
    <n v="0"/>
    <n v="62652.278256350066"/>
    <n v="0"/>
    <n v="0"/>
  </r>
  <r>
    <s v="PROJETADO"/>
    <x v="0"/>
    <x v="1"/>
    <x v="2"/>
    <x v="0"/>
    <x v="1"/>
    <x v="0"/>
    <x v="2"/>
    <x v="11"/>
    <n v="5273"/>
    <n v="2636.5"/>
    <n v="0"/>
    <n v="0"/>
    <n v="0"/>
    <n v="0"/>
    <n v="8"/>
    <x v="1"/>
    <n v="0"/>
    <n v="65"/>
    <n v="0"/>
    <n v="0"/>
    <n v="23.41"/>
    <n v="0"/>
    <n v="0"/>
    <n v="23.763428126815878"/>
    <m/>
    <m/>
    <n v="61720.465000000004"/>
    <n v="0"/>
    <n v="0"/>
    <n v="62652.278256350066"/>
    <n v="0"/>
    <n v="0"/>
  </r>
  <r>
    <s v="Regular"/>
    <x v="0"/>
    <x v="1"/>
    <x v="2"/>
    <x v="0"/>
    <x v="1"/>
    <x v="0"/>
    <x v="1"/>
    <x v="0"/>
    <n v="0"/>
    <n v="0"/>
    <n v="19.989000000000001"/>
    <n v="9.9945000000000004"/>
    <n v="0"/>
    <n v="0"/>
    <n v="0"/>
    <x v="1"/>
    <n v="0"/>
    <n v="0"/>
    <n v="66"/>
    <n v="0"/>
    <n v="0"/>
    <n v="2263.58"/>
    <n v="0"/>
    <m/>
    <n v="2325.9355132623718"/>
    <m/>
    <n v="0"/>
    <n v="22623.350310000002"/>
    <n v="0"/>
    <n v="0"/>
    <n v="23246.562487300776"/>
    <n v="0"/>
  </r>
  <r>
    <s v="Regular"/>
    <x v="0"/>
    <x v="1"/>
    <x v="2"/>
    <x v="0"/>
    <x v="1"/>
    <x v="0"/>
    <x v="1"/>
    <x v="1"/>
    <n v="0"/>
    <n v="0"/>
    <n v="23.256"/>
    <n v="11.628"/>
    <n v="0"/>
    <n v="0"/>
    <n v="0"/>
    <x v="1"/>
    <n v="0"/>
    <n v="0"/>
    <n v="66"/>
    <n v="0"/>
    <n v="0"/>
    <n v="2263.58"/>
    <n v="0"/>
    <m/>
    <n v="2325.9355132623718"/>
    <m/>
    <n v="0"/>
    <n v="26320.908240000001"/>
    <n v="0"/>
    <n v="0"/>
    <n v="27045.978148214861"/>
    <n v="0"/>
  </r>
  <r>
    <s v="Regular"/>
    <x v="0"/>
    <x v="1"/>
    <x v="2"/>
    <x v="0"/>
    <x v="1"/>
    <x v="0"/>
    <x v="1"/>
    <x v="2"/>
    <n v="0"/>
    <n v="0"/>
    <n v="107.532"/>
    <n v="53.765999999999998"/>
    <n v="0"/>
    <n v="0"/>
    <n v="0"/>
    <x v="1"/>
    <n v="0"/>
    <n v="0"/>
    <n v="66"/>
    <n v="0"/>
    <n v="0"/>
    <n v="2263.58"/>
    <n v="0"/>
    <m/>
    <n v="2325.9355132623718"/>
    <m/>
    <n v="0"/>
    <n v="121703.64227999999"/>
    <n v="0"/>
    <n v="0"/>
    <n v="125056.24880606469"/>
    <n v="0"/>
  </r>
  <r>
    <s v="Regular"/>
    <x v="0"/>
    <x v="1"/>
    <x v="2"/>
    <x v="0"/>
    <x v="1"/>
    <x v="0"/>
    <x v="1"/>
    <x v="3"/>
    <n v="0"/>
    <n v="0"/>
    <n v="171.18299999999999"/>
    <n v="85.591499999999996"/>
    <n v="0"/>
    <n v="0"/>
    <n v="0"/>
    <x v="1"/>
    <n v="0"/>
    <n v="0"/>
    <n v="66"/>
    <n v="0"/>
    <n v="0"/>
    <n v="2263.58"/>
    <n v="0"/>
    <m/>
    <n v="2325.9355132623718"/>
    <m/>
    <n v="0"/>
    <n v="193743.20757"/>
    <n v="0"/>
    <n v="0"/>
    <n v="199080.3094833963"/>
    <n v="0"/>
  </r>
  <r>
    <s v="Regular"/>
    <x v="0"/>
    <x v="1"/>
    <x v="2"/>
    <x v="0"/>
    <x v="1"/>
    <x v="0"/>
    <x v="1"/>
    <x v="4"/>
    <n v="0"/>
    <n v="0"/>
    <n v="123.505"/>
    <n v="61.752499999999998"/>
    <n v="0"/>
    <n v="0"/>
    <n v="0"/>
    <x v="1"/>
    <n v="0"/>
    <n v="0"/>
    <n v="66"/>
    <n v="0"/>
    <n v="0"/>
    <n v="2263.58"/>
    <n v="0"/>
    <m/>
    <n v="2325.9355132623718"/>
    <m/>
    <n v="0"/>
    <n v="139781.72394999999"/>
    <n v="0"/>
    <n v="0"/>
    <n v="143632.33278273462"/>
    <n v="0"/>
  </r>
  <r>
    <s v="Regular"/>
    <x v="0"/>
    <x v="1"/>
    <x v="2"/>
    <x v="0"/>
    <x v="1"/>
    <x v="0"/>
    <x v="1"/>
    <x v="5"/>
    <n v="0"/>
    <n v="0"/>
    <n v="77.082999999999998"/>
    <n v="38.541499999999999"/>
    <n v="0"/>
    <n v="0"/>
    <n v="0"/>
    <x v="1"/>
    <n v="0"/>
    <n v="0"/>
    <n v="66"/>
    <n v="0"/>
    <n v="0"/>
    <n v="2263.58"/>
    <n v="0"/>
    <m/>
    <n v="2325.9355132623718"/>
    <m/>
    <n v="0"/>
    <n v="87241.76857"/>
    <n v="0"/>
    <n v="0"/>
    <n v="89645.043584401705"/>
    <n v="0"/>
  </r>
  <r>
    <s v="Regular"/>
    <x v="0"/>
    <x v="1"/>
    <x v="2"/>
    <x v="0"/>
    <x v="1"/>
    <x v="0"/>
    <x v="1"/>
    <x v="6"/>
    <n v="0"/>
    <n v="0"/>
    <n v="61.756999999999998"/>
    <n v="30.878499999999999"/>
    <n v="0"/>
    <n v="0"/>
    <n v="0"/>
    <x v="1"/>
    <n v="0"/>
    <n v="0"/>
    <n v="66"/>
    <n v="0"/>
    <n v="0"/>
    <n v="2263.58"/>
    <n v="0"/>
    <m/>
    <n v="2325.9355132623718"/>
    <m/>
    <n v="0"/>
    <n v="69895.955029999997"/>
    <n v="0"/>
    <n v="0"/>
    <n v="71821.399746272145"/>
    <n v="0"/>
  </r>
  <r>
    <s v="Regular"/>
    <x v="0"/>
    <x v="1"/>
    <x v="2"/>
    <x v="0"/>
    <x v="1"/>
    <x v="0"/>
    <x v="1"/>
    <x v="7"/>
    <n v="0"/>
    <n v="0"/>
    <n v="38.241999999999997"/>
    <n v="19.120999999999999"/>
    <n v="0"/>
    <n v="0"/>
    <n v="0"/>
    <x v="1"/>
    <n v="0"/>
    <n v="0"/>
    <n v="66"/>
    <n v="0"/>
    <n v="0"/>
    <n v="2263.58"/>
    <n v="0"/>
    <m/>
    <n v="2325.9355132623718"/>
    <m/>
    <n v="0"/>
    <n v="43281.913179999996"/>
    <n v="0"/>
    <n v="0"/>
    <n v="44474.212949089808"/>
    <n v="0"/>
  </r>
  <r>
    <s v="Regular"/>
    <x v="0"/>
    <x v="1"/>
    <x v="2"/>
    <x v="0"/>
    <x v="1"/>
    <x v="0"/>
    <x v="1"/>
    <x v="8"/>
    <n v="0"/>
    <n v="0"/>
    <n v="69.284999999999997"/>
    <n v="34.642499999999998"/>
    <n v="0"/>
    <n v="0"/>
    <n v="0"/>
    <x v="1"/>
    <n v="0"/>
    <n v="0"/>
    <n v="66"/>
    <n v="0"/>
    <n v="0"/>
    <n v="2263.58"/>
    <n v="0"/>
    <m/>
    <n v="2325.9355132623718"/>
    <m/>
    <n v="0"/>
    <n v="78416.07015"/>
    <n v="0"/>
    <n v="0"/>
    <n v="80576.221018191718"/>
    <n v="0"/>
  </r>
  <r>
    <s v="Regular"/>
    <x v="0"/>
    <x v="1"/>
    <x v="2"/>
    <x v="0"/>
    <x v="1"/>
    <x v="0"/>
    <x v="1"/>
    <x v="9"/>
    <n v="0"/>
    <n v="0"/>
    <n v="118.67"/>
    <n v="59.335000000000001"/>
    <n v="0"/>
    <n v="0"/>
    <n v="0"/>
    <x v="1"/>
    <n v="0"/>
    <n v="0"/>
    <n v="66"/>
    <n v="0"/>
    <n v="0"/>
    <n v="2263.58"/>
    <n v="0"/>
    <m/>
    <n v="2325.9355132623718"/>
    <m/>
    <n v="0"/>
    <n v="134309.51929999999"/>
    <n v="0"/>
    <n v="0"/>
    <n v="138009.38367942284"/>
    <n v="0"/>
  </r>
  <r>
    <s v="Regular"/>
    <x v="0"/>
    <x v="1"/>
    <x v="2"/>
    <x v="0"/>
    <x v="1"/>
    <x v="0"/>
    <x v="1"/>
    <x v="10"/>
    <n v="0"/>
    <n v="0"/>
    <n v="158.113"/>
    <n v="79.0565"/>
    <n v="0"/>
    <n v="0"/>
    <n v="0"/>
    <x v="1"/>
    <n v="0"/>
    <n v="0"/>
    <n v="66"/>
    <n v="0"/>
    <n v="0"/>
    <n v="2263.58"/>
    <n v="0"/>
    <m/>
    <n v="2325.9355132623718"/>
    <m/>
    <n v="0"/>
    <n v="178950.71226999999"/>
    <n v="0"/>
    <n v="0"/>
    <n v="183880.32090422671"/>
    <n v="0"/>
  </r>
  <r>
    <s v="PROJETADO"/>
    <x v="0"/>
    <x v="1"/>
    <x v="2"/>
    <x v="0"/>
    <x v="1"/>
    <x v="0"/>
    <x v="1"/>
    <x v="11"/>
    <n v="0"/>
    <n v="0"/>
    <n v="158.113"/>
    <n v="79.0565"/>
    <n v="0"/>
    <n v="0"/>
    <n v="0"/>
    <x v="1"/>
    <n v="0"/>
    <n v="0"/>
    <n v="66"/>
    <n v="0"/>
    <n v="0"/>
    <n v="2263.58"/>
    <n v="0"/>
    <m/>
    <n v="2325.9355132623718"/>
    <m/>
    <n v="0"/>
    <n v="178950.71226999999"/>
    <n v="0"/>
    <n v="0"/>
    <n v="183880.32090422671"/>
    <n v="0"/>
  </r>
  <r>
    <s v="Regular"/>
    <x v="0"/>
    <x v="1"/>
    <x v="2"/>
    <x v="0"/>
    <x v="0"/>
    <x v="0"/>
    <x v="0"/>
    <x v="0"/>
    <n v="0"/>
    <n v="0"/>
    <n v="1163.3989999999999"/>
    <n v="1163.3989999999999"/>
    <n v="1163.3989999999999"/>
    <n v="1163.3989999999999"/>
    <n v="0"/>
    <x v="0"/>
    <n v="0"/>
    <n v="0"/>
    <n v="47"/>
    <n v="27"/>
    <n v="0"/>
    <n v="72.23"/>
    <n v="223.72"/>
    <m/>
    <n v="102.01454208880898"/>
    <n v="221.35055346817671"/>
    <n v="0"/>
    <n v="84032.309769999993"/>
    <n v="260275.62427999996"/>
    <n v="0"/>
    <n v="118683.61625157826"/>
    <n v="257519.0125543233"/>
  </r>
  <r>
    <s v="Regular"/>
    <x v="0"/>
    <x v="1"/>
    <x v="2"/>
    <x v="0"/>
    <x v="0"/>
    <x v="0"/>
    <x v="0"/>
    <x v="1"/>
    <n v="0"/>
    <n v="0"/>
    <n v="889.20600000000002"/>
    <n v="889.20600000000002"/>
    <n v="889.20600000000002"/>
    <n v="889.20600000000002"/>
    <n v="0"/>
    <x v="0"/>
    <n v="0"/>
    <n v="0"/>
    <n v="47"/>
    <n v="27"/>
    <n v="0"/>
    <n v="72.23"/>
    <n v="223.72"/>
    <m/>
    <n v="102.01454208880898"/>
    <n v="221.35055346817671"/>
    <n v="0"/>
    <n v="64227.349380000007"/>
    <n v="198933.16631999999"/>
    <n v="0"/>
    <n v="90711.942912621482"/>
    <n v="196826.24024722356"/>
  </r>
  <r>
    <s v="Regular"/>
    <x v="0"/>
    <x v="1"/>
    <x v="2"/>
    <x v="0"/>
    <x v="0"/>
    <x v="0"/>
    <x v="0"/>
    <x v="2"/>
    <n v="0"/>
    <n v="0"/>
    <n v="372.80500000000001"/>
    <n v="372.80500000000001"/>
    <n v="372.80500000000001"/>
    <n v="372.80500000000001"/>
    <n v="0"/>
    <x v="0"/>
    <n v="0"/>
    <n v="0"/>
    <n v="47"/>
    <n v="27"/>
    <n v="0"/>
    <n v="72.23"/>
    <n v="223.72"/>
    <m/>
    <n v="102.01454208880898"/>
    <n v="221.35055346817671"/>
    <n v="0"/>
    <n v="26927.705150000002"/>
    <n v="83403.934600000008"/>
    <n v="0"/>
    <n v="38031.531363418435"/>
    <n v="82520.593085703615"/>
  </r>
  <r>
    <s v="Regular"/>
    <x v="0"/>
    <x v="1"/>
    <x v="2"/>
    <x v="0"/>
    <x v="0"/>
    <x v="0"/>
    <x v="0"/>
    <x v="3"/>
    <n v="0"/>
    <n v="0"/>
    <n v="290.12"/>
    <n v="290.12"/>
    <n v="290.12"/>
    <n v="290.12"/>
    <n v="0"/>
    <x v="0"/>
    <n v="0"/>
    <n v="0"/>
    <n v="47"/>
    <n v="27"/>
    <n v="0"/>
    <n v="72.23"/>
    <n v="223.72"/>
    <m/>
    <n v="102.01454208880898"/>
    <n v="221.35055346817671"/>
    <n v="0"/>
    <n v="20955.367600000001"/>
    <n v="64905.646399999998"/>
    <n v="0"/>
    <n v="29596.458950805263"/>
    <n v="64218.222572187427"/>
  </r>
  <r>
    <s v="Regular"/>
    <x v="0"/>
    <x v="1"/>
    <x v="2"/>
    <x v="0"/>
    <x v="0"/>
    <x v="0"/>
    <x v="0"/>
    <x v="4"/>
    <n v="0"/>
    <n v="0"/>
    <n v="234.22800000000001"/>
    <n v="234.22800000000001"/>
    <n v="234.22800000000001"/>
    <n v="234.22800000000001"/>
    <n v="0"/>
    <x v="0"/>
    <n v="0"/>
    <n v="0"/>
    <n v="47"/>
    <n v="27"/>
    <n v="0"/>
    <n v="72.23"/>
    <n v="223.72"/>
    <m/>
    <n v="102.01454208880898"/>
    <n v="221.35055346817671"/>
    <n v="0"/>
    <n v="16918.28844"/>
    <n v="52401.488160000001"/>
    <n v="0"/>
    <n v="23894.662164377551"/>
    <n v="51846.497437744096"/>
  </r>
  <r>
    <s v="Sistema de Compensação"/>
    <x v="0"/>
    <x v="1"/>
    <x v="2"/>
    <x v="0"/>
    <x v="0"/>
    <x v="0"/>
    <x v="0"/>
    <x v="4"/>
    <n v="0"/>
    <n v="0"/>
    <n v="35.497999999999998"/>
    <n v="35.497999999999998"/>
    <n v="35.497999999999998"/>
    <n v="35.497999999999998"/>
    <n v="0"/>
    <x v="0"/>
    <n v="0"/>
    <n v="0"/>
    <n v="47"/>
    <n v="27"/>
    <n v="0"/>
    <n v="72.23"/>
    <n v="223.72"/>
    <m/>
    <n v="102.01454208880898"/>
    <n v="221.35055346817671"/>
    <n v="0"/>
    <n v="2564.02054"/>
    <n v="7941.6125599999996"/>
    <n v="0"/>
    <n v="3621.3122150685408"/>
    <n v="7857.5019470133366"/>
  </r>
  <r>
    <s v="Regular"/>
    <x v="0"/>
    <x v="1"/>
    <x v="2"/>
    <x v="0"/>
    <x v="0"/>
    <x v="0"/>
    <x v="0"/>
    <x v="5"/>
    <n v="0"/>
    <n v="0"/>
    <n v="248.56700000000001"/>
    <n v="248.56700000000001"/>
    <n v="248.56700000000001"/>
    <n v="248.56700000000001"/>
    <n v="0"/>
    <x v="0"/>
    <n v="0"/>
    <n v="0"/>
    <n v="47"/>
    <n v="27"/>
    <n v="0"/>
    <n v="72.23"/>
    <n v="223.72"/>
    <m/>
    <n v="102.01454208880898"/>
    <n v="221.35055346817671"/>
    <n v="0"/>
    <n v="17953.994410000003"/>
    <n v="55609.409240000001"/>
    <n v="0"/>
    <n v="25357.448683388982"/>
    <n v="55020.443023924279"/>
  </r>
  <r>
    <s v="Sistema de Compensação"/>
    <x v="0"/>
    <x v="1"/>
    <x v="2"/>
    <x v="0"/>
    <x v="0"/>
    <x v="0"/>
    <x v="0"/>
    <x v="5"/>
    <n v="0"/>
    <n v="0"/>
    <n v="24.978999999999999"/>
    <n v="24.978999999999999"/>
    <n v="24.978999999999999"/>
    <n v="24.978999999999999"/>
    <n v="0"/>
    <x v="0"/>
    <n v="0"/>
    <n v="0"/>
    <n v="47"/>
    <n v="27"/>
    <n v="0"/>
    <n v="72.23"/>
    <n v="223.72"/>
    <m/>
    <n v="102.01454208880898"/>
    <n v="221.35055346817671"/>
    <n v="0"/>
    <n v="1804.23317"/>
    <n v="5588.30188"/>
    <n v="0"/>
    <n v="2548.2212468363596"/>
    <n v="5529.1154750815858"/>
  </r>
  <r>
    <s v="Regular"/>
    <x v="0"/>
    <x v="1"/>
    <x v="2"/>
    <x v="0"/>
    <x v="0"/>
    <x v="0"/>
    <x v="0"/>
    <x v="6"/>
    <n v="0"/>
    <n v="0"/>
    <n v="248.84200000000001"/>
    <n v="248.84200000000001"/>
    <n v="248.84200000000001"/>
    <n v="248.84200000000001"/>
    <n v="0"/>
    <x v="0"/>
    <n v="0"/>
    <n v="0"/>
    <n v="47"/>
    <n v="27"/>
    <n v="0"/>
    <n v="72.23"/>
    <n v="223.72"/>
    <m/>
    <n v="102.01454208880898"/>
    <n v="221.35055346817671"/>
    <n v="0"/>
    <n v="17973.857660000001"/>
    <n v="55670.932240000002"/>
    <n v="0"/>
    <n v="25385.502682463404"/>
    <n v="55081.314426128032"/>
  </r>
  <r>
    <s v="Sistema de Compensação"/>
    <x v="0"/>
    <x v="1"/>
    <x v="2"/>
    <x v="0"/>
    <x v="0"/>
    <x v="0"/>
    <x v="0"/>
    <x v="6"/>
    <n v="0"/>
    <n v="0"/>
    <n v="29.53"/>
    <n v="29.53"/>
    <n v="29.53"/>
    <n v="29.53"/>
    <n v="0"/>
    <x v="0"/>
    <n v="0"/>
    <n v="0"/>
    <n v="47"/>
    <n v="27"/>
    <n v="0"/>
    <n v="72.23"/>
    <n v="223.72"/>
    <m/>
    <n v="102.01454208880898"/>
    <n v="221.35055346817671"/>
    <n v="0"/>
    <n v="2132.9519"/>
    <n v="6606.4516000000003"/>
    <n v="0"/>
    <n v="3012.4894278825295"/>
    <n v="6536.4818439152587"/>
  </r>
  <r>
    <s v="Regular"/>
    <x v="0"/>
    <x v="1"/>
    <x v="2"/>
    <x v="0"/>
    <x v="0"/>
    <x v="0"/>
    <x v="0"/>
    <x v="7"/>
    <n v="0"/>
    <n v="0"/>
    <n v="218.44300000000001"/>
    <n v="218.44300000000001"/>
    <n v="218.44300000000001"/>
    <n v="218.44300000000001"/>
    <n v="0"/>
    <x v="0"/>
    <n v="0"/>
    <n v="0"/>
    <n v="47"/>
    <n v="27"/>
    <n v="0"/>
    <n v="72.23"/>
    <n v="223.72"/>
    <m/>
    <n v="102.01454208880898"/>
    <n v="221.35055346817671"/>
    <n v="0"/>
    <n v="15778.137890000002"/>
    <n v="48870.06796"/>
    <n v="0"/>
    <n v="22284.3626175057"/>
    <n v="48352.47895124893"/>
  </r>
  <r>
    <s v="Sistema de Compensação"/>
    <x v="0"/>
    <x v="1"/>
    <x v="2"/>
    <x v="0"/>
    <x v="0"/>
    <x v="0"/>
    <x v="0"/>
    <x v="7"/>
    <n v="0"/>
    <n v="0"/>
    <n v="16.986000000000001"/>
    <n v="16.986000000000001"/>
    <n v="16.986000000000001"/>
    <n v="16.986000000000001"/>
    <n v="0"/>
    <x v="0"/>
    <n v="0"/>
    <n v="0"/>
    <n v="47"/>
    <n v="27"/>
    <n v="0"/>
    <n v="72.23"/>
    <n v="223.72"/>
    <m/>
    <n v="102.01454208880898"/>
    <n v="221.35055346817671"/>
    <n v="0"/>
    <n v="1226.8987800000002"/>
    <n v="3800.1079199999999"/>
    <n v="0"/>
    <n v="1732.8190119205094"/>
    <n v="3759.8605012104499"/>
  </r>
  <r>
    <s v="Regular"/>
    <x v="0"/>
    <x v="1"/>
    <x v="2"/>
    <x v="0"/>
    <x v="0"/>
    <x v="0"/>
    <x v="0"/>
    <x v="8"/>
    <n v="0"/>
    <n v="0"/>
    <n v="236.62799999999999"/>
    <n v="236.62799999999999"/>
    <n v="236.62799999999999"/>
    <n v="236.62799999999999"/>
    <n v="0"/>
    <x v="0"/>
    <n v="0"/>
    <n v="0"/>
    <n v="47"/>
    <n v="27"/>
    <n v="0"/>
    <n v="72.23"/>
    <n v="223.72"/>
    <m/>
    <n v="102.01454208880898"/>
    <n v="221.35055346817671"/>
    <n v="0"/>
    <n v="17091.640439999999"/>
    <n v="52938.416159999993"/>
    <n v="0"/>
    <n v="24139.497065390689"/>
    <n v="52377.73876606772"/>
  </r>
  <r>
    <s v="Sistema de Compensação"/>
    <x v="0"/>
    <x v="1"/>
    <x v="2"/>
    <x v="0"/>
    <x v="0"/>
    <x v="0"/>
    <x v="0"/>
    <x v="8"/>
    <n v="0"/>
    <n v="0"/>
    <n v="28.372"/>
    <n v="28.372"/>
    <n v="28.372"/>
    <n v="28.372"/>
    <n v="0"/>
    <x v="0"/>
    <n v="0"/>
    <n v="0"/>
    <n v="47"/>
    <n v="27"/>
    <n v="0"/>
    <n v="72.23"/>
    <n v="223.72"/>
    <m/>
    <n v="102.01454208880898"/>
    <n v="221.35055346817671"/>
    <n v="0"/>
    <n v="2049.3095600000001"/>
    <n v="6347.3838399999995"/>
    <n v="0"/>
    <n v="2894.3565881436884"/>
    <n v="6280.1579029991099"/>
  </r>
  <r>
    <s v="Regular"/>
    <x v="0"/>
    <x v="1"/>
    <x v="2"/>
    <x v="0"/>
    <x v="0"/>
    <x v="0"/>
    <x v="0"/>
    <x v="9"/>
    <n v="0"/>
    <n v="0"/>
    <n v="200.732"/>
    <n v="200.732"/>
    <n v="200.732"/>
    <n v="200.732"/>
    <n v="0"/>
    <x v="0"/>
    <n v="0"/>
    <n v="0"/>
    <n v="47"/>
    <n v="27"/>
    <n v="0"/>
    <n v="72.23"/>
    <n v="223.72"/>
    <m/>
    <n v="102.01454208880898"/>
    <n v="221.35055346817671"/>
    <n v="0"/>
    <n v="14498.872360000001"/>
    <n v="44907.763039999998"/>
    <n v="0"/>
    <n v="20477.583062570804"/>
    <n v="44432.139298774047"/>
  </r>
  <r>
    <s v="Sistema de Compensação"/>
    <x v="0"/>
    <x v="1"/>
    <x v="2"/>
    <x v="0"/>
    <x v="0"/>
    <x v="0"/>
    <x v="0"/>
    <x v="9"/>
    <n v="0"/>
    <n v="0"/>
    <n v="27.233000000000001"/>
    <n v="27.233000000000001"/>
    <n v="27.233000000000001"/>
    <n v="27.233000000000001"/>
    <n v="0"/>
    <x v="0"/>
    <n v="0"/>
    <n v="0"/>
    <n v="47"/>
    <n v="27"/>
    <n v="0"/>
    <n v="72.23"/>
    <n v="223.72"/>
    <m/>
    <n v="102.01454208880898"/>
    <n v="221.35055346817671"/>
    <n v="0"/>
    <n v="1967.0395900000001"/>
    <n v="6092.5667599999997"/>
    <n v="0"/>
    <n v="2778.1620247045348"/>
    <n v="6028.0396225988561"/>
  </r>
  <r>
    <s v="Regular"/>
    <x v="0"/>
    <x v="1"/>
    <x v="2"/>
    <x v="0"/>
    <x v="0"/>
    <x v="0"/>
    <x v="0"/>
    <x v="10"/>
    <n v="0"/>
    <n v="0"/>
    <n v="233.959"/>
    <n v="233.959"/>
    <n v="233.959"/>
    <n v="233.959"/>
    <n v="0"/>
    <x v="0"/>
    <n v="0"/>
    <n v="0"/>
    <n v="47"/>
    <n v="27"/>
    <n v="0"/>
    <n v="72.23"/>
    <n v="223.72"/>
    <m/>
    <n v="102.01454208880898"/>
    <n v="221.35055346817671"/>
    <n v="0"/>
    <n v="16898.85857"/>
    <n v="52341.307480000003"/>
    <n v="0"/>
    <n v="23867.22025255566"/>
    <n v="51786.954138861154"/>
  </r>
  <r>
    <s v="Sistema de Compensação"/>
    <x v="0"/>
    <x v="1"/>
    <x v="2"/>
    <x v="0"/>
    <x v="0"/>
    <x v="0"/>
    <x v="0"/>
    <x v="10"/>
    <n v="0"/>
    <n v="0"/>
    <n v="31.376999999999999"/>
    <n v="31.376999999999999"/>
    <n v="31.376999999999999"/>
    <n v="31.376999999999999"/>
    <n v="0"/>
    <x v="0"/>
    <n v="0"/>
    <n v="0"/>
    <n v="47"/>
    <n v="27"/>
    <n v="0"/>
    <n v="72.23"/>
    <n v="223.72"/>
    <m/>
    <n v="102.01454208880898"/>
    <n v="221.35055346817671"/>
    <n v="0"/>
    <n v="2266.3607099999999"/>
    <n v="7019.6624400000001"/>
    <n v="0"/>
    <n v="3200.9102871205591"/>
    <n v="6945.3163161709808"/>
  </r>
  <r>
    <s v="PROJETADO"/>
    <x v="0"/>
    <x v="1"/>
    <x v="2"/>
    <x v="0"/>
    <x v="0"/>
    <x v="0"/>
    <x v="0"/>
    <x v="11"/>
    <n v="0"/>
    <n v="0"/>
    <n v="233.959"/>
    <n v="233.959"/>
    <n v="233.959"/>
    <n v="233.959"/>
    <n v="0"/>
    <x v="0"/>
    <n v="0"/>
    <n v="0"/>
    <n v="47"/>
    <n v="27"/>
    <n v="0"/>
    <n v="72.23"/>
    <n v="223.72"/>
    <m/>
    <n v="102.01454208880898"/>
    <n v="221.35055346817671"/>
    <n v="0"/>
    <n v="16898.85857"/>
    <n v="52341.307480000003"/>
    <n v="0"/>
    <n v="23867.22025255566"/>
    <n v="51786.954138861154"/>
  </r>
  <r>
    <s v="PROJETADO"/>
    <x v="0"/>
    <x v="1"/>
    <x v="2"/>
    <x v="0"/>
    <x v="0"/>
    <x v="0"/>
    <x v="0"/>
    <x v="11"/>
    <n v="0"/>
    <n v="0"/>
    <n v="31.376999999999999"/>
    <n v="31.376999999999999"/>
    <n v="31.376999999999999"/>
    <n v="31.376999999999999"/>
    <n v="0"/>
    <x v="0"/>
    <n v="0"/>
    <n v="0"/>
    <n v="47"/>
    <n v="27"/>
    <n v="0"/>
    <n v="72.23"/>
    <n v="223.72"/>
    <m/>
    <n v="102.01454208880898"/>
    <n v="221.35055346817671"/>
    <n v="0"/>
    <n v="2266.3607099999999"/>
    <n v="7019.6624400000001"/>
    <n v="0"/>
    <n v="3200.9102871205591"/>
    <n v="6945.3163161709808"/>
  </r>
  <r>
    <s v="Regular"/>
    <x v="0"/>
    <x v="1"/>
    <x v="2"/>
    <x v="0"/>
    <x v="0"/>
    <x v="0"/>
    <x v="2"/>
    <x v="0"/>
    <n v="7321"/>
    <n v="7321"/>
    <n v="0"/>
    <n v="0"/>
    <n v="0"/>
    <n v="0"/>
    <n v="14"/>
    <x v="0"/>
    <n v="0"/>
    <n v="65"/>
    <n v="0"/>
    <n v="0"/>
    <n v="23.41"/>
    <n v="0"/>
    <n v="0"/>
    <n v="23.763428126815878"/>
    <m/>
    <m/>
    <n v="171384.61000000002"/>
    <n v="0"/>
    <n v="0"/>
    <n v="173972.05731641906"/>
    <n v="0"/>
    <n v="0"/>
  </r>
  <r>
    <s v="Regular"/>
    <x v="0"/>
    <x v="1"/>
    <x v="2"/>
    <x v="0"/>
    <x v="0"/>
    <x v="0"/>
    <x v="2"/>
    <x v="1"/>
    <n v="7019"/>
    <n v="7019"/>
    <n v="0"/>
    <n v="0"/>
    <n v="0"/>
    <n v="0"/>
    <n v="14"/>
    <x v="0"/>
    <n v="0"/>
    <n v="65"/>
    <n v="0"/>
    <n v="0"/>
    <n v="23.41"/>
    <n v="0"/>
    <n v="0"/>
    <n v="23.763428126815878"/>
    <m/>
    <m/>
    <n v="164314.79"/>
    <n v="0"/>
    <n v="0"/>
    <n v="166795.50202212064"/>
    <n v="0"/>
    <n v="0"/>
  </r>
  <r>
    <s v="Regular"/>
    <x v="0"/>
    <x v="1"/>
    <x v="2"/>
    <x v="0"/>
    <x v="0"/>
    <x v="0"/>
    <x v="2"/>
    <x v="2"/>
    <n v="4402"/>
    <n v="4402"/>
    <n v="0"/>
    <n v="0"/>
    <n v="0"/>
    <n v="0"/>
    <n v="13"/>
    <x v="0"/>
    <n v="0"/>
    <n v="65"/>
    <n v="0"/>
    <n v="0"/>
    <n v="23.41"/>
    <n v="0"/>
    <n v="0"/>
    <n v="23.763428126815878"/>
    <m/>
    <m/>
    <n v="103050.82"/>
    <n v="0"/>
    <n v="0"/>
    <n v="104606.6106142435"/>
    <n v="0"/>
    <n v="0"/>
  </r>
  <r>
    <s v="Regular"/>
    <x v="0"/>
    <x v="1"/>
    <x v="2"/>
    <x v="0"/>
    <x v="0"/>
    <x v="0"/>
    <x v="2"/>
    <x v="3"/>
    <n v="2340"/>
    <n v="2340"/>
    <n v="0"/>
    <n v="0"/>
    <n v="0"/>
    <n v="0"/>
    <n v="10"/>
    <x v="0"/>
    <n v="0"/>
    <n v="65"/>
    <n v="0"/>
    <n v="0"/>
    <n v="23.41"/>
    <n v="0"/>
    <n v="0"/>
    <n v="23.763428126815878"/>
    <m/>
    <m/>
    <n v="54779.4"/>
    <n v="0"/>
    <n v="0"/>
    <n v="55606.421816749156"/>
    <n v="0"/>
    <n v="0"/>
  </r>
  <r>
    <s v="Regular"/>
    <x v="0"/>
    <x v="1"/>
    <x v="2"/>
    <x v="0"/>
    <x v="0"/>
    <x v="0"/>
    <x v="2"/>
    <x v="4"/>
    <n v="2044"/>
    <n v="2044"/>
    <n v="0"/>
    <n v="0"/>
    <n v="0"/>
    <n v="0"/>
    <n v="9"/>
    <x v="0"/>
    <n v="0"/>
    <n v="65"/>
    <n v="0"/>
    <n v="0"/>
    <n v="23.41"/>
    <n v="0"/>
    <n v="0"/>
    <n v="23.763428126815878"/>
    <m/>
    <m/>
    <n v="47850.04"/>
    <n v="0"/>
    <n v="0"/>
    <n v="48572.447091211652"/>
    <n v="0"/>
    <n v="0"/>
  </r>
  <r>
    <s v="Sistema de Compensação"/>
    <x v="0"/>
    <x v="1"/>
    <x v="2"/>
    <x v="0"/>
    <x v="0"/>
    <x v="0"/>
    <x v="2"/>
    <x v="4"/>
    <n v="270"/>
    <n v="270"/>
    <n v="0"/>
    <n v="0"/>
    <n v="0"/>
    <n v="0"/>
    <n v="1"/>
    <x v="0"/>
    <n v="0"/>
    <n v="65"/>
    <n v="0"/>
    <n v="0"/>
    <n v="23.41"/>
    <n v="0"/>
    <n v="0"/>
    <n v="23.763428126815878"/>
    <m/>
    <m/>
    <n v="6320.7"/>
    <n v="0"/>
    <n v="0"/>
    <n v="6416.1255942402868"/>
    <n v="0"/>
    <n v="0"/>
  </r>
  <r>
    <s v="Regular"/>
    <x v="0"/>
    <x v="1"/>
    <x v="2"/>
    <x v="0"/>
    <x v="0"/>
    <x v="0"/>
    <x v="2"/>
    <x v="5"/>
    <n v="2094"/>
    <n v="2094"/>
    <n v="0"/>
    <n v="0"/>
    <n v="0"/>
    <n v="0"/>
    <n v="9"/>
    <x v="0"/>
    <n v="0"/>
    <n v="65"/>
    <n v="0"/>
    <n v="0"/>
    <n v="23.41"/>
    <n v="0"/>
    <n v="0"/>
    <n v="23.763428126815878"/>
    <m/>
    <m/>
    <n v="49020.54"/>
    <n v="0"/>
    <n v="0"/>
    <n v="49760.618497552452"/>
    <n v="0"/>
    <n v="0"/>
  </r>
  <r>
    <s v="Sistema de Compensação"/>
    <x v="0"/>
    <x v="1"/>
    <x v="2"/>
    <x v="0"/>
    <x v="0"/>
    <x v="0"/>
    <x v="2"/>
    <x v="5"/>
    <n v="270"/>
    <n v="270"/>
    <n v="0"/>
    <n v="0"/>
    <n v="0"/>
    <n v="0"/>
    <n v="1"/>
    <x v="0"/>
    <n v="0"/>
    <n v="65"/>
    <n v="0"/>
    <n v="0"/>
    <n v="23.41"/>
    <n v="0"/>
    <n v="0"/>
    <n v="23.763428126815878"/>
    <m/>
    <m/>
    <n v="6320.7"/>
    <n v="0"/>
    <n v="0"/>
    <n v="6416.1255942402868"/>
    <n v="0"/>
    <n v="0"/>
  </r>
  <r>
    <s v="Regular"/>
    <x v="0"/>
    <x v="1"/>
    <x v="2"/>
    <x v="0"/>
    <x v="0"/>
    <x v="0"/>
    <x v="2"/>
    <x v="6"/>
    <n v="2148"/>
    <n v="2148"/>
    <n v="0"/>
    <n v="0"/>
    <n v="0"/>
    <n v="0"/>
    <n v="10"/>
    <x v="0"/>
    <n v="0"/>
    <n v="65"/>
    <n v="0"/>
    <n v="0"/>
    <n v="23.41"/>
    <n v="0"/>
    <n v="0"/>
    <n v="23.763428126815878"/>
    <m/>
    <m/>
    <n v="50284.68"/>
    <n v="0"/>
    <n v="0"/>
    <n v="51043.843616400503"/>
    <n v="0"/>
    <n v="0"/>
  </r>
  <r>
    <s v="Sistema de Compensação"/>
    <x v="0"/>
    <x v="1"/>
    <x v="2"/>
    <x v="0"/>
    <x v="0"/>
    <x v="0"/>
    <x v="2"/>
    <x v="6"/>
    <n v="270"/>
    <n v="270"/>
    <n v="0"/>
    <n v="0"/>
    <n v="0"/>
    <n v="0"/>
    <n v="1"/>
    <x v="0"/>
    <n v="0"/>
    <n v="65"/>
    <n v="0"/>
    <n v="0"/>
    <n v="23.41"/>
    <n v="0"/>
    <n v="0"/>
    <n v="23.763428126815878"/>
    <m/>
    <m/>
    <n v="6320.7"/>
    <n v="0"/>
    <n v="0"/>
    <n v="6416.1255942402868"/>
    <n v="0"/>
    <n v="0"/>
  </r>
  <r>
    <s v="Regular"/>
    <x v="0"/>
    <x v="1"/>
    <x v="2"/>
    <x v="0"/>
    <x v="0"/>
    <x v="0"/>
    <x v="2"/>
    <x v="7"/>
    <n v="2097"/>
    <n v="2097"/>
    <n v="0"/>
    <n v="0"/>
    <n v="0"/>
    <n v="0"/>
    <n v="10"/>
    <x v="0"/>
    <n v="0"/>
    <n v="65"/>
    <n v="0"/>
    <n v="0"/>
    <n v="23.41"/>
    <n v="0"/>
    <n v="0"/>
    <n v="23.763428126815878"/>
    <m/>
    <m/>
    <n v="49090.77"/>
    <n v="0"/>
    <n v="0"/>
    <n v="49831.9087819329"/>
    <n v="0"/>
    <n v="0"/>
  </r>
  <r>
    <s v="Sistema de Compensação"/>
    <x v="0"/>
    <x v="1"/>
    <x v="2"/>
    <x v="0"/>
    <x v="0"/>
    <x v="0"/>
    <x v="2"/>
    <x v="7"/>
    <n v="270"/>
    <n v="270"/>
    <n v="0"/>
    <n v="0"/>
    <n v="0"/>
    <n v="0"/>
    <n v="1"/>
    <x v="0"/>
    <n v="0"/>
    <n v="65"/>
    <n v="0"/>
    <n v="0"/>
    <n v="23.41"/>
    <n v="0"/>
    <n v="0"/>
    <n v="23.763428126815878"/>
    <m/>
    <m/>
    <n v="6320.7"/>
    <n v="0"/>
    <n v="0"/>
    <n v="6416.1255942402868"/>
    <n v="0"/>
    <n v="0"/>
  </r>
  <r>
    <s v="Regular"/>
    <x v="0"/>
    <x v="1"/>
    <x v="2"/>
    <x v="0"/>
    <x v="0"/>
    <x v="0"/>
    <x v="2"/>
    <x v="8"/>
    <n v="1972"/>
    <n v="1972"/>
    <n v="0"/>
    <n v="0"/>
    <n v="0"/>
    <n v="0"/>
    <n v="10"/>
    <x v="0"/>
    <n v="0"/>
    <n v="65"/>
    <n v="0"/>
    <n v="0"/>
    <n v="23.41"/>
    <n v="0"/>
    <n v="0"/>
    <n v="23.763428126815878"/>
    <m/>
    <m/>
    <n v="46164.52"/>
    <n v="0"/>
    <n v="0"/>
    <n v="46861.480266080915"/>
    <n v="0"/>
    <n v="0"/>
  </r>
  <r>
    <s v="Sistema de Compensação"/>
    <x v="0"/>
    <x v="1"/>
    <x v="2"/>
    <x v="0"/>
    <x v="0"/>
    <x v="0"/>
    <x v="2"/>
    <x v="8"/>
    <n v="270"/>
    <n v="270"/>
    <n v="0"/>
    <n v="0"/>
    <n v="0"/>
    <n v="0"/>
    <n v="1"/>
    <x v="0"/>
    <n v="0"/>
    <n v="65"/>
    <n v="0"/>
    <n v="0"/>
    <n v="23.41"/>
    <n v="0"/>
    <n v="0"/>
    <n v="23.763428126815878"/>
    <m/>
    <m/>
    <n v="6320.7"/>
    <n v="0"/>
    <n v="0"/>
    <n v="6416.1255942402868"/>
    <n v="0"/>
    <n v="0"/>
  </r>
  <r>
    <s v="Regular"/>
    <x v="0"/>
    <x v="1"/>
    <x v="2"/>
    <x v="0"/>
    <x v="0"/>
    <x v="0"/>
    <x v="2"/>
    <x v="9"/>
    <n v="2286"/>
    <n v="2286"/>
    <n v="0"/>
    <n v="0"/>
    <n v="0"/>
    <n v="0"/>
    <n v="11"/>
    <x v="0"/>
    <n v="0"/>
    <n v="65"/>
    <n v="0"/>
    <n v="0"/>
    <n v="23.41"/>
    <n v="0"/>
    <n v="0"/>
    <n v="23.763428126815878"/>
    <m/>
    <m/>
    <n v="53515.26"/>
    <n v="0"/>
    <n v="0"/>
    <n v="54323.196697901098"/>
    <n v="0"/>
    <n v="0"/>
  </r>
  <r>
    <s v="Sistema de Compensação"/>
    <x v="0"/>
    <x v="1"/>
    <x v="2"/>
    <x v="0"/>
    <x v="0"/>
    <x v="0"/>
    <x v="2"/>
    <x v="9"/>
    <n v="270"/>
    <n v="270"/>
    <n v="0"/>
    <n v="0"/>
    <n v="0"/>
    <n v="0"/>
    <n v="1"/>
    <x v="0"/>
    <n v="0"/>
    <n v="65"/>
    <n v="0"/>
    <n v="0"/>
    <n v="23.41"/>
    <n v="0"/>
    <n v="0"/>
    <n v="23.763428126815878"/>
    <m/>
    <m/>
    <n v="6320.7"/>
    <n v="0"/>
    <n v="0"/>
    <n v="6416.1255942402868"/>
    <n v="0"/>
    <n v="0"/>
  </r>
  <r>
    <s v="Regular"/>
    <x v="0"/>
    <x v="1"/>
    <x v="2"/>
    <x v="0"/>
    <x v="0"/>
    <x v="0"/>
    <x v="2"/>
    <x v="10"/>
    <n v="2296"/>
    <n v="2296"/>
    <n v="0"/>
    <n v="0"/>
    <n v="0"/>
    <n v="0"/>
    <n v="11"/>
    <x v="0"/>
    <n v="0"/>
    <n v="65"/>
    <n v="0"/>
    <n v="0"/>
    <n v="23.41"/>
    <n v="0"/>
    <n v="0"/>
    <n v="23.763428126815878"/>
    <m/>
    <m/>
    <n v="53749.36"/>
    <n v="0"/>
    <n v="0"/>
    <n v="54560.830979169259"/>
    <n v="0"/>
    <n v="0"/>
  </r>
  <r>
    <s v="Sistema de Compensação"/>
    <x v="0"/>
    <x v="1"/>
    <x v="2"/>
    <x v="0"/>
    <x v="0"/>
    <x v="0"/>
    <x v="2"/>
    <x v="10"/>
    <n v="270"/>
    <n v="270"/>
    <n v="0"/>
    <n v="0"/>
    <n v="0"/>
    <n v="0"/>
    <n v="1"/>
    <x v="0"/>
    <n v="0"/>
    <n v="65"/>
    <n v="0"/>
    <n v="0"/>
    <n v="23.41"/>
    <n v="0"/>
    <n v="0"/>
    <n v="23.763428126815878"/>
    <m/>
    <m/>
    <n v="6320.7"/>
    <n v="0"/>
    <n v="0"/>
    <n v="6416.1255942402868"/>
    <n v="0"/>
    <n v="0"/>
  </r>
  <r>
    <s v="PROJETADO"/>
    <x v="0"/>
    <x v="1"/>
    <x v="2"/>
    <x v="0"/>
    <x v="0"/>
    <x v="0"/>
    <x v="2"/>
    <x v="11"/>
    <n v="2296"/>
    <n v="2296"/>
    <n v="0"/>
    <n v="0"/>
    <n v="0"/>
    <n v="0"/>
    <n v="11"/>
    <x v="0"/>
    <n v="0"/>
    <n v="65"/>
    <n v="0"/>
    <n v="0"/>
    <n v="23.41"/>
    <n v="0"/>
    <n v="0"/>
    <n v="23.763428126815878"/>
    <m/>
    <m/>
    <n v="53749.36"/>
    <n v="0"/>
    <n v="0"/>
    <n v="54560.830979169259"/>
    <n v="0"/>
    <n v="0"/>
  </r>
  <r>
    <s v="PROJETADO"/>
    <x v="0"/>
    <x v="1"/>
    <x v="2"/>
    <x v="0"/>
    <x v="0"/>
    <x v="0"/>
    <x v="2"/>
    <x v="11"/>
    <n v="270"/>
    <n v="270"/>
    <n v="0"/>
    <n v="0"/>
    <n v="0"/>
    <n v="0"/>
    <n v="1"/>
    <x v="0"/>
    <n v="0"/>
    <n v="65"/>
    <n v="0"/>
    <n v="0"/>
    <n v="23.41"/>
    <n v="0"/>
    <n v="0"/>
    <n v="23.763428126815878"/>
    <m/>
    <m/>
    <n v="6320.7"/>
    <n v="0"/>
    <n v="0"/>
    <n v="6416.1255942402868"/>
    <n v="0"/>
    <n v="0"/>
  </r>
  <r>
    <s v="Regular"/>
    <x v="0"/>
    <x v="1"/>
    <x v="2"/>
    <x v="0"/>
    <x v="0"/>
    <x v="0"/>
    <x v="1"/>
    <x v="0"/>
    <n v="0"/>
    <n v="0"/>
    <n v="83.936000000000007"/>
    <n v="83.936000000000007"/>
    <n v="83.936000000000007"/>
    <n v="83.936000000000007"/>
    <n v="0"/>
    <x v="0"/>
    <n v="0"/>
    <n v="0"/>
    <n v="66"/>
    <n v="6"/>
    <n v="0"/>
    <n v="2263.58"/>
    <n v="223.72"/>
    <m/>
    <n v="2325.9355132623718"/>
    <n v="221.35055346817671"/>
    <n v="0"/>
    <n v="189995.85088000001"/>
    <n v="18778.161920000002"/>
    <n v="0"/>
    <n v="195229.72324119046"/>
    <n v="18579.280055904881"/>
  </r>
  <r>
    <s v="Regular"/>
    <x v="0"/>
    <x v="1"/>
    <x v="2"/>
    <x v="0"/>
    <x v="0"/>
    <x v="0"/>
    <x v="1"/>
    <x v="1"/>
    <n v="0"/>
    <n v="0"/>
    <n v="60.029000000000003"/>
    <n v="60.029000000000003"/>
    <n v="60.029000000000003"/>
    <n v="60.029000000000003"/>
    <n v="0"/>
    <x v="0"/>
    <n v="0"/>
    <n v="0"/>
    <n v="66"/>
    <n v="6"/>
    <n v="0"/>
    <n v="2263.58"/>
    <n v="223.72"/>
    <m/>
    <n v="2325.9355132623718"/>
    <n v="221.35055346817671"/>
    <n v="0"/>
    <n v="135880.44382000001"/>
    <n v="13429.687880000001"/>
    <n v="0"/>
    <n v="139623.58292562692"/>
    <n v="13287.452374141181"/>
  </r>
  <r>
    <s v="Regular"/>
    <x v="0"/>
    <x v="1"/>
    <x v="2"/>
    <x v="0"/>
    <x v="0"/>
    <x v="0"/>
    <x v="1"/>
    <x v="2"/>
    <n v="0"/>
    <n v="0"/>
    <n v="30.277000000000001"/>
    <n v="30.277000000000001"/>
    <n v="30.277000000000001"/>
    <n v="30.277000000000001"/>
    <n v="0"/>
    <x v="0"/>
    <n v="0"/>
    <n v="0"/>
    <n v="66"/>
    <n v="6"/>
    <n v="0"/>
    <n v="2263.58"/>
    <n v="223.72"/>
    <m/>
    <n v="2325.9355132623718"/>
    <n v="221.35055346817671"/>
    <n v="0"/>
    <n v="68534.411659999998"/>
    <n v="6773.5704400000004"/>
    <n v="0"/>
    <n v="70422.349535044836"/>
    <n v="6701.8307073559863"/>
  </r>
  <r>
    <s v="Regular"/>
    <x v="0"/>
    <x v="1"/>
    <x v="2"/>
    <x v="0"/>
    <x v="0"/>
    <x v="0"/>
    <x v="1"/>
    <x v="3"/>
    <n v="0"/>
    <n v="0"/>
    <n v="21.472000000000001"/>
    <n v="21.472000000000001"/>
    <n v="21.472000000000001"/>
    <n v="21.472000000000001"/>
    <n v="0"/>
    <x v="0"/>
    <n v="0"/>
    <n v="0"/>
    <n v="66"/>
    <n v="6"/>
    <n v="0"/>
    <n v="2263.58"/>
    <n v="223.72"/>
    <m/>
    <n v="2325.9355132623718"/>
    <n v="221.35055346817671"/>
    <n v="0"/>
    <n v="48603.589760000003"/>
    <n v="4803.7158399999998"/>
    <n v="0"/>
    <n v="49942.48734076965"/>
    <n v="4752.8390840686907"/>
  </r>
  <r>
    <s v="Regular"/>
    <x v="0"/>
    <x v="1"/>
    <x v="2"/>
    <x v="0"/>
    <x v="0"/>
    <x v="0"/>
    <x v="1"/>
    <x v="4"/>
    <n v="0"/>
    <n v="0"/>
    <n v="16.149999999999999"/>
    <n v="16.149999999999999"/>
    <n v="16.149999999999999"/>
    <n v="16.149999999999999"/>
    <n v="0"/>
    <x v="0"/>
    <n v="0"/>
    <n v="0"/>
    <n v="66"/>
    <n v="6"/>
    <n v="0"/>
    <n v="2263.58"/>
    <n v="223.72"/>
    <m/>
    <n v="2325.9355132623718"/>
    <n v="221.35055346817671"/>
    <n v="0"/>
    <n v="36556.816999999995"/>
    <n v="3613.0779999999995"/>
    <n v="0"/>
    <n v="37563.858539187298"/>
    <n v="3574.8114385110534"/>
  </r>
  <r>
    <s v="Sistema de Compensação"/>
    <x v="0"/>
    <x v="1"/>
    <x v="2"/>
    <x v="0"/>
    <x v="0"/>
    <x v="0"/>
    <x v="1"/>
    <x v="4"/>
    <n v="0"/>
    <n v="0"/>
    <n v="6.3760000000000003"/>
    <n v="6.3760000000000003"/>
    <n v="6.3760000000000003"/>
    <n v="6.3760000000000003"/>
    <n v="0"/>
    <x v="0"/>
    <n v="0"/>
    <n v="0"/>
    <n v="66"/>
    <n v="6"/>
    <n v="0"/>
    <n v="2263.58"/>
    <n v="223.72"/>
    <m/>
    <n v="2325.9355132623718"/>
    <n v="221.35055346817671"/>
    <n v="0"/>
    <n v="14432.586080000001"/>
    <n v="1426.4387200000001"/>
    <n v="0"/>
    <n v="14830.164832560884"/>
    <n v="1411.3311289130947"/>
  </r>
  <r>
    <s v="Regular"/>
    <x v="0"/>
    <x v="1"/>
    <x v="2"/>
    <x v="0"/>
    <x v="0"/>
    <x v="0"/>
    <x v="1"/>
    <x v="5"/>
    <n v="0"/>
    <n v="0"/>
    <n v="19.266999999999999"/>
    <n v="19.266999999999999"/>
    <n v="19.266999999999999"/>
    <n v="19.266999999999999"/>
    <n v="0"/>
    <x v="0"/>
    <n v="0"/>
    <n v="0"/>
    <n v="66"/>
    <n v="6"/>
    <n v="0"/>
    <n v="2263.58"/>
    <n v="223.72"/>
    <m/>
    <n v="2325.9355132623718"/>
    <n v="221.35055346817671"/>
    <n v="0"/>
    <n v="43612.395859999997"/>
    <n v="4310.4132399999999"/>
    <n v="0"/>
    <n v="44813.799534026119"/>
    <n v="4264.7611136713604"/>
  </r>
  <r>
    <s v="Sistema de Compensação"/>
    <x v="0"/>
    <x v="1"/>
    <x v="2"/>
    <x v="0"/>
    <x v="0"/>
    <x v="0"/>
    <x v="1"/>
    <x v="5"/>
    <n v="0"/>
    <n v="0"/>
    <n v="6.5819999999999999"/>
    <n v="6.5819999999999999"/>
    <n v="6.5819999999999999"/>
    <n v="6.5819999999999999"/>
    <n v="0"/>
    <x v="0"/>
    <n v="0"/>
    <n v="0"/>
    <n v="66"/>
    <n v="6"/>
    <n v="0"/>
    <n v="2263.58"/>
    <n v="223.72"/>
    <m/>
    <n v="2325.9355132623718"/>
    <n v="221.35055346817671"/>
    <n v="0"/>
    <n v="14898.883559999998"/>
    <n v="1472.52504"/>
    <n v="0"/>
    <n v="15309.307548292931"/>
    <n v="1456.929342927539"/>
  </r>
  <r>
    <s v="Regular"/>
    <x v="0"/>
    <x v="1"/>
    <x v="2"/>
    <x v="0"/>
    <x v="0"/>
    <x v="0"/>
    <x v="1"/>
    <x v="6"/>
    <n v="0"/>
    <n v="0"/>
    <n v="14.446999999999999"/>
    <n v="14.446999999999999"/>
    <n v="14.446999999999999"/>
    <n v="14.446999999999999"/>
    <n v="0"/>
    <x v="0"/>
    <n v="0"/>
    <n v="0"/>
    <n v="66"/>
    <n v="6"/>
    <n v="0"/>
    <n v="2263.58"/>
    <n v="223.72"/>
    <m/>
    <n v="2325.9355132623718"/>
    <n v="221.35055346817671"/>
    <n v="0"/>
    <n v="32701.940259999996"/>
    <n v="3232.0828399999996"/>
    <n v="0"/>
    <n v="33602.790360101484"/>
    <n v="3197.8514459547487"/>
  </r>
  <r>
    <s v="Sistema de Compensação"/>
    <x v="0"/>
    <x v="1"/>
    <x v="2"/>
    <x v="0"/>
    <x v="0"/>
    <x v="0"/>
    <x v="1"/>
    <x v="6"/>
    <n v="0"/>
    <n v="0"/>
    <n v="5.23"/>
    <n v="5.23"/>
    <n v="5.23"/>
    <n v="5.23"/>
    <n v="0"/>
    <x v="0"/>
    <n v="0"/>
    <n v="0"/>
    <n v="66"/>
    <n v="6"/>
    <n v="0"/>
    <n v="2263.58"/>
    <n v="223.72"/>
    <m/>
    <n v="2325.9355132623718"/>
    <n v="221.35055346817671"/>
    <n v="0"/>
    <n v="11838.5234"/>
    <n v="1170.0556000000001"/>
    <n v="0"/>
    <n v="12164.642734362205"/>
    <n v="1157.6633946385643"/>
  </r>
  <r>
    <s v="Regular"/>
    <x v="0"/>
    <x v="1"/>
    <x v="2"/>
    <x v="0"/>
    <x v="0"/>
    <x v="0"/>
    <x v="1"/>
    <x v="7"/>
    <n v="0"/>
    <n v="0"/>
    <n v="16.768999999999998"/>
    <n v="16.768999999999998"/>
    <n v="16.768999999999998"/>
    <n v="16.768999999999998"/>
    <n v="0"/>
    <x v="0"/>
    <n v="0"/>
    <n v="0"/>
    <n v="66"/>
    <n v="6"/>
    <n v="0"/>
    <n v="2263.58"/>
    <n v="223.72"/>
    <m/>
    <n v="2325.9355132623718"/>
    <n v="221.35055346817671"/>
    <n v="0"/>
    <n v="37957.973019999998"/>
    <n v="3751.5606799999996"/>
    <n v="0"/>
    <n v="39003.612621896711"/>
    <n v="3711.8274311078549"/>
  </r>
  <r>
    <s v="Sistema de Compensação"/>
    <x v="0"/>
    <x v="1"/>
    <x v="2"/>
    <x v="0"/>
    <x v="0"/>
    <x v="0"/>
    <x v="1"/>
    <x v="7"/>
    <n v="0"/>
    <n v="0"/>
    <n v="5.6310000000000002"/>
    <n v="5.6310000000000002"/>
    <n v="5.6310000000000002"/>
    <n v="5.6310000000000002"/>
    <n v="0"/>
    <x v="0"/>
    <n v="0"/>
    <n v="0"/>
    <n v="66"/>
    <n v="6"/>
    <n v="0"/>
    <n v="2263.58"/>
    <n v="223.72"/>
    <m/>
    <n v="2325.9355132623718"/>
    <n v="221.35055346817671"/>
    <n v="0"/>
    <n v="12746.21898"/>
    <n v="1259.7673200000002"/>
    <n v="0"/>
    <n v="13097.342875180417"/>
    <n v="1246.4249665793031"/>
  </r>
  <r>
    <s v="Regular"/>
    <x v="0"/>
    <x v="1"/>
    <x v="2"/>
    <x v="0"/>
    <x v="0"/>
    <x v="0"/>
    <x v="1"/>
    <x v="8"/>
    <n v="0"/>
    <n v="0"/>
    <n v="19.117999999999999"/>
    <n v="19.117999999999999"/>
    <n v="19.117999999999999"/>
    <n v="19.117999999999999"/>
    <n v="0"/>
    <x v="0"/>
    <n v="0"/>
    <n v="0"/>
    <n v="66"/>
    <n v="6"/>
    <n v="0"/>
    <n v="2263.58"/>
    <n v="223.72"/>
    <m/>
    <n v="2325.9355132623718"/>
    <n v="221.35055346817671"/>
    <n v="0"/>
    <n v="43275.122439999992"/>
    <n v="4277.0789599999998"/>
    <n v="0"/>
    <n v="44467.235142550024"/>
    <n v="4231.7798812046021"/>
  </r>
  <r>
    <s v="Sistema de Compensação"/>
    <x v="0"/>
    <x v="1"/>
    <x v="2"/>
    <x v="0"/>
    <x v="0"/>
    <x v="0"/>
    <x v="1"/>
    <x v="8"/>
    <n v="0"/>
    <n v="0"/>
    <n v="6.766"/>
    <n v="6.766"/>
    <n v="6.766"/>
    <n v="6.766"/>
    <n v="0"/>
    <x v="0"/>
    <n v="0"/>
    <n v="0"/>
    <n v="66"/>
    <n v="6"/>
    <n v="0"/>
    <n v="2263.58"/>
    <n v="223.72"/>
    <m/>
    <n v="2325.9355132623718"/>
    <n v="221.35055346817671"/>
    <n v="0"/>
    <n v="15315.38228"/>
    <n v="1513.6895199999999"/>
    <n v="0"/>
    <n v="15737.279682733208"/>
    <n v="1497.6578447656836"/>
  </r>
  <r>
    <s v="Regular"/>
    <x v="0"/>
    <x v="1"/>
    <x v="2"/>
    <x v="0"/>
    <x v="0"/>
    <x v="0"/>
    <x v="1"/>
    <x v="9"/>
    <n v="0"/>
    <n v="0"/>
    <n v="17.288"/>
    <n v="17.288"/>
    <n v="17.288"/>
    <n v="17.288"/>
    <n v="0"/>
    <x v="0"/>
    <n v="0"/>
    <n v="0"/>
    <n v="66"/>
    <n v="6"/>
    <n v="0"/>
    <n v="2263.58"/>
    <n v="223.72"/>
    <m/>
    <n v="2325.9355132623718"/>
    <n v="221.35055346817671"/>
    <n v="0"/>
    <n v="39132.77104"/>
    <n v="3867.6713599999998"/>
    <n v="0"/>
    <n v="40210.773153279886"/>
    <n v="3826.7083683578389"/>
  </r>
  <r>
    <s v="Sistema de Compensação"/>
    <x v="0"/>
    <x v="1"/>
    <x v="2"/>
    <x v="0"/>
    <x v="0"/>
    <x v="0"/>
    <x v="1"/>
    <x v="9"/>
    <n v="0"/>
    <n v="0"/>
    <n v="5.931"/>
    <n v="5.931"/>
    <n v="5.931"/>
    <n v="5.931"/>
    <n v="0"/>
    <x v="0"/>
    <n v="0"/>
    <n v="0"/>
    <n v="66"/>
    <n v="6"/>
    <n v="0"/>
    <n v="2263.58"/>
    <n v="223.72"/>
    <m/>
    <n v="2325.9355132623718"/>
    <n v="221.35055346817671"/>
    <n v="0"/>
    <n v="13425.29298"/>
    <n v="1326.8833199999999"/>
    <n v="0"/>
    <n v="13795.123529159127"/>
    <n v="1312.8301326197561"/>
  </r>
  <r>
    <s v="Regular"/>
    <x v="0"/>
    <x v="1"/>
    <x v="2"/>
    <x v="0"/>
    <x v="0"/>
    <x v="0"/>
    <x v="1"/>
    <x v="10"/>
    <n v="0"/>
    <n v="0"/>
    <n v="19.457999999999998"/>
    <n v="19.457999999999998"/>
    <n v="19.457999999999998"/>
    <n v="19.457999999999998"/>
    <n v="0"/>
    <x v="0"/>
    <n v="0"/>
    <n v="0"/>
    <n v="66"/>
    <n v="6"/>
    <n v="0"/>
    <n v="2263.58"/>
    <n v="223.72"/>
    <m/>
    <n v="2325.9355132623718"/>
    <n v="221.35055346817671"/>
    <n v="0"/>
    <n v="44044.739639999993"/>
    <n v="4353.1437599999999"/>
    <n v="0"/>
    <n v="45258.053217059227"/>
    <n v="4307.0390693837817"/>
  </r>
  <r>
    <s v="Sistema de Compensação"/>
    <x v="0"/>
    <x v="1"/>
    <x v="2"/>
    <x v="0"/>
    <x v="0"/>
    <x v="0"/>
    <x v="1"/>
    <x v="10"/>
    <n v="0"/>
    <n v="0"/>
    <n v="8.843"/>
    <n v="8.843"/>
    <n v="8.843"/>
    <n v="8.843"/>
    <n v="0"/>
    <x v="0"/>
    <n v="0"/>
    <n v="0"/>
    <n v="66"/>
    <n v="6"/>
    <n v="0"/>
    <n v="2263.58"/>
    <n v="223.72"/>
    <m/>
    <n v="2325.9355132623718"/>
    <n v="221.35055346817671"/>
    <n v="0"/>
    <n v="20016.837939999998"/>
    <n v="1978.3559600000001"/>
    <n v="0"/>
    <n v="20568.247743779153"/>
    <n v="1957.4029443190866"/>
  </r>
  <r>
    <s v="PROJETADO"/>
    <x v="0"/>
    <x v="1"/>
    <x v="2"/>
    <x v="0"/>
    <x v="0"/>
    <x v="0"/>
    <x v="1"/>
    <x v="11"/>
    <n v="0"/>
    <n v="0"/>
    <n v="19.457999999999998"/>
    <n v="19.457999999999998"/>
    <n v="19.457999999999998"/>
    <n v="19.457999999999998"/>
    <n v="0"/>
    <x v="0"/>
    <n v="0"/>
    <n v="0"/>
    <n v="66"/>
    <n v="6"/>
    <n v="0"/>
    <n v="2263.58"/>
    <n v="223.72"/>
    <m/>
    <n v="2325.9355132623718"/>
    <n v="221.35055346817671"/>
    <n v="0"/>
    <n v="44044.739639999993"/>
    <n v="4353.1437599999999"/>
    <n v="0"/>
    <n v="45258.053217059227"/>
    <n v="4307.0390693837817"/>
  </r>
  <r>
    <s v="PROJETADO"/>
    <x v="0"/>
    <x v="1"/>
    <x v="2"/>
    <x v="0"/>
    <x v="0"/>
    <x v="0"/>
    <x v="1"/>
    <x v="11"/>
    <n v="0"/>
    <n v="0"/>
    <n v="8.843"/>
    <n v="8.843"/>
    <n v="8.843"/>
    <n v="8.843"/>
    <n v="0"/>
    <x v="0"/>
    <n v="0"/>
    <n v="0"/>
    <n v="66"/>
    <n v="6"/>
    <n v="0"/>
    <n v="2263.58"/>
    <n v="223.72"/>
    <m/>
    <n v="2325.9355132623718"/>
    <n v="221.35055346817671"/>
    <n v="0"/>
    <n v="20016.837939999998"/>
    <n v="1978.3559600000001"/>
    <n v="0"/>
    <n v="20568.247743779153"/>
    <n v="1957.4029443190866"/>
  </r>
  <r>
    <s v="Regular"/>
    <x v="0"/>
    <x v="1"/>
    <x v="0"/>
    <x v="0"/>
    <x v="0"/>
    <x v="0"/>
    <x v="0"/>
    <x v="0"/>
    <n v="0"/>
    <n v="0"/>
    <n v="66.531000000000006"/>
    <n v="66.531000000000006"/>
    <n v="66.531000000000006"/>
    <n v="66.531000000000006"/>
    <n v="0"/>
    <x v="0"/>
    <n v="0"/>
    <n v="0"/>
    <n v="47"/>
    <n v="27"/>
    <n v="0"/>
    <n v="72.23"/>
    <n v="223.72"/>
    <m/>
    <n v="102.01454208880898"/>
    <n v="221.35055346817671"/>
    <n v="0"/>
    <n v="4805.5341300000009"/>
    <n v="14884.315320000002"/>
    <n v="0"/>
    <n v="6787.1294997105506"/>
    <n v="14726.673672791267"/>
  </r>
  <r>
    <s v="Regular"/>
    <x v="0"/>
    <x v="1"/>
    <x v="0"/>
    <x v="0"/>
    <x v="0"/>
    <x v="0"/>
    <x v="0"/>
    <x v="1"/>
    <n v="0"/>
    <n v="0"/>
    <n v="63.481000000000002"/>
    <n v="63.481000000000002"/>
    <n v="63.481000000000002"/>
    <n v="63.481000000000002"/>
    <n v="0"/>
    <x v="0"/>
    <n v="0"/>
    <n v="0"/>
    <n v="47"/>
    <n v="27"/>
    <n v="0"/>
    <n v="72.23"/>
    <n v="223.72"/>
    <m/>
    <n v="102.01454208880898"/>
    <n v="221.35055346817671"/>
    <n v="0"/>
    <n v="4585.2326300000004"/>
    <n v="14201.96932"/>
    <n v="0"/>
    <n v="6475.9851463396826"/>
    <n v="14051.554484713326"/>
  </r>
  <r>
    <s v="Regular"/>
    <x v="0"/>
    <x v="1"/>
    <x v="0"/>
    <x v="0"/>
    <x v="0"/>
    <x v="0"/>
    <x v="0"/>
    <x v="2"/>
    <n v="0"/>
    <n v="0"/>
    <n v="66.194000000000003"/>
    <n v="66.194000000000003"/>
    <n v="66.194000000000003"/>
    <n v="66.194000000000003"/>
    <n v="0"/>
    <x v="0"/>
    <n v="0"/>
    <n v="0"/>
    <n v="47"/>
    <n v="27"/>
    <n v="0"/>
    <n v="72.23"/>
    <n v="223.72"/>
    <m/>
    <n v="102.01454208880898"/>
    <n v="221.35055346817671"/>
    <n v="0"/>
    <n v="4781.1926200000007"/>
    <n v="14808.921680000001"/>
    <n v="0"/>
    <n v="6752.7505990266218"/>
    <n v="14652.078536272489"/>
  </r>
  <r>
    <s v="Regular"/>
    <x v="0"/>
    <x v="1"/>
    <x v="0"/>
    <x v="0"/>
    <x v="0"/>
    <x v="0"/>
    <x v="0"/>
    <x v="3"/>
    <n v="0"/>
    <n v="0"/>
    <n v="63.581000000000003"/>
    <n v="63.581000000000003"/>
    <n v="63.581000000000003"/>
    <n v="63.581000000000003"/>
    <n v="0"/>
    <x v="0"/>
    <n v="0"/>
    <n v="0"/>
    <n v="47"/>
    <n v="27"/>
    <n v="0"/>
    <n v="72.23"/>
    <n v="223.72"/>
    <m/>
    <n v="102.01454208880898"/>
    <n v="221.35055346817671"/>
    <n v="0"/>
    <n v="4592.4556300000004"/>
    <n v="14224.341320000001"/>
    <n v="0"/>
    <n v="6486.1866005485645"/>
    <n v="14073.689540060144"/>
  </r>
  <r>
    <s v="Regular"/>
    <x v="0"/>
    <x v="1"/>
    <x v="0"/>
    <x v="0"/>
    <x v="0"/>
    <x v="0"/>
    <x v="0"/>
    <x v="4"/>
    <n v="0"/>
    <n v="0"/>
    <n v="67.027000000000001"/>
    <n v="67.027000000000001"/>
    <n v="67.027000000000001"/>
    <n v="67.027000000000001"/>
    <n v="0"/>
    <x v="0"/>
    <n v="0"/>
    <n v="0"/>
    <n v="47"/>
    <n v="27"/>
    <n v="0"/>
    <n v="72.23"/>
    <n v="223.72"/>
    <m/>
    <n v="102.01454208880898"/>
    <n v="221.35055346817671"/>
    <n v="0"/>
    <n v="4841.3602100000007"/>
    <n v="14995.28044"/>
    <n v="0"/>
    <n v="6837.7287125865996"/>
    <n v="14836.463547311481"/>
  </r>
  <r>
    <s v="Regular"/>
    <x v="0"/>
    <x v="1"/>
    <x v="0"/>
    <x v="0"/>
    <x v="0"/>
    <x v="0"/>
    <x v="0"/>
    <x v="5"/>
    <n v="0"/>
    <n v="0"/>
    <n v="65.751000000000005"/>
    <n v="65.751000000000005"/>
    <n v="65.751000000000005"/>
    <n v="65.751000000000005"/>
    <n v="0"/>
    <x v="0"/>
    <n v="0"/>
    <n v="0"/>
    <n v="47"/>
    <n v="27"/>
    <n v="0"/>
    <n v="72.23"/>
    <n v="223.72"/>
    <m/>
    <n v="102.01454208880898"/>
    <n v="221.35055346817671"/>
    <n v="0"/>
    <n v="4749.1947300000002"/>
    <n v="14709.81372"/>
    <n v="0"/>
    <n v="6707.5581568812795"/>
    <n v="14554.020241086087"/>
  </r>
  <r>
    <s v="Regular"/>
    <x v="0"/>
    <x v="1"/>
    <x v="0"/>
    <x v="0"/>
    <x v="0"/>
    <x v="0"/>
    <x v="0"/>
    <x v="6"/>
    <n v="0"/>
    <n v="0"/>
    <n v="65.188999999999993"/>
    <n v="65.188999999999993"/>
    <n v="65.188999999999993"/>
    <n v="65.188999999999993"/>
    <n v="0"/>
    <x v="0"/>
    <n v="0"/>
    <n v="0"/>
    <n v="47"/>
    <n v="27"/>
    <n v="0"/>
    <n v="72.23"/>
    <n v="223.72"/>
    <m/>
    <n v="102.01454208880898"/>
    <n v="221.35055346817671"/>
    <n v="0"/>
    <n v="4708.6014699999996"/>
    <n v="14584.083079999999"/>
    <n v="0"/>
    <n v="6650.2259842273679"/>
    <n v="14429.62123003697"/>
  </r>
  <r>
    <s v="Regular"/>
    <x v="0"/>
    <x v="1"/>
    <x v="0"/>
    <x v="0"/>
    <x v="0"/>
    <x v="0"/>
    <x v="0"/>
    <x v="7"/>
    <n v="0"/>
    <n v="0"/>
    <n v="68.685000000000002"/>
    <n v="68.685000000000002"/>
    <n v="68.685000000000002"/>
    <n v="68.685000000000002"/>
    <n v="0"/>
    <x v="0"/>
    <n v="0"/>
    <n v="0"/>
    <n v="47"/>
    <n v="27"/>
    <n v="0"/>
    <n v="72.23"/>
    <n v="223.72"/>
    <m/>
    <n v="102.01454208880898"/>
    <n v="221.35055346817671"/>
    <n v="0"/>
    <n v="4961.1175500000008"/>
    <n v="15366.208200000001"/>
    <n v="0"/>
    <n v="7006.8688233698449"/>
    <n v="15203.462764961718"/>
  </r>
  <r>
    <s v="Regular"/>
    <x v="0"/>
    <x v="1"/>
    <x v="0"/>
    <x v="0"/>
    <x v="0"/>
    <x v="0"/>
    <x v="0"/>
    <x v="8"/>
    <n v="0"/>
    <n v="0"/>
    <n v="65.856999999999999"/>
    <n v="65.856999999999999"/>
    <n v="65.856999999999999"/>
    <n v="65.856999999999999"/>
    <n v="0"/>
    <x v="0"/>
    <n v="0"/>
    <n v="0"/>
    <n v="47"/>
    <n v="27"/>
    <n v="0"/>
    <n v="72.23"/>
    <n v="223.72"/>
    <m/>
    <n v="102.01454208880898"/>
    <n v="221.35055346817671"/>
    <n v="0"/>
    <n v="4756.8511100000005"/>
    <n v="14733.528039999999"/>
    <n v="0"/>
    <n v="6718.371698342693"/>
    <n v="14577.483399753713"/>
  </r>
  <r>
    <s v="Regular"/>
    <x v="0"/>
    <x v="1"/>
    <x v="0"/>
    <x v="0"/>
    <x v="0"/>
    <x v="0"/>
    <x v="0"/>
    <x v="9"/>
    <n v="0"/>
    <n v="0"/>
    <n v="69.786000000000001"/>
    <n v="69.786000000000001"/>
    <n v="69.786000000000001"/>
    <n v="69.786000000000001"/>
    <n v="0"/>
    <x v="0"/>
    <n v="0"/>
    <n v="0"/>
    <n v="47"/>
    <n v="27"/>
    <n v="0"/>
    <n v="72.23"/>
    <n v="223.72"/>
    <m/>
    <n v="102.01454208880898"/>
    <n v="221.35055346817671"/>
    <n v="0"/>
    <n v="5040.6427800000001"/>
    <n v="15612.52392"/>
    <n v="0"/>
    <n v="7119.1868342096241"/>
    <n v="15447.169724330181"/>
  </r>
  <r>
    <s v="Regular"/>
    <x v="0"/>
    <x v="1"/>
    <x v="0"/>
    <x v="0"/>
    <x v="0"/>
    <x v="0"/>
    <x v="0"/>
    <x v="10"/>
    <n v="0"/>
    <n v="0"/>
    <n v="69.491"/>
    <n v="69.491"/>
    <n v="69.491"/>
    <n v="69.491"/>
    <n v="0"/>
    <x v="0"/>
    <n v="0"/>
    <n v="0"/>
    <n v="47"/>
    <n v="27"/>
    <n v="0"/>
    <n v="72.23"/>
    <n v="223.72"/>
    <m/>
    <n v="102.01454208880898"/>
    <n v="221.35055346817671"/>
    <n v="0"/>
    <n v="5019.33493"/>
    <n v="15546.526519999999"/>
    <n v="0"/>
    <n v="7089.0925442934249"/>
    <n v="15381.871311057068"/>
  </r>
  <r>
    <s v="PROJETADO"/>
    <x v="0"/>
    <x v="1"/>
    <x v="0"/>
    <x v="0"/>
    <x v="0"/>
    <x v="0"/>
    <x v="0"/>
    <x v="11"/>
    <n v="0"/>
    <n v="0"/>
    <n v="69.491"/>
    <n v="69.491"/>
    <n v="69.491"/>
    <n v="69.491"/>
    <n v="0"/>
    <x v="0"/>
    <n v="0"/>
    <n v="0"/>
    <n v="47"/>
    <n v="27"/>
    <n v="0"/>
    <n v="72.23"/>
    <n v="223.72"/>
    <m/>
    <n v="102.01454208880898"/>
    <n v="221.35055346817671"/>
    <n v="0"/>
    <n v="5019.33493"/>
    <n v="15546.526519999999"/>
    <n v="0"/>
    <n v="7089.0925442934249"/>
    <n v="15381.871311057068"/>
  </r>
  <r>
    <s v="Regular"/>
    <x v="0"/>
    <x v="1"/>
    <x v="0"/>
    <x v="0"/>
    <x v="0"/>
    <x v="0"/>
    <x v="2"/>
    <x v="0"/>
    <n v="180"/>
    <n v="180"/>
    <n v="0"/>
    <n v="0"/>
    <n v="0"/>
    <n v="0"/>
    <n v="1"/>
    <x v="0"/>
    <n v="0"/>
    <n v="65"/>
    <n v="0"/>
    <n v="0"/>
    <n v="23.41"/>
    <n v="0"/>
    <n v="0"/>
    <n v="23.763428126815878"/>
    <m/>
    <m/>
    <n v="4213.8"/>
    <n v="0"/>
    <n v="0"/>
    <n v="4277.4170628268585"/>
    <n v="0"/>
    <n v="0"/>
  </r>
  <r>
    <s v="Regular"/>
    <x v="0"/>
    <x v="1"/>
    <x v="0"/>
    <x v="0"/>
    <x v="0"/>
    <x v="0"/>
    <x v="2"/>
    <x v="1"/>
    <n v="180"/>
    <n v="180"/>
    <n v="0"/>
    <n v="0"/>
    <n v="0"/>
    <n v="0"/>
    <n v="1"/>
    <x v="0"/>
    <n v="0"/>
    <n v="65"/>
    <n v="0"/>
    <n v="0"/>
    <n v="23.41"/>
    <n v="0"/>
    <n v="0"/>
    <n v="23.763428126815878"/>
    <m/>
    <m/>
    <n v="4213.8"/>
    <n v="0"/>
    <n v="0"/>
    <n v="4277.4170628268585"/>
    <n v="0"/>
    <n v="0"/>
  </r>
  <r>
    <s v="Regular"/>
    <x v="0"/>
    <x v="1"/>
    <x v="0"/>
    <x v="0"/>
    <x v="0"/>
    <x v="0"/>
    <x v="2"/>
    <x v="2"/>
    <n v="180"/>
    <n v="180"/>
    <n v="0"/>
    <n v="0"/>
    <n v="0"/>
    <n v="0"/>
    <n v="1"/>
    <x v="0"/>
    <n v="0"/>
    <n v="65"/>
    <n v="0"/>
    <n v="0"/>
    <n v="23.41"/>
    <n v="0"/>
    <n v="0"/>
    <n v="23.763428126815878"/>
    <m/>
    <m/>
    <n v="4213.8"/>
    <n v="0"/>
    <n v="0"/>
    <n v="4277.4170628268585"/>
    <n v="0"/>
    <n v="0"/>
  </r>
  <r>
    <s v="Regular"/>
    <x v="0"/>
    <x v="1"/>
    <x v="0"/>
    <x v="0"/>
    <x v="0"/>
    <x v="0"/>
    <x v="2"/>
    <x v="3"/>
    <n v="180"/>
    <n v="180"/>
    <n v="0"/>
    <n v="0"/>
    <n v="0"/>
    <n v="0"/>
    <n v="1"/>
    <x v="0"/>
    <n v="0"/>
    <n v="65"/>
    <n v="0"/>
    <n v="0"/>
    <n v="23.41"/>
    <n v="0"/>
    <n v="0"/>
    <n v="23.763428126815878"/>
    <m/>
    <m/>
    <n v="4213.8"/>
    <n v="0"/>
    <n v="0"/>
    <n v="4277.4170628268585"/>
    <n v="0"/>
    <n v="0"/>
  </r>
  <r>
    <s v="Regular"/>
    <x v="0"/>
    <x v="1"/>
    <x v="0"/>
    <x v="0"/>
    <x v="0"/>
    <x v="0"/>
    <x v="2"/>
    <x v="4"/>
    <n v="180"/>
    <n v="180"/>
    <n v="0"/>
    <n v="0"/>
    <n v="0"/>
    <n v="0"/>
    <n v="1"/>
    <x v="0"/>
    <n v="0"/>
    <n v="65"/>
    <n v="0"/>
    <n v="0"/>
    <n v="23.41"/>
    <n v="0"/>
    <n v="0"/>
    <n v="23.763428126815878"/>
    <m/>
    <m/>
    <n v="4213.8"/>
    <n v="0"/>
    <n v="0"/>
    <n v="4277.4170628268585"/>
    <n v="0"/>
    <n v="0"/>
  </r>
  <r>
    <s v="Regular"/>
    <x v="0"/>
    <x v="1"/>
    <x v="0"/>
    <x v="0"/>
    <x v="0"/>
    <x v="0"/>
    <x v="2"/>
    <x v="5"/>
    <n v="180"/>
    <n v="180"/>
    <n v="0"/>
    <n v="0"/>
    <n v="0"/>
    <n v="0"/>
    <n v="1"/>
    <x v="0"/>
    <n v="0"/>
    <n v="65"/>
    <n v="0"/>
    <n v="0"/>
    <n v="23.41"/>
    <n v="0"/>
    <n v="0"/>
    <n v="23.763428126815878"/>
    <m/>
    <m/>
    <n v="4213.8"/>
    <n v="0"/>
    <n v="0"/>
    <n v="4277.4170628268585"/>
    <n v="0"/>
    <n v="0"/>
  </r>
  <r>
    <s v="Regular"/>
    <x v="0"/>
    <x v="1"/>
    <x v="0"/>
    <x v="0"/>
    <x v="0"/>
    <x v="0"/>
    <x v="2"/>
    <x v="6"/>
    <n v="180"/>
    <n v="180"/>
    <n v="0"/>
    <n v="0"/>
    <n v="0"/>
    <n v="0"/>
    <n v="1"/>
    <x v="0"/>
    <n v="0"/>
    <n v="65"/>
    <n v="0"/>
    <n v="0"/>
    <n v="23.41"/>
    <n v="0"/>
    <n v="0"/>
    <n v="23.763428126815878"/>
    <m/>
    <m/>
    <n v="4213.8"/>
    <n v="0"/>
    <n v="0"/>
    <n v="4277.4170628268585"/>
    <n v="0"/>
    <n v="0"/>
  </r>
  <r>
    <s v="Regular"/>
    <x v="0"/>
    <x v="1"/>
    <x v="0"/>
    <x v="0"/>
    <x v="0"/>
    <x v="0"/>
    <x v="2"/>
    <x v="7"/>
    <n v="180"/>
    <n v="180"/>
    <n v="0"/>
    <n v="0"/>
    <n v="0"/>
    <n v="0"/>
    <n v="1"/>
    <x v="0"/>
    <n v="0"/>
    <n v="65"/>
    <n v="0"/>
    <n v="0"/>
    <n v="23.41"/>
    <n v="0"/>
    <n v="0"/>
    <n v="23.763428126815878"/>
    <m/>
    <m/>
    <n v="4213.8"/>
    <n v="0"/>
    <n v="0"/>
    <n v="4277.4170628268585"/>
    <n v="0"/>
    <n v="0"/>
  </r>
  <r>
    <s v="Regular"/>
    <x v="0"/>
    <x v="1"/>
    <x v="0"/>
    <x v="0"/>
    <x v="0"/>
    <x v="0"/>
    <x v="2"/>
    <x v="8"/>
    <n v="180"/>
    <n v="180"/>
    <n v="0"/>
    <n v="0"/>
    <n v="0"/>
    <n v="0"/>
    <n v="1"/>
    <x v="0"/>
    <n v="0"/>
    <n v="65"/>
    <n v="0"/>
    <n v="0"/>
    <n v="23.41"/>
    <n v="0"/>
    <n v="0"/>
    <n v="23.763428126815878"/>
    <m/>
    <m/>
    <n v="4213.8"/>
    <n v="0"/>
    <n v="0"/>
    <n v="4277.4170628268585"/>
    <n v="0"/>
    <n v="0"/>
  </r>
  <r>
    <s v="Regular"/>
    <x v="0"/>
    <x v="1"/>
    <x v="0"/>
    <x v="0"/>
    <x v="0"/>
    <x v="0"/>
    <x v="2"/>
    <x v="9"/>
    <n v="180"/>
    <n v="180"/>
    <n v="0"/>
    <n v="0"/>
    <n v="0"/>
    <n v="0"/>
    <n v="1"/>
    <x v="0"/>
    <n v="0"/>
    <n v="65"/>
    <n v="0"/>
    <n v="0"/>
    <n v="23.41"/>
    <n v="0"/>
    <n v="0"/>
    <n v="23.763428126815878"/>
    <m/>
    <m/>
    <n v="4213.8"/>
    <n v="0"/>
    <n v="0"/>
    <n v="4277.4170628268585"/>
    <n v="0"/>
    <n v="0"/>
  </r>
  <r>
    <s v="Regular"/>
    <x v="0"/>
    <x v="1"/>
    <x v="0"/>
    <x v="0"/>
    <x v="0"/>
    <x v="0"/>
    <x v="2"/>
    <x v="10"/>
    <n v="180"/>
    <n v="180"/>
    <n v="0"/>
    <n v="0"/>
    <n v="0"/>
    <n v="0"/>
    <n v="1"/>
    <x v="0"/>
    <n v="0"/>
    <n v="65"/>
    <n v="0"/>
    <n v="0"/>
    <n v="23.41"/>
    <n v="0"/>
    <n v="0"/>
    <n v="23.763428126815878"/>
    <m/>
    <m/>
    <n v="4213.8"/>
    <n v="0"/>
    <n v="0"/>
    <n v="4277.4170628268585"/>
    <n v="0"/>
    <n v="0"/>
  </r>
  <r>
    <s v="PROJETADO"/>
    <x v="0"/>
    <x v="1"/>
    <x v="0"/>
    <x v="0"/>
    <x v="0"/>
    <x v="0"/>
    <x v="2"/>
    <x v="11"/>
    <n v="180"/>
    <n v="180"/>
    <n v="0"/>
    <n v="0"/>
    <n v="0"/>
    <n v="0"/>
    <n v="1"/>
    <x v="0"/>
    <n v="0"/>
    <n v="65"/>
    <n v="0"/>
    <n v="0"/>
    <n v="23.41"/>
    <n v="0"/>
    <n v="0"/>
    <n v="23.763428126815878"/>
    <m/>
    <m/>
    <n v="4213.8"/>
    <n v="0"/>
    <n v="0"/>
    <n v="4277.4170628268585"/>
    <n v="0"/>
    <n v="0"/>
  </r>
  <r>
    <s v="Regular"/>
    <x v="0"/>
    <x v="1"/>
    <x v="0"/>
    <x v="0"/>
    <x v="0"/>
    <x v="0"/>
    <x v="1"/>
    <x v="0"/>
    <n v="0"/>
    <n v="0"/>
    <n v="6.2560000000000002"/>
    <n v="6.2560000000000002"/>
    <n v="6.2560000000000002"/>
    <n v="6.2560000000000002"/>
    <n v="0"/>
    <x v="0"/>
    <n v="0"/>
    <n v="0"/>
    <n v="66"/>
    <n v="6"/>
    <n v="0"/>
    <n v="2263.58"/>
    <n v="223.72"/>
    <m/>
    <n v="2325.9355132623718"/>
    <n v="221.35055346817671"/>
    <n v="0"/>
    <n v="14160.956480000001"/>
    <n v="1399.59232"/>
    <n v="0"/>
    <n v="14551.052570969399"/>
    <n v="1384.7690624969136"/>
  </r>
  <r>
    <s v="Regular"/>
    <x v="0"/>
    <x v="1"/>
    <x v="0"/>
    <x v="0"/>
    <x v="0"/>
    <x v="0"/>
    <x v="1"/>
    <x v="1"/>
    <n v="0"/>
    <n v="0"/>
    <n v="6.66"/>
    <n v="6.66"/>
    <n v="6.66"/>
    <n v="6.66"/>
    <n v="0"/>
    <x v="0"/>
    <n v="0"/>
    <n v="0"/>
    <n v="66"/>
    <n v="6"/>
    <n v="0"/>
    <n v="2263.58"/>
    <n v="223.72"/>
    <m/>
    <n v="2325.9355132623718"/>
    <n v="221.35055346817671"/>
    <n v="0"/>
    <n v="15075.442800000001"/>
    <n v="1489.9752000000001"/>
    <n v="0"/>
    <n v="15490.730518327397"/>
    <n v="1474.194686098057"/>
  </r>
  <r>
    <s v="Regular"/>
    <x v="0"/>
    <x v="1"/>
    <x v="0"/>
    <x v="0"/>
    <x v="0"/>
    <x v="0"/>
    <x v="1"/>
    <x v="2"/>
    <n v="0"/>
    <n v="0"/>
    <n v="7.0609999999999999"/>
    <n v="7.0609999999999999"/>
    <n v="7.0609999999999999"/>
    <n v="7.0609999999999999"/>
    <n v="0"/>
    <x v="0"/>
    <n v="0"/>
    <n v="0"/>
    <n v="66"/>
    <n v="6"/>
    <n v="0"/>
    <n v="2263.58"/>
    <n v="223.72"/>
    <m/>
    <n v="2325.9355132623718"/>
    <n v="221.35055346817671"/>
    <n v="0"/>
    <n v="15983.138379999999"/>
    <n v="1579.6869199999999"/>
    <n v="0"/>
    <n v="16423.430659145608"/>
    <n v="1562.9562580387958"/>
  </r>
  <r>
    <s v="Regular"/>
    <x v="0"/>
    <x v="1"/>
    <x v="0"/>
    <x v="0"/>
    <x v="0"/>
    <x v="0"/>
    <x v="1"/>
    <x v="3"/>
    <n v="0"/>
    <n v="0"/>
    <n v="6.6879999999999997"/>
    <n v="6.6879999999999997"/>
    <n v="6.6879999999999997"/>
    <n v="6.6879999999999997"/>
    <n v="0"/>
    <x v="0"/>
    <n v="0"/>
    <n v="0"/>
    <n v="66"/>
    <n v="6"/>
    <n v="0"/>
    <n v="2263.58"/>
    <n v="223.72"/>
    <m/>
    <n v="2325.9355132623718"/>
    <n v="221.35055346817671"/>
    <n v="0"/>
    <n v="15138.823039999999"/>
    <n v="1496.23936"/>
    <n v="0"/>
    <n v="15555.856712698742"/>
    <n v="1480.3925015951659"/>
  </r>
  <r>
    <s v="Regular"/>
    <x v="0"/>
    <x v="1"/>
    <x v="0"/>
    <x v="0"/>
    <x v="0"/>
    <x v="0"/>
    <x v="1"/>
    <x v="4"/>
    <n v="0"/>
    <n v="0"/>
    <n v="7.1689999999999996"/>
    <n v="7.1689999999999996"/>
    <n v="7.1689999999999996"/>
    <n v="7.1689999999999996"/>
    <n v="0"/>
    <x v="0"/>
    <n v="0"/>
    <n v="0"/>
    <n v="66"/>
    <n v="6"/>
    <n v="0"/>
    <n v="2263.58"/>
    <n v="223.72"/>
    <m/>
    <n v="2325.9355132623718"/>
    <n v="221.35055346817671"/>
    <n v="0"/>
    <n v="16227.605019999999"/>
    <n v="1603.8486799999998"/>
    <n v="0"/>
    <n v="16674.631694577944"/>
    <n v="1586.8621178133587"/>
  </r>
  <r>
    <s v="Regular"/>
    <x v="0"/>
    <x v="1"/>
    <x v="0"/>
    <x v="0"/>
    <x v="0"/>
    <x v="0"/>
    <x v="1"/>
    <x v="5"/>
    <n v="0"/>
    <n v="0"/>
    <n v="7.1210000000000004"/>
    <n v="7.1210000000000004"/>
    <n v="7.1210000000000004"/>
    <n v="7.1210000000000004"/>
    <n v="0"/>
    <x v="0"/>
    <n v="0"/>
    <n v="0"/>
    <n v="66"/>
    <n v="6"/>
    <n v="0"/>
    <n v="2263.58"/>
    <n v="223.72"/>
    <m/>
    <n v="2325.9355132623718"/>
    <n v="221.35055346817671"/>
    <n v="0"/>
    <n v="16118.95318"/>
    <n v="1593.1101200000001"/>
    <n v="0"/>
    <n v="16562.986789941351"/>
    <n v="1576.2372912468866"/>
  </r>
  <r>
    <s v="Regular"/>
    <x v="0"/>
    <x v="1"/>
    <x v="0"/>
    <x v="0"/>
    <x v="0"/>
    <x v="0"/>
    <x v="1"/>
    <x v="6"/>
    <n v="0"/>
    <n v="0"/>
    <n v="6.1859999999999999"/>
    <n v="6.1859999999999999"/>
    <n v="6.1859999999999999"/>
    <n v="6.1859999999999999"/>
    <n v="0"/>
    <x v="0"/>
    <n v="0"/>
    <n v="0"/>
    <n v="66"/>
    <n v="6"/>
    <n v="0"/>
    <n v="2263.58"/>
    <n v="223.72"/>
    <m/>
    <n v="2325.9355132623718"/>
    <n v="221.35055346817671"/>
    <n v="0"/>
    <n v="14002.505879999999"/>
    <n v="1383.93192"/>
    <n v="0"/>
    <n v="14388.237085041032"/>
    <n v="1369.2745237541412"/>
  </r>
  <r>
    <s v="Regular"/>
    <x v="0"/>
    <x v="1"/>
    <x v="0"/>
    <x v="0"/>
    <x v="0"/>
    <x v="0"/>
    <x v="1"/>
    <x v="7"/>
    <n v="0"/>
    <n v="0"/>
    <n v="6.9470000000000001"/>
    <n v="6.9470000000000001"/>
    <n v="6.9470000000000001"/>
    <n v="6.9470000000000001"/>
    <n v="0"/>
    <x v="0"/>
    <n v="0"/>
    <n v="0"/>
    <n v="66"/>
    <n v="6"/>
    <n v="0"/>
    <n v="2263.58"/>
    <n v="223.72"/>
    <m/>
    <n v="2325.9355132623718"/>
    <n v="221.35055346817671"/>
    <n v="0"/>
    <n v="15725.090259999999"/>
    <n v="1554.1828399999999"/>
    <n v="0"/>
    <n v="16158.274010633697"/>
    <n v="1537.7222949434235"/>
  </r>
  <r>
    <s v="Regular"/>
    <x v="0"/>
    <x v="1"/>
    <x v="0"/>
    <x v="0"/>
    <x v="0"/>
    <x v="0"/>
    <x v="1"/>
    <x v="8"/>
    <n v="0"/>
    <n v="0"/>
    <n v="7.4320000000000004"/>
    <n v="7.4320000000000004"/>
    <n v="7.4320000000000004"/>
    <n v="7.4320000000000004"/>
    <n v="0"/>
    <x v="0"/>
    <n v="0"/>
    <n v="0"/>
    <n v="66"/>
    <n v="6"/>
    <n v="0"/>
    <n v="2263.58"/>
    <n v="223.72"/>
    <m/>
    <n v="2325.9355132623718"/>
    <n v="221.35055346817671"/>
    <n v="0"/>
    <n v="16822.92656"/>
    <n v="1662.68704"/>
    <n v="0"/>
    <n v="17286.35273456595"/>
    <n v="1645.0773133754894"/>
  </r>
  <r>
    <s v="Regular"/>
    <x v="0"/>
    <x v="1"/>
    <x v="0"/>
    <x v="0"/>
    <x v="0"/>
    <x v="0"/>
    <x v="1"/>
    <x v="9"/>
    <n v="0"/>
    <n v="0"/>
    <n v="6.6180000000000003"/>
    <n v="6.6180000000000003"/>
    <n v="6.6180000000000003"/>
    <n v="6.6180000000000003"/>
    <n v="0"/>
    <x v="0"/>
    <n v="0"/>
    <n v="0"/>
    <n v="66"/>
    <n v="6"/>
    <n v="0"/>
    <n v="2263.58"/>
    <n v="223.72"/>
    <m/>
    <n v="2325.9355132623718"/>
    <n v="221.35055346817671"/>
    <n v="0"/>
    <n v="14980.372440000001"/>
    <n v="1480.5789600000001"/>
    <n v="0"/>
    <n v="15393.041226770378"/>
    <n v="1464.8979628523934"/>
  </r>
  <r>
    <s v="Regular"/>
    <x v="0"/>
    <x v="1"/>
    <x v="0"/>
    <x v="0"/>
    <x v="0"/>
    <x v="0"/>
    <x v="1"/>
    <x v="10"/>
    <n v="0"/>
    <n v="0"/>
    <n v="7.3529999999999998"/>
    <n v="7.3529999999999998"/>
    <n v="7.3529999999999998"/>
    <n v="7.3529999999999998"/>
    <n v="0"/>
    <x v="0"/>
    <n v="0"/>
    <n v="0"/>
    <n v="66"/>
    <n v="6"/>
    <n v="0"/>
    <n v="2263.58"/>
    <n v="223.72"/>
    <m/>
    <n v="2325.9355132623718"/>
    <n v="221.35055346817671"/>
    <n v="0"/>
    <n v="16644.103739999999"/>
    <n v="1645.01316"/>
    <n v="0"/>
    <n v="17102.603829018219"/>
    <n v="1627.5906196515034"/>
  </r>
  <r>
    <s v="PROJETADO"/>
    <x v="0"/>
    <x v="1"/>
    <x v="0"/>
    <x v="0"/>
    <x v="0"/>
    <x v="0"/>
    <x v="1"/>
    <x v="11"/>
    <n v="0"/>
    <n v="0"/>
    <n v="7.3529999999999998"/>
    <n v="7.3529999999999998"/>
    <n v="7.3529999999999998"/>
    <n v="7.3529999999999998"/>
    <n v="0"/>
    <x v="0"/>
    <n v="0"/>
    <n v="0"/>
    <n v="66"/>
    <n v="6"/>
    <n v="0"/>
    <n v="2263.58"/>
    <n v="223.72"/>
    <m/>
    <n v="2325.9355132623718"/>
    <n v="221.35055346817671"/>
    <n v="0"/>
    <n v="16644.103739999999"/>
    <n v="1645.01316"/>
    <n v="0"/>
    <n v="17102.603829018219"/>
    <n v="1627.5906196515034"/>
  </r>
  <r>
    <s v="Regular"/>
    <x v="0"/>
    <x v="1"/>
    <x v="3"/>
    <x v="1"/>
    <x v="0"/>
    <x v="0"/>
    <x v="0"/>
    <x v="0"/>
    <n v="0"/>
    <n v="0"/>
    <n v="15.103"/>
    <n v="15.103"/>
    <n v="15.103"/>
    <n v="15.103"/>
    <n v="0"/>
    <x v="0"/>
    <n v="0"/>
    <n v="0"/>
    <n v="47"/>
    <n v="27"/>
    <n v="0"/>
    <n v="72.23"/>
    <n v="223.72"/>
    <m/>
    <n v="102.01454208880898"/>
    <n v="221.35055346817671"/>
    <n v="0"/>
    <n v="1090.88969"/>
    <n v="3378.8431599999999"/>
    <n v="0"/>
    <n v="1540.725629167282"/>
    <n v="3343.0574090298728"/>
  </r>
  <r>
    <s v="Regular"/>
    <x v="0"/>
    <x v="1"/>
    <x v="3"/>
    <x v="1"/>
    <x v="0"/>
    <x v="0"/>
    <x v="0"/>
    <x v="1"/>
    <n v="0"/>
    <n v="0"/>
    <n v="10.923"/>
    <n v="10.923"/>
    <n v="10.923"/>
    <n v="10.923"/>
    <n v="0"/>
    <x v="0"/>
    <n v="0"/>
    <n v="0"/>
    <n v="47"/>
    <n v="27"/>
    <n v="0"/>
    <n v="72.23"/>
    <n v="223.72"/>
    <m/>
    <n v="102.01454208880898"/>
    <n v="221.35055346817671"/>
    <n v="0"/>
    <n v="788.96829000000002"/>
    <n v="2443.6935600000002"/>
    <n v="0"/>
    <n v="1114.3048432360606"/>
    <n v="2417.8120955328941"/>
  </r>
  <r>
    <s v="Regular"/>
    <x v="0"/>
    <x v="1"/>
    <x v="3"/>
    <x v="1"/>
    <x v="0"/>
    <x v="0"/>
    <x v="0"/>
    <x v="2"/>
    <n v="0"/>
    <n v="0"/>
    <n v="11.247"/>
    <n v="11.247"/>
    <n v="11.247"/>
    <n v="11.247"/>
    <n v="0"/>
    <x v="0"/>
    <n v="0"/>
    <n v="0"/>
    <n v="47"/>
    <n v="27"/>
    <n v="0"/>
    <n v="72.23"/>
    <n v="223.72"/>
    <m/>
    <n v="102.01454208880898"/>
    <n v="221.35055346817671"/>
    <n v="0"/>
    <n v="812.37081000000001"/>
    <n v="2516.17884"/>
    <n v="0"/>
    <n v="1147.3575548728345"/>
    <n v="2489.5296748565834"/>
  </r>
  <r>
    <s v="Regular"/>
    <x v="0"/>
    <x v="1"/>
    <x v="3"/>
    <x v="1"/>
    <x v="0"/>
    <x v="0"/>
    <x v="0"/>
    <x v="3"/>
    <n v="0"/>
    <n v="0"/>
    <n v="18.251000000000001"/>
    <n v="18.251000000000001"/>
    <n v="18.251000000000001"/>
    <n v="18.251000000000001"/>
    <n v="0"/>
    <x v="0"/>
    <n v="0"/>
    <n v="0"/>
    <n v="47"/>
    <n v="27"/>
    <n v="0"/>
    <n v="72.23"/>
    <n v="223.72"/>
    <m/>
    <n v="102.01454208880898"/>
    <n v="221.35055346817671"/>
    <n v="0"/>
    <n v="1318.2697300000002"/>
    <n v="4083.1137200000003"/>
    <n v="0"/>
    <n v="1861.8674076628529"/>
    <n v="4039.8689513476934"/>
  </r>
  <r>
    <s v="Regular"/>
    <x v="0"/>
    <x v="1"/>
    <x v="3"/>
    <x v="1"/>
    <x v="0"/>
    <x v="0"/>
    <x v="0"/>
    <x v="4"/>
    <n v="0"/>
    <n v="0"/>
    <n v="11.000999999999999"/>
    <n v="11.000999999999999"/>
    <n v="11.000999999999999"/>
    <n v="11.000999999999999"/>
    <n v="0"/>
    <x v="0"/>
    <n v="0"/>
    <n v="0"/>
    <n v="47"/>
    <n v="27"/>
    <n v="0"/>
    <n v="72.23"/>
    <n v="223.72"/>
    <m/>
    <n v="102.01454208880898"/>
    <n v="221.35055346817671"/>
    <n v="0"/>
    <n v="794.60222999999996"/>
    <n v="2461.14372"/>
    <n v="0"/>
    <n v="1122.2619775189876"/>
    <n v="2435.0774387034121"/>
  </r>
  <r>
    <s v="Regular"/>
    <x v="0"/>
    <x v="1"/>
    <x v="3"/>
    <x v="1"/>
    <x v="0"/>
    <x v="0"/>
    <x v="0"/>
    <x v="5"/>
    <n v="0"/>
    <n v="0"/>
    <n v="20.196000000000002"/>
    <n v="20.196000000000002"/>
    <n v="20.196000000000002"/>
    <n v="20.196000000000002"/>
    <n v="0"/>
    <x v="0"/>
    <n v="0"/>
    <n v="0"/>
    <n v="47"/>
    <n v="27"/>
    <n v="0"/>
    <n v="72.23"/>
    <n v="223.72"/>
    <m/>
    <n v="102.01454208880898"/>
    <n v="221.35055346817671"/>
    <n v="0"/>
    <n v="1458.7570800000001"/>
    <n v="4518.2491200000004"/>
    <n v="0"/>
    <n v="2060.2856920255863"/>
    <n v="4470.3957778432969"/>
  </r>
  <r>
    <s v="Regular"/>
    <x v="0"/>
    <x v="1"/>
    <x v="3"/>
    <x v="1"/>
    <x v="0"/>
    <x v="0"/>
    <x v="0"/>
    <x v="6"/>
    <n v="0"/>
    <n v="0"/>
    <n v="16.905999999999999"/>
    <n v="16.905999999999999"/>
    <n v="16.905999999999999"/>
    <n v="16.905999999999999"/>
    <n v="0"/>
    <x v="0"/>
    <n v="0"/>
    <n v="0"/>
    <n v="47"/>
    <n v="27"/>
    <n v="0"/>
    <n v="72.23"/>
    <n v="223.72"/>
    <m/>
    <n v="102.01454208880898"/>
    <n v="221.35055346817671"/>
    <n v="0"/>
    <n v="1221.1203800000001"/>
    <n v="3782.2103199999997"/>
    <n v="0"/>
    <n v="1724.6578485534044"/>
    <n v="3742.1524569329954"/>
  </r>
  <r>
    <s v="Regular"/>
    <x v="0"/>
    <x v="1"/>
    <x v="3"/>
    <x v="1"/>
    <x v="0"/>
    <x v="0"/>
    <x v="0"/>
    <x v="7"/>
    <n v="0"/>
    <n v="0"/>
    <n v="14.138"/>
    <n v="14.138"/>
    <n v="14.138"/>
    <n v="14.138"/>
    <n v="0"/>
    <x v="0"/>
    <n v="0"/>
    <n v="0"/>
    <n v="47"/>
    <n v="27"/>
    <n v="0"/>
    <n v="72.23"/>
    <n v="223.72"/>
    <m/>
    <n v="102.01454208880898"/>
    <n v="221.35055346817671"/>
    <n v="0"/>
    <n v="1021.1877400000001"/>
    <n v="3162.95336"/>
    <n v="0"/>
    <n v="1442.2815960515813"/>
    <n v="3129.4541249330823"/>
  </r>
  <r>
    <s v="Regular"/>
    <x v="0"/>
    <x v="1"/>
    <x v="3"/>
    <x v="1"/>
    <x v="0"/>
    <x v="0"/>
    <x v="0"/>
    <x v="8"/>
    <n v="0"/>
    <n v="0"/>
    <n v="19.963000000000001"/>
    <n v="19.963000000000001"/>
    <n v="19.963000000000001"/>
    <n v="19.963000000000001"/>
    <n v="0"/>
    <x v="0"/>
    <n v="0"/>
    <n v="0"/>
    <n v="47"/>
    <n v="27"/>
    <n v="0"/>
    <n v="72.23"/>
    <n v="223.72"/>
    <m/>
    <n v="102.01454208880898"/>
    <n v="221.35055346817671"/>
    <n v="0"/>
    <n v="1441.9274900000003"/>
    <n v="4466.1223600000003"/>
    <n v="0"/>
    <n v="2036.5163037188938"/>
    <n v="4418.8210988852115"/>
  </r>
  <r>
    <s v="Regular"/>
    <x v="0"/>
    <x v="1"/>
    <x v="3"/>
    <x v="1"/>
    <x v="0"/>
    <x v="0"/>
    <x v="0"/>
    <x v="9"/>
    <n v="0"/>
    <n v="0"/>
    <n v="18.652999999999999"/>
    <n v="18.652999999999999"/>
    <n v="18.652999999999999"/>
    <n v="18.652999999999999"/>
    <n v="0"/>
    <x v="0"/>
    <n v="0"/>
    <n v="0"/>
    <n v="47"/>
    <n v="27"/>
    <n v="0"/>
    <n v="72.23"/>
    <n v="223.72"/>
    <m/>
    <n v="102.01454208880898"/>
    <n v="221.35055346817671"/>
    <n v="0"/>
    <n v="1347.30619"/>
    <n v="4173.0491599999996"/>
    <n v="0"/>
    <n v="1902.8772535825537"/>
    <n v="4128.8518738418998"/>
  </r>
  <r>
    <s v="Regular"/>
    <x v="0"/>
    <x v="1"/>
    <x v="3"/>
    <x v="1"/>
    <x v="0"/>
    <x v="0"/>
    <x v="0"/>
    <x v="10"/>
    <n v="0"/>
    <n v="0"/>
    <n v="10.208"/>
    <n v="10.208"/>
    <n v="10.208"/>
    <n v="10.208"/>
    <n v="0"/>
    <x v="0"/>
    <n v="0"/>
    <n v="0"/>
    <n v="47"/>
    <n v="27"/>
    <n v="0"/>
    <n v="72.23"/>
    <n v="223.72"/>
    <m/>
    <n v="102.01454208880898"/>
    <n v="221.35055346817671"/>
    <n v="0"/>
    <n v="737.32384000000002"/>
    <n v="2283.7337600000001"/>
    <n v="0"/>
    <n v="1041.364445642562"/>
    <n v="2259.5464498031479"/>
  </r>
  <r>
    <s v="PROJETADO"/>
    <x v="0"/>
    <x v="1"/>
    <x v="3"/>
    <x v="1"/>
    <x v="0"/>
    <x v="0"/>
    <x v="0"/>
    <x v="11"/>
    <n v="0"/>
    <n v="0"/>
    <n v="10.208"/>
    <n v="10.208"/>
    <n v="10.208"/>
    <n v="10.208"/>
    <n v="0"/>
    <x v="0"/>
    <n v="0"/>
    <n v="0"/>
    <n v="47"/>
    <n v="27"/>
    <n v="0"/>
    <n v="72.23"/>
    <n v="223.72"/>
    <m/>
    <n v="102.01454208880898"/>
    <n v="221.35055346817671"/>
    <n v="0"/>
    <n v="737.32384000000002"/>
    <n v="2283.7337600000001"/>
    <n v="0"/>
    <n v="1041.364445642562"/>
    <n v="2259.5464498031479"/>
  </r>
  <r>
    <s v="Regular"/>
    <x v="0"/>
    <x v="1"/>
    <x v="3"/>
    <x v="1"/>
    <x v="0"/>
    <x v="0"/>
    <x v="2"/>
    <x v="0"/>
    <n v="110"/>
    <n v="110"/>
    <n v="0"/>
    <n v="0"/>
    <n v="0"/>
    <n v="0"/>
    <n v="2"/>
    <x v="0"/>
    <n v="0"/>
    <n v="65"/>
    <n v="0"/>
    <n v="0"/>
    <n v="23.41"/>
    <n v="0"/>
    <n v="0"/>
    <n v="23.763428126815878"/>
    <m/>
    <m/>
    <n v="2575.1"/>
    <n v="0"/>
    <n v="0"/>
    <n v="2613.9770939497466"/>
    <n v="0"/>
    <n v="0"/>
  </r>
  <r>
    <s v="Regular"/>
    <x v="0"/>
    <x v="1"/>
    <x v="3"/>
    <x v="1"/>
    <x v="0"/>
    <x v="0"/>
    <x v="2"/>
    <x v="1"/>
    <n v="116"/>
    <n v="116"/>
    <n v="0"/>
    <n v="0"/>
    <n v="0"/>
    <n v="0"/>
    <n v="2"/>
    <x v="0"/>
    <n v="0"/>
    <n v="65"/>
    <n v="0"/>
    <n v="0"/>
    <n v="23.41"/>
    <n v="0"/>
    <n v="0"/>
    <n v="23.763428126815878"/>
    <m/>
    <m/>
    <n v="2715.56"/>
    <n v="0"/>
    <n v="0"/>
    <n v="2756.557662710642"/>
    <n v="0"/>
    <n v="0"/>
  </r>
  <r>
    <s v="Regular"/>
    <x v="0"/>
    <x v="1"/>
    <x v="3"/>
    <x v="1"/>
    <x v="0"/>
    <x v="0"/>
    <x v="2"/>
    <x v="2"/>
    <n v="110"/>
    <n v="110"/>
    <n v="0"/>
    <n v="0"/>
    <n v="0"/>
    <n v="0"/>
    <n v="2"/>
    <x v="0"/>
    <n v="0"/>
    <n v="65"/>
    <n v="0"/>
    <n v="0"/>
    <n v="23.41"/>
    <n v="0"/>
    <n v="0"/>
    <n v="23.763428126815878"/>
    <m/>
    <m/>
    <n v="2575.1"/>
    <n v="0"/>
    <n v="0"/>
    <n v="2613.9770939497466"/>
    <n v="0"/>
    <n v="0"/>
  </r>
  <r>
    <s v="Regular"/>
    <x v="0"/>
    <x v="1"/>
    <x v="3"/>
    <x v="1"/>
    <x v="0"/>
    <x v="0"/>
    <x v="2"/>
    <x v="3"/>
    <n v="131"/>
    <n v="131"/>
    <n v="0"/>
    <n v="0"/>
    <n v="0"/>
    <n v="0"/>
    <n v="2"/>
    <x v="0"/>
    <n v="0"/>
    <n v="65"/>
    <n v="0"/>
    <n v="0"/>
    <n v="23.41"/>
    <n v="0"/>
    <n v="0"/>
    <n v="23.763428126815878"/>
    <m/>
    <m/>
    <n v="3066.71"/>
    <n v="0"/>
    <n v="0"/>
    <n v="3113.0090846128801"/>
    <n v="0"/>
    <n v="0"/>
  </r>
  <r>
    <s v="Regular"/>
    <x v="0"/>
    <x v="1"/>
    <x v="3"/>
    <x v="1"/>
    <x v="0"/>
    <x v="0"/>
    <x v="2"/>
    <x v="4"/>
    <n v="110"/>
    <n v="110"/>
    <n v="0"/>
    <n v="0"/>
    <n v="0"/>
    <n v="0"/>
    <n v="2"/>
    <x v="0"/>
    <n v="0"/>
    <n v="65"/>
    <n v="0"/>
    <n v="0"/>
    <n v="23.41"/>
    <n v="0"/>
    <n v="0"/>
    <n v="23.763428126815878"/>
    <m/>
    <m/>
    <n v="2575.1"/>
    <n v="0"/>
    <n v="0"/>
    <n v="2613.9770939497466"/>
    <n v="0"/>
    <n v="0"/>
  </r>
  <r>
    <s v="Regular"/>
    <x v="0"/>
    <x v="1"/>
    <x v="3"/>
    <x v="1"/>
    <x v="0"/>
    <x v="0"/>
    <x v="2"/>
    <x v="5"/>
    <n v="146"/>
    <n v="146"/>
    <n v="0"/>
    <n v="0"/>
    <n v="0"/>
    <n v="0"/>
    <n v="2"/>
    <x v="0"/>
    <n v="0"/>
    <n v="65"/>
    <n v="0"/>
    <n v="0"/>
    <n v="23.41"/>
    <n v="0"/>
    <n v="0"/>
    <n v="23.763428126815878"/>
    <m/>
    <m/>
    <n v="3417.86"/>
    <n v="0"/>
    <n v="0"/>
    <n v="3469.4605065151181"/>
    <n v="0"/>
    <n v="0"/>
  </r>
  <r>
    <s v="Regular"/>
    <x v="0"/>
    <x v="1"/>
    <x v="3"/>
    <x v="1"/>
    <x v="0"/>
    <x v="0"/>
    <x v="2"/>
    <x v="6"/>
    <n v="132"/>
    <n v="132"/>
    <n v="0"/>
    <n v="0"/>
    <n v="0"/>
    <n v="0"/>
    <n v="2"/>
    <x v="0"/>
    <n v="0"/>
    <n v="65"/>
    <n v="0"/>
    <n v="0"/>
    <n v="23.41"/>
    <n v="0"/>
    <n v="0"/>
    <n v="23.763428126815878"/>
    <m/>
    <m/>
    <n v="3090.12"/>
    <n v="0"/>
    <n v="0"/>
    <n v="3136.7725127396957"/>
    <n v="0"/>
    <n v="0"/>
  </r>
  <r>
    <s v="Regular"/>
    <x v="0"/>
    <x v="1"/>
    <x v="3"/>
    <x v="1"/>
    <x v="0"/>
    <x v="0"/>
    <x v="2"/>
    <x v="7"/>
    <n v="117"/>
    <n v="117"/>
    <n v="0"/>
    <n v="0"/>
    <n v="0"/>
    <n v="0"/>
    <n v="2"/>
    <x v="0"/>
    <n v="0"/>
    <n v="65"/>
    <n v="0"/>
    <n v="0"/>
    <n v="23.41"/>
    <n v="0"/>
    <n v="0"/>
    <n v="23.763428126815878"/>
    <m/>
    <m/>
    <n v="2738.97"/>
    <n v="0"/>
    <n v="0"/>
    <n v="2780.3210908374576"/>
    <n v="0"/>
    <n v="0"/>
  </r>
  <r>
    <s v="Regular"/>
    <x v="0"/>
    <x v="1"/>
    <x v="3"/>
    <x v="1"/>
    <x v="0"/>
    <x v="0"/>
    <x v="2"/>
    <x v="8"/>
    <n v="120"/>
    <n v="120"/>
    <n v="0"/>
    <n v="0"/>
    <n v="0"/>
    <n v="0"/>
    <n v="2"/>
    <x v="0"/>
    <n v="0"/>
    <n v="65"/>
    <n v="0"/>
    <n v="0"/>
    <n v="23.41"/>
    <n v="0"/>
    <n v="0"/>
    <n v="23.763428126815878"/>
    <m/>
    <m/>
    <n v="2809.2"/>
    <n v="0"/>
    <n v="0"/>
    <n v="2851.6113752179053"/>
    <n v="0"/>
    <n v="0"/>
  </r>
  <r>
    <s v="Regular"/>
    <x v="0"/>
    <x v="1"/>
    <x v="3"/>
    <x v="1"/>
    <x v="0"/>
    <x v="0"/>
    <x v="2"/>
    <x v="9"/>
    <n v="129"/>
    <n v="129"/>
    <n v="0"/>
    <n v="0"/>
    <n v="0"/>
    <n v="0"/>
    <n v="2"/>
    <x v="0"/>
    <n v="0"/>
    <n v="65"/>
    <n v="0"/>
    <n v="0"/>
    <n v="23.41"/>
    <n v="0"/>
    <n v="0"/>
    <n v="23.763428126815878"/>
    <m/>
    <m/>
    <n v="3019.89"/>
    <n v="0"/>
    <n v="0"/>
    <n v="3065.4822283592484"/>
    <n v="0"/>
    <n v="0"/>
  </r>
  <r>
    <s v="Regular"/>
    <x v="0"/>
    <x v="1"/>
    <x v="3"/>
    <x v="1"/>
    <x v="0"/>
    <x v="0"/>
    <x v="2"/>
    <x v="10"/>
    <n v="116"/>
    <n v="116"/>
    <n v="0"/>
    <n v="0"/>
    <n v="0"/>
    <n v="0"/>
    <n v="2"/>
    <x v="0"/>
    <n v="0"/>
    <n v="65"/>
    <n v="0"/>
    <n v="0"/>
    <n v="23.41"/>
    <n v="0"/>
    <n v="0"/>
    <n v="23.763428126815878"/>
    <m/>
    <m/>
    <n v="2715.56"/>
    <n v="0"/>
    <n v="0"/>
    <n v="2756.557662710642"/>
    <n v="0"/>
    <n v="0"/>
  </r>
  <r>
    <s v="PROJETADO"/>
    <x v="0"/>
    <x v="1"/>
    <x v="3"/>
    <x v="1"/>
    <x v="0"/>
    <x v="0"/>
    <x v="2"/>
    <x v="11"/>
    <n v="116"/>
    <n v="116"/>
    <n v="0"/>
    <n v="0"/>
    <n v="0"/>
    <n v="0"/>
    <n v="2"/>
    <x v="0"/>
    <n v="0"/>
    <n v="65"/>
    <n v="0"/>
    <n v="0"/>
    <n v="23.41"/>
    <n v="0"/>
    <n v="0"/>
    <n v="23.763428126815878"/>
    <m/>
    <m/>
    <n v="2715.56"/>
    <n v="0"/>
    <n v="0"/>
    <n v="2756.557662710642"/>
    <n v="0"/>
    <n v="0"/>
  </r>
  <r>
    <s v="Regular"/>
    <x v="0"/>
    <x v="1"/>
    <x v="3"/>
    <x v="1"/>
    <x v="0"/>
    <x v="0"/>
    <x v="1"/>
    <x v="0"/>
    <n v="0"/>
    <n v="0"/>
    <n v="1.3180000000000001"/>
    <n v="1.3180000000000001"/>
    <n v="1.3180000000000001"/>
    <n v="1.3180000000000001"/>
    <n v="0"/>
    <x v="0"/>
    <n v="0"/>
    <n v="0"/>
    <n v="66"/>
    <n v="6"/>
    <n v="0"/>
    <n v="2263.58"/>
    <n v="223.72"/>
    <m/>
    <n v="2325.9355132623718"/>
    <n v="221.35055346817671"/>
    <n v="0"/>
    <n v="2983.3984399999999"/>
    <n v="294.86295999999999"/>
    <n v="0"/>
    <n v="3065.583006479806"/>
    <n v="291.74002947105691"/>
  </r>
  <r>
    <s v="Regular"/>
    <x v="0"/>
    <x v="1"/>
    <x v="3"/>
    <x v="1"/>
    <x v="0"/>
    <x v="0"/>
    <x v="1"/>
    <x v="1"/>
    <n v="0"/>
    <n v="0"/>
    <n v="0.95399999999999996"/>
    <n v="0.95399999999999996"/>
    <n v="0.95399999999999996"/>
    <n v="0.95399999999999996"/>
    <n v="0"/>
    <x v="0"/>
    <n v="0"/>
    <n v="0"/>
    <n v="66"/>
    <n v="6"/>
    <n v="0"/>
    <n v="2263.58"/>
    <n v="223.72"/>
    <m/>
    <n v="2325.9355132623718"/>
    <n v="221.35055346817671"/>
    <n v="0"/>
    <n v="2159.45532"/>
    <n v="213.42887999999999"/>
    <n v="0"/>
    <n v="2218.9424796523026"/>
    <n v="211.16842800864057"/>
  </r>
  <r>
    <s v="Regular"/>
    <x v="0"/>
    <x v="1"/>
    <x v="3"/>
    <x v="1"/>
    <x v="0"/>
    <x v="0"/>
    <x v="1"/>
    <x v="2"/>
    <n v="0"/>
    <n v="0"/>
    <n v="1.01"/>
    <n v="1.01"/>
    <n v="1.01"/>
    <n v="1.01"/>
    <n v="0"/>
    <x v="0"/>
    <n v="0"/>
    <n v="0"/>
    <n v="66"/>
    <n v="6"/>
    <n v="0"/>
    <n v="2263.58"/>
    <n v="223.72"/>
    <m/>
    <n v="2325.9355132623718"/>
    <n v="221.35055346817671"/>
    <n v="0"/>
    <n v="2286.2157999999999"/>
    <n v="225.9572"/>
    <n v="0"/>
    <n v="2349.1948683949954"/>
    <n v="223.56405900285847"/>
  </r>
  <r>
    <s v="Regular"/>
    <x v="0"/>
    <x v="1"/>
    <x v="3"/>
    <x v="1"/>
    <x v="0"/>
    <x v="0"/>
    <x v="1"/>
    <x v="3"/>
    <n v="0"/>
    <n v="0"/>
    <n v="1.83"/>
    <n v="1.83"/>
    <n v="1.83"/>
    <n v="1.83"/>
    <n v="0"/>
    <x v="0"/>
    <n v="0"/>
    <n v="0"/>
    <n v="66"/>
    <n v="6"/>
    <n v="0"/>
    <n v="2263.58"/>
    <n v="223.72"/>
    <m/>
    <n v="2325.9355132623718"/>
    <n v="221.35055346817671"/>
    <n v="0"/>
    <n v="4142.3514000000005"/>
    <n v="409.4076"/>
    <n v="0"/>
    <n v="4256.4619892701403"/>
    <n v="405.07151284676343"/>
  </r>
  <r>
    <s v="Regular"/>
    <x v="0"/>
    <x v="1"/>
    <x v="3"/>
    <x v="1"/>
    <x v="0"/>
    <x v="0"/>
    <x v="1"/>
    <x v="4"/>
    <n v="0"/>
    <n v="0"/>
    <n v="1.0429999999999999"/>
    <n v="1.0429999999999999"/>
    <n v="1.0429999999999999"/>
    <n v="1.0429999999999999"/>
    <n v="0"/>
    <x v="0"/>
    <n v="0"/>
    <n v="0"/>
    <n v="66"/>
    <n v="6"/>
    <n v="0"/>
    <n v="2263.58"/>
    <n v="223.72"/>
    <m/>
    <n v="2325.9355132623718"/>
    <n v="221.35055346817671"/>
    <n v="0"/>
    <n v="2360.9139399999999"/>
    <n v="233.33995999999999"/>
    <n v="0"/>
    <n v="2425.9507403326538"/>
    <n v="230.86862726730828"/>
  </r>
  <r>
    <s v="Regular"/>
    <x v="0"/>
    <x v="1"/>
    <x v="3"/>
    <x v="1"/>
    <x v="0"/>
    <x v="0"/>
    <x v="1"/>
    <x v="5"/>
    <n v="0"/>
    <n v="0"/>
    <n v="1.988"/>
    <n v="1.988"/>
    <n v="1.988"/>
    <n v="1.988"/>
    <n v="0"/>
    <x v="0"/>
    <n v="0"/>
    <n v="0"/>
    <n v="66"/>
    <n v="6"/>
    <n v="0"/>
    <n v="2263.58"/>
    <n v="223.72"/>
    <m/>
    <n v="2325.9355132623718"/>
    <n v="221.35055346817671"/>
    <n v="0"/>
    <n v="4499.9970400000002"/>
    <n v="444.75536"/>
    <n v="0"/>
    <n v="4623.9598003655956"/>
    <n v="440.04490029473533"/>
  </r>
  <r>
    <s v="Regular"/>
    <x v="0"/>
    <x v="1"/>
    <x v="3"/>
    <x v="1"/>
    <x v="0"/>
    <x v="0"/>
    <x v="1"/>
    <x v="6"/>
    <n v="0"/>
    <n v="0"/>
    <n v="1.752"/>
    <n v="1.752"/>
    <n v="1.752"/>
    <n v="1.752"/>
    <n v="0"/>
    <x v="0"/>
    <n v="0"/>
    <n v="0"/>
    <n v="66"/>
    <n v="6"/>
    <n v="0"/>
    <n v="2263.58"/>
    <n v="223.72"/>
    <m/>
    <n v="2325.9355132623718"/>
    <n v="221.35055346817671"/>
    <n v="0"/>
    <n v="3965.79216"/>
    <n v="391.95744000000002"/>
    <n v="0"/>
    <n v="4075.0390192356754"/>
    <n v="387.80616967624559"/>
  </r>
  <r>
    <s v="Regular"/>
    <x v="0"/>
    <x v="1"/>
    <x v="3"/>
    <x v="1"/>
    <x v="0"/>
    <x v="0"/>
    <x v="1"/>
    <x v="7"/>
    <n v="0"/>
    <n v="0"/>
    <n v="1.248"/>
    <n v="1.248"/>
    <n v="1.248"/>
    <n v="1.248"/>
    <n v="0"/>
    <x v="0"/>
    <n v="0"/>
    <n v="0"/>
    <n v="66"/>
    <n v="6"/>
    <n v="0"/>
    <n v="2263.58"/>
    <n v="223.72"/>
    <m/>
    <n v="2325.9355132623718"/>
    <n v="221.35055346817671"/>
    <n v="0"/>
    <n v="2824.9478399999998"/>
    <n v="279.20256000000001"/>
    <n v="0"/>
    <n v="2902.7675205514402"/>
    <n v="276.24549072828455"/>
  </r>
  <r>
    <s v="Regular"/>
    <x v="0"/>
    <x v="1"/>
    <x v="3"/>
    <x v="1"/>
    <x v="0"/>
    <x v="0"/>
    <x v="1"/>
    <x v="8"/>
    <n v="0"/>
    <n v="0"/>
    <n v="2.2480000000000002"/>
    <n v="2.2480000000000002"/>
    <n v="2.2480000000000002"/>
    <n v="2.2480000000000002"/>
    <n v="0"/>
    <x v="0"/>
    <n v="0"/>
    <n v="0"/>
    <n v="66"/>
    <n v="6"/>
    <n v="0"/>
    <n v="2263.58"/>
    <n v="223.72"/>
    <m/>
    <n v="2325.9355132623718"/>
    <n v="221.35055346817671"/>
    <n v="0"/>
    <n v="5088.5278400000007"/>
    <n v="502.92256000000003"/>
    <n v="0"/>
    <n v="5228.703033813812"/>
    <n v="497.59604419646132"/>
  </r>
  <r>
    <s v="Regular"/>
    <x v="0"/>
    <x v="1"/>
    <x v="3"/>
    <x v="1"/>
    <x v="0"/>
    <x v="0"/>
    <x v="1"/>
    <x v="9"/>
    <n v="0"/>
    <n v="0"/>
    <n v="2.15"/>
    <n v="2.15"/>
    <n v="2.15"/>
    <n v="2.15"/>
    <n v="0"/>
    <x v="0"/>
    <n v="0"/>
    <n v="0"/>
    <n v="66"/>
    <n v="6"/>
    <n v="0"/>
    <n v="2263.58"/>
    <n v="223.72"/>
    <m/>
    <n v="2325.9355132623718"/>
    <n v="221.35055346817671"/>
    <n v="0"/>
    <n v="4866.6969999999992"/>
    <n v="480.99799999999999"/>
    <n v="0"/>
    <n v="5000.761353514099"/>
    <n v="475.90368995657991"/>
  </r>
  <r>
    <s v="Regular"/>
    <x v="0"/>
    <x v="1"/>
    <x v="3"/>
    <x v="1"/>
    <x v="0"/>
    <x v="0"/>
    <x v="1"/>
    <x v="10"/>
    <n v="0"/>
    <n v="0"/>
    <n v="0.91600000000000004"/>
    <n v="0.91600000000000004"/>
    <n v="0.91600000000000004"/>
    <n v="0.91600000000000004"/>
    <n v="0"/>
    <x v="0"/>
    <n v="0"/>
    <n v="0"/>
    <n v="66"/>
    <n v="6"/>
    <n v="0"/>
    <n v="2263.58"/>
    <n v="223.72"/>
    <m/>
    <n v="2325.9355132623718"/>
    <n v="221.35055346817671"/>
    <n v="0"/>
    <n v="2073.4392800000001"/>
    <n v="204.92752000000002"/>
    <n v="0"/>
    <n v="2130.5569301483329"/>
    <n v="202.75710697684988"/>
  </r>
  <r>
    <s v="PROJETADO"/>
    <x v="0"/>
    <x v="1"/>
    <x v="3"/>
    <x v="1"/>
    <x v="0"/>
    <x v="0"/>
    <x v="1"/>
    <x v="11"/>
    <n v="0"/>
    <n v="0"/>
    <n v="0.91600000000000004"/>
    <n v="0.91600000000000004"/>
    <n v="0.91600000000000004"/>
    <n v="0.91600000000000004"/>
    <n v="0"/>
    <x v="0"/>
    <n v="0"/>
    <n v="0"/>
    <n v="66"/>
    <n v="6"/>
    <n v="0"/>
    <n v="2263.58"/>
    <n v="223.72"/>
    <m/>
    <n v="2325.9355132623718"/>
    <n v="221.35055346817671"/>
    <n v="0"/>
    <n v="2073.4392800000001"/>
    <n v="204.92752000000002"/>
    <n v="0"/>
    <n v="2130.5569301483329"/>
    <n v="202.75710697684988"/>
  </r>
  <r>
    <s v="Regular"/>
    <x v="0"/>
    <x v="1"/>
    <x v="4"/>
    <x v="2"/>
    <x v="2"/>
    <x v="0"/>
    <x v="0"/>
    <x v="0"/>
    <n v="0"/>
    <n v="0"/>
    <n v="2758.2179999999998"/>
    <n v="827.46540000000005"/>
    <n v="2758.2179999999998"/>
    <n v="827.46540000000005"/>
    <n v="0"/>
    <x v="0"/>
    <n v="0"/>
    <n v="0"/>
    <n v="47"/>
    <n v="27"/>
    <n v="0"/>
    <n v="72.23"/>
    <n v="223.72"/>
    <m/>
    <n v="102.01454208880898"/>
    <n v="221.35055346817671"/>
    <n v="0"/>
    <n v="59767.825842000006"/>
    <n v="185120.55928800002"/>
    <n v="0"/>
    <n v="84413.503875333161"/>
    <n v="183159.92426576625"/>
  </r>
  <r>
    <s v="Regular"/>
    <x v="0"/>
    <x v="1"/>
    <x v="4"/>
    <x v="2"/>
    <x v="2"/>
    <x v="0"/>
    <x v="0"/>
    <x v="1"/>
    <n v="0"/>
    <n v="0"/>
    <n v="2399.1280000000002"/>
    <n v="719.73839999999996"/>
    <n v="2399.1280000000002"/>
    <n v="719.73839999999996"/>
    <n v="0"/>
    <x v="0"/>
    <n v="0"/>
    <n v="0"/>
    <n v="47"/>
    <n v="27"/>
    <n v="0"/>
    <n v="72.23"/>
    <n v="223.72"/>
    <m/>
    <n v="102.01454208880898"/>
    <n v="221.35055346817671"/>
    <n v="0"/>
    <n v="51986.704632000001"/>
    <n v="161019.87484799998"/>
    <n v="0"/>
    <n v="73423.783299732022"/>
    <n v="159314.49319229994"/>
  </r>
  <r>
    <s v="Regular"/>
    <x v="0"/>
    <x v="1"/>
    <x v="4"/>
    <x v="2"/>
    <x v="2"/>
    <x v="0"/>
    <x v="0"/>
    <x v="2"/>
    <n v="0"/>
    <n v="0"/>
    <n v="622.09799999999996"/>
    <n v="186.6294"/>
    <n v="622.09799999999996"/>
    <n v="186.6294"/>
    <n v="0"/>
    <x v="0"/>
    <n v="0"/>
    <n v="0"/>
    <n v="47"/>
    <n v="27"/>
    <n v="0"/>
    <n v="72.23"/>
    <n v="223.72"/>
    <m/>
    <n v="102.01454208880898"/>
    <n v="221.35055346817671"/>
    <n v="0"/>
    <n v="13480.241562000001"/>
    <n v="41752.729368"/>
    <n v="0"/>
    <n v="19038.912781309165"/>
    <n v="41310.520983433737"/>
  </r>
  <r>
    <s v="Regular"/>
    <x v="0"/>
    <x v="1"/>
    <x v="4"/>
    <x v="2"/>
    <x v="2"/>
    <x v="0"/>
    <x v="0"/>
    <x v="3"/>
    <n v="0"/>
    <n v="0"/>
    <n v="1602.904"/>
    <n v="480.87119999999999"/>
    <n v="1602.904"/>
    <n v="480.87119999999999"/>
    <n v="0"/>
    <x v="0"/>
    <n v="0"/>
    <n v="0"/>
    <n v="47"/>
    <n v="27"/>
    <n v="0"/>
    <n v="72.23"/>
    <n v="223.72"/>
    <m/>
    <n v="102.01454208880898"/>
    <n v="221.35055346817671"/>
    <n v="0"/>
    <n v="34733.326776000002"/>
    <n v="107580.504864"/>
    <n v="0"/>
    <n v="49055.855271696077"/>
    <n v="106441.1062669063"/>
  </r>
  <r>
    <s v="Regular"/>
    <x v="0"/>
    <x v="1"/>
    <x v="4"/>
    <x v="2"/>
    <x v="2"/>
    <x v="0"/>
    <x v="0"/>
    <x v="4"/>
    <n v="0"/>
    <n v="0"/>
    <n v="2331.518"/>
    <n v="699.45540000000005"/>
    <n v="2331.518"/>
    <n v="699.45540000000005"/>
    <n v="0"/>
    <x v="0"/>
    <n v="0"/>
    <n v="0"/>
    <n v="47"/>
    <n v="27"/>
    <n v="0"/>
    <n v="72.23"/>
    <n v="223.72"/>
    <m/>
    <n v="102.01454208880898"/>
    <n v="221.35055346817671"/>
    <n v="0"/>
    <n v="50521.663542000009"/>
    <n v="156482.16208800001"/>
    <n v="0"/>
    <n v="71354.622342544724"/>
    <n v="154824.83991630495"/>
  </r>
  <r>
    <s v="Regular"/>
    <x v="0"/>
    <x v="1"/>
    <x v="4"/>
    <x v="2"/>
    <x v="2"/>
    <x v="0"/>
    <x v="0"/>
    <x v="5"/>
    <n v="0"/>
    <n v="0"/>
    <n v="2273.6559999999999"/>
    <n v="682.09680000000003"/>
    <n v="2273.6559999999999"/>
    <n v="682.09680000000003"/>
    <n v="0"/>
    <x v="0"/>
    <n v="0"/>
    <n v="0"/>
    <n v="47"/>
    <n v="27"/>
    <n v="0"/>
    <n v="72.23"/>
    <n v="223.72"/>
    <m/>
    <n v="102.01454208880898"/>
    <n v="221.35055346817671"/>
    <n v="0"/>
    <n v="49267.851864000004"/>
    <n v="152598.696096"/>
    <n v="0"/>
    <n v="69583.792712241921"/>
    <n v="150982.50419887225"/>
  </r>
  <r>
    <s v="Regular"/>
    <x v="0"/>
    <x v="1"/>
    <x v="4"/>
    <x v="2"/>
    <x v="2"/>
    <x v="0"/>
    <x v="0"/>
    <x v="6"/>
    <n v="0"/>
    <n v="0"/>
    <n v="1691.5060000000001"/>
    <n v="507.45179999999999"/>
    <n v="1691.5060000000001"/>
    <n v="507.45179999999999"/>
    <n v="0"/>
    <x v="0"/>
    <n v="0"/>
    <n v="0"/>
    <n v="47"/>
    <n v="27"/>
    <n v="0"/>
    <n v="72.23"/>
    <n v="223.72"/>
    <m/>
    <n v="102.01454208880898"/>
    <n v="221.35055346817671"/>
    <n v="0"/>
    <n v="36653.243514000002"/>
    <n v="113527.116696"/>
    <n v="0"/>
    <n v="51767.463009141873"/>
    <n v="112324.73678842251"/>
  </r>
  <r>
    <s v="Regular"/>
    <x v="0"/>
    <x v="1"/>
    <x v="4"/>
    <x v="2"/>
    <x v="2"/>
    <x v="0"/>
    <x v="0"/>
    <x v="7"/>
    <n v="0"/>
    <n v="0"/>
    <n v="3128.319"/>
    <n v="938.49570000000006"/>
    <n v="3128.319"/>
    <n v="938.49570000000006"/>
    <n v="0"/>
    <x v="0"/>
    <n v="0"/>
    <n v="0"/>
    <n v="47"/>
    <n v="27"/>
    <n v="0"/>
    <n v="72.23"/>
    <n v="223.72"/>
    <m/>
    <n v="102.01454208880898"/>
    <n v="221.35055346817671"/>
    <n v="0"/>
    <n v="67787.54441100001"/>
    <n v="209960.258004"/>
    <n v="0"/>
    <n v="95740.209087816256"/>
    <n v="207736.54262250394"/>
  </r>
  <r>
    <s v="Regular"/>
    <x v="0"/>
    <x v="1"/>
    <x v="4"/>
    <x v="2"/>
    <x v="2"/>
    <x v="0"/>
    <x v="0"/>
    <x v="8"/>
    <n v="0"/>
    <n v="0"/>
    <n v="2618.0569999999998"/>
    <n v="785.4171"/>
    <n v="2618.0569999999998"/>
    <n v="785.4171"/>
    <n v="0"/>
    <x v="0"/>
    <n v="0"/>
    <n v="0"/>
    <n v="47"/>
    <n v="27"/>
    <n v="0"/>
    <n v="72.23"/>
    <n v="223.72"/>
    <m/>
    <n v="102.01454208880898"/>
    <n v="221.35055346817671"/>
    <n v="0"/>
    <n v="56730.677133000005"/>
    <n v="175713.51361200001"/>
    <n v="0"/>
    <n v="80123.965805220287"/>
    <n v="173852.50978837028"/>
  </r>
  <r>
    <s v="Regular"/>
    <x v="0"/>
    <x v="1"/>
    <x v="4"/>
    <x v="2"/>
    <x v="2"/>
    <x v="0"/>
    <x v="0"/>
    <x v="9"/>
    <n v="0"/>
    <n v="0"/>
    <n v="1408.03"/>
    <n v="422.40899999999999"/>
    <n v="1408.03"/>
    <n v="422.40899999999999"/>
    <n v="0"/>
    <x v="0"/>
    <n v="0"/>
    <n v="0"/>
    <n v="47"/>
    <n v="27"/>
    <n v="0"/>
    <n v="72.23"/>
    <n v="223.72"/>
    <m/>
    <n v="102.01454208880898"/>
    <n v="221.35055346817671"/>
    <n v="0"/>
    <n v="30510.602070000001"/>
    <n v="94501.341480000003"/>
    <n v="0"/>
    <n v="43091.860709191715"/>
    <n v="93500.465939939051"/>
  </r>
  <r>
    <s v="Regular"/>
    <x v="0"/>
    <x v="1"/>
    <x v="4"/>
    <x v="2"/>
    <x v="2"/>
    <x v="0"/>
    <x v="0"/>
    <x v="10"/>
    <n v="0"/>
    <n v="0"/>
    <n v="2469.1060000000002"/>
    <n v="740.73180000000002"/>
    <n v="2469.1060000000002"/>
    <n v="740.73180000000002"/>
    <n v="0"/>
    <x v="0"/>
    <n v="0"/>
    <n v="0"/>
    <n v="47"/>
    <n v="27"/>
    <n v="0"/>
    <n v="72.23"/>
    <n v="223.72"/>
    <m/>
    <n v="102.01454208880898"/>
    <n v="221.35055346817671"/>
    <n v="0"/>
    <n v="53503.057914000005"/>
    <n v="165716.51829599999"/>
    <n v="0"/>
    <n v="75565.415387619243"/>
    <n v="163961.39390147879"/>
  </r>
  <r>
    <s v="PROJETADO"/>
    <x v="0"/>
    <x v="1"/>
    <x v="4"/>
    <x v="2"/>
    <x v="2"/>
    <x v="0"/>
    <x v="0"/>
    <x v="11"/>
    <n v="0"/>
    <n v="0"/>
    <n v="2469.1060000000002"/>
    <n v="740.73180000000002"/>
    <n v="2469.1060000000002"/>
    <n v="740.73180000000002"/>
    <n v="0"/>
    <x v="0"/>
    <n v="0"/>
    <n v="0"/>
    <n v="47"/>
    <n v="27"/>
    <n v="0"/>
    <n v="72.23"/>
    <n v="223.72"/>
    <m/>
    <n v="102.01454208880898"/>
    <n v="221.35055346817671"/>
    <n v="0"/>
    <n v="53503.057914000005"/>
    <n v="165716.51829599999"/>
    <n v="0"/>
    <n v="75565.415387619243"/>
    <n v="163961.39390147879"/>
  </r>
  <r>
    <s v="Regular"/>
    <x v="0"/>
    <x v="1"/>
    <x v="4"/>
    <x v="2"/>
    <x v="0"/>
    <x v="0"/>
    <x v="0"/>
    <x v="0"/>
    <n v="0"/>
    <n v="0"/>
    <n v="3909.1790000000001"/>
    <n v="3752.8118399999998"/>
    <n v="3909.1790000000001"/>
    <n v="3752.8118399999998"/>
    <n v="0"/>
    <x v="0"/>
    <n v="0"/>
    <n v="0"/>
    <n v="47"/>
    <n v="27"/>
    <n v="0"/>
    <n v="72.23"/>
    <n v="223.72"/>
    <m/>
    <n v="102.01454208880898"/>
    <n v="221.35055346817671"/>
    <n v="0"/>
    <n v="271065.59920320002"/>
    <n v="839579.06484479993"/>
    <n v="0"/>
    <n v="382841.38140306063"/>
    <n v="830686.97784592665"/>
  </r>
  <r>
    <s v="Regular"/>
    <x v="0"/>
    <x v="1"/>
    <x v="4"/>
    <x v="2"/>
    <x v="0"/>
    <x v="0"/>
    <x v="0"/>
    <x v="1"/>
    <n v="0"/>
    <n v="0"/>
    <n v="3215.9920000000002"/>
    <n v="3072.5587568000001"/>
    <n v="3215.9920000000002"/>
    <n v="3072.5587568000001"/>
    <n v="0"/>
    <x v="0"/>
    <n v="0"/>
    <n v="0"/>
    <n v="47"/>
    <n v="27"/>
    <n v="0"/>
    <n v="72.23"/>
    <n v="223.72"/>
    <m/>
    <n v="102.01454208880898"/>
    <n v="221.35055346817671"/>
    <n v="0"/>
    <n v="221930.91900366402"/>
    <n v="687392.84507129597"/>
    <n v="0"/>
    <n v="313445.6746159122"/>
    <n v="680112.58138117299"/>
  </r>
  <r>
    <s v="Regular"/>
    <x v="0"/>
    <x v="1"/>
    <x v="4"/>
    <x v="2"/>
    <x v="0"/>
    <x v="0"/>
    <x v="0"/>
    <x v="2"/>
    <n v="0"/>
    <n v="0"/>
    <n v="879.98299999999995"/>
    <n v="844.78368"/>
    <n v="879.98299999999995"/>
    <n v="844.78368"/>
    <n v="0"/>
    <x v="0"/>
    <n v="0"/>
    <n v="0"/>
    <n v="47"/>
    <n v="27"/>
    <n v="0"/>
    <n v="72.23"/>
    <n v="223.72"/>
    <m/>
    <n v="102.01454208880898"/>
    <n v="221.35055346817671"/>
    <n v="0"/>
    <n v="61018.725206400006"/>
    <n v="188995.00488960001"/>
    <n v="0"/>
    <n v="86180.220279298941"/>
    <n v="186993.33512888307"/>
  </r>
  <r>
    <s v="Sistema de Compensação"/>
    <x v="0"/>
    <x v="1"/>
    <x v="4"/>
    <x v="2"/>
    <x v="0"/>
    <x v="0"/>
    <x v="0"/>
    <x v="2"/>
    <n v="0"/>
    <n v="0"/>
    <n v="0.89900000000000002"/>
    <n v="0.86304000000000003"/>
    <n v="0.89900000000000002"/>
    <n v="0.86304000000000003"/>
    <n v="0"/>
    <x v="0"/>
    <n v="0"/>
    <n v="0"/>
    <n v="47"/>
    <n v="27"/>
    <n v="0"/>
    <n v="72.23"/>
    <n v="223.72"/>
    <m/>
    <n v="102.01454208880898"/>
    <n v="221.35055346817671"/>
    <n v="0"/>
    <n v="62.337379200000008"/>
    <n v="193.07930880000001"/>
    <n v="0"/>
    <n v="88.042630404325706"/>
    <n v="191.03438166517523"/>
  </r>
  <r>
    <s v="Regular"/>
    <x v="0"/>
    <x v="1"/>
    <x v="4"/>
    <x v="2"/>
    <x v="0"/>
    <x v="0"/>
    <x v="0"/>
    <x v="3"/>
    <n v="0"/>
    <n v="0"/>
    <n v="1818.075"/>
    <n v="1745.3520000000001"/>
    <n v="1818.075"/>
    <n v="1745.3520000000001"/>
    <n v="0"/>
    <x v="0"/>
    <n v="0"/>
    <n v="0"/>
    <n v="47"/>
    <n v="27"/>
    <n v="0"/>
    <n v="72.23"/>
    <n v="223.72"/>
    <m/>
    <n v="102.01454208880898"/>
    <n v="221.35055346817671"/>
    <n v="0"/>
    <n v="126066.77496000001"/>
    <n v="390470.14944000001"/>
    <n v="0"/>
    <n v="178051.28506378693"/>
    <n v="386334.63119678921"/>
  </r>
  <r>
    <s v="Sistema de Compensação"/>
    <x v="0"/>
    <x v="1"/>
    <x v="4"/>
    <x v="2"/>
    <x v="0"/>
    <x v="0"/>
    <x v="0"/>
    <x v="3"/>
    <n v="0"/>
    <n v="0"/>
    <n v="5.8029999999999999"/>
    <n v="5.5708799999999998"/>
    <n v="5.8029999999999999"/>
    <n v="5.5708799999999998"/>
    <n v="0"/>
    <x v="0"/>
    <n v="0"/>
    <n v="0"/>
    <n v="47"/>
    <n v="27"/>
    <n v="0"/>
    <n v="72.23"/>
    <n v="223.72"/>
    <m/>
    <n v="102.01454208880898"/>
    <n v="221.35055346817671"/>
    <n v="0"/>
    <n v="402.38466240000002"/>
    <n v="1246.3172735999999"/>
    <n v="0"/>
    <n v="568.31077223170416"/>
    <n v="1233.1173713047963"/>
  </r>
  <r>
    <s v="Regular"/>
    <x v="0"/>
    <x v="1"/>
    <x v="4"/>
    <x v="2"/>
    <x v="0"/>
    <x v="0"/>
    <x v="0"/>
    <x v="4"/>
    <n v="0"/>
    <n v="0"/>
    <n v="2998.8490000000002"/>
    <n v="2878.8950399999999"/>
    <n v="2998.8490000000002"/>
    <n v="2878.8950399999999"/>
    <n v="0"/>
    <x v="0"/>
    <n v="0"/>
    <n v="0"/>
    <n v="47"/>
    <n v="27"/>
    <n v="0"/>
    <n v="72.23"/>
    <n v="223.72"/>
    <m/>
    <n v="102.01454208880898"/>
    <n v="221.35055346817671"/>
    <n v="0"/>
    <n v="207942.5887392"/>
    <n v="644066.39834880002"/>
    <n v="0"/>
    <n v="293689.15922734339"/>
    <n v="637245.01048078865"/>
  </r>
  <r>
    <s v="Regular"/>
    <x v="0"/>
    <x v="1"/>
    <x v="4"/>
    <x v="2"/>
    <x v="0"/>
    <x v="0"/>
    <x v="0"/>
    <x v="5"/>
    <n v="0"/>
    <n v="0"/>
    <n v="3142.7460000000001"/>
    <n v="3017.0361600000001"/>
    <n v="3142.7460000000001"/>
    <n v="3017.0361600000001"/>
    <n v="0"/>
    <x v="0"/>
    <n v="0"/>
    <n v="0"/>
    <n v="47"/>
    <n v="27"/>
    <n v="0"/>
    <n v="72.23"/>
    <n v="223.72"/>
    <m/>
    <n v="102.01454208880898"/>
    <n v="221.35055346817671"/>
    <n v="0"/>
    <n v="217920.52183680001"/>
    <n v="674971.3297152"/>
    <n v="0"/>
    <n v="307781.56232777861"/>
    <n v="667822.62384950253"/>
  </r>
  <r>
    <s v="Sistema de Compensação"/>
    <x v="0"/>
    <x v="1"/>
    <x v="4"/>
    <x v="2"/>
    <x v="0"/>
    <x v="0"/>
    <x v="0"/>
    <x v="5"/>
    <n v="0"/>
    <n v="0"/>
    <n v="1.4750000000000001"/>
    <n v="1.4159999999999999"/>
    <n v="1.4750000000000001"/>
    <n v="1.4159999999999999"/>
    <n v="0"/>
    <x v="0"/>
    <n v="0"/>
    <n v="0"/>
    <n v="47"/>
    <n v="27"/>
    <n v="0"/>
    <n v="72.23"/>
    <n v="223.72"/>
    <m/>
    <n v="102.01454208880898"/>
    <n v="221.35055346817671"/>
    <n v="0"/>
    <n v="102.27768"/>
    <n v="316.78751999999997"/>
    <n v="0"/>
    <n v="144.4525915977535"/>
    <n v="313.43238371093821"/>
  </r>
  <r>
    <s v="Regular"/>
    <x v="0"/>
    <x v="1"/>
    <x v="4"/>
    <x v="2"/>
    <x v="0"/>
    <x v="0"/>
    <x v="0"/>
    <x v="6"/>
    <n v="0"/>
    <n v="0"/>
    <n v="2613.7330000000002"/>
    <n v="2509.1836800000001"/>
    <n v="2613.7330000000002"/>
    <n v="2509.1836800000001"/>
    <n v="0"/>
    <x v="0"/>
    <n v="0"/>
    <n v="0"/>
    <n v="47"/>
    <n v="27"/>
    <n v="0"/>
    <n v="72.23"/>
    <n v="223.72"/>
    <m/>
    <n v="102.01454208880898"/>
    <n v="221.35055346817671"/>
    <n v="0"/>
    <n v="181238.33720640003"/>
    <n v="561354.57288960007"/>
    <n v="0"/>
    <n v="255973.2241319126"/>
    <n v="555409.19632131641"/>
  </r>
  <r>
    <s v="Sistema de Compensação"/>
    <x v="0"/>
    <x v="1"/>
    <x v="4"/>
    <x v="2"/>
    <x v="0"/>
    <x v="0"/>
    <x v="0"/>
    <x v="6"/>
    <n v="0"/>
    <n v="0"/>
    <n v="7.3719999999999999"/>
    <n v="7.0771199999999999"/>
    <n v="7.3719999999999999"/>
    <n v="7.0771199999999999"/>
    <n v="0"/>
    <x v="0"/>
    <n v="0"/>
    <n v="0"/>
    <n v="47"/>
    <n v="27"/>
    <n v="0"/>
    <n v="72.23"/>
    <n v="223.72"/>
    <m/>
    <n v="102.01454208880898"/>
    <n v="221.35055346817671"/>
    <n v="0"/>
    <n v="511.18037760000004"/>
    <n v="1583.2932863999999"/>
    <n v="0"/>
    <n v="721.96915610755184"/>
    <n v="1566.5244289607028"/>
  </r>
  <r>
    <s v="Regular"/>
    <x v="0"/>
    <x v="1"/>
    <x v="4"/>
    <x v="2"/>
    <x v="0"/>
    <x v="0"/>
    <x v="0"/>
    <x v="7"/>
    <n v="0"/>
    <n v="0"/>
    <n v="4457.0309999999999"/>
    <n v="4278.7497599999997"/>
    <n v="4457.0309999999999"/>
    <n v="4278.7497599999997"/>
    <n v="0"/>
    <x v="0"/>
    <n v="0"/>
    <n v="0"/>
    <n v="47"/>
    <n v="27"/>
    <n v="0"/>
    <n v="72.23"/>
    <n v="223.72"/>
    <m/>
    <n v="102.01454208880898"/>
    <n v="221.35055346817671"/>
    <n v="0"/>
    <n v="309054.0951648"/>
    <n v="957241.89630719996"/>
    <n v="0"/>
    <n v="436494.6974790013"/>
    <n v="947103.62752782821"/>
  </r>
  <r>
    <s v="Sistema de Compensação"/>
    <x v="0"/>
    <x v="1"/>
    <x v="4"/>
    <x v="2"/>
    <x v="0"/>
    <x v="0"/>
    <x v="0"/>
    <x v="7"/>
    <n v="0"/>
    <n v="0"/>
    <n v="15.714"/>
    <n v="15.08544"/>
    <n v="15.714"/>
    <n v="15.08544"/>
    <n v="0"/>
    <x v="0"/>
    <n v="0"/>
    <n v="0"/>
    <n v="47"/>
    <n v="27"/>
    <n v="0"/>
    <n v="72.23"/>
    <n v="223.72"/>
    <m/>
    <n v="102.01454208880898"/>
    <n v="221.35055346817671"/>
    <n v="0"/>
    <n v="1089.6213312"/>
    <n v="3374.9146368000002"/>
    <n v="0"/>
    <n v="1538.9342538082026"/>
    <n v="3339.1704933109718"/>
  </r>
  <r>
    <s v="Regular"/>
    <x v="0"/>
    <x v="1"/>
    <x v="4"/>
    <x v="2"/>
    <x v="0"/>
    <x v="0"/>
    <x v="0"/>
    <x v="8"/>
    <n v="0"/>
    <n v="0"/>
    <n v="3668.5549999999998"/>
    <n v="3521.8128000000002"/>
    <n v="3668.5549999999998"/>
    <n v="3521.8128000000002"/>
    <n v="0"/>
    <x v="0"/>
    <n v="0"/>
    <n v="0"/>
    <n v="47"/>
    <n v="27"/>
    <n v="0"/>
    <n v="72.23"/>
    <n v="223.72"/>
    <m/>
    <n v="102.01454208880898"/>
    <n v="221.35055346817671"/>
    <n v="0"/>
    <n v="254380.53854400004"/>
    <n v="787899.95961600007"/>
    <n v="0"/>
    <n v="359276.12011450622"/>
    <n v="779555.21249130915"/>
  </r>
  <r>
    <s v="Refaturamento - Regular"/>
    <x v="0"/>
    <x v="1"/>
    <x v="4"/>
    <x v="2"/>
    <x v="0"/>
    <x v="0"/>
    <x v="0"/>
    <x v="8"/>
    <n v="0"/>
    <n v="0"/>
    <n v="1.665"/>
    <n v="1.5984"/>
    <n v="1.665"/>
    <n v="1.5984"/>
    <n v="0"/>
    <x v="0"/>
    <n v="0"/>
    <n v="0"/>
    <n v="47"/>
    <n v="27"/>
    <n v="0"/>
    <n v="72.23"/>
    <n v="223.72"/>
    <m/>
    <n v="102.01454208880898"/>
    <n v="221.35055346817671"/>
    <n v="0"/>
    <n v="115.45243200000002"/>
    <n v="357.59404799999999"/>
    <n v="0"/>
    <n v="163.06004407475228"/>
    <n v="353.80672466353366"/>
  </r>
  <r>
    <s v="Sistema de Compensação"/>
    <x v="0"/>
    <x v="1"/>
    <x v="4"/>
    <x v="2"/>
    <x v="0"/>
    <x v="0"/>
    <x v="0"/>
    <x v="8"/>
    <n v="0"/>
    <n v="0"/>
    <n v="3.76"/>
    <n v="3.6095999999999995"/>
    <n v="3.76"/>
    <n v="3.6095999999999995"/>
    <n v="0"/>
    <x v="0"/>
    <n v="0"/>
    <n v="0"/>
    <n v="47"/>
    <n v="27"/>
    <n v="0"/>
    <n v="72.23"/>
    <n v="223.72"/>
    <m/>
    <n v="102.01454208880898"/>
    <n v="221.35055346817671"/>
    <n v="0"/>
    <n v="260.721408"/>
    <n v="807.53971199999989"/>
    <n v="0"/>
    <n v="368.23169112376485"/>
    <n v="798.9869577987306"/>
  </r>
  <r>
    <s v="Regular"/>
    <x v="0"/>
    <x v="1"/>
    <x v="4"/>
    <x v="2"/>
    <x v="0"/>
    <x v="0"/>
    <x v="0"/>
    <x v="9"/>
    <n v="0"/>
    <n v="0"/>
    <n v="2265.0030000000002"/>
    <n v="2174.4028800000001"/>
    <n v="2265.0030000000002"/>
    <n v="2174.4028800000001"/>
    <n v="0"/>
    <x v="0"/>
    <n v="0"/>
    <n v="0"/>
    <n v="47"/>
    <n v="27"/>
    <n v="0"/>
    <n v="72.23"/>
    <n v="223.72"/>
    <m/>
    <n v="102.01454208880898"/>
    <n v="221.35055346817671"/>
    <n v="0"/>
    <n v="157057.12002240002"/>
    <n v="486457.41231360001"/>
    <n v="0"/>
    <n v="221820.71411978747"/>
    <n v="481305.28095079743"/>
  </r>
  <r>
    <s v="Regular"/>
    <x v="0"/>
    <x v="1"/>
    <x v="4"/>
    <x v="2"/>
    <x v="0"/>
    <x v="0"/>
    <x v="0"/>
    <x v="10"/>
    <n v="0"/>
    <n v="0"/>
    <n v="3510.4380000000001"/>
    <n v="3370.0204800000001"/>
    <n v="3510.4380000000001"/>
    <n v="3370.0204800000001"/>
    <n v="0"/>
    <x v="0"/>
    <n v="0"/>
    <n v="0"/>
    <n v="47"/>
    <n v="27"/>
    <n v="0"/>
    <n v="72.23"/>
    <n v="223.72"/>
    <m/>
    <n v="102.01454208880898"/>
    <n v="221.35055346817671"/>
    <n v="0"/>
    <n v="243416.57927040002"/>
    <n v="753940.98178560007"/>
    <n v="0"/>
    <n v="343791.09609710827"/>
    <n v="745955.89844709053"/>
  </r>
  <r>
    <s v="Sistema de Compensação"/>
    <x v="0"/>
    <x v="1"/>
    <x v="4"/>
    <x v="2"/>
    <x v="0"/>
    <x v="0"/>
    <x v="0"/>
    <x v="10"/>
    <n v="0"/>
    <n v="0"/>
    <n v="9.907"/>
    <n v="9.5107199999999992"/>
    <n v="9.907"/>
    <n v="9.5107199999999992"/>
    <n v="0"/>
    <x v="0"/>
    <n v="0"/>
    <n v="0"/>
    <n v="47"/>
    <n v="27"/>
    <n v="0"/>
    <n v="72.23"/>
    <n v="223.72"/>
    <m/>
    <n v="102.01454208880898"/>
    <n v="221.35055346817671"/>
    <n v="0"/>
    <n v="686.95930559999999"/>
    <n v="2127.7382783999997"/>
    <n v="0"/>
    <n v="970.23174573487722"/>
    <n v="2105.2031358808576"/>
  </r>
  <r>
    <s v="PROJETADO"/>
    <x v="0"/>
    <x v="1"/>
    <x v="4"/>
    <x v="2"/>
    <x v="0"/>
    <x v="0"/>
    <x v="0"/>
    <x v="11"/>
    <n v="0"/>
    <n v="0"/>
    <n v="3510.4380000000001"/>
    <n v="3370.0204800000001"/>
    <n v="3510.4380000000001"/>
    <n v="3370.0204800000001"/>
    <n v="0"/>
    <x v="0"/>
    <n v="0"/>
    <n v="0"/>
    <n v="47"/>
    <n v="27"/>
    <n v="0"/>
    <n v="72.23"/>
    <n v="223.72"/>
    <m/>
    <n v="102.01454208880898"/>
    <n v="221.35055346817671"/>
    <n v="0"/>
    <n v="243416.57927040002"/>
    <n v="753940.98178560007"/>
    <n v="0"/>
    <n v="343791.09609710827"/>
    <n v="745955.89844709053"/>
  </r>
  <r>
    <s v="PROJETADO"/>
    <x v="0"/>
    <x v="1"/>
    <x v="4"/>
    <x v="2"/>
    <x v="0"/>
    <x v="0"/>
    <x v="0"/>
    <x v="11"/>
    <n v="0"/>
    <n v="0"/>
    <n v="9.907"/>
    <n v="9.5107199999999992"/>
    <n v="9.907"/>
    <n v="9.5107199999999992"/>
    <n v="0"/>
    <x v="0"/>
    <n v="0"/>
    <n v="0"/>
    <n v="47"/>
    <n v="27"/>
    <n v="0"/>
    <n v="72.23"/>
    <n v="223.72"/>
    <m/>
    <n v="102.01454208880898"/>
    <n v="221.35055346817671"/>
    <n v="0"/>
    <n v="686.95930559999999"/>
    <n v="2127.7382783999997"/>
    <n v="0"/>
    <n v="970.23174573487722"/>
    <n v="2105.2031358808576"/>
  </r>
  <r>
    <s v="Regular"/>
    <x v="0"/>
    <x v="1"/>
    <x v="4"/>
    <x v="2"/>
    <x v="0"/>
    <x v="0"/>
    <x v="2"/>
    <x v="0"/>
    <n v="39572"/>
    <n v="37989.119999999995"/>
    <n v="0"/>
    <n v="0"/>
    <n v="0"/>
    <n v="0"/>
    <n v="270"/>
    <x v="0"/>
    <n v="0"/>
    <n v="65"/>
    <n v="0"/>
    <n v="0"/>
    <n v="23.41"/>
    <n v="0"/>
    <n v="0"/>
    <n v="23.763428126815878"/>
    <m/>
    <m/>
    <n v="889325.29919999989"/>
    <n v="0"/>
    <n v="0"/>
    <n v="902751.72272098355"/>
    <n v="0"/>
    <n v="0"/>
  </r>
  <r>
    <s v="Regular"/>
    <x v="0"/>
    <x v="1"/>
    <x v="4"/>
    <x v="2"/>
    <x v="0"/>
    <x v="0"/>
    <x v="2"/>
    <x v="1"/>
    <n v="39314"/>
    <n v="37560.595600000001"/>
    <n v="0"/>
    <n v="0"/>
    <n v="0"/>
    <n v="0"/>
    <n v="273"/>
    <x v="0"/>
    <n v="0"/>
    <n v="65"/>
    <n v="0"/>
    <n v="0"/>
    <n v="23.41"/>
    <n v="0"/>
    <n v="0"/>
    <n v="23.763428126815878"/>
    <m/>
    <m/>
    <n v="879293.54299600003"/>
    <n v="0"/>
    <n v="0"/>
    <n v="892568.51394099672"/>
    <n v="0"/>
    <n v="0"/>
  </r>
  <r>
    <s v="Regular"/>
    <x v="0"/>
    <x v="1"/>
    <x v="4"/>
    <x v="2"/>
    <x v="0"/>
    <x v="0"/>
    <x v="2"/>
    <x v="2"/>
    <n v="26683"/>
    <n v="25615.68"/>
    <n v="0"/>
    <n v="0"/>
    <n v="0"/>
    <n v="0"/>
    <n v="271"/>
    <x v="0"/>
    <n v="0"/>
    <n v="65"/>
    <n v="0"/>
    <n v="0"/>
    <n v="23.41"/>
    <n v="0"/>
    <n v="0"/>
    <n v="23.763428126815878"/>
    <m/>
    <m/>
    <n v="599663.06880000001"/>
    <n v="0"/>
    <n v="0"/>
    <n v="608716.37059951492"/>
    <n v="0"/>
    <n v="0"/>
  </r>
  <r>
    <s v="Sistema de Compensação"/>
    <x v="0"/>
    <x v="1"/>
    <x v="4"/>
    <x v="2"/>
    <x v="0"/>
    <x v="0"/>
    <x v="2"/>
    <x v="2"/>
    <n v="97"/>
    <n v="93.11999999999999"/>
    <n v="0"/>
    <n v="0"/>
    <n v="0"/>
    <n v="0"/>
    <n v="1"/>
    <x v="0"/>
    <n v="0"/>
    <n v="65"/>
    <n v="0"/>
    <n v="0"/>
    <n v="23.41"/>
    <n v="0"/>
    <n v="0"/>
    <n v="23.763428126815878"/>
    <m/>
    <m/>
    <n v="2179.9391999999998"/>
    <n v="0"/>
    <n v="0"/>
    <n v="2212.8504271690945"/>
    <n v="0"/>
    <n v="0"/>
  </r>
  <r>
    <s v="Regular"/>
    <x v="0"/>
    <x v="1"/>
    <x v="4"/>
    <x v="2"/>
    <x v="0"/>
    <x v="0"/>
    <x v="2"/>
    <x v="3"/>
    <n v="35636"/>
    <n v="34210.559999999998"/>
    <n v="0"/>
    <n v="0"/>
    <n v="0"/>
    <n v="0"/>
    <n v="272"/>
    <x v="0"/>
    <n v="0"/>
    <n v="65"/>
    <n v="0"/>
    <n v="0"/>
    <n v="23.41"/>
    <n v="0"/>
    <n v="0"/>
    <n v="23.763428126815878"/>
    <m/>
    <m/>
    <n v="800869.20959999994"/>
    <n v="0"/>
    <n v="0"/>
    <n v="812960.18373812211"/>
    <n v="0"/>
    <n v="0"/>
  </r>
  <r>
    <s v="Sistema de Compensação"/>
    <x v="0"/>
    <x v="1"/>
    <x v="4"/>
    <x v="2"/>
    <x v="0"/>
    <x v="0"/>
    <x v="2"/>
    <x v="3"/>
    <n v="99"/>
    <n v="95.039999999999992"/>
    <n v="0"/>
    <n v="0"/>
    <n v="0"/>
    <n v="0"/>
    <n v="1"/>
    <x v="0"/>
    <n v="0"/>
    <n v="65"/>
    <n v="0"/>
    <n v="0"/>
    <n v="23.41"/>
    <n v="0"/>
    <n v="0"/>
    <n v="23.763428126815878"/>
    <m/>
    <m/>
    <n v="2224.8863999999999"/>
    <n v="0"/>
    <n v="0"/>
    <n v="2258.4762091725806"/>
    <n v="0"/>
    <n v="0"/>
  </r>
  <r>
    <s v="Regular"/>
    <x v="0"/>
    <x v="1"/>
    <x v="4"/>
    <x v="2"/>
    <x v="0"/>
    <x v="0"/>
    <x v="2"/>
    <x v="4"/>
    <n v="40625"/>
    <n v="39000"/>
    <n v="0"/>
    <n v="0"/>
    <n v="0"/>
    <n v="0"/>
    <n v="276"/>
    <x v="0"/>
    <n v="0"/>
    <n v="65"/>
    <n v="0"/>
    <n v="0"/>
    <n v="23.41"/>
    <n v="0"/>
    <n v="0"/>
    <n v="23.763428126815878"/>
    <m/>
    <m/>
    <n v="912990"/>
    <n v="0"/>
    <n v="0"/>
    <n v="926773.69694581919"/>
    <n v="0"/>
    <n v="0"/>
  </r>
  <r>
    <s v="Sistema de Compensação"/>
    <x v="0"/>
    <x v="1"/>
    <x v="4"/>
    <x v="2"/>
    <x v="0"/>
    <x v="0"/>
    <x v="2"/>
    <x v="4"/>
    <n v="121"/>
    <n v="116.16"/>
    <n v="0"/>
    <n v="0"/>
    <n v="0"/>
    <n v="0"/>
    <n v="1"/>
    <x v="0"/>
    <n v="0"/>
    <n v="65"/>
    <n v="0"/>
    <n v="0"/>
    <n v="23.41"/>
    <n v="0"/>
    <n v="0"/>
    <n v="23.763428126815878"/>
    <m/>
    <m/>
    <n v="2719.3056000000001"/>
    <n v="0"/>
    <n v="0"/>
    <n v="2760.3598112109321"/>
    <n v="0"/>
    <n v="0"/>
  </r>
  <r>
    <s v="Regular"/>
    <x v="0"/>
    <x v="1"/>
    <x v="4"/>
    <x v="2"/>
    <x v="0"/>
    <x v="0"/>
    <x v="2"/>
    <x v="5"/>
    <n v="42303"/>
    <n v="40610.879999999997"/>
    <n v="0"/>
    <n v="0"/>
    <n v="0"/>
    <n v="0"/>
    <n v="281"/>
    <x v="0"/>
    <n v="0"/>
    <n v="65"/>
    <n v="0"/>
    <n v="0"/>
    <n v="23.41"/>
    <n v="0"/>
    <n v="0"/>
    <n v="23.763428126815878"/>
    <m/>
    <m/>
    <n v="950700.70079999999"/>
    <n v="0"/>
    <n v="0"/>
    <n v="965053.72804674436"/>
    <n v="0"/>
    <n v="0"/>
  </r>
  <r>
    <s v="Sistema de Compensação"/>
    <x v="0"/>
    <x v="1"/>
    <x v="4"/>
    <x v="2"/>
    <x v="0"/>
    <x v="0"/>
    <x v="2"/>
    <x v="5"/>
    <n v="122"/>
    <n v="117.11999999999999"/>
    <n v="0"/>
    <n v="0"/>
    <n v="0"/>
    <n v="0"/>
    <n v="1"/>
    <x v="0"/>
    <n v="0"/>
    <n v="65"/>
    <n v="0"/>
    <n v="0"/>
    <n v="23.41"/>
    <n v="0"/>
    <n v="0"/>
    <n v="23.763428126815878"/>
    <m/>
    <m/>
    <n v="2741.7791999999999"/>
    <n v="0"/>
    <n v="0"/>
    <n v="2783.1727022126752"/>
    <n v="0"/>
    <n v="0"/>
  </r>
  <r>
    <s v="Regular"/>
    <x v="0"/>
    <x v="1"/>
    <x v="4"/>
    <x v="2"/>
    <x v="0"/>
    <x v="0"/>
    <x v="2"/>
    <x v="6"/>
    <n v="47299"/>
    <n v="45407.040000000001"/>
    <n v="0"/>
    <n v="0"/>
    <n v="0"/>
    <n v="0"/>
    <n v="282"/>
    <x v="0"/>
    <n v="0"/>
    <n v="65"/>
    <n v="0"/>
    <n v="0"/>
    <n v="23.41"/>
    <n v="0"/>
    <n v="0"/>
    <n v="23.763428126815878"/>
    <m/>
    <m/>
    <n v="1062978.8064000001"/>
    <n v="0"/>
    <n v="0"/>
    <n v="1079026.9314914537"/>
    <n v="0"/>
    <n v="0"/>
  </r>
  <r>
    <s v="Sistema de Compensação"/>
    <x v="0"/>
    <x v="1"/>
    <x v="4"/>
    <x v="2"/>
    <x v="0"/>
    <x v="0"/>
    <x v="2"/>
    <x v="6"/>
    <n v="121"/>
    <n v="116.16"/>
    <n v="0"/>
    <n v="0"/>
    <n v="0"/>
    <n v="0"/>
    <n v="1"/>
    <x v="0"/>
    <n v="0"/>
    <n v="65"/>
    <n v="0"/>
    <n v="0"/>
    <n v="23.41"/>
    <n v="0"/>
    <n v="0"/>
    <n v="23.763428126815878"/>
    <m/>
    <m/>
    <n v="2719.3056000000001"/>
    <n v="0"/>
    <n v="0"/>
    <n v="2760.3598112109321"/>
    <n v="0"/>
    <n v="0"/>
  </r>
  <r>
    <s v="Regular"/>
    <x v="0"/>
    <x v="1"/>
    <x v="4"/>
    <x v="2"/>
    <x v="0"/>
    <x v="0"/>
    <x v="2"/>
    <x v="7"/>
    <n v="46838"/>
    <n v="44964.480000000003"/>
    <n v="0"/>
    <n v="0"/>
    <n v="0"/>
    <n v="0"/>
    <n v="281"/>
    <x v="0"/>
    <n v="0"/>
    <n v="65"/>
    <n v="0"/>
    <n v="0"/>
    <n v="23.41"/>
    <n v="0"/>
    <n v="0"/>
    <n v="23.763428126815878"/>
    <m/>
    <m/>
    <n v="1052618.4768000001"/>
    <n v="0"/>
    <n v="0"/>
    <n v="1068510.1887396502"/>
    <n v="0"/>
    <n v="0"/>
  </r>
  <r>
    <s v="Sistema de Compensação"/>
    <x v="0"/>
    <x v="1"/>
    <x v="4"/>
    <x v="2"/>
    <x v="0"/>
    <x v="0"/>
    <x v="2"/>
    <x v="7"/>
    <n v="121"/>
    <n v="116.16"/>
    <n v="0"/>
    <n v="0"/>
    <n v="0"/>
    <n v="0"/>
    <n v="1"/>
    <x v="0"/>
    <n v="0"/>
    <n v="65"/>
    <n v="0"/>
    <n v="0"/>
    <n v="23.41"/>
    <n v="0"/>
    <n v="0"/>
    <n v="23.763428126815878"/>
    <m/>
    <m/>
    <n v="2719.3056000000001"/>
    <n v="0"/>
    <n v="0"/>
    <n v="2760.3598112109321"/>
    <n v="0"/>
    <n v="0"/>
  </r>
  <r>
    <s v="Regular"/>
    <x v="0"/>
    <x v="1"/>
    <x v="4"/>
    <x v="2"/>
    <x v="0"/>
    <x v="0"/>
    <x v="2"/>
    <x v="8"/>
    <n v="45532"/>
    <n v="43710.720000000001"/>
    <n v="0"/>
    <n v="0"/>
    <n v="0"/>
    <n v="0"/>
    <n v="283"/>
    <x v="0"/>
    <n v="0"/>
    <n v="65"/>
    <n v="0"/>
    <n v="0"/>
    <n v="23.41"/>
    <n v="0"/>
    <n v="0"/>
    <n v="23.763428126815878"/>
    <m/>
    <m/>
    <n v="1023267.9552000001"/>
    <n v="0"/>
    <n v="0"/>
    <n v="1038716.5530913734"/>
    <n v="0"/>
    <n v="0"/>
  </r>
  <r>
    <s v="Sistema de Compensação"/>
    <x v="0"/>
    <x v="1"/>
    <x v="4"/>
    <x v="2"/>
    <x v="0"/>
    <x v="0"/>
    <x v="2"/>
    <x v="8"/>
    <n v="119"/>
    <n v="114.24"/>
    <n v="0"/>
    <n v="0"/>
    <n v="0"/>
    <n v="0"/>
    <n v="1"/>
    <x v="0"/>
    <n v="0"/>
    <n v="65"/>
    <n v="0"/>
    <n v="0"/>
    <n v="23.41"/>
    <n v="0"/>
    <n v="0"/>
    <n v="23.763428126815878"/>
    <m/>
    <m/>
    <n v="2674.3584000000001"/>
    <n v="0"/>
    <n v="0"/>
    <n v="2714.7340292074459"/>
    <n v="0"/>
    <n v="0"/>
  </r>
  <r>
    <s v="Regular"/>
    <x v="0"/>
    <x v="1"/>
    <x v="4"/>
    <x v="2"/>
    <x v="0"/>
    <x v="0"/>
    <x v="2"/>
    <x v="9"/>
    <n v="43263"/>
    <n v="41532.480000000003"/>
    <n v="0"/>
    <n v="0"/>
    <n v="0"/>
    <n v="0"/>
    <n v="283"/>
    <x v="0"/>
    <n v="0"/>
    <n v="65"/>
    <n v="0"/>
    <n v="0"/>
    <n v="23.41"/>
    <n v="0"/>
    <n v="0"/>
    <n v="23.763428126815878"/>
    <m/>
    <m/>
    <n v="972275.35680000007"/>
    <n v="0"/>
    <n v="0"/>
    <n v="986954.10340841801"/>
    <n v="0"/>
    <n v="0"/>
  </r>
  <r>
    <s v="Sistema de Compensação"/>
    <x v="0"/>
    <x v="1"/>
    <x v="4"/>
    <x v="2"/>
    <x v="0"/>
    <x v="0"/>
    <x v="2"/>
    <x v="9"/>
    <n v="95"/>
    <n v="91.2"/>
    <n v="0"/>
    <n v="0"/>
    <n v="0"/>
    <n v="0"/>
    <n v="1"/>
    <x v="0"/>
    <n v="0"/>
    <n v="65"/>
    <n v="0"/>
    <n v="0"/>
    <n v="23.41"/>
    <n v="0"/>
    <n v="0"/>
    <n v="23.763428126815878"/>
    <m/>
    <m/>
    <n v="2134.9920000000002"/>
    <n v="0"/>
    <n v="0"/>
    <n v="2167.2246451656083"/>
    <n v="0"/>
    <n v="0"/>
  </r>
  <r>
    <s v="Regular"/>
    <x v="0"/>
    <x v="1"/>
    <x v="4"/>
    <x v="2"/>
    <x v="0"/>
    <x v="0"/>
    <x v="2"/>
    <x v="10"/>
    <n v="43841"/>
    <n v="42087.360000000001"/>
    <n v="0"/>
    <n v="0"/>
    <n v="0"/>
    <n v="0"/>
    <n v="283"/>
    <x v="0"/>
    <n v="0"/>
    <n v="65"/>
    <n v="0"/>
    <n v="0"/>
    <n v="23.41"/>
    <n v="0"/>
    <n v="0"/>
    <n v="23.763428126815878"/>
    <m/>
    <m/>
    <n v="985265.09759999998"/>
    <n v="0"/>
    <n v="0"/>
    <n v="1000139.9544074255"/>
    <n v="0"/>
    <n v="0"/>
  </r>
  <r>
    <s v="Sistema de Compensação"/>
    <x v="0"/>
    <x v="1"/>
    <x v="4"/>
    <x v="2"/>
    <x v="0"/>
    <x v="0"/>
    <x v="2"/>
    <x v="10"/>
    <n v="120"/>
    <n v="115.19999999999999"/>
    <n v="0"/>
    <n v="0"/>
    <n v="0"/>
    <n v="0"/>
    <n v="1"/>
    <x v="0"/>
    <n v="0"/>
    <n v="65"/>
    <n v="0"/>
    <n v="0"/>
    <n v="23.41"/>
    <n v="0"/>
    <n v="0"/>
    <n v="23.763428126815878"/>
    <m/>
    <m/>
    <n v="2696.8319999999999"/>
    <n v="0"/>
    <n v="0"/>
    <n v="2737.546920209189"/>
    <n v="0"/>
    <n v="0"/>
  </r>
  <r>
    <s v="PROJETADO"/>
    <x v="0"/>
    <x v="1"/>
    <x v="4"/>
    <x v="2"/>
    <x v="0"/>
    <x v="0"/>
    <x v="2"/>
    <x v="11"/>
    <n v="43841"/>
    <n v="42087.360000000001"/>
    <n v="0"/>
    <n v="0"/>
    <n v="0"/>
    <n v="0"/>
    <n v="283"/>
    <x v="0"/>
    <n v="0"/>
    <n v="65"/>
    <n v="0"/>
    <n v="0"/>
    <n v="23.41"/>
    <n v="0"/>
    <n v="0"/>
    <n v="23.763428126815878"/>
    <m/>
    <m/>
    <n v="985265.09759999998"/>
    <n v="0"/>
    <n v="0"/>
    <n v="1000139.9544074255"/>
    <n v="0"/>
    <n v="0"/>
  </r>
  <r>
    <s v="PROJETADO"/>
    <x v="0"/>
    <x v="1"/>
    <x v="4"/>
    <x v="2"/>
    <x v="0"/>
    <x v="0"/>
    <x v="2"/>
    <x v="11"/>
    <n v="120"/>
    <n v="115.19999999999999"/>
    <n v="0"/>
    <n v="0"/>
    <n v="0"/>
    <n v="0"/>
    <n v="1"/>
    <x v="0"/>
    <n v="0"/>
    <n v="65"/>
    <n v="0"/>
    <n v="0"/>
    <n v="23.41"/>
    <n v="0"/>
    <n v="0"/>
    <n v="23.763428126815878"/>
    <m/>
    <m/>
    <n v="2696.8319999999999"/>
    <n v="0"/>
    <n v="0"/>
    <n v="2737.546920209189"/>
    <n v="0"/>
    <n v="0"/>
  </r>
  <r>
    <s v="Regular"/>
    <x v="0"/>
    <x v="1"/>
    <x v="4"/>
    <x v="2"/>
    <x v="0"/>
    <x v="0"/>
    <x v="1"/>
    <x v="0"/>
    <n v="0"/>
    <n v="0"/>
    <n v="50.738999999999997"/>
    <n v="48.709439999999994"/>
    <n v="50.738999999999997"/>
    <n v="48.709439999999994"/>
    <n v="0"/>
    <x v="0"/>
    <n v="0"/>
    <n v="0"/>
    <n v="66"/>
    <n v="6"/>
    <n v="0"/>
    <n v="2263.58"/>
    <n v="223.72"/>
    <m/>
    <n v="2325.9355132623718"/>
    <n v="221.35055346817671"/>
    <n v="0"/>
    <n v="110257.71419519998"/>
    <n v="10897.275916799999"/>
    <n v="0"/>
    <n v="113295.01632712269"/>
    <n v="10781.861503124945"/>
  </r>
  <r>
    <s v="Regular"/>
    <x v="0"/>
    <x v="1"/>
    <x v="4"/>
    <x v="2"/>
    <x v="0"/>
    <x v="0"/>
    <x v="1"/>
    <x v="1"/>
    <n v="0"/>
    <n v="0"/>
    <n v="40.271000000000001"/>
    <n v="38.474913399999998"/>
    <n v="40.271000000000001"/>
    <n v="38.474913399999998"/>
    <n v="0"/>
    <x v="0"/>
    <n v="0"/>
    <n v="0"/>
    <n v="66"/>
    <n v="6"/>
    <n v="0"/>
    <n v="2263.58"/>
    <n v="223.72"/>
    <m/>
    <n v="2325.9355132623718"/>
    <n v="221.35055346817671"/>
    <n v="0"/>
    <n v="87091.044473971997"/>
    <n v="8607.6076258479989"/>
    <n v="0"/>
    <n v="89490.167446754305"/>
    <n v="8516.4433757301686"/>
  </r>
  <r>
    <s v="Regular"/>
    <x v="0"/>
    <x v="1"/>
    <x v="4"/>
    <x v="2"/>
    <x v="0"/>
    <x v="0"/>
    <x v="1"/>
    <x v="2"/>
    <n v="0"/>
    <n v="0"/>
    <n v="18.818000000000001"/>
    <n v="18.065280000000001"/>
    <n v="18.818000000000001"/>
    <n v="18.065280000000001"/>
    <n v="0"/>
    <x v="0"/>
    <n v="0"/>
    <n v="0"/>
    <n v="66"/>
    <n v="6"/>
    <n v="0"/>
    <n v="2263.58"/>
    <n v="223.72"/>
    <m/>
    <n v="2325.9355132623718"/>
    <n v="221.35055346817671"/>
    <n v="0"/>
    <n v="40892.206502400004"/>
    <n v="4041.5644416000005"/>
    <n v="0"/>
    <n v="42018.676309028466"/>
    <n v="3998.7597265575837"/>
  </r>
  <r>
    <s v="Sistema de Compensação"/>
    <x v="0"/>
    <x v="1"/>
    <x v="4"/>
    <x v="2"/>
    <x v="0"/>
    <x v="0"/>
    <x v="1"/>
    <x v="2"/>
    <n v="0"/>
    <n v="0"/>
    <n v="0.30599999999999999"/>
    <n v="0.29375999999999997"/>
    <n v="0.30599999999999999"/>
    <n v="0.29375999999999997"/>
    <n v="0"/>
    <x v="0"/>
    <n v="0"/>
    <n v="0"/>
    <n v="66"/>
    <n v="6"/>
    <n v="0"/>
    <n v="2263.58"/>
    <n v="223.72"/>
    <m/>
    <n v="2325.9355132623718"/>
    <n v="221.35055346817671"/>
    <n v="0"/>
    <n v="664.94926079999993"/>
    <n v="65.719987199999991"/>
    <n v="0"/>
    <n v="683.26681637595425"/>
    <n v="65.023938586811582"/>
  </r>
  <r>
    <s v="Regular"/>
    <x v="0"/>
    <x v="1"/>
    <x v="4"/>
    <x v="2"/>
    <x v="0"/>
    <x v="0"/>
    <x v="1"/>
    <x v="3"/>
    <n v="0"/>
    <n v="0"/>
    <n v="52.542000000000002"/>
    <n v="50.44032"/>
    <n v="52.542000000000002"/>
    <n v="50.44032"/>
    <n v="0"/>
    <x v="0"/>
    <n v="0"/>
    <n v="0"/>
    <n v="66"/>
    <n v="6"/>
    <n v="0"/>
    <n v="2263.58"/>
    <n v="223.72"/>
    <m/>
    <n v="2325.9355132623718"/>
    <n v="221.35055346817671"/>
    <n v="0"/>
    <n v="114175.6995456"/>
    <n v="11284.5083904"/>
    <n v="0"/>
    <n v="117320.93158831829"/>
    <n v="11164.992749111943"/>
  </r>
  <r>
    <s v="Sistema de Compensação"/>
    <x v="0"/>
    <x v="1"/>
    <x v="4"/>
    <x v="2"/>
    <x v="0"/>
    <x v="0"/>
    <x v="1"/>
    <x v="3"/>
    <n v="0"/>
    <n v="0"/>
    <n v="6.7000000000000004E-2"/>
    <n v="6.4320000000000002E-2"/>
    <n v="6.7000000000000004E-2"/>
    <n v="6.4320000000000002E-2"/>
    <n v="0"/>
    <x v="0"/>
    <n v="0"/>
    <n v="0"/>
    <n v="66"/>
    <n v="6"/>
    <n v="0"/>
    <n v="2263.58"/>
    <n v="223.72"/>
    <m/>
    <n v="2325.9355132623718"/>
    <n v="221.35055346817671"/>
    <n v="0"/>
    <n v="145.5934656"/>
    <n v="14.3896704"/>
    <n v="0"/>
    <n v="149.60417221303575"/>
    <n v="14.237267599073126"/>
  </r>
  <r>
    <s v="Regular"/>
    <x v="0"/>
    <x v="1"/>
    <x v="4"/>
    <x v="2"/>
    <x v="0"/>
    <x v="0"/>
    <x v="1"/>
    <x v="4"/>
    <n v="0"/>
    <n v="0"/>
    <n v="49.073999999999998"/>
    <n v="47.111040000000003"/>
    <n v="49.073999999999998"/>
    <n v="47.111040000000003"/>
    <n v="0"/>
    <x v="0"/>
    <n v="0"/>
    <n v="0"/>
    <n v="66"/>
    <n v="6"/>
    <n v="0"/>
    <n v="2263.58"/>
    <n v="223.72"/>
    <m/>
    <n v="2325.9355132623718"/>
    <n v="221.35055346817671"/>
    <n v="0"/>
    <n v="106639.6079232"/>
    <n v="10539.6818688"/>
    <n v="0"/>
    <n v="109577.24100272414"/>
    <n v="10428.054778461412"/>
  </r>
  <r>
    <s v="Regular"/>
    <x v="0"/>
    <x v="1"/>
    <x v="4"/>
    <x v="2"/>
    <x v="0"/>
    <x v="0"/>
    <x v="1"/>
    <x v="5"/>
    <n v="0"/>
    <n v="0"/>
    <n v="55.771000000000001"/>
    <n v="53.54016"/>
    <n v="55.771000000000001"/>
    <n v="53.54016"/>
    <n v="0"/>
    <x v="0"/>
    <n v="0"/>
    <n v="0"/>
    <n v="66"/>
    <n v="6"/>
    <n v="0"/>
    <n v="2263.58"/>
    <n v="223.72"/>
    <m/>
    <n v="2325.9355132623718"/>
    <n v="221.35055346817671"/>
    <n v="0"/>
    <n v="121192.4353728"/>
    <n v="11978.0045952"/>
    <n v="0"/>
    <n v="124530.95952974951"/>
    <n v="11851.144048774737"/>
  </r>
  <r>
    <s v="Regular"/>
    <x v="0"/>
    <x v="1"/>
    <x v="4"/>
    <x v="2"/>
    <x v="0"/>
    <x v="0"/>
    <x v="1"/>
    <x v="6"/>
    <n v="0"/>
    <n v="0"/>
    <n v="44.161000000000001"/>
    <n v="42.394559999999998"/>
    <n v="44.161000000000001"/>
    <n v="42.394559999999998"/>
    <n v="0"/>
    <x v="0"/>
    <n v="0"/>
    <n v="0"/>
    <n v="66"/>
    <n v="6"/>
    <n v="0"/>
    <n v="2263.58"/>
    <n v="223.72"/>
    <m/>
    <n v="2325.9355132623718"/>
    <n v="221.35055346817671"/>
    <n v="0"/>
    <n v="95963.478124799993"/>
    <n v="9484.5109632000003"/>
    <n v="0"/>
    <n v="98607.012673132413"/>
    <n v="9384.0593200398253"/>
  </r>
  <r>
    <s v="Regular"/>
    <x v="0"/>
    <x v="1"/>
    <x v="4"/>
    <x v="2"/>
    <x v="0"/>
    <x v="0"/>
    <x v="1"/>
    <x v="7"/>
    <n v="0"/>
    <n v="0"/>
    <n v="74.503"/>
    <n v="71.522880000000001"/>
    <n v="74.503"/>
    <n v="71.522880000000001"/>
    <n v="0"/>
    <x v="0"/>
    <n v="0"/>
    <n v="0"/>
    <n v="66"/>
    <n v="6"/>
    <n v="0"/>
    <n v="2263.58"/>
    <n v="223.72"/>
    <m/>
    <n v="2325.9355132623718"/>
    <n v="221.35055346817671"/>
    <n v="0"/>
    <n v="161897.76071040001"/>
    <n v="16001.0987136"/>
    <n v="0"/>
    <n v="166357.60660280302"/>
    <n v="15831.629073637987"/>
  </r>
  <r>
    <s v="Sistema de Compensação"/>
    <x v="0"/>
    <x v="1"/>
    <x v="4"/>
    <x v="2"/>
    <x v="0"/>
    <x v="0"/>
    <x v="1"/>
    <x v="7"/>
    <n v="0"/>
    <n v="0"/>
    <n v="7.4999999999999997E-2"/>
    <n v="7.1999999999999995E-2"/>
    <n v="7.4999999999999997E-2"/>
    <n v="7.1999999999999995E-2"/>
    <n v="0"/>
    <x v="0"/>
    <n v="0"/>
    <n v="0"/>
    <n v="66"/>
    <n v="6"/>
    <n v="0"/>
    <n v="2263.58"/>
    <n v="223.72"/>
    <m/>
    <n v="2325.9355132623718"/>
    <n v="221.35055346817671"/>
    <n v="0"/>
    <n v="162.97775999999999"/>
    <n v="16.107839999999999"/>
    <n v="0"/>
    <n v="167.46735695489076"/>
    <n v="15.937239849708723"/>
  </r>
  <r>
    <s v="Regular"/>
    <x v="0"/>
    <x v="1"/>
    <x v="4"/>
    <x v="2"/>
    <x v="0"/>
    <x v="0"/>
    <x v="1"/>
    <x v="8"/>
    <n v="0"/>
    <n v="0"/>
    <n v="74.665999999999997"/>
    <n v="71.679360000000003"/>
    <n v="74.665999999999997"/>
    <n v="71.679360000000003"/>
    <n v="0"/>
    <x v="0"/>
    <n v="0"/>
    <n v="0"/>
    <n v="66"/>
    <n v="6"/>
    <n v="0"/>
    <n v="2263.58"/>
    <n v="223.72"/>
    <m/>
    <n v="2325.9355132623718"/>
    <n v="221.35055346817671"/>
    <n v="0"/>
    <n v="162251.96570880001"/>
    <n v="16036.106419200001"/>
    <n v="0"/>
    <n v="166721.56899191832"/>
    <n v="15866.266008244687"/>
  </r>
  <r>
    <s v="Refaturamento - Regular"/>
    <x v="0"/>
    <x v="1"/>
    <x v="4"/>
    <x v="2"/>
    <x v="0"/>
    <x v="0"/>
    <x v="1"/>
    <x v="8"/>
    <n v="0"/>
    <n v="0"/>
    <n v="-1.665"/>
    <n v="-1.5984"/>
    <n v="-1.665"/>
    <n v="-1.5984"/>
    <n v="0"/>
    <x v="0"/>
    <n v="0"/>
    <n v="0"/>
    <n v="66"/>
    <n v="6"/>
    <n v="0"/>
    <n v="2263.58"/>
    <n v="223.72"/>
    <m/>
    <n v="2325.9355132623718"/>
    <n v="221.35055346817671"/>
    <n v="0"/>
    <n v="-3618.106272"/>
    <n v="-357.59404799999999"/>
    <n v="0"/>
    <n v="-3717.7753243985753"/>
    <n v="-353.80672466353366"/>
  </r>
  <r>
    <s v="Sistema de Compensação"/>
    <x v="0"/>
    <x v="1"/>
    <x v="4"/>
    <x v="2"/>
    <x v="0"/>
    <x v="0"/>
    <x v="1"/>
    <x v="8"/>
    <n v="0"/>
    <n v="0"/>
    <n v="2.3E-2"/>
    <n v="2.2079999999999999E-2"/>
    <n v="2.3E-2"/>
    <n v="2.2079999999999999E-2"/>
    <n v="0"/>
    <x v="0"/>
    <n v="0"/>
    <n v="0"/>
    <n v="66"/>
    <n v="6"/>
    <n v="0"/>
    <n v="2263.58"/>
    <n v="223.72"/>
    <m/>
    <n v="2325.9355132623718"/>
    <n v="221.35055346817671"/>
    <n v="0"/>
    <n v="49.979846399999992"/>
    <n v="4.9397376"/>
    <n v="0"/>
    <n v="51.356656132833166"/>
    <n v="4.8874202205773418"/>
  </r>
  <r>
    <s v="Regular"/>
    <x v="0"/>
    <x v="1"/>
    <x v="4"/>
    <x v="2"/>
    <x v="0"/>
    <x v="0"/>
    <x v="1"/>
    <x v="9"/>
    <n v="0"/>
    <n v="0"/>
    <n v="42.938000000000002"/>
    <n v="41.220480000000002"/>
    <n v="42.938000000000002"/>
    <n v="41.220480000000002"/>
    <n v="0"/>
    <x v="0"/>
    <n v="0"/>
    <n v="0"/>
    <n v="66"/>
    <n v="6"/>
    <n v="0"/>
    <n v="2263.58"/>
    <n v="223.72"/>
    <m/>
    <n v="2325.9355132623718"/>
    <n v="221.35055346817671"/>
    <n v="0"/>
    <n v="93305.854118400006"/>
    <n v="9221.8457856000005"/>
    <n v="0"/>
    <n v="95876.178305721332"/>
    <n v="9124.176062223909"/>
  </r>
  <r>
    <s v="Regular"/>
    <x v="0"/>
    <x v="1"/>
    <x v="4"/>
    <x v="2"/>
    <x v="0"/>
    <x v="0"/>
    <x v="1"/>
    <x v="10"/>
    <n v="0"/>
    <n v="0"/>
    <n v="71.948999999999998"/>
    <n v="69.071039999999996"/>
    <n v="71.948999999999998"/>
    <n v="69.071039999999996"/>
    <n v="0"/>
    <x v="0"/>
    <n v="0"/>
    <n v="0"/>
    <n v="66"/>
    <n v="6"/>
    <n v="0"/>
    <n v="2263.58"/>
    <n v="223.72"/>
    <m/>
    <n v="2325.9355132623718"/>
    <n v="221.35055346817671"/>
    <n v="0"/>
    <n v="156347.8247232"/>
    <n v="15452.573068799999"/>
    <n v="0"/>
    <n v="160654.78487396581"/>
    <n v="15288.912932622572"/>
  </r>
  <r>
    <s v="Sistema de Compensação"/>
    <x v="0"/>
    <x v="1"/>
    <x v="4"/>
    <x v="2"/>
    <x v="0"/>
    <x v="0"/>
    <x v="1"/>
    <x v="10"/>
    <n v="0"/>
    <n v="0"/>
    <n v="1.2E-2"/>
    <n v="1.1519999999999999E-2"/>
    <n v="1.2E-2"/>
    <n v="1.1519999999999999E-2"/>
    <n v="0"/>
    <x v="0"/>
    <n v="0"/>
    <n v="0"/>
    <n v="66"/>
    <n v="6"/>
    <n v="0"/>
    <n v="2263.58"/>
    <n v="223.72"/>
    <m/>
    <n v="2325.9355132623718"/>
    <n v="221.35055346817671"/>
    <n v="0"/>
    <n v="26.076441599999995"/>
    <n v="2.5772543999999997"/>
    <n v="0"/>
    <n v="26.794777112782523"/>
    <n v="2.5499583759533957"/>
  </r>
  <r>
    <s v="PROJETADO"/>
    <x v="0"/>
    <x v="1"/>
    <x v="4"/>
    <x v="2"/>
    <x v="0"/>
    <x v="0"/>
    <x v="1"/>
    <x v="11"/>
    <n v="0"/>
    <n v="0"/>
    <n v="71.948999999999998"/>
    <n v="69.071039999999996"/>
    <n v="71.948999999999998"/>
    <n v="69.071039999999996"/>
    <n v="0"/>
    <x v="0"/>
    <n v="0"/>
    <n v="0"/>
    <n v="66"/>
    <n v="6"/>
    <n v="0"/>
    <n v="2263.58"/>
    <n v="223.72"/>
    <m/>
    <n v="2325.9355132623718"/>
    <n v="221.35055346817671"/>
    <n v="0"/>
    <n v="156347.8247232"/>
    <n v="15452.573068799999"/>
    <n v="0"/>
    <n v="160654.78487396581"/>
    <n v="15288.912932622572"/>
  </r>
  <r>
    <s v="PROJETADO"/>
    <x v="0"/>
    <x v="1"/>
    <x v="4"/>
    <x v="2"/>
    <x v="0"/>
    <x v="0"/>
    <x v="1"/>
    <x v="11"/>
    <n v="0"/>
    <n v="0"/>
    <n v="1.2E-2"/>
    <n v="1.1519999999999999E-2"/>
    <n v="1.2E-2"/>
    <n v="1.1519999999999999E-2"/>
    <n v="0"/>
    <x v="0"/>
    <n v="0"/>
    <n v="0"/>
    <n v="66"/>
    <n v="6"/>
    <n v="0"/>
    <n v="2263.58"/>
    <n v="223.72"/>
    <m/>
    <n v="2325.9355132623718"/>
    <n v="221.35055346817671"/>
    <n v="0"/>
    <n v="26.076441599999995"/>
    <n v="2.5772543999999997"/>
    <n v="0"/>
    <n v="26.794777112782523"/>
    <n v="2.5499583759533957"/>
  </r>
  <r>
    <s v="Regular"/>
    <x v="0"/>
    <x v="1"/>
    <x v="4"/>
    <x v="0"/>
    <x v="0"/>
    <x v="0"/>
    <x v="0"/>
    <x v="0"/>
    <n v="0"/>
    <n v="0"/>
    <n v="188.108"/>
    <n v="180.58367999999999"/>
    <n v="188.108"/>
    <n v="180.58367999999999"/>
    <n v="0"/>
    <x v="0"/>
    <n v="0"/>
    <n v="0"/>
    <n v="47"/>
    <n v="27"/>
    <n v="0"/>
    <n v="72.23"/>
    <n v="223.72"/>
    <m/>
    <n v="102.01454208880898"/>
    <n v="221.35055346817671"/>
    <n v="0"/>
    <n v="13043.559206399999"/>
    <n v="40400.1808896"/>
    <n v="0"/>
    <n v="18422.16142391201"/>
    <n v="39972.297515320111"/>
  </r>
  <r>
    <s v="Regular"/>
    <x v="0"/>
    <x v="1"/>
    <x v="4"/>
    <x v="0"/>
    <x v="0"/>
    <x v="0"/>
    <x v="0"/>
    <x v="1"/>
    <n v="0"/>
    <n v="0"/>
    <n v="146.77600000000001"/>
    <n v="140.61140800000001"/>
    <n v="146.77600000000001"/>
    <n v="140.61140800000001"/>
    <n v="0"/>
    <x v="0"/>
    <n v="0"/>
    <n v="0"/>
    <n v="47"/>
    <n v="27"/>
    <n v="0"/>
    <n v="72.23"/>
    <n v="223.72"/>
    <m/>
    <n v="102.01454208880898"/>
    <n v="221.35055346817671"/>
    <n v="0"/>
    <n v="10156.361999840001"/>
    <n v="31457.584197760003"/>
    <n v="0"/>
    <n v="14344.408399582693"/>
    <n v="31124.412984739614"/>
  </r>
  <r>
    <s v="Regular"/>
    <x v="0"/>
    <x v="1"/>
    <x v="4"/>
    <x v="0"/>
    <x v="0"/>
    <x v="0"/>
    <x v="0"/>
    <x v="2"/>
    <n v="0"/>
    <n v="0"/>
    <n v="133.42400000000001"/>
    <n v="128.08704"/>
    <n v="133.42400000000001"/>
    <n v="128.08704"/>
    <n v="0"/>
    <x v="0"/>
    <n v="0"/>
    <n v="0"/>
    <n v="47"/>
    <n v="27"/>
    <n v="0"/>
    <n v="72.23"/>
    <n v="223.72"/>
    <m/>
    <n v="102.01454208880898"/>
    <n v="221.35055346817671"/>
    <n v="0"/>
    <n v="9251.7268992000008"/>
    <n v="28655.632588799999"/>
    <n v="0"/>
    <n v="13066.740733110959"/>
    <n v="28352.137196100492"/>
  </r>
  <r>
    <s v="Regular"/>
    <x v="0"/>
    <x v="1"/>
    <x v="4"/>
    <x v="0"/>
    <x v="0"/>
    <x v="0"/>
    <x v="0"/>
    <x v="3"/>
    <n v="0"/>
    <n v="0"/>
    <n v="162.58199999999999"/>
    <n v="156.07872"/>
    <n v="162.58199999999999"/>
    <n v="156.07872"/>
    <n v="0"/>
    <x v="0"/>
    <n v="0"/>
    <n v="0"/>
    <n v="47"/>
    <n v="27"/>
    <n v="0"/>
    <n v="72.23"/>
    <n v="223.72"/>
    <m/>
    <n v="102.01454208880898"/>
    <n v="221.35055346817671"/>
    <n v="0"/>
    <n v="11273.565945600001"/>
    <n v="34917.9312384"/>
    <n v="0"/>
    <n v="15922.299150607432"/>
    <n v="34548.111056604583"/>
  </r>
  <r>
    <s v="Regular"/>
    <x v="0"/>
    <x v="1"/>
    <x v="4"/>
    <x v="0"/>
    <x v="0"/>
    <x v="0"/>
    <x v="0"/>
    <x v="4"/>
    <n v="0"/>
    <n v="0"/>
    <n v="189.41"/>
    <n v="181.83359999999999"/>
    <n v="189.41"/>
    <n v="181.83359999999999"/>
    <n v="0"/>
    <x v="0"/>
    <n v="0"/>
    <n v="0"/>
    <n v="47"/>
    <n v="27"/>
    <n v="0"/>
    <n v="72.23"/>
    <n v="223.72"/>
    <m/>
    <n v="102.01454208880898"/>
    <n v="221.35055346817671"/>
    <n v="0"/>
    <n v="13133.840928"/>
    <n v="40679.812991999999"/>
    <n v="0"/>
    <n v="18549.671440359656"/>
    <n v="40248.967999111053"/>
  </r>
  <r>
    <s v="Regular"/>
    <x v="0"/>
    <x v="1"/>
    <x v="4"/>
    <x v="0"/>
    <x v="0"/>
    <x v="0"/>
    <x v="0"/>
    <x v="5"/>
    <n v="0"/>
    <n v="0"/>
    <n v="207.28800000000001"/>
    <n v="198.99647999999999"/>
    <n v="207.28800000000001"/>
    <n v="198.99647999999999"/>
    <n v="0"/>
    <x v="0"/>
    <n v="0"/>
    <n v="0"/>
    <n v="47"/>
    <n v="27"/>
    <n v="0"/>
    <n v="72.23"/>
    <n v="223.72"/>
    <m/>
    <n v="102.01454208880898"/>
    <n v="221.35055346817671"/>
    <n v="0"/>
    <n v="14373.5157504"/>
    <n v="44519.492505599999"/>
    <n v="0"/>
    <n v="20300.534784484833"/>
    <n v="44047.980986218958"/>
  </r>
  <r>
    <s v="Regular"/>
    <x v="0"/>
    <x v="1"/>
    <x v="4"/>
    <x v="0"/>
    <x v="0"/>
    <x v="0"/>
    <x v="0"/>
    <x v="6"/>
    <n v="0"/>
    <n v="0"/>
    <n v="183.16399999999999"/>
    <n v="175.83743999999999"/>
    <n v="183.16399999999999"/>
    <n v="175.83743999999999"/>
    <n v="0"/>
    <x v="0"/>
    <n v="0"/>
    <n v="0"/>
    <n v="47"/>
    <n v="27"/>
    <n v="0"/>
    <n v="72.23"/>
    <n v="223.72"/>
    <m/>
    <n v="102.01454208880898"/>
    <n v="221.35055346817671"/>
    <n v="0"/>
    <n v="12700.738291199999"/>
    <n v="39338.352076799994"/>
    <n v="0"/>
    <n v="17937.975923668422"/>
    <n v="38921.714664427309"/>
  </r>
  <r>
    <s v="Regular"/>
    <x v="0"/>
    <x v="1"/>
    <x v="4"/>
    <x v="0"/>
    <x v="0"/>
    <x v="0"/>
    <x v="0"/>
    <x v="7"/>
    <n v="0"/>
    <n v="0"/>
    <n v="225.84800000000001"/>
    <n v="216.81407999999999"/>
    <n v="225.84800000000001"/>
    <n v="216.81407999999999"/>
    <n v="0"/>
    <x v="0"/>
    <n v="0"/>
    <n v="0"/>
    <n v="47"/>
    <n v="27"/>
    <n v="0"/>
    <n v="72.23"/>
    <n v="223.72"/>
    <m/>
    <n v="102.01454208880898"/>
    <n v="221.35055346817671"/>
    <n v="0"/>
    <n v="15660.4809984"/>
    <n v="48505.645977599997"/>
    <n v="0"/>
    <n v="22118.189089606396"/>
    <n v="47991.916607693543"/>
  </r>
  <r>
    <s v="Regular"/>
    <x v="0"/>
    <x v="1"/>
    <x v="4"/>
    <x v="0"/>
    <x v="0"/>
    <x v="0"/>
    <x v="0"/>
    <x v="8"/>
    <n v="0"/>
    <n v="0"/>
    <n v="220.56800000000001"/>
    <n v="211.74528000000001"/>
    <n v="220.56800000000001"/>
    <n v="211.74528000000001"/>
    <n v="0"/>
    <x v="0"/>
    <n v="0"/>
    <n v="0"/>
    <n v="47"/>
    <n v="27"/>
    <n v="0"/>
    <n v="72.23"/>
    <n v="223.72"/>
    <m/>
    <n v="102.01454208880898"/>
    <n v="221.35055346817671"/>
    <n v="0"/>
    <n v="15294.361574400002"/>
    <n v="47371.654041599999"/>
    <n v="0"/>
    <n v="21601.097778666644"/>
    <n v="46869.934922274049"/>
  </r>
  <r>
    <s v="Regular"/>
    <x v="0"/>
    <x v="1"/>
    <x v="4"/>
    <x v="0"/>
    <x v="0"/>
    <x v="0"/>
    <x v="0"/>
    <x v="9"/>
    <n v="0"/>
    <n v="0"/>
    <n v="219.31399999999999"/>
    <n v="210.54143999999999"/>
    <n v="219.31399999999999"/>
    <n v="210.54143999999999"/>
    <n v="0"/>
    <x v="0"/>
    <n v="0"/>
    <n v="0"/>
    <n v="47"/>
    <n v="27"/>
    <n v="0"/>
    <n v="72.23"/>
    <n v="223.72"/>
    <m/>
    <n v="102.01454208880898"/>
    <n v="221.35055346817671"/>
    <n v="0"/>
    <n v="15207.4082112"/>
    <n v="47102.330956799997"/>
    <n v="0"/>
    <n v="21478.288592318451"/>
    <n v="46603.464271986915"/>
  </r>
  <r>
    <s v="Regular"/>
    <x v="0"/>
    <x v="1"/>
    <x v="4"/>
    <x v="0"/>
    <x v="0"/>
    <x v="0"/>
    <x v="0"/>
    <x v="10"/>
    <n v="0"/>
    <n v="0"/>
    <n v="278.76299999999998"/>
    <n v="267.61248000000001"/>
    <n v="278.76299999999998"/>
    <n v="267.61248000000001"/>
    <n v="0"/>
    <x v="0"/>
    <n v="0"/>
    <n v="0"/>
    <n v="47"/>
    <n v="27"/>
    <n v="0"/>
    <n v="72.23"/>
    <n v="223.72"/>
    <m/>
    <n v="102.01454208880898"/>
    <n v="221.35055346817671"/>
    <n v="0"/>
    <n v="19329.649430400001"/>
    <n v="59870.264025600001"/>
    <n v="0"/>
    <n v="27300.364604450551"/>
    <n v="59236.17056299137"/>
  </r>
  <r>
    <s v="PROJETADO"/>
    <x v="0"/>
    <x v="1"/>
    <x v="4"/>
    <x v="0"/>
    <x v="0"/>
    <x v="0"/>
    <x v="0"/>
    <x v="11"/>
    <n v="0"/>
    <n v="0"/>
    <n v="278.76299999999998"/>
    <n v="267.61248000000001"/>
    <n v="278.76299999999998"/>
    <n v="267.61248000000001"/>
    <n v="0"/>
    <x v="0"/>
    <n v="0"/>
    <n v="0"/>
    <n v="47"/>
    <n v="27"/>
    <n v="0"/>
    <n v="72.23"/>
    <n v="223.72"/>
    <m/>
    <n v="102.01454208880898"/>
    <n v="221.35055346817671"/>
    <n v="0"/>
    <n v="19329.649430400001"/>
    <n v="59870.264025600001"/>
    <n v="0"/>
    <n v="27300.364604450551"/>
    <n v="59236.17056299137"/>
  </r>
  <r>
    <s v="Regular"/>
    <x v="0"/>
    <x v="1"/>
    <x v="4"/>
    <x v="0"/>
    <x v="0"/>
    <x v="0"/>
    <x v="2"/>
    <x v="0"/>
    <n v="1432"/>
    <n v="1374.72"/>
    <n v="0"/>
    <n v="0"/>
    <n v="0"/>
    <n v="0"/>
    <n v="12"/>
    <x v="0"/>
    <n v="0"/>
    <n v="65"/>
    <n v="0"/>
    <n v="0"/>
    <n v="23.41"/>
    <n v="0"/>
    <n v="0"/>
    <n v="23.763428126815878"/>
    <m/>
    <m/>
    <n v="32182.195200000002"/>
    <n v="0"/>
    <n v="0"/>
    <n v="32668.059914496323"/>
    <n v="0"/>
    <n v="0"/>
  </r>
  <r>
    <s v="Regular"/>
    <x v="0"/>
    <x v="1"/>
    <x v="4"/>
    <x v="0"/>
    <x v="0"/>
    <x v="0"/>
    <x v="2"/>
    <x v="1"/>
    <n v="1066"/>
    <n v="1021.228"/>
    <n v="0"/>
    <n v="0"/>
    <n v="0"/>
    <n v="0"/>
    <n v="12"/>
    <x v="0"/>
    <n v="0"/>
    <n v="65"/>
    <n v="0"/>
    <n v="0"/>
    <n v="23.41"/>
    <n v="0"/>
    <n v="0"/>
    <n v="23.763428126815878"/>
    <m/>
    <m/>
    <n v="23906.947479999999"/>
    <n v="0"/>
    <n v="0"/>
    <n v="24267.878179091924"/>
    <n v="0"/>
    <n v="0"/>
  </r>
  <r>
    <s v="Regular"/>
    <x v="0"/>
    <x v="1"/>
    <x v="4"/>
    <x v="0"/>
    <x v="0"/>
    <x v="0"/>
    <x v="2"/>
    <x v="2"/>
    <n v="1292"/>
    <n v="1240.32"/>
    <n v="0"/>
    <n v="0"/>
    <n v="0"/>
    <n v="0"/>
    <n v="12"/>
    <x v="0"/>
    <n v="0"/>
    <n v="65"/>
    <n v="0"/>
    <n v="0"/>
    <n v="23.41"/>
    <n v="0"/>
    <n v="0"/>
    <n v="23.763428126815878"/>
    <m/>
    <m/>
    <n v="29035.891199999998"/>
    <n v="0"/>
    <n v="0"/>
    <n v="29474.25517425227"/>
    <n v="0"/>
    <n v="0"/>
  </r>
  <r>
    <s v="Regular"/>
    <x v="0"/>
    <x v="1"/>
    <x v="4"/>
    <x v="0"/>
    <x v="0"/>
    <x v="0"/>
    <x v="2"/>
    <x v="3"/>
    <n v="1311"/>
    <n v="1258.56"/>
    <n v="0"/>
    <n v="0"/>
    <n v="0"/>
    <n v="0"/>
    <n v="12"/>
    <x v="0"/>
    <n v="0"/>
    <n v="65"/>
    <n v="0"/>
    <n v="0"/>
    <n v="23.41"/>
    <n v="0"/>
    <n v="0"/>
    <n v="23.763428126815878"/>
    <m/>
    <m/>
    <n v="29462.889599999999"/>
    <n v="0"/>
    <n v="0"/>
    <n v="29907.700103285391"/>
    <n v="0"/>
    <n v="0"/>
  </r>
  <r>
    <s v="Regular"/>
    <x v="0"/>
    <x v="1"/>
    <x v="4"/>
    <x v="0"/>
    <x v="0"/>
    <x v="0"/>
    <x v="2"/>
    <x v="4"/>
    <n v="1384"/>
    <n v="1328.64"/>
    <n v="0"/>
    <n v="0"/>
    <n v="0"/>
    <n v="0"/>
    <n v="12"/>
    <x v="0"/>
    <n v="0"/>
    <n v="65"/>
    <n v="0"/>
    <n v="0"/>
    <n v="23.41"/>
    <n v="0"/>
    <n v="0"/>
    <n v="23.763428126815878"/>
    <m/>
    <m/>
    <n v="31103.462400000004"/>
    <n v="0"/>
    <n v="0"/>
    <n v="31573.041146412652"/>
    <n v="0"/>
    <n v="0"/>
  </r>
  <r>
    <s v="Regular"/>
    <x v="0"/>
    <x v="1"/>
    <x v="4"/>
    <x v="0"/>
    <x v="0"/>
    <x v="0"/>
    <x v="2"/>
    <x v="5"/>
    <n v="1484"/>
    <n v="1424.64"/>
    <n v="0"/>
    <n v="0"/>
    <n v="0"/>
    <n v="0"/>
    <n v="13"/>
    <x v="0"/>
    <n v="0"/>
    <n v="65"/>
    <n v="0"/>
    <n v="0"/>
    <n v="23.41"/>
    <n v="0"/>
    <n v="0"/>
    <n v="23.763428126815878"/>
    <m/>
    <m/>
    <n v="33350.822400000005"/>
    <n v="0"/>
    <n v="0"/>
    <n v="33854.330246586978"/>
    <n v="0"/>
    <n v="0"/>
  </r>
  <r>
    <s v="Regular"/>
    <x v="0"/>
    <x v="1"/>
    <x v="4"/>
    <x v="0"/>
    <x v="0"/>
    <x v="0"/>
    <x v="2"/>
    <x v="6"/>
    <n v="1377"/>
    <n v="1321.92"/>
    <n v="0"/>
    <n v="0"/>
    <n v="0"/>
    <n v="0"/>
    <n v="13"/>
    <x v="0"/>
    <n v="0"/>
    <n v="65"/>
    <n v="0"/>
    <n v="0"/>
    <n v="23.41"/>
    <n v="0"/>
    <n v="0"/>
    <n v="23.763428126815878"/>
    <m/>
    <m/>
    <n v="30946.147200000003"/>
    <n v="0"/>
    <n v="0"/>
    <n v="31413.350909400448"/>
    <n v="0"/>
    <n v="0"/>
  </r>
  <r>
    <s v="Regular"/>
    <x v="0"/>
    <x v="1"/>
    <x v="4"/>
    <x v="0"/>
    <x v="0"/>
    <x v="0"/>
    <x v="2"/>
    <x v="7"/>
    <n v="1383"/>
    <n v="1327.68"/>
    <n v="0"/>
    <n v="0"/>
    <n v="0"/>
    <n v="0"/>
    <n v="13"/>
    <x v="0"/>
    <n v="0"/>
    <n v="65"/>
    <n v="0"/>
    <n v="0"/>
    <n v="23.41"/>
    <n v="0"/>
    <n v="0"/>
    <n v="23.763428126815878"/>
    <m/>
    <m/>
    <n v="31080.988800000003"/>
    <n v="0"/>
    <n v="0"/>
    <n v="31550.228255410908"/>
    <n v="0"/>
    <n v="0"/>
  </r>
  <r>
    <s v="Regular"/>
    <x v="0"/>
    <x v="1"/>
    <x v="4"/>
    <x v="0"/>
    <x v="0"/>
    <x v="0"/>
    <x v="2"/>
    <x v="8"/>
    <n v="1410"/>
    <n v="1353.6"/>
    <n v="0"/>
    <n v="0"/>
    <n v="0"/>
    <n v="0"/>
    <n v="13"/>
    <x v="0"/>
    <n v="0"/>
    <n v="65"/>
    <n v="0"/>
    <n v="0"/>
    <n v="23.41"/>
    <n v="0"/>
    <n v="0"/>
    <n v="23.763428126815878"/>
    <m/>
    <m/>
    <n v="31687.775999999998"/>
    <n v="0"/>
    <n v="0"/>
    <n v="32166.17631245797"/>
    <n v="0"/>
    <n v="0"/>
  </r>
  <r>
    <s v="Regular"/>
    <x v="0"/>
    <x v="1"/>
    <x v="4"/>
    <x v="0"/>
    <x v="0"/>
    <x v="0"/>
    <x v="2"/>
    <x v="9"/>
    <n v="1300"/>
    <n v="1248"/>
    <n v="0"/>
    <n v="0"/>
    <n v="0"/>
    <n v="0"/>
    <n v="13"/>
    <x v="0"/>
    <n v="0"/>
    <n v="65"/>
    <n v="0"/>
    <n v="0"/>
    <n v="23.41"/>
    <n v="0"/>
    <n v="0"/>
    <n v="23.763428126815878"/>
    <m/>
    <m/>
    <n v="29215.68"/>
    <n v="0"/>
    <n v="0"/>
    <n v="29656.758302266215"/>
    <n v="0"/>
    <n v="0"/>
  </r>
  <r>
    <s v="Regular"/>
    <x v="0"/>
    <x v="1"/>
    <x v="4"/>
    <x v="0"/>
    <x v="0"/>
    <x v="0"/>
    <x v="2"/>
    <x v="10"/>
    <n v="1383"/>
    <n v="1327.68"/>
    <n v="0"/>
    <n v="0"/>
    <n v="0"/>
    <n v="0"/>
    <n v="13"/>
    <x v="0"/>
    <n v="0"/>
    <n v="65"/>
    <n v="0"/>
    <n v="0"/>
    <n v="23.41"/>
    <n v="0"/>
    <n v="0"/>
    <n v="23.763428126815878"/>
    <m/>
    <m/>
    <n v="31080.988800000003"/>
    <n v="0"/>
    <n v="0"/>
    <n v="31550.228255410908"/>
    <n v="0"/>
    <n v="0"/>
  </r>
  <r>
    <s v="PROJETADO"/>
    <x v="0"/>
    <x v="1"/>
    <x v="4"/>
    <x v="0"/>
    <x v="0"/>
    <x v="0"/>
    <x v="2"/>
    <x v="11"/>
    <n v="1383"/>
    <n v="1327.68"/>
    <n v="0"/>
    <n v="0"/>
    <n v="0"/>
    <n v="0"/>
    <n v="13"/>
    <x v="0"/>
    <n v="0"/>
    <n v="65"/>
    <n v="0"/>
    <n v="0"/>
    <n v="23.41"/>
    <n v="0"/>
    <n v="0"/>
    <n v="23.763428126815878"/>
    <m/>
    <m/>
    <n v="31080.988800000003"/>
    <n v="0"/>
    <n v="0"/>
    <n v="31550.228255410908"/>
    <n v="0"/>
    <n v="0"/>
  </r>
  <r>
    <s v="Regular"/>
    <x v="0"/>
    <x v="1"/>
    <x v="4"/>
    <x v="0"/>
    <x v="0"/>
    <x v="0"/>
    <x v="1"/>
    <x v="0"/>
    <n v="0"/>
    <n v="0"/>
    <n v="13.541"/>
    <n v="12.999359999999999"/>
    <n v="13.541"/>
    <n v="12.999359999999999"/>
    <n v="0"/>
    <x v="0"/>
    <n v="0"/>
    <n v="0"/>
    <n v="66"/>
    <n v="6"/>
    <n v="0"/>
    <n v="2263.58"/>
    <n v="223.72"/>
    <m/>
    <n v="2325.9355132623718"/>
    <n v="221.35055346817671"/>
    <n v="0"/>
    <n v="29425.091308799998"/>
    <n v="2908.2168191999999"/>
    <n v="0"/>
    <n v="30235.673073682345"/>
    <n v="2877.4155307320775"/>
  </r>
  <r>
    <s v="Regular"/>
    <x v="0"/>
    <x v="1"/>
    <x v="4"/>
    <x v="0"/>
    <x v="0"/>
    <x v="0"/>
    <x v="1"/>
    <x v="1"/>
    <n v="0"/>
    <n v="0"/>
    <n v="10.247"/>
    <n v="9.8166259999999994"/>
    <n v="10.247"/>
    <n v="9.8166259999999994"/>
    <n v="0"/>
    <x v="0"/>
    <n v="0"/>
    <n v="0"/>
    <n v="66"/>
    <n v="6"/>
    <n v="0"/>
    <n v="2263.58"/>
    <n v="223.72"/>
    <m/>
    <n v="2325.9355132623718"/>
    <n v="221.35055346817671"/>
    <n v="0"/>
    <n v="22220.718281079997"/>
    <n v="2196.1755687199998"/>
    <n v="0"/>
    <n v="22832.839033814744"/>
    <n v="2172.9155982900934"/>
  </r>
  <r>
    <s v="Regular"/>
    <x v="0"/>
    <x v="1"/>
    <x v="4"/>
    <x v="0"/>
    <x v="0"/>
    <x v="0"/>
    <x v="1"/>
    <x v="2"/>
    <n v="0"/>
    <n v="0"/>
    <n v="8.9819999999999993"/>
    <n v="8.6227199999999993"/>
    <n v="8.9819999999999993"/>
    <n v="8.6227199999999993"/>
    <n v="0"/>
    <x v="0"/>
    <n v="0"/>
    <n v="0"/>
    <n v="66"/>
    <n v="6"/>
    <n v="0"/>
    <n v="2263.58"/>
    <n v="223.72"/>
    <m/>
    <n v="2325.9355132623718"/>
    <n v="221.35055346817671"/>
    <n v="0"/>
    <n v="19518.216537599998"/>
    <n v="1929.0749183999999"/>
    <n v="0"/>
    <n v="20055.890668917717"/>
    <n v="1908.6438444011164"/>
  </r>
  <r>
    <s v="Regular"/>
    <x v="0"/>
    <x v="1"/>
    <x v="4"/>
    <x v="0"/>
    <x v="0"/>
    <x v="0"/>
    <x v="1"/>
    <x v="3"/>
    <n v="0"/>
    <n v="0"/>
    <n v="12.948"/>
    <n v="12.43008"/>
    <n v="12.948"/>
    <n v="12.43008"/>
    <n v="0"/>
    <x v="0"/>
    <n v="0"/>
    <n v="0"/>
    <n v="66"/>
    <n v="6"/>
    <n v="0"/>
    <n v="2263.58"/>
    <n v="223.72"/>
    <m/>
    <n v="2325.9355132623718"/>
    <n v="221.35055346817671"/>
    <n v="0"/>
    <n v="28136.4804864"/>
    <n v="2780.8574976"/>
    <n v="0"/>
    <n v="28911.564504692342"/>
    <n v="2751.405087653714"/>
  </r>
  <r>
    <s v="Regular"/>
    <x v="0"/>
    <x v="1"/>
    <x v="4"/>
    <x v="0"/>
    <x v="0"/>
    <x v="0"/>
    <x v="1"/>
    <x v="4"/>
    <n v="0"/>
    <n v="0"/>
    <n v="15.106"/>
    <n v="14.501760000000001"/>
    <n v="15.106"/>
    <n v="14.501760000000001"/>
    <n v="0"/>
    <x v="0"/>
    <n v="0"/>
    <n v="0"/>
    <n v="66"/>
    <n v="6"/>
    <n v="0"/>
    <n v="2263.58"/>
    <n v="223.72"/>
    <m/>
    <n v="2325.9355132623718"/>
    <n v="221.35055346817671"/>
    <n v="0"/>
    <n v="32825.893900800002"/>
    <n v="3244.3337472000003"/>
    <n v="0"/>
    <n v="33730.158588807739"/>
    <n v="3209.9726022626664"/>
  </r>
  <r>
    <s v="Regular"/>
    <x v="0"/>
    <x v="1"/>
    <x v="4"/>
    <x v="0"/>
    <x v="0"/>
    <x v="0"/>
    <x v="1"/>
    <x v="5"/>
    <n v="0"/>
    <n v="0"/>
    <n v="13.499000000000001"/>
    <n v="12.95904"/>
    <n v="13.499000000000001"/>
    <n v="12.95904"/>
    <n v="0"/>
    <x v="0"/>
    <n v="0"/>
    <n v="0"/>
    <n v="66"/>
    <n v="6"/>
    <n v="0"/>
    <n v="2263.58"/>
    <n v="223.72"/>
    <m/>
    <n v="2325.9355132623718"/>
    <n v="221.35055346817671"/>
    <n v="0"/>
    <n v="29333.823763199998"/>
    <n v="2899.1964287999999"/>
    <n v="0"/>
    <n v="30141.891353787607"/>
    <n v="2868.4906764162406"/>
  </r>
  <r>
    <s v="Regular"/>
    <x v="0"/>
    <x v="1"/>
    <x v="4"/>
    <x v="0"/>
    <x v="0"/>
    <x v="0"/>
    <x v="1"/>
    <x v="6"/>
    <n v="0"/>
    <n v="0"/>
    <n v="11.019"/>
    <n v="10.578239999999999"/>
    <n v="11.019"/>
    <n v="10.578239999999999"/>
    <n v="0"/>
    <x v="0"/>
    <n v="0"/>
    <n v="0"/>
    <n v="66"/>
    <n v="6"/>
    <n v="0"/>
    <n v="2263.58"/>
    <n v="223.72"/>
    <m/>
    <n v="2325.9355132623718"/>
    <n v="221.35055346817671"/>
    <n v="0"/>
    <n v="23944.692499199999"/>
    <n v="2366.5638527999999"/>
    <n v="0"/>
    <n v="24604.304083812549"/>
    <n v="2341.4992787192054"/>
  </r>
  <r>
    <s v="Regular"/>
    <x v="0"/>
    <x v="1"/>
    <x v="4"/>
    <x v="0"/>
    <x v="0"/>
    <x v="0"/>
    <x v="1"/>
    <x v="7"/>
    <n v="0"/>
    <n v="0"/>
    <n v="14.958"/>
    <n v="14.359680000000001"/>
    <n v="14.958"/>
    <n v="14.359680000000001"/>
    <n v="0"/>
    <x v="0"/>
    <n v="0"/>
    <n v="0"/>
    <n v="66"/>
    <n v="6"/>
    <n v="0"/>
    <n v="2263.58"/>
    <n v="223.72"/>
    <m/>
    <n v="2325.9355132623718"/>
    <n v="221.35055346817671"/>
    <n v="0"/>
    <n v="32504.2844544"/>
    <n v="3212.5476096000002"/>
    <n v="0"/>
    <n v="33399.689671083419"/>
    <n v="3178.5231156259078"/>
  </r>
  <r>
    <s v="Regular"/>
    <x v="0"/>
    <x v="1"/>
    <x v="4"/>
    <x v="0"/>
    <x v="0"/>
    <x v="0"/>
    <x v="1"/>
    <x v="8"/>
    <n v="0"/>
    <n v="0"/>
    <n v="15.686"/>
    <n v="15.05856"/>
    <n v="15.686"/>
    <n v="15.05856"/>
    <n v="0"/>
    <x v="0"/>
    <n v="0"/>
    <n v="0"/>
    <n v="66"/>
    <n v="6"/>
    <n v="0"/>
    <n v="2263.58"/>
    <n v="223.72"/>
    <m/>
    <n v="2325.9355132623718"/>
    <n v="221.35055346817671"/>
    <n v="0"/>
    <n v="34086.255244799999"/>
    <n v="3368.9010432"/>
    <n v="0"/>
    <n v="35025.239482592224"/>
    <n v="3333.220590433747"/>
  </r>
  <r>
    <s v="Regular"/>
    <x v="0"/>
    <x v="1"/>
    <x v="4"/>
    <x v="0"/>
    <x v="0"/>
    <x v="0"/>
    <x v="1"/>
    <x v="9"/>
    <n v="0"/>
    <n v="0"/>
    <n v="16.434999999999999"/>
    <n v="15.7776"/>
    <n v="16.434999999999999"/>
    <n v="15.7776"/>
    <n v="0"/>
    <x v="0"/>
    <n v="0"/>
    <n v="0"/>
    <n v="66"/>
    <n v="6"/>
    <n v="0"/>
    <n v="2263.58"/>
    <n v="223.72"/>
    <m/>
    <n v="2325.9355132623718"/>
    <n v="221.35055346817671"/>
    <n v="0"/>
    <n v="35713.859808000001"/>
    <n v="3529.7646719999998"/>
    <n v="0"/>
    <n v="36697.680154048394"/>
    <n v="3492.3804923995049"/>
  </r>
  <r>
    <s v="Regular"/>
    <x v="0"/>
    <x v="1"/>
    <x v="4"/>
    <x v="0"/>
    <x v="0"/>
    <x v="0"/>
    <x v="1"/>
    <x v="10"/>
    <n v="0"/>
    <n v="0"/>
    <n v="25.297999999999998"/>
    <n v="24.286079999999998"/>
    <n v="25.297999999999998"/>
    <n v="24.286079999999998"/>
    <n v="0"/>
    <x v="0"/>
    <n v="0"/>
    <n v="0"/>
    <n v="66"/>
    <n v="6"/>
    <n v="0"/>
    <n v="2263.58"/>
    <n v="223.72"/>
    <m/>
    <n v="2325.9355132623718"/>
    <n v="221.35055346817671"/>
    <n v="0"/>
    <n v="54973.484966399992"/>
    <n v="5433.2818175999992"/>
    <n v="0"/>
    <n v="56487.855949931021"/>
    <n v="5375.7372495724167"/>
  </r>
  <r>
    <s v="PROJETADO"/>
    <x v="0"/>
    <x v="1"/>
    <x v="4"/>
    <x v="0"/>
    <x v="0"/>
    <x v="0"/>
    <x v="1"/>
    <x v="11"/>
    <n v="0"/>
    <n v="0"/>
    <n v="25.297999999999998"/>
    <n v="24.286079999999998"/>
    <n v="25.297999999999998"/>
    <n v="24.286079999999998"/>
    <n v="0"/>
    <x v="0"/>
    <n v="0"/>
    <n v="0"/>
    <n v="66"/>
    <n v="6"/>
    <n v="0"/>
    <n v="2263.58"/>
    <n v="223.72"/>
    <m/>
    <n v="2325.9355132623718"/>
    <n v="221.35055346817671"/>
    <n v="0"/>
    <n v="54973.484966399992"/>
    <n v="5433.2818175999992"/>
    <n v="0"/>
    <n v="56487.855949931021"/>
    <n v="5375.7372495724167"/>
  </r>
  <r>
    <s v="Regular"/>
    <x v="0"/>
    <x v="1"/>
    <x v="5"/>
    <x v="3"/>
    <x v="0"/>
    <x v="0"/>
    <x v="0"/>
    <x v="0"/>
    <n v="0"/>
    <n v="0"/>
    <n v="130.72300000000001"/>
    <n v="122.87962"/>
    <n v="130.72300000000001"/>
    <n v="122.87962"/>
    <n v="0"/>
    <x v="0"/>
    <n v="0"/>
    <n v="0"/>
    <n v="47"/>
    <n v="27"/>
    <n v="0"/>
    <n v="72.23"/>
    <n v="223.72"/>
    <m/>
    <n v="102.01454208880898"/>
    <n v="221.35055346817671"/>
    <n v="0"/>
    <n v="8875.5949526000004"/>
    <n v="27490.628586400002"/>
    <n v="0"/>
    <n v="12535.508166346854"/>
    <n v="27199.471896959236"/>
  </r>
  <r>
    <s v="Regular"/>
    <x v="0"/>
    <x v="1"/>
    <x v="5"/>
    <x v="3"/>
    <x v="0"/>
    <x v="0"/>
    <x v="0"/>
    <x v="1"/>
    <n v="0"/>
    <n v="0"/>
    <n v="120.06699999999999"/>
    <n v="112.502779"/>
    <n v="120.06699999999999"/>
    <n v="112.502779"/>
    <n v="0"/>
    <x v="0"/>
    <n v="0"/>
    <n v="0"/>
    <n v="47"/>
    <n v="27"/>
    <n v="0"/>
    <n v="72.23"/>
    <n v="223.72"/>
    <m/>
    <n v="102.01454208880898"/>
    <n v="221.35055346817671"/>
    <n v="0"/>
    <n v="8126.0757271700004"/>
    <n v="25169.12171788"/>
    <n v="0"/>
    <n v="11476.919483403475"/>
    <n v="24902.55239835797"/>
  </r>
  <r>
    <s v="Regular"/>
    <x v="0"/>
    <x v="1"/>
    <x v="5"/>
    <x v="3"/>
    <x v="0"/>
    <x v="0"/>
    <x v="0"/>
    <x v="2"/>
    <n v="0"/>
    <n v="0"/>
    <n v="116.58799999999999"/>
    <n v="109.59272"/>
    <n v="116.58799999999999"/>
    <n v="109.59272"/>
    <n v="0"/>
    <x v="0"/>
    <n v="0"/>
    <n v="0"/>
    <n v="47"/>
    <n v="27"/>
    <n v="0"/>
    <n v="72.23"/>
    <n v="223.72"/>
    <m/>
    <n v="102.01454208880898"/>
    <n v="221.35055346817671"/>
    <n v="0"/>
    <n v="7915.8821656"/>
    <n v="24518.0833184"/>
    <n v="0"/>
    <n v="11180.051147067057"/>
    <n v="24258.409228082921"/>
  </r>
  <r>
    <s v="Regular"/>
    <x v="0"/>
    <x v="1"/>
    <x v="5"/>
    <x v="3"/>
    <x v="0"/>
    <x v="0"/>
    <x v="0"/>
    <x v="3"/>
    <n v="0"/>
    <n v="0"/>
    <n v="112.50700000000001"/>
    <n v="105.75658"/>
    <n v="112.50700000000001"/>
    <n v="105.75658"/>
    <n v="0"/>
    <x v="0"/>
    <n v="0"/>
    <n v="0"/>
    <n v="47"/>
    <n v="27"/>
    <n v="0"/>
    <n v="72.23"/>
    <n v="223.72"/>
    <m/>
    <n v="102.01454208880898"/>
    <n v="221.35055346817671"/>
    <n v="0"/>
    <n v="7638.7977734000006"/>
    <n v="23659.862077599999"/>
    <n v="0"/>
    <n v="10788.709081578494"/>
    <n v="23409.277515901507"/>
  </r>
  <r>
    <s v="Regular"/>
    <x v="0"/>
    <x v="1"/>
    <x v="5"/>
    <x v="3"/>
    <x v="0"/>
    <x v="0"/>
    <x v="0"/>
    <x v="4"/>
    <n v="0"/>
    <n v="0"/>
    <n v="112.31399999999999"/>
    <n v="105.57516"/>
    <n v="112.31399999999999"/>
    <n v="105.57516"/>
    <n v="0"/>
    <x v="0"/>
    <n v="0"/>
    <n v="0"/>
    <n v="47"/>
    <n v="27"/>
    <n v="0"/>
    <n v="72.23"/>
    <n v="223.72"/>
    <m/>
    <n v="102.01454208880898"/>
    <n v="221.35055346817671"/>
    <n v="0"/>
    <n v="7625.6938067999999"/>
    <n v="23619.274795199999"/>
    <n v="0"/>
    <n v="10770.201603352742"/>
    <n v="23369.120098491312"/>
  </r>
  <r>
    <s v="Regular"/>
    <x v="0"/>
    <x v="1"/>
    <x v="5"/>
    <x v="3"/>
    <x v="0"/>
    <x v="0"/>
    <x v="0"/>
    <x v="5"/>
    <n v="0"/>
    <n v="0"/>
    <n v="116.23399999999999"/>
    <n v="109.25996000000001"/>
    <n v="116.23399999999999"/>
    <n v="109.25996000000001"/>
    <n v="0"/>
    <x v="0"/>
    <n v="0"/>
    <n v="0"/>
    <n v="47"/>
    <n v="27"/>
    <n v="0"/>
    <n v="72.23"/>
    <n v="223.72"/>
    <m/>
    <n v="102.01454208880898"/>
    <n v="221.35055346817671"/>
    <n v="0"/>
    <n v="7891.8469108000008"/>
    <n v="24443.638251200002"/>
    <n v="0"/>
    <n v="11146.104788041586"/>
    <n v="24184.75261791085"/>
  </r>
  <r>
    <s v="Regular"/>
    <x v="0"/>
    <x v="1"/>
    <x v="5"/>
    <x v="3"/>
    <x v="0"/>
    <x v="0"/>
    <x v="0"/>
    <x v="6"/>
    <n v="0"/>
    <n v="0"/>
    <n v="113.712"/>
    <n v="106.88928"/>
    <n v="113.712"/>
    <n v="106.88928"/>
    <n v="0"/>
    <x v="0"/>
    <n v="0"/>
    <n v="0"/>
    <n v="47"/>
    <n v="27"/>
    <n v="0"/>
    <n v="72.23"/>
    <n v="223.72"/>
    <m/>
    <n v="102.01454208880898"/>
    <n v="221.35055346817671"/>
    <n v="0"/>
    <n v="7720.6126944000007"/>
    <n v="23913.269721600002"/>
    <n v="0"/>
    <n v="10904.260953402489"/>
    <n v="23660.00128781491"/>
  </r>
  <r>
    <s v="Regular"/>
    <x v="0"/>
    <x v="1"/>
    <x v="5"/>
    <x v="3"/>
    <x v="0"/>
    <x v="0"/>
    <x v="0"/>
    <x v="7"/>
    <n v="0"/>
    <n v="0"/>
    <n v="114.208"/>
    <n v="107.35552"/>
    <n v="114.208"/>
    <n v="107.35552"/>
    <n v="0"/>
    <x v="0"/>
    <n v="0"/>
    <n v="0"/>
    <n v="47"/>
    <n v="27"/>
    <n v="0"/>
    <n v="72.23"/>
    <n v="223.72"/>
    <m/>
    <n v="102.01454208880898"/>
    <n v="221.35055346817671"/>
    <n v="0"/>
    <n v="7754.2892096000005"/>
    <n v="24017.5769344"/>
    <n v="0"/>
    <n v="10951.824213505974"/>
    <n v="23763.203769863914"/>
  </r>
  <r>
    <s v="Regular"/>
    <x v="0"/>
    <x v="1"/>
    <x v="5"/>
    <x v="3"/>
    <x v="0"/>
    <x v="0"/>
    <x v="0"/>
    <x v="8"/>
    <n v="0"/>
    <n v="0"/>
    <n v="111.374"/>
    <n v="104.69156"/>
    <n v="111.374"/>
    <n v="104.69156"/>
    <n v="0"/>
    <x v="0"/>
    <n v="0"/>
    <n v="0"/>
    <n v="47"/>
    <n v="27"/>
    <n v="0"/>
    <n v="72.23"/>
    <n v="223.72"/>
    <m/>
    <n v="102.01454208880898"/>
    <n v="221.35055346817671"/>
    <n v="0"/>
    <n v="7561.8713788000005"/>
    <n v="23421.595803199998"/>
    <n v="0"/>
    <n v="10680.061553963071"/>
    <n v="23173.53474944683"/>
  </r>
  <r>
    <s v="Regular"/>
    <x v="0"/>
    <x v="1"/>
    <x v="5"/>
    <x v="3"/>
    <x v="0"/>
    <x v="0"/>
    <x v="0"/>
    <x v="9"/>
    <n v="0"/>
    <n v="0"/>
    <n v="117.708"/>
    <n v="110.64552"/>
    <n v="117.708"/>
    <n v="110.64552"/>
    <n v="0"/>
    <x v="0"/>
    <n v="0"/>
    <n v="0"/>
    <n v="47"/>
    <n v="27"/>
    <n v="0"/>
    <n v="72.23"/>
    <n v="223.72"/>
    <m/>
    <n v="102.01454208880898"/>
    <n v="221.35055346817671"/>
    <n v="0"/>
    <n v="7991.9259096000005"/>
    <n v="24753.615734400002"/>
    <n v="0"/>
    <n v="11287.452056978156"/>
    <n v="24491.447090774218"/>
  </r>
  <r>
    <s v="Regular"/>
    <x v="0"/>
    <x v="1"/>
    <x v="5"/>
    <x v="3"/>
    <x v="0"/>
    <x v="0"/>
    <x v="0"/>
    <x v="10"/>
    <n v="0"/>
    <n v="0"/>
    <n v="132.66999999999999"/>
    <n v="124.7098"/>
    <n v="132.66999999999999"/>
    <n v="124.7098"/>
    <n v="0"/>
    <x v="0"/>
    <n v="0"/>
    <n v="0"/>
    <n v="47"/>
    <n v="27"/>
    <n v="0"/>
    <n v="72.23"/>
    <n v="223.72"/>
    <m/>
    <n v="102.01454208880898"/>
    <n v="221.35055346817671"/>
    <n v="0"/>
    <n v="9007.7888540000004"/>
    <n v="27900.076455999999"/>
    <n v="0"/>
    <n v="12722.213140986951"/>
    <n v="27604.583252905624"/>
  </r>
  <r>
    <s v="PROJETADO"/>
    <x v="0"/>
    <x v="1"/>
    <x v="5"/>
    <x v="3"/>
    <x v="0"/>
    <x v="0"/>
    <x v="0"/>
    <x v="11"/>
    <n v="0"/>
    <n v="0"/>
    <n v="132.66999999999999"/>
    <n v="124.7098"/>
    <n v="132.66999999999999"/>
    <n v="124.7098"/>
    <n v="0"/>
    <x v="0"/>
    <n v="0"/>
    <n v="0"/>
    <n v="47"/>
    <n v="27"/>
    <n v="0"/>
    <n v="72.23"/>
    <n v="223.72"/>
    <m/>
    <n v="102.01454208880898"/>
    <n v="221.35055346817671"/>
    <n v="0"/>
    <n v="9007.7888540000004"/>
    <n v="27900.076455999999"/>
    <n v="0"/>
    <n v="12722.213140986951"/>
    <n v="27604.583252905624"/>
  </r>
  <r>
    <s v="Regular"/>
    <x v="0"/>
    <x v="1"/>
    <x v="5"/>
    <x v="3"/>
    <x v="0"/>
    <x v="0"/>
    <x v="2"/>
    <x v="0"/>
    <n v="325"/>
    <n v="276.25"/>
    <n v="0"/>
    <n v="0"/>
    <n v="0"/>
    <n v="0"/>
    <n v="3"/>
    <x v="0"/>
    <n v="0"/>
    <n v="65"/>
    <n v="0"/>
    <n v="0"/>
    <n v="23.41"/>
    <n v="0"/>
    <n v="0"/>
    <n v="23.763428126815878"/>
    <m/>
    <m/>
    <n v="6467.0124999999998"/>
    <n v="0"/>
    <n v="0"/>
    <n v="6564.6470200328858"/>
    <n v="0"/>
    <n v="0"/>
  </r>
  <r>
    <s v="Regular"/>
    <x v="0"/>
    <x v="1"/>
    <x v="5"/>
    <x v="3"/>
    <x v="0"/>
    <x v="0"/>
    <x v="2"/>
    <x v="1"/>
    <n v="324"/>
    <n v="275.39999999999998"/>
    <n v="0"/>
    <n v="0"/>
    <n v="0"/>
    <n v="0"/>
    <n v="3"/>
    <x v="0"/>
    <n v="0"/>
    <n v="65"/>
    <n v="0"/>
    <n v="0"/>
    <n v="23.41"/>
    <n v="0"/>
    <n v="0"/>
    <n v="23.763428126815878"/>
    <m/>
    <m/>
    <n v="6447.1139999999996"/>
    <n v="0"/>
    <n v="0"/>
    <n v="6544.4481061250926"/>
    <n v="0"/>
    <n v="0"/>
  </r>
  <r>
    <s v="Regular"/>
    <x v="0"/>
    <x v="1"/>
    <x v="5"/>
    <x v="3"/>
    <x v="0"/>
    <x v="0"/>
    <x v="2"/>
    <x v="2"/>
    <n v="324"/>
    <n v="275.39999999999998"/>
    <n v="0"/>
    <n v="0"/>
    <n v="0"/>
    <n v="0"/>
    <n v="3"/>
    <x v="0"/>
    <n v="0"/>
    <n v="65"/>
    <n v="0"/>
    <n v="0"/>
    <n v="23.41"/>
    <n v="0"/>
    <n v="0"/>
    <n v="23.763428126815878"/>
    <m/>
    <m/>
    <n v="6447.1139999999996"/>
    <n v="0"/>
    <n v="0"/>
    <n v="6544.4481061250926"/>
    <n v="0"/>
    <n v="0"/>
  </r>
  <r>
    <s v="Regular"/>
    <x v="0"/>
    <x v="1"/>
    <x v="5"/>
    <x v="3"/>
    <x v="0"/>
    <x v="0"/>
    <x v="2"/>
    <x v="3"/>
    <n v="336"/>
    <n v="285.59999999999997"/>
    <n v="0"/>
    <n v="0"/>
    <n v="0"/>
    <n v="0"/>
    <n v="3"/>
    <x v="0"/>
    <n v="0"/>
    <n v="65"/>
    <n v="0"/>
    <n v="0"/>
    <n v="23.41"/>
    <n v="0"/>
    <n v="0"/>
    <n v="23.763428126815878"/>
    <m/>
    <m/>
    <n v="6685.8959999999988"/>
    <n v="0"/>
    <n v="0"/>
    <n v="6786.8350730186139"/>
    <n v="0"/>
    <n v="0"/>
  </r>
  <r>
    <s v="Regular"/>
    <x v="0"/>
    <x v="1"/>
    <x v="5"/>
    <x v="3"/>
    <x v="0"/>
    <x v="0"/>
    <x v="2"/>
    <x v="4"/>
    <n v="329"/>
    <n v="279.64999999999998"/>
    <n v="0"/>
    <n v="0"/>
    <n v="0"/>
    <n v="0"/>
    <n v="3"/>
    <x v="0"/>
    <n v="0"/>
    <n v="65"/>
    <n v="0"/>
    <n v="0"/>
    <n v="23.41"/>
    <n v="0"/>
    <n v="0"/>
    <n v="23.763428126815878"/>
    <m/>
    <m/>
    <n v="6546.6064999999999"/>
    <n v="0"/>
    <n v="0"/>
    <n v="6645.4426756640596"/>
    <n v="0"/>
    <n v="0"/>
  </r>
  <r>
    <s v="Regular"/>
    <x v="0"/>
    <x v="1"/>
    <x v="5"/>
    <x v="3"/>
    <x v="0"/>
    <x v="0"/>
    <x v="2"/>
    <x v="5"/>
    <n v="313"/>
    <n v="266.05"/>
    <n v="0"/>
    <n v="0"/>
    <n v="0"/>
    <n v="0"/>
    <n v="3"/>
    <x v="0"/>
    <n v="0"/>
    <n v="65"/>
    <n v="0"/>
    <n v="0"/>
    <n v="23.41"/>
    <n v="0"/>
    <n v="0"/>
    <n v="23.763428126815878"/>
    <m/>
    <m/>
    <n v="6228.2305000000006"/>
    <n v="0"/>
    <n v="0"/>
    <n v="6322.2600531393646"/>
    <n v="0"/>
    <n v="0"/>
  </r>
  <r>
    <s v="Regular"/>
    <x v="0"/>
    <x v="1"/>
    <x v="5"/>
    <x v="3"/>
    <x v="0"/>
    <x v="0"/>
    <x v="2"/>
    <x v="6"/>
    <n v="313"/>
    <n v="266.05"/>
    <n v="0"/>
    <n v="0"/>
    <n v="0"/>
    <n v="0"/>
    <n v="3"/>
    <x v="0"/>
    <n v="0"/>
    <n v="65"/>
    <n v="0"/>
    <n v="0"/>
    <n v="23.41"/>
    <n v="0"/>
    <n v="0"/>
    <n v="23.763428126815878"/>
    <m/>
    <m/>
    <n v="6228.2305000000006"/>
    <n v="0"/>
    <n v="0"/>
    <n v="6322.2600531393646"/>
    <n v="0"/>
    <n v="0"/>
  </r>
  <r>
    <s v="Regular"/>
    <x v="0"/>
    <x v="1"/>
    <x v="5"/>
    <x v="3"/>
    <x v="0"/>
    <x v="0"/>
    <x v="2"/>
    <x v="7"/>
    <n v="321"/>
    <n v="272.84999999999997"/>
    <n v="0"/>
    <n v="0"/>
    <n v="0"/>
    <n v="0"/>
    <n v="3"/>
    <x v="0"/>
    <n v="0"/>
    <n v="65"/>
    <n v="0"/>
    <n v="0"/>
    <n v="23.41"/>
    <n v="0"/>
    <n v="0"/>
    <n v="23.763428126815878"/>
    <m/>
    <m/>
    <n v="6387.4184999999989"/>
    <n v="0"/>
    <n v="0"/>
    <n v="6483.8513644017112"/>
    <n v="0"/>
    <n v="0"/>
  </r>
  <r>
    <s v="Regular"/>
    <x v="0"/>
    <x v="1"/>
    <x v="5"/>
    <x v="3"/>
    <x v="0"/>
    <x v="0"/>
    <x v="2"/>
    <x v="8"/>
    <n v="323"/>
    <n v="274.55"/>
    <n v="0"/>
    <n v="0"/>
    <n v="0"/>
    <n v="0"/>
    <n v="3"/>
    <x v="0"/>
    <n v="0"/>
    <n v="65"/>
    <n v="0"/>
    <n v="0"/>
    <n v="23.41"/>
    <n v="0"/>
    <n v="0"/>
    <n v="23.763428126815878"/>
    <m/>
    <m/>
    <n v="6427.2155000000002"/>
    <n v="0"/>
    <n v="0"/>
    <n v="6524.2491922172994"/>
    <n v="0"/>
    <n v="0"/>
  </r>
  <r>
    <s v="Regular"/>
    <x v="0"/>
    <x v="1"/>
    <x v="5"/>
    <x v="3"/>
    <x v="0"/>
    <x v="0"/>
    <x v="2"/>
    <x v="9"/>
    <n v="322"/>
    <n v="273.7"/>
    <n v="0"/>
    <n v="0"/>
    <n v="0"/>
    <n v="0"/>
    <n v="3"/>
    <x v="0"/>
    <n v="0"/>
    <n v="65"/>
    <n v="0"/>
    <n v="0"/>
    <n v="23.41"/>
    <n v="0"/>
    <n v="0"/>
    <n v="23.763428126815878"/>
    <m/>
    <m/>
    <n v="6407.317"/>
    <n v="0"/>
    <n v="0"/>
    <n v="6504.0502783095053"/>
    <n v="0"/>
    <n v="0"/>
  </r>
  <r>
    <s v="Regular"/>
    <x v="0"/>
    <x v="1"/>
    <x v="5"/>
    <x v="3"/>
    <x v="0"/>
    <x v="0"/>
    <x v="2"/>
    <x v="10"/>
    <n v="313"/>
    <n v="266.05"/>
    <n v="0"/>
    <n v="0"/>
    <n v="0"/>
    <n v="0"/>
    <n v="3"/>
    <x v="0"/>
    <n v="0"/>
    <n v="65"/>
    <n v="0"/>
    <n v="0"/>
    <n v="23.41"/>
    <n v="0"/>
    <n v="0"/>
    <n v="23.763428126815878"/>
    <m/>
    <m/>
    <n v="6228.2305000000006"/>
    <n v="0"/>
    <n v="0"/>
    <n v="6322.2600531393646"/>
    <n v="0"/>
    <n v="0"/>
  </r>
  <r>
    <s v="PROJETADO"/>
    <x v="0"/>
    <x v="1"/>
    <x v="5"/>
    <x v="3"/>
    <x v="0"/>
    <x v="0"/>
    <x v="2"/>
    <x v="11"/>
    <n v="313"/>
    <n v="266.05"/>
    <n v="0"/>
    <n v="0"/>
    <n v="0"/>
    <n v="0"/>
    <n v="3"/>
    <x v="0"/>
    <n v="0"/>
    <n v="65"/>
    <n v="0"/>
    <n v="0"/>
    <n v="23.41"/>
    <n v="0"/>
    <n v="0"/>
    <n v="23.763428126815878"/>
    <m/>
    <m/>
    <n v="6228.2305000000006"/>
    <n v="0"/>
    <n v="0"/>
    <n v="6322.2600531393646"/>
    <n v="0"/>
    <n v="0"/>
  </r>
  <r>
    <s v="Regular"/>
    <x v="0"/>
    <x v="1"/>
    <x v="5"/>
    <x v="3"/>
    <x v="0"/>
    <x v="0"/>
    <x v="1"/>
    <x v="0"/>
    <n v="0"/>
    <n v="0"/>
    <n v="14.055"/>
    <n v="13.211699999999999"/>
    <n v="14.055"/>
    <n v="13.211699999999999"/>
    <n v="0"/>
    <x v="0"/>
    <n v="0"/>
    <n v="0"/>
    <n v="66"/>
    <n v="6"/>
    <n v="0"/>
    <n v="2263.58"/>
    <n v="223.72"/>
    <m/>
    <n v="2325.9355132623718"/>
    <n v="221.35055346817671"/>
    <n v="0"/>
    <n v="29905.739885999996"/>
    <n v="2955.7215239999996"/>
    <n v="0"/>
    <n v="30729.562220568474"/>
    <n v="2924.41710725551"/>
  </r>
  <r>
    <s v="Regular"/>
    <x v="0"/>
    <x v="1"/>
    <x v="5"/>
    <x v="3"/>
    <x v="0"/>
    <x v="0"/>
    <x v="1"/>
    <x v="1"/>
    <n v="0"/>
    <n v="0"/>
    <n v="14.256"/>
    <n v="13.357872"/>
    <n v="14.256"/>
    <n v="13.357872"/>
    <n v="0"/>
    <x v="0"/>
    <n v="0"/>
    <n v="0"/>
    <n v="66"/>
    <n v="6"/>
    <n v="0"/>
    <n v="2263.58"/>
    <n v="223.72"/>
    <m/>
    <n v="2325.9355132623718"/>
    <n v="221.35055346817671"/>
    <n v="0"/>
    <n v="30236.611901759999"/>
    <n v="2988.4231238400002"/>
    <n v="0"/>
    <n v="31069.548866413068"/>
    <n v="2956.7723603570607"/>
  </r>
  <r>
    <s v="Regular"/>
    <x v="0"/>
    <x v="1"/>
    <x v="5"/>
    <x v="3"/>
    <x v="0"/>
    <x v="0"/>
    <x v="1"/>
    <x v="2"/>
    <n v="0"/>
    <n v="0"/>
    <n v="12.856"/>
    <n v="12.08464"/>
    <n v="12.856"/>
    <n v="12.08464"/>
    <n v="0"/>
    <x v="0"/>
    <n v="0"/>
    <n v="0"/>
    <n v="66"/>
    <n v="6"/>
    <n v="0"/>
    <n v="2263.58"/>
    <n v="223.72"/>
    <m/>
    <n v="2325.9355132623718"/>
    <n v="221.35055346817671"/>
    <n v="0"/>
    <n v="27354.549411200001"/>
    <n v="2703.5756608000002"/>
    <n v="0"/>
    <n v="28108.093340990989"/>
    <n v="2674.9417524636669"/>
  </r>
  <r>
    <s v="Regular"/>
    <x v="0"/>
    <x v="1"/>
    <x v="5"/>
    <x v="3"/>
    <x v="0"/>
    <x v="0"/>
    <x v="1"/>
    <x v="3"/>
    <n v="0"/>
    <n v="0"/>
    <n v="12.365"/>
    <n v="11.623100000000001"/>
    <n v="12.365"/>
    <n v="11.623100000000001"/>
    <n v="0"/>
    <x v="0"/>
    <n v="0"/>
    <n v="0"/>
    <n v="66"/>
    <n v="6"/>
    <n v="0"/>
    <n v="2263.58"/>
    <n v="223.72"/>
    <m/>
    <n v="2325.9355132623718"/>
    <n v="221.35055346817671"/>
    <n v="0"/>
    <n v="26309.816698000002"/>
    <n v="2600.3199320000003"/>
    <n v="0"/>
    <n v="27034.581064199876"/>
    <n v="2572.7796180159648"/>
  </r>
  <r>
    <s v="Regular"/>
    <x v="0"/>
    <x v="1"/>
    <x v="5"/>
    <x v="3"/>
    <x v="0"/>
    <x v="0"/>
    <x v="1"/>
    <x v="4"/>
    <n v="0"/>
    <n v="0"/>
    <n v="13.507999999999999"/>
    <n v="12.697520000000001"/>
    <n v="13.507999999999999"/>
    <n v="12.697520000000001"/>
    <n v="0"/>
    <x v="0"/>
    <n v="0"/>
    <n v="0"/>
    <n v="66"/>
    <n v="6"/>
    <n v="0"/>
    <n v="2263.58"/>
    <n v="223.72"/>
    <m/>
    <n v="2325.9355132623718"/>
    <n v="221.35055346817671"/>
    <n v="0"/>
    <n v="28741.852321599999"/>
    <n v="2840.6891744"/>
    <n v="0"/>
    <n v="29533.612698359233"/>
    <n v="2810.6030796732434"/>
  </r>
  <r>
    <s v="Regular"/>
    <x v="0"/>
    <x v="1"/>
    <x v="5"/>
    <x v="3"/>
    <x v="0"/>
    <x v="0"/>
    <x v="1"/>
    <x v="5"/>
    <n v="0"/>
    <n v="0"/>
    <n v="13.199"/>
    <n v="12.40706"/>
    <n v="13.199"/>
    <n v="12.40706"/>
    <n v="0"/>
    <x v="0"/>
    <n v="0"/>
    <n v="0"/>
    <n v="66"/>
    <n v="6"/>
    <n v="0"/>
    <n v="2263.58"/>
    <n v="223.72"/>
    <m/>
    <n v="2325.9355132623718"/>
    <n v="221.35055346817671"/>
    <n v="0"/>
    <n v="28084.372874799999"/>
    <n v="2775.7074631999999"/>
    <n v="0"/>
    <n v="28858.021469177042"/>
    <n v="2746.3095979128766"/>
  </r>
  <r>
    <s v="Regular"/>
    <x v="0"/>
    <x v="1"/>
    <x v="5"/>
    <x v="3"/>
    <x v="0"/>
    <x v="0"/>
    <x v="1"/>
    <x v="6"/>
    <n v="0"/>
    <n v="0"/>
    <n v="12.122999999999999"/>
    <n v="11.395619999999999"/>
    <n v="12.122999999999999"/>
    <n v="11.395619999999999"/>
    <n v="0"/>
    <x v="0"/>
    <n v="0"/>
    <n v="0"/>
    <n v="66"/>
    <n v="6"/>
    <n v="0"/>
    <n v="2263.58"/>
    <n v="223.72"/>
    <m/>
    <n v="2325.9355132623718"/>
    <n v="221.35055346817671"/>
    <n v="0"/>
    <n v="25794.897519599996"/>
    <n v="2549.4281063999997"/>
    <n v="0"/>
    <n v="26505.477253642948"/>
    <n v="2522.4267941130238"/>
  </r>
  <r>
    <s v="Regular"/>
    <x v="0"/>
    <x v="1"/>
    <x v="5"/>
    <x v="3"/>
    <x v="0"/>
    <x v="0"/>
    <x v="1"/>
    <x v="7"/>
    <n v="0"/>
    <n v="0"/>
    <n v="13.7"/>
    <n v="12.878"/>
    <n v="13.7"/>
    <n v="12.878"/>
    <n v="0"/>
    <x v="0"/>
    <n v="0"/>
    <n v="0"/>
    <n v="66"/>
    <n v="6"/>
    <n v="0"/>
    <n v="2263.58"/>
    <n v="223.72"/>
    <m/>
    <n v="2325.9355132623718"/>
    <n v="221.35055346817671"/>
    <n v="0"/>
    <n v="29150.383239999999"/>
    <n v="2881.0661599999999"/>
    <n v="0"/>
    <n v="29953.397539792826"/>
    <n v="2850.5524275631797"/>
  </r>
  <r>
    <s v="Regular"/>
    <x v="0"/>
    <x v="1"/>
    <x v="5"/>
    <x v="3"/>
    <x v="0"/>
    <x v="0"/>
    <x v="1"/>
    <x v="8"/>
    <n v="0"/>
    <n v="0"/>
    <n v="14.138"/>
    <n v="13.289720000000001"/>
    <n v="14.138"/>
    <n v="13.289720000000001"/>
    <n v="0"/>
    <x v="0"/>
    <n v="0"/>
    <n v="0"/>
    <n v="66"/>
    <n v="6"/>
    <n v="0"/>
    <n v="2263.58"/>
    <n v="223.72"/>
    <m/>
    <n v="2325.9355132623718"/>
    <n v="221.35055346817671"/>
    <n v="0"/>
    <n v="30082.344397600002"/>
    <n v="2973.1761584000001"/>
    <n v="0"/>
    <n v="30911.031709313211"/>
    <n v="2941.6868774370978"/>
  </r>
  <r>
    <s v="Regular"/>
    <x v="0"/>
    <x v="1"/>
    <x v="5"/>
    <x v="3"/>
    <x v="0"/>
    <x v="0"/>
    <x v="1"/>
    <x v="9"/>
    <n v="0"/>
    <n v="0"/>
    <n v="13.545"/>
    <n v="12.7323"/>
    <n v="13.545"/>
    <n v="12.7323"/>
    <n v="0"/>
    <x v="0"/>
    <n v="0"/>
    <n v="0"/>
    <n v="66"/>
    <n v="6"/>
    <n v="0"/>
    <n v="2263.58"/>
    <n v="223.72"/>
    <m/>
    <n v="2325.9355132623718"/>
    <n v="221.35055346817671"/>
    <n v="0"/>
    <n v="28820.579634000002"/>
    <n v="2848.4701559999999"/>
    <n v="0"/>
    <n v="29614.508735510499"/>
    <n v="2818.3016519228663"/>
  </r>
  <r>
    <s v="Regular"/>
    <x v="0"/>
    <x v="1"/>
    <x v="5"/>
    <x v="3"/>
    <x v="0"/>
    <x v="0"/>
    <x v="1"/>
    <x v="10"/>
    <n v="0"/>
    <n v="0"/>
    <n v="16.222000000000001"/>
    <n v="15.24868"/>
    <n v="16.222000000000001"/>
    <n v="15.24868"/>
    <n v="0"/>
    <x v="0"/>
    <n v="0"/>
    <n v="0"/>
    <n v="66"/>
    <n v="6"/>
    <n v="0"/>
    <n v="2263.58"/>
    <n v="223.72"/>
    <m/>
    <n v="2325.9355132623718"/>
    <n v="221.35055346817671"/>
    <n v="0"/>
    <n v="34516.607074400003"/>
    <n v="3411.4346896000002"/>
    <n v="0"/>
    <n v="35467.446342373667"/>
    <n v="3375.3037576591169"/>
  </r>
  <r>
    <s v="PROJETADO"/>
    <x v="0"/>
    <x v="1"/>
    <x v="5"/>
    <x v="3"/>
    <x v="0"/>
    <x v="0"/>
    <x v="1"/>
    <x v="11"/>
    <n v="0"/>
    <n v="0"/>
    <n v="16.222000000000001"/>
    <n v="15.24868"/>
    <n v="16.222000000000001"/>
    <n v="15.24868"/>
    <n v="0"/>
    <x v="0"/>
    <n v="0"/>
    <n v="0"/>
    <n v="66"/>
    <n v="6"/>
    <n v="0"/>
    <n v="2263.58"/>
    <n v="223.72"/>
    <m/>
    <n v="2325.9355132623718"/>
    <n v="221.35055346817671"/>
    <n v="0"/>
    <n v="34516.607074400003"/>
    <n v="3411.4346896000002"/>
    <n v="0"/>
    <n v="35467.446342373667"/>
    <n v="3375.3037576591169"/>
  </r>
  <r>
    <s v="Regular"/>
    <x v="1"/>
    <x v="2"/>
    <x v="3"/>
    <x v="1"/>
    <x v="0"/>
    <x v="0"/>
    <x v="2"/>
    <x v="0"/>
    <n v="0"/>
    <n v="0"/>
    <n v="2193.27"/>
    <n v="2193.27"/>
    <n v="2193.27"/>
    <n v="2193.27"/>
    <n v="8530"/>
    <x v="0"/>
    <n v="0"/>
    <n v="0"/>
    <n v="53"/>
    <n v="9"/>
    <n v="0"/>
    <n v="440.1"/>
    <n v="223.72"/>
    <m/>
    <n v="485.19706717209556"/>
    <n v="221.35055346817671"/>
    <n v="0"/>
    <n v="965258.12700000009"/>
    <n v="490678.36440000002"/>
    <n v="0"/>
    <n v="1064168.1715165421"/>
    <n v="485481.52840514795"/>
  </r>
  <r>
    <s v="Refaturamento - Regular"/>
    <x v="1"/>
    <x v="2"/>
    <x v="3"/>
    <x v="1"/>
    <x v="0"/>
    <x v="0"/>
    <x v="2"/>
    <x v="0"/>
    <n v="0"/>
    <n v="0"/>
    <n v="-1.77"/>
    <n v="-1.77"/>
    <n v="-1.77"/>
    <n v="-1.77"/>
    <n v="0"/>
    <x v="0"/>
    <n v="0"/>
    <n v="0"/>
    <n v="53"/>
    <n v="9"/>
    <n v="0"/>
    <n v="440.1"/>
    <n v="223.72"/>
    <m/>
    <n v="485.19706717209556"/>
    <n v="221.35055346817671"/>
    <n v="0"/>
    <n v="-778.97700000000009"/>
    <n v="-395.98439999999999"/>
    <n v="0"/>
    <n v="-858.79880889460912"/>
    <n v="-391.79047963867276"/>
  </r>
  <r>
    <s v="Sistema de Compensação"/>
    <x v="1"/>
    <x v="2"/>
    <x v="3"/>
    <x v="1"/>
    <x v="0"/>
    <x v="0"/>
    <x v="2"/>
    <x v="0"/>
    <n v="0"/>
    <n v="0"/>
    <n v="19.829000000000001"/>
    <n v="19.829000000000001"/>
    <n v="19.829000000000001"/>
    <n v="19.829000000000001"/>
    <n v="60"/>
    <x v="0"/>
    <n v="0"/>
    <n v="0"/>
    <n v="53"/>
    <n v="9"/>
    <n v="0"/>
    <n v="440.1"/>
    <n v="223.72"/>
    <m/>
    <n v="485.19706717209556"/>
    <n v="221.35055346817671"/>
    <n v="0"/>
    <n v="8726.7429000000011"/>
    <n v="4436.1438800000005"/>
    <n v="0"/>
    <n v="9620.9726449554837"/>
    <n v="4389.1601247204762"/>
  </r>
  <r>
    <s v="Regular"/>
    <x v="1"/>
    <x v="2"/>
    <x v="3"/>
    <x v="1"/>
    <x v="0"/>
    <x v="0"/>
    <x v="2"/>
    <x v="1"/>
    <n v="0"/>
    <n v="0"/>
    <n v="1905.6780000000001"/>
    <n v="1905.6780000000001"/>
    <n v="1905.6780000000001"/>
    <n v="1905.6780000000001"/>
    <n v="8589"/>
    <x v="0"/>
    <n v="0"/>
    <n v="0"/>
    <n v="53"/>
    <n v="9"/>
    <n v="0"/>
    <n v="440.1"/>
    <n v="223.72"/>
    <m/>
    <n v="485.19706717209556"/>
    <n v="221.35055346817671"/>
    <n v="0"/>
    <n v="838688.88780000014"/>
    <n v="426338.28216"/>
    <n v="0"/>
    <n v="924629.37657438475"/>
    <n v="421822.88003212807"/>
  </r>
  <r>
    <s v="Refaturamento - Regular"/>
    <x v="1"/>
    <x v="2"/>
    <x v="3"/>
    <x v="1"/>
    <x v="0"/>
    <x v="0"/>
    <x v="2"/>
    <x v="1"/>
    <n v="0"/>
    <n v="0"/>
    <n v="-4.58"/>
    <n v="-4.58"/>
    <n v="-4.58"/>
    <n v="-4.58"/>
    <n v="0"/>
    <x v="0"/>
    <n v="0"/>
    <n v="0"/>
    <n v="53"/>
    <n v="9"/>
    <n v="0"/>
    <n v="440.1"/>
    <n v="223.72"/>
    <m/>
    <n v="485.19706717209556"/>
    <n v="221.35055346817671"/>
    <n v="0"/>
    <n v="-2015.6580000000001"/>
    <n v="-1024.6376"/>
    <n v="0"/>
    <n v="-2222.2025676481976"/>
    <n v="-1013.7855348842494"/>
  </r>
  <r>
    <s v="Sistema de Compensação"/>
    <x v="1"/>
    <x v="2"/>
    <x v="3"/>
    <x v="1"/>
    <x v="0"/>
    <x v="0"/>
    <x v="2"/>
    <x v="1"/>
    <n v="0"/>
    <n v="0"/>
    <n v="21.742000000000001"/>
    <n v="21.742000000000001"/>
    <n v="21.742000000000001"/>
    <n v="21.742000000000001"/>
    <n v="63"/>
    <x v="0"/>
    <n v="0"/>
    <n v="0"/>
    <n v="53"/>
    <n v="9"/>
    <n v="0"/>
    <n v="440.1"/>
    <n v="223.72"/>
    <m/>
    <n v="485.19706717209556"/>
    <n v="221.35055346817671"/>
    <n v="0"/>
    <n v="9568.6542000000009"/>
    <n v="4864.1202400000002"/>
    <n v="0"/>
    <n v="10549.154634455703"/>
    <n v="4812.6037335050987"/>
  </r>
  <r>
    <s v="Regular"/>
    <x v="1"/>
    <x v="2"/>
    <x v="3"/>
    <x v="1"/>
    <x v="0"/>
    <x v="0"/>
    <x v="2"/>
    <x v="2"/>
    <n v="0"/>
    <n v="0"/>
    <n v="1775.2840000000001"/>
    <n v="1775.2840000000001"/>
    <n v="1775.2840000000001"/>
    <n v="1775.2840000000001"/>
    <n v="8695"/>
    <x v="0"/>
    <n v="0"/>
    <n v="0"/>
    <n v="53"/>
    <n v="9"/>
    <n v="0"/>
    <n v="440.1"/>
    <n v="223.72"/>
    <m/>
    <n v="485.19706717209556"/>
    <n v="221.35055346817671"/>
    <n v="0"/>
    <n v="781302.48840000003"/>
    <n v="397166.53648000001"/>
    <n v="0"/>
    <n v="861362.59019754652"/>
    <n v="392960.09596319863"/>
  </r>
  <r>
    <s v="Refaturamento - Regular"/>
    <x v="1"/>
    <x v="2"/>
    <x v="3"/>
    <x v="1"/>
    <x v="0"/>
    <x v="0"/>
    <x v="2"/>
    <x v="2"/>
    <n v="0"/>
    <n v="0"/>
    <n v="-0.875"/>
    <n v="-0.875"/>
    <n v="-0.875"/>
    <n v="-0.875"/>
    <n v="0"/>
    <x v="0"/>
    <n v="0"/>
    <n v="0"/>
    <n v="53"/>
    <n v="9"/>
    <n v="0"/>
    <n v="440.1"/>
    <n v="223.72"/>
    <m/>
    <n v="485.19706717209556"/>
    <n v="221.35055346817671"/>
    <n v="0"/>
    <n v="-385.08750000000003"/>
    <n v="-195.755"/>
    <n v="0"/>
    <n v="-424.54743377558361"/>
    <n v="-193.68173428465462"/>
  </r>
  <r>
    <s v="Sistema de Compensação"/>
    <x v="1"/>
    <x v="2"/>
    <x v="3"/>
    <x v="1"/>
    <x v="0"/>
    <x v="0"/>
    <x v="2"/>
    <x v="2"/>
    <n v="0"/>
    <n v="0"/>
    <n v="21.11"/>
    <n v="21.11"/>
    <n v="21.11"/>
    <n v="21.11"/>
    <n v="63"/>
    <x v="0"/>
    <n v="0"/>
    <n v="0"/>
    <n v="53"/>
    <n v="9"/>
    <n v="0"/>
    <n v="440.1"/>
    <n v="223.72"/>
    <m/>
    <n v="485.19706717209556"/>
    <n v="221.35055346817671"/>
    <n v="0"/>
    <n v="9290.5110000000004"/>
    <n v="4722.7291999999998"/>
    <n v="0"/>
    <n v="10242.510088002937"/>
    <n v="4672.7101837132104"/>
  </r>
  <r>
    <s v="Regular"/>
    <x v="1"/>
    <x v="2"/>
    <x v="3"/>
    <x v="1"/>
    <x v="0"/>
    <x v="0"/>
    <x v="2"/>
    <x v="3"/>
    <n v="0"/>
    <n v="0"/>
    <n v="1794.009"/>
    <n v="1794.009"/>
    <n v="1794.009"/>
    <n v="1794.009"/>
    <n v="8747"/>
    <x v="0"/>
    <n v="0"/>
    <n v="0"/>
    <n v="53"/>
    <n v="9"/>
    <n v="0"/>
    <n v="440.1"/>
    <n v="223.72"/>
    <m/>
    <n v="485.19706717209556"/>
    <n v="221.35055346817671"/>
    <n v="0"/>
    <n v="789543.36090000009"/>
    <n v="401355.69348000002"/>
    <n v="0"/>
    <n v="870447.90528034396"/>
    <n v="397104.88507689023"/>
  </r>
  <r>
    <s v="Refaturamento - Regular"/>
    <x v="1"/>
    <x v="2"/>
    <x v="3"/>
    <x v="1"/>
    <x v="0"/>
    <x v="0"/>
    <x v="2"/>
    <x v="3"/>
    <n v="0"/>
    <n v="0"/>
    <n v="-1.389"/>
    <n v="-1.389"/>
    <n v="-1.389"/>
    <n v="-1.389"/>
    <n v="0"/>
    <x v="0"/>
    <n v="0"/>
    <n v="0"/>
    <n v="53"/>
    <n v="9"/>
    <n v="0"/>
    <n v="440.1"/>
    <n v="223.72"/>
    <m/>
    <n v="485.19706717209556"/>
    <n v="221.35055346817671"/>
    <n v="0"/>
    <n v="-611.2989"/>
    <n v="-310.74707999999998"/>
    <n v="0"/>
    <n v="-673.93872630204078"/>
    <n v="-307.45591876729748"/>
  </r>
  <r>
    <s v="Sistema de Compensação"/>
    <x v="1"/>
    <x v="2"/>
    <x v="3"/>
    <x v="1"/>
    <x v="0"/>
    <x v="0"/>
    <x v="2"/>
    <x v="3"/>
    <n v="0"/>
    <n v="0"/>
    <n v="21.29"/>
    <n v="21.29"/>
    <n v="21.29"/>
    <n v="21.29"/>
    <n v="72"/>
    <x v="0"/>
    <n v="0"/>
    <n v="0"/>
    <n v="53"/>
    <n v="9"/>
    <n v="0"/>
    <n v="440.1"/>
    <n v="223.72"/>
    <m/>
    <n v="485.19706717209556"/>
    <n v="221.35055346817671"/>
    <n v="0"/>
    <n v="9369.7289999999994"/>
    <n v="4762.9987999999994"/>
    <n v="0"/>
    <n v="10329.845560093914"/>
    <n v="4712.5532833374818"/>
  </r>
  <r>
    <s v="Sistema de Compensação"/>
    <x v="1"/>
    <x v="2"/>
    <x v="3"/>
    <x v="1"/>
    <x v="0"/>
    <x v="0"/>
    <x v="2"/>
    <x v="3"/>
    <n v="0"/>
    <n v="0"/>
    <n v="-3.9E-2"/>
    <n v="-3.9E-2"/>
    <n v="-3.9E-2"/>
    <n v="-3.9E-2"/>
    <n v="9"/>
    <x v="0"/>
    <n v="0"/>
    <n v="0"/>
    <n v="53"/>
    <n v="9"/>
    <n v="0"/>
    <n v="440.1"/>
    <n v="223.72"/>
    <m/>
    <n v="485.19706717209556"/>
    <n v="221.35055346817671"/>
    <n v="0"/>
    <n v="-17.163900000000002"/>
    <n v="-8.7250800000000002"/>
    <n v="0"/>
    <n v="-18.922685619711725"/>
    <n v="-8.6326715852588922"/>
  </r>
  <r>
    <s v="Regular"/>
    <x v="1"/>
    <x v="2"/>
    <x v="3"/>
    <x v="1"/>
    <x v="0"/>
    <x v="0"/>
    <x v="2"/>
    <x v="4"/>
    <n v="0"/>
    <n v="0"/>
    <n v="1843.434"/>
    <n v="1843.434"/>
    <n v="1843.434"/>
    <n v="1843.434"/>
    <n v="8818"/>
    <x v="0"/>
    <n v="0"/>
    <n v="0"/>
    <n v="53"/>
    <n v="9"/>
    <n v="0"/>
    <n v="440.1"/>
    <n v="223.72"/>
    <m/>
    <n v="485.19706717209556"/>
    <n v="221.35055346817671"/>
    <n v="0"/>
    <n v="811295.30339999998"/>
    <n v="412413.05447999999"/>
    <n v="0"/>
    <n v="894428.77032532473"/>
    <n v="408045.13618205488"/>
  </r>
  <r>
    <s v="Refaturamento - Regular"/>
    <x v="1"/>
    <x v="2"/>
    <x v="3"/>
    <x v="1"/>
    <x v="0"/>
    <x v="0"/>
    <x v="2"/>
    <x v="4"/>
    <n v="0"/>
    <n v="0"/>
    <n v="-7.4560000000000004"/>
    <n v="-7.4560000000000004"/>
    <n v="-7.4560000000000004"/>
    <n v="-7.4560000000000004"/>
    <n v="0"/>
    <x v="0"/>
    <n v="0"/>
    <n v="0"/>
    <n v="53"/>
    <n v="9"/>
    <n v="0"/>
    <n v="440.1"/>
    <n v="223.72"/>
    <m/>
    <n v="485.19706717209556"/>
    <n v="221.35055346817671"/>
    <n v="0"/>
    <n v="-3281.3856000000005"/>
    <n v="-1668.0563200000001"/>
    <n v="0"/>
    <n v="-3617.6293328351449"/>
    <n v="-1650.3897266587257"/>
  </r>
  <r>
    <s v="Sistema de Compensação"/>
    <x v="1"/>
    <x v="2"/>
    <x v="3"/>
    <x v="1"/>
    <x v="0"/>
    <x v="0"/>
    <x v="2"/>
    <x v="4"/>
    <n v="0"/>
    <n v="0"/>
    <n v="19.457999999999998"/>
    <n v="19.457999999999998"/>
    <n v="19.457999999999998"/>
    <n v="19.457999999999998"/>
    <n v="75"/>
    <x v="0"/>
    <n v="0"/>
    <n v="0"/>
    <n v="53"/>
    <n v="9"/>
    <n v="0"/>
    <n v="440.1"/>
    <n v="223.72"/>
    <m/>
    <n v="485.19706717209556"/>
    <n v="221.35055346817671"/>
    <n v="0"/>
    <n v="8563.4657999999999"/>
    <n v="4353.1437599999999"/>
    <n v="0"/>
    <n v="9440.9645330346339"/>
    <n v="4307.0390693837817"/>
  </r>
  <r>
    <s v="Regular"/>
    <x v="1"/>
    <x v="2"/>
    <x v="3"/>
    <x v="1"/>
    <x v="0"/>
    <x v="0"/>
    <x v="2"/>
    <x v="5"/>
    <n v="0"/>
    <n v="0"/>
    <n v="1945.261"/>
    <n v="1945.261"/>
    <n v="1945.261"/>
    <n v="1945.261"/>
    <n v="8866"/>
    <x v="0"/>
    <n v="0"/>
    <n v="0"/>
    <n v="53"/>
    <n v="9"/>
    <n v="0"/>
    <n v="440.1"/>
    <n v="223.72"/>
    <m/>
    <n v="485.19706717209556"/>
    <n v="221.35055346817671"/>
    <n v="0"/>
    <n v="856109.36609999998"/>
    <n v="435193.79092"/>
    <n v="0"/>
    <n v="943834.93208425771"/>
    <n v="430584.59899005888"/>
  </r>
  <r>
    <s v="Refaturamento - Regular"/>
    <x v="1"/>
    <x v="2"/>
    <x v="3"/>
    <x v="1"/>
    <x v="0"/>
    <x v="0"/>
    <x v="2"/>
    <x v="5"/>
    <n v="0"/>
    <n v="0"/>
    <n v="-1.0069999999999999"/>
    <n v="-1.0069999999999999"/>
    <n v="-1.0069999999999999"/>
    <n v="-1.0069999999999999"/>
    <n v="0"/>
    <x v="0"/>
    <n v="0"/>
    <n v="0"/>
    <n v="53"/>
    <n v="9"/>
    <n v="0"/>
    <n v="440.1"/>
    <n v="223.72"/>
    <m/>
    <n v="485.19706717209556"/>
    <n v="221.35055346817671"/>
    <n v="0"/>
    <n v="-443.1807"/>
    <n v="-225.28603999999999"/>
    <n v="0"/>
    <n v="-488.59344664230019"/>
    <n v="-222.90000734245393"/>
  </r>
  <r>
    <s v="Sistema de Compensação"/>
    <x v="1"/>
    <x v="2"/>
    <x v="3"/>
    <x v="1"/>
    <x v="0"/>
    <x v="0"/>
    <x v="2"/>
    <x v="5"/>
    <n v="0"/>
    <n v="0"/>
    <n v="22.57"/>
    <n v="22.57"/>
    <n v="22.57"/>
    <n v="22.57"/>
    <n v="83"/>
    <x v="0"/>
    <n v="0"/>
    <n v="0"/>
    <n v="53"/>
    <n v="9"/>
    <n v="0"/>
    <n v="440.1"/>
    <n v="223.72"/>
    <m/>
    <n v="485.19706717209556"/>
    <n v="221.35055346817671"/>
    <n v="0"/>
    <n v="9933.0570000000007"/>
    <n v="5049.3604000000005"/>
    <n v="0"/>
    <n v="10950.897806074197"/>
    <n v="4995.8819917767487"/>
  </r>
  <r>
    <s v="Sistema de Compensação"/>
    <x v="1"/>
    <x v="2"/>
    <x v="3"/>
    <x v="1"/>
    <x v="0"/>
    <x v="0"/>
    <x v="2"/>
    <x v="5"/>
    <n v="0"/>
    <n v="0"/>
    <n v="0.114"/>
    <n v="0.114"/>
    <n v="0.114"/>
    <n v="0.114"/>
    <n v="1"/>
    <x v="0"/>
    <n v="0"/>
    <n v="0"/>
    <n v="53"/>
    <n v="9"/>
    <n v="0"/>
    <n v="440.1"/>
    <n v="223.72"/>
    <m/>
    <n v="485.19706717209556"/>
    <n v="221.35055346817671"/>
    <n v="0"/>
    <n v="50.171400000000006"/>
    <n v="25.504080000000002"/>
    <n v="0"/>
    <n v="55.312465657618894"/>
    <n v="25.233963095372147"/>
  </r>
  <r>
    <s v="Regular"/>
    <x v="1"/>
    <x v="2"/>
    <x v="3"/>
    <x v="1"/>
    <x v="0"/>
    <x v="0"/>
    <x v="2"/>
    <x v="6"/>
    <n v="0"/>
    <n v="0"/>
    <n v="1757.075"/>
    <n v="1757.075"/>
    <n v="1757.075"/>
    <n v="1757.075"/>
    <n v="8922"/>
    <x v="0"/>
    <n v="0"/>
    <n v="0"/>
    <n v="53"/>
    <n v="9"/>
    <n v="0"/>
    <n v="440.1"/>
    <n v="223.72"/>
    <m/>
    <n v="485.19706717209556"/>
    <n v="221.35055346817671"/>
    <n v="0"/>
    <n v="773288.70750000002"/>
    <n v="393092.81900000002"/>
    <n v="0"/>
    <n v="852527.63680140977"/>
    <n v="388929.52373509662"/>
  </r>
  <r>
    <s v="Refaturamento - Regular"/>
    <x v="1"/>
    <x v="2"/>
    <x v="3"/>
    <x v="1"/>
    <x v="0"/>
    <x v="0"/>
    <x v="2"/>
    <x v="6"/>
    <n v="0"/>
    <n v="0"/>
    <n v="-2.9000000000000001E-2"/>
    <n v="-2.9000000000000001E-2"/>
    <n v="-2.9000000000000001E-2"/>
    <n v="-2.9000000000000001E-2"/>
    <n v="0"/>
    <x v="0"/>
    <n v="0"/>
    <n v="0"/>
    <n v="53"/>
    <n v="9"/>
    <n v="0"/>
    <n v="440.1"/>
    <n v="223.72"/>
    <m/>
    <n v="485.19706717209556"/>
    <n v="221.35055346817671"/>
    <n v="0"/>
    <n v="-12.762900000000002"/>
    <n v="-6.4878800000000005"/>
    <n v="0"/>
    <n v="-14.070714947990773"/>
    <n v="-6.4191660505771253"/>
  </r>
  <r>
    <s v="Sistema de Compensação"/>
    <x v="1"/>
    <x v="2"/>
    <x v="3"/>
    <x v="1"/>
    <x v="0"/>
    <x v="0"/>
    <x v="2"/>
    <x v="6"/>
    <n v="0"/>
    <n v="0"/>
    <n v="24.212"/>
    <n v="24.212"/>
    <n v="24.212"/>
    <n v="24.212"/>
    <n v="100"/>
    <x v="0"/>
    <n v="0"/>
    <n v="0"/>
    <n v="53"/>
    <n v="9"/>
    <n v="0"/>
    <n v="440.1"/>
    <n v="223.72"/>
    <m/>
    <n v="485.19706717209556"/>
    <n v="221.35055346817671"/>
    <n v="0"/>
    <n v="10655.701200000001"/>
    <n v="5416.7086399999998"/>
    <n v="0"/>
    <n v="11747.591390370777"/>
    <n v="5359.3396005714949"/>
  </r>
  <r>
    <s v="Regular"/>
    <x v="1"/>
    <x v="2"/>
    <x v="3"/>
    <x v="1"/>
    <x v="0"/>
    <x v="0"/>
    <x v="2"/>
    <x v="7"/>
    <n v="0"/>
    <n v="0"/>
    <n v="1970.489"/>
    <n v="1970.489"/>
    <n v="1970.489"/>
    <n v="1970.489"/>
    <n v="8956"/>
    <x v="0"/>
    <n v="0"/>
    <n v="0"/>
    <n v="53"/>
    <n v="9"/>
    <n v="0"/>
    <n v="440.1"/>
    <n v="223.72"/>
    <m/>
    <n v="485.19706717209556"/>
    <n v="221.35055346817671"/>
    <n v="0"/>
    <n v="867212.20890000009"/>
    <n v="440837.79908000003"/>
    <n v="0"/>
    <n v="956075.48369487538"/>
    <n v="436168.83075295406"/>
  </r>
  <r>
    <s v="Refaturamento - Regular"/>
    <x v="1"/>
    <x v="2"/>
    <x v="3"/>
    <x v="1"/>
    <x v="0"/>
    <x v="0"/>
    <x v="2"/>
    <x v="7"/>
    <n v="0"/>
    <n v="0"/>
    <n v="-0.65"/>
    <n v="-0.65"/>
    <n v="-0.65"/>
    <n v="-0.65"/>
    <n v="0"/>
    <x v="0"/>
    <n v="0"/>
    <n v="0"/>
    <n v="53"/>
    <n v="9"/>
    <n v="0"/>
    <n v="440.1"/>
    <n v="223.72"/>
    <m/>
    <n v="485.19706717209556"/>
    <n v="221.35055346817671"/>
    <n v="0"/>
    <n v="-286.065"/>
    <n v="-145.41800000000001"/>
    <n v="0"/>
    <n v="-315.37809366186212"/>
    <n v="-143.87785975431487"/>
  </r>
  <r>
    <s v="Sistema de Compensação"/>
    <x v="1"/>
    <x v="2"/>
    <x v="3"/>
    <x v="1"/>
    <x v="0"/>
    <x v="0"/>
    <x v="2"/>
    <x v="7"/>
    <n v="0"/>
    <n v="0"/>
    <n v="21.847000000000001"/>
    <n v="21.847000000000001"/>
    <n v="21.847000000000001"/>
    <n v="21.847000000000001"/>
    <n v="107"/>
    <x v="0"/>
    <n v="0"/>
    <n v="0"/>
    <n v="53"/>
    <n v="9"/>
    <n v="0"/>
    <n v="440.1"/>
    <n v="223.72"/>
    <m/>
    <n v="485.19706717209556"/>
    <n v="221.35055346817671"/>
    <n v="0"/>
    <n v="9614.8647000000019"/>
    <n v="4887.6108400000003"/>
    <n v="0"/>
    <n v="10600.100326508773"/>
    <n v="4835.8455416192573"/>
  </r>
  <r>
    <s v="Regular"/>
    <x v="1"/>
    <x v="2"/>
    <x v="3"/>
    <x v="1"/>
    <x v="0"/>
    <x v="0"/>
    <x v="2"/>
    <x v="8"/>
    <n v="0"/>
    <n v="0"/>
    <n v="1846.473"/>
    <n v="1846.473"/>
    <n v="1846.473"/>
    <n v="1846.473"/>
    <n v="8994"/>
    <x v="0"/>
    <n v="0"/>
    <n v="0"/>
    <n v="53"/>
    <n v="9"/>
    <n v="0"/>
    <n v="440.1"/>
    <n v="223.72"/>
    <m/>
    <n v="485.19706717209556"/>
    <n v="221.35055346817671"/>
    <n v="0"/>
    <n v="812632.76730000007"/>
    <n v="413092.93955999997"/>
    <n v="0"/>
    <n v="895903.28421246074"/>
    <n v="408717.82051404467"/>
  </r>
  <r>
    <s v="Refaturamento - Regular"/>
    <x v="1"/>
    <x v="2"/>
    <x v="3"/>
    <x v="1"/>
    <x v="0"/>
    <x v="0"/>
    <x v="2"/>
    <x v="8"/>
    <n v="0"/>
    <n v="0"/>
    <n v="-1.097"/>
    <n v="-1.097"/>
    <n v="-1.097"/>
    <n v="-1.097"/>
    <n v="0"/>
    <x v="0"/>
    <n v="0"/>
    <n v="0"/>
    <n v="53"/>
    <n v="9"/>
    <n v="0"/>
    <n v="440.1"/>
    <n v="223.72"/>
    <m/>
    <n v="485.19706717209556"/>
    <n v="221.35055346817671"/>
    <n v="0"/>
    <n v="-482.78970000000004"/>
    <n v="-245.42084"/>
    <n v="0"/>
    <n v="-532.26118268778885"/>
    <n v="-242.82155715458984"/>
  </r>
  <r>
    <s v="Sistema de Compensação"/>
    <x v="1"/>
    <x v="2"/>
    <x v="3"/>
    <x v="1"/>
    <x v="0"/>
    <x v="0"/>
    <x v="2"/>
    <x v="8"/>
    <n v="0"/>
    <n v="0"/>
    <n v="18.452000000000002"/>
    <n v="18.452000000000002"/>
    <n v="18.452000000000002"/>
    <n v="18.452000000000002"/>
    <n v="111"/>
    <x v="0"/>
    <n v="0"/>
    <n v="0"/>
    <n v="53"/>
    <n v="9"/>
    <n v="0"/>
    <n v="440.1"/>
    <n v="223.72"/>
    <m/>
    <n v="485.19706717209556"/>
    <n v="221.35055346817671"/>
    <n v="0"/>
    <n v="8120.7252000000008"/>
    <n v="4128.0814399999999"/>
    <n v="0"/>
    <n v="8952.8562834595086"/>
    <n v="4084.3604125947973"/>
  </r>
  <r>
    <s v="Sistema de Compensação"/>
    <x v="1"/>
    <x v="2"/>
    <x v="3"/>
    <x v="1"/>
    <x v="0"/>
    <x v="0"/>
    <x v="2"/>
    <x v="8"/>
    <n v="0"/>
    <n v="0"/>
    <n v="-3.0000000000000001E-3"/>
    <n v="-3.0000000000000001E-3"/>
    <n v="-3.0000000000000001E-3"/>
    <n v="-3.0000000000000001E-3"/>
    <n v="2"/>
    <x v="0"/>
    <n v="0"/>
    <n v="0"/>
    <n v="53"/>
    <n v="9"/>
    <n v="0"/>
    <n v="440.1"/>
    <n v="223.72"/>
    <m/>
    <n v="485.19706717209556"/>
    <n v="221.35055346817671"/>
    <n v="0"/>
    <n v="-1.3203"/>
    <n v="-0.67115999999999998"/>
    <n v="0"/>
    <n v="-1.4555912015162866"/>
    <n v="-0.66405166040453012"/>
  </r>
  <r>
    <s v="Regular"/>
    <x v="1"/>
    <x v="2"/>
    <x v="3"/>
    <x v="1"/>
    <x v="0"/>
    <x v="0"/>
    <x v="2"/>
    <x v="9"/>
    <n v="0"/>
    <n v="0"/>
    <n v="2384.5169999999998"/>
    <n v="2384.5169999999998"/>
    <n v="2384.5169999999998"/>
    <n v="2384.5169999999998"/>
    <n v="9026"/>
    <x v="0"/>
    <n v="0"/>
    <n v="0"/>
    <n v="53"/>
    <n v="9"/>
    <n v="0"/>
    <n v="440.1"/>
    <n v="223.72"/>
    <m/>
    <n v="485.19706717209556"/>
    <n v="221.35055346817671"/>
    <n v="0"/>
    <n v="1049425.9317000001"/>
    <n v="533464.14324"/>
    <n v="0"/>
    <n v="1156960.6550220037"/>
    <n v="527814.15770427627"/>
  </r>
  <r>
    <s v="Refaturamento - Regular"/>
    <x v="1"/>
    <x v="2"/>
    <x v="3"/>
    <x v="1"/>
    <x v="0"/>
    <x v="0"/>
    <x v="2"/>
    <x v="9"/>
    <n v="0"/>
    <n v="0"/>
    <n v="-1.196"/>
    <n v="-1.196"/>
    <n v="-1.196"/>
    <n v="-1.196"/>
    <n v="0"/>
    <x v="0"/>
    <n v="0"/>
    <n v="0"/>
    <n v="53"/>
    <n v="9"/>
    <n v="0"/>
    <n v="440.1"/>
    <n v="223.72"/>
    <m/>
    <n v="485.19706717209556"/>
    <n v="221.35055346817671"/>
    <n v="0"/>
    <n v="-526.3596"/>
    <n v="-267.56912"/>
    <n v="0"/>
    <n v="-580.29569233782627"/>
    <n v="-264.73526194793936"/>
  </r>
  <r>
    <s v="Sistema de Compensação"/>
    <x v="1"/>
    <x v="2"/>
    <x v="3"/>
    <x v="1"/>
    <x v="0"/>
    <x v="0"/>
    <x v="2"/>
    <x v="9"/>
    <n v="0"/>
    <n v="0"/>
    <n v="34.837000000000003"/>
    <n v="34.837000000000003"/>
    <n v="34.837000000000003"/>
    <n v="34.837000000000003"/>
    <n v="119"/>
    <x v="0"/>
    <n v="0"/>
    <n v="0"/>
    <n v="53"/>
    <n v="9"/>
    <n v="0"/>
    <n v="440.1"/>
    <n v="223.72"/>
    <m/>
    <n v="485.19706717209556"/>
    <n v="221.35055346817671"/>
    <n v="0"/>
    <n v="15331.763700000001"/>
    <n v="7793.7336400000004"/>
    <n v="0"/>
    <n v="16902.810229074294"/>
    <n v="7711.1892311708725"/>
  </r>
  <r>
    <s v="Regular"/>
    <x v="1"/>
    <x v="2"/>
    <x v="3"/>
    <x v="1"/>
    <x v="0"/>
    <x v="0"/>
    <x v="2"/>
    <x v="10"/>
    <n v="0"/>
    <n v="0"/>
    <n v="2147.5990000000002"/>
    <n v="2147.5990000000002"/>
    <n v="2147.5990000000002"/>
    <n v="2147.5990000000002"/>
    <n v="9086"/>
    <x v="0"/>
    <n v="0"/>
    <n v="0"/>
    <n v="53"/>
    <n v="9"/>
    <n v="0"/>
    <n v="440.1"/>
    <n v="223.72"/>
    <m/>
    <n v="485.19706717209556"/>
    <n v="221.35055346817671"/>
    <n v="0"/>
    <n v="945158.31990000012"/>
    <n v="480460.84828000003"/>
    <n v="0"/>
    <n v="1042008.7362617253"/>
    <n v="475372.22727770288"/>
  </r>
  <r>
    <s v="Refaturamento - Regular"/>
    <x v="1"/>
    <x v="2"/>
    <x v="3"/>
    <x v="1"/>
    <x v="0"/>
    <x v="0"/>
    <x v="2"/>
    <x v="10"/>
    <n v="0"/>
    <n v="0"/>
    <n v="-30.757999999999999"/>
    <n v="-30.757999999999999"/>
    <n v="-30.757999999999999"/>
    <n v="-30.757999999999999"/>
    <n v="0"/>
    <x v="0"/>
    <n v="0"/>
    <n v="0"/>
    <n v="53"/>
    <n v="9"/>
    <n v="0"/>
    <n v="440.1"/>
    <n v="223.72"/>
    <m/>
    <n v="485.19706717209556"/>
    <n v="221.35055346817671"/>
    <n v="0"/>
    <n v="-13536.595800000001"/>
    <n v="-6881.17976"/>
    <n v="0"/>
    <n v="-14923.691392079314"/>
    <n v="-6808.3003235741789"/>
  </r>
  <r>
    <s v="Sistema de Compensação"/>
    <x v="1"/>
    <x v="2"/>
    <x v="3"/>
    <x v="1"/>
    <x v="0"/>
    <x v="0"/>
    <x v="2"/>
    <x v="10"/>
    <n v="0"/>
    <n v="0"/>
    <n v="24.695"/>
    <n v="24.695"/>
    <n v="24.695"/>
    <n v="24.695"/>
    <n v="128"/>
    <x v="0"/>
    <n v="0"/>
    <n v="0"/>
    <n v="53"/>
    <n v="9"/>
    <n v="0"/>
    <n v="440.1"/>
    <n v="223.72"/>
    <m/>
    <n v="485.19706717209556"/>
    <n v="221.35055346817671"/>
    <n v="0"/>
    <n v="10868.2695"/>
    <n v="5524.7654000000002"/>
    <n v="0"/>
    <n v="11981.9415738149"/>
    <n v="5466.251917896624"/>
  </r>
  <r>
    <s v="PROJETADO"/>
    <x v="1"/>
    <x v="2"/>
    <x v="3"/>
    <x v="1"/>
    <x v="0"/>
    <x v="0"/>
    <x v="2"/>
    <x v="11"/>
    <n v="0"/>
    <n v="0"/>
    <n v="2147.5990000000002"/>
    <n v="2147.5990000000002"/>
    <n v="2147.5990000000002"/>
    <n v="2147.5990000000002"/>
    <n v="9086"/>
    <x v="0"/>
    <n v="0"/>
    <n v="0"/>
    <n v="53"/>
    <n v="9"/>
    <n v="0"/>
    <n v="440.1"/>
    <n v="223.72"/>
    <m/>
    <n v="485.19706717209556"/>
    <n v="221.35055346817671"/>
    <n v="0"/>
    <n v="945158.31990000012"/>
    <n v="480460.84828000003"/>
    <n v="0"/>
    <n v="1042008.7362617253"/>
    <n v="475372.22727770288"/>
  </r>
  <r>
    <s v="PROJETADO"/>
    <x v="1"/>
    <x v="2"/>
    <x v="3"/>
    <x v="1"/>
    <x v="0"/>
    <x v="0"/>
    <x v="2"/>
    <x v="11"/>
    <n v="0"/>
    <n v="0"/>
    <n v="-30.757999999999999"/>
    <n v="-30.757999999999999"/>
    <n v="-30.757999999999999"/>
    <n v="-30.757999999999999"/>
    <n v="0"/>
    <x v="0"/>
    <n v="0"/>
    <n v="0"/>
    <n v="53"/>
    <n v="9"/>
    <n v="0"/>
    <n v="440.1"/>
    <n v="223.72"/>
    <m/>
    <n v="485.19706717209556"/>
    <n v="221.35055346817671"/>
    <n v="0"/>
    <n v="-13536.595800000001"/>
    <n v="-6881.17976"/>
    <n v="0"/>
    <n v="-14923.691392079314"/>
    <n v="-6808.3003235741789"/>
  </r>
  <r>
    <s v="PROJETADO"/>
    <x v="1"/>
    <x v="2"/>
    <x v="3"/>
    <x v="1"/>
    <x v="0"/>
    <x v="0"/>
    <x v="2"/>
    <x v="11"/>
    <n v="0"/>
    <n v="0"/>
    <n v="24.695"/>
    <n v="24.695"/>
    <n v="24.695"/>
    <n v="24.695"/>
    <n v="128"/>
    <x v="0"/>
    <n v="0"/>
    <n v="0"/>
    <n v="53"/>
    <n v="9"/>
    <n v="0"/>
    <n v="440.1"/>
    <n v="223.72"/>
    <m/>
    <n v="485.19706717209556"/>
    <n v="221.35055346817671"/>
    <n v="0"/>
    <n v="10868.2695"/>
    <n v="5524.7654000000002"/>
    <n v="0"/>
    <n v="11981.9415738149"/>
    <n v="5466.251917896624"/>
  </r>
  <r>
    <s v="Regular"/>
    <x v="1"/>
    <x v="2"/>
    <x v="3"/>
    <x v="4"/>
    <x v="0"/>
    <x v="0"/>
    <x v="2"/>
    <x v="0"/>
    <n v="0"/>
    <n v="0"/>
    <n v="1.32"/>
    <n v="1.32"/>
    <n v="1.32"/>
    <n v="1.32"/>
    <n v="0"/>
    <x v="0"/>
    <n v="0"/>
    <n v="0"/>
    <n v="69"/>
    <n v="10"/>
    <n v="0"/>
    <n v="131.74"/>
    <n v="78.3"/>
    <m/>
    <n v="136.16069505461499"/>
    <n v="77.472693713861844"/>
    <n v="0"/>
    <n v="173.89680000000001"/>
    <n v="103.35599999999999"/>
    <n v="0"/>
    <n v="179.7321174720918"/>
    <n v="102.26395570229764"/>
  </r>
  <r>
    <s v="Regular"/>
    <x v="1"/>
    <x v="2"/>
    <x v="3"/>
    <x v="4"/>
    <x v="0"/>
    <x v="0"/>
    <x v="2"/>
    <x v="1"/>
    <n v="0"/>
    <n v="0"/>
    <n v="1.35"/>
    <n v="1.35"/>
    <n v="1.35"/>
    <n v="1.35"/>
    <n v="0"/>
    <x v="0"/>
    <n v="0"/>
    <n v="0"/>
    <n v="69"/>
    <n v="10"/>
    <n v="0"/>
    <n v="131.74"/>
    <n v="78.3"/>
    <m/>
    <n v="136.16069505461499"/>
    <n v="77.472693713861844"/>
    <n v="0"/>
    <n v="177.84900000000002"/>
    <n v="105.705"/>
    <n v="0"/>
    <n v="183.81693832373026"/>
    <n v="104.58813651371349"/>
  </r>
  <r>
    <s v="Regular"/>
    <x v="1"/>
    <x v="2"/>
    <x v="3"/>
    <x v="4"/>
    <x v="0"/>
    <x v="0"/>
    <x v="2"/>
    <x v="2"/>
    <n v="0"/>
    <n v="0"/>
    <n v="1.38"/>
    <n v="1.38"/>
    <n v="1.38"/>
    <n v="1.38"/>
    <n v="0"/>
    <x v="0"/>
    <n v="0"/>
    <n v="0"/>
    <n v="69"/>
    <n v="10"/>
    <n v="0"/>
    <n v="131.74"/>
    <n v="78.3"/>
    <m/>
    <n v="136.16069505461499"/>
    <n v="77.472693713861844"/>
    <n v="0"/>
    <n v="181.80119999999999"/>
    <n v="108.05399999999999"/>
    <n v="0"/>
    <n v="187.90175917536868"/>
    <n v="106.91231732512934"/>
  </r>
  <r>
    <s v="Regular"/>
    <x v="1"/>
    <x v="2"/>
    <x v="3"/>
    <x v="4"/>
    <x v="0"/>
    <x v="0"/>
    <x v="2"/>
    <x v="3"/>
    <n v="0"/>
    <n v="0"/>
    <n v="1.38"/>
    <n v="1.38"/>
    <n v="1.38"/>
    <n v="1.38"/>
    <n v="0"/>
    <x v="0"/>
    <n v="0"/>
    <n v="0"/>
    <n v="69"/>
    <n v="10"/>
    <n v="0"/>
    <n v="131.74"/>
    <n v="78.3"/>
    <m/>
    <n v="136.16069505461499"/>
    <n v="77.472693713861844"/>
    <n v="0"/>
    <n v="181.80119999999999"/>
    <n v="108.05399999999999"/>
    <n v="0"/>
    <n v="187.90175917536868"/>
    <n v="106.91231732512934"/>
  </r>
  <r>
    <s v="Regular"/>
    <x v="1"/>
    <x v="2"/>
    <x v="3"/>
    <x v="4"/>
    <x v="0"/>
    <x v="0"/>
    <x v="2"/>
    <x v="4"/>
    <n v="0"/>
    <n v="0"/>
    <n v="1.47"/>
    <n v="1.47"/>
    <n v="1.47"/>
    <n v="1.47"/>
    <n v="0"/>
    <x v="0"/>
    <n v="0"/>
    <n v="0"/>
    <n v="69"/>
    <n v="10"/>
    <n v="0"/>
    <n v="131.74"/>
    <n v="78.3"/>
    <m/>
    <n v="136.16069505461499"/>
    <n v="77.472693713861844"/>
    <n v="0"/>
    <n v="193.65780000000001"/>
    <n v="115.101"/>
    <n v="0"/>
    <n v="200.15622173028405"/>
    <n v="113.88485975937691"/>
  </r>
  <r>
    <s v="Regular"/>
    <x v="1"/>
    <x v="2"/>
    <x v="3"/>
    <x v="4"/>
    <x v="0"/>
    <x v="0"/>
    <x v="2"/>
    <x v="5"/>
    <n v="0"/>
    <n v="0"/>
    <n v="1.44"/>
    <n v="1.44"/>
    <n v="1.44"/>
    <n v="1.44"/>
    <n v="0"/>
    <x v="0"/>
    <n v="0"/>
    <n v="0"/>
    <n v="69"/>
    <n v="10"/>
    <n v="0"/>
    <n v="131.74"/>
    <n v="78.3"/>
    <m/>
    <n v="136.16069505461499"/>
    <n v="77.472693713861844"/>
    <n v="0"/>
    <n v="189.7056"/>
    <n v="112.752"/>
    <n v="0"/>
    <n v="196.07140087864559"/>
    <n v="111.56067894796105"/>
  </r>
  <r>
    <s v="Regular"/>
    <x v="1"/>
    <x v="2"/>
    <x v="3"/>
    <x v="4"/>
    <x v="0"/>
    <x v="0"/>
    <x v="2"/>
    <x v="6"/>
    <n v="0"/>
    <n v="0"/>
    <n v="1.44"/>
    <n v="1.44"/>
    <n v="1.44"/>
    <n v="1.44"/>
    <n v="0"/>
    <x v="0"/>
    <n v="0"/>
    <n v="0"/>
    <n v="69"/>
    <n v="10"/>
    <n v="0"/>
    <n v="131.74"/>
    <n v="78.3"/>
    <m/>
    <n v="136.16069505461499"/>
    <n v="77.472693713861844"/>
    <n v="0"/>
    <n v="189.7056"/>
    <n v="112.752"/>
    <n v="0"/>
    <n v="196.07140087864559"/>
    <n v="111.56067894796105"/>
  </r>
  <r>
    <s v="Regular"/>
    <x v="1"/>
    <x v="2"/>
    <x v="3"/>
    <x v="4"/>
    <x v="0"/>
    <x v="0"/>
    <x v="2"/>
    <x v="7"/>
    <n v="0"/>
    <n v="0"/>
    <n v="1.47"/>
    <n v="1.47"/>
    <n v="1.47"/>
    <n v="1.47"/>
    <n v="0"/>
    <x v="0"/>
    <n v="0"/>
    <n v="0"/>
    <n v="69"/>
    <n v="10"/>
    <n v="0"/>
    <n v="131.74"/>
    <n v="78.3"/>
    <m/>
    <n v="136.16069505461499"/>
    <n v="77.472693713861844"/>
    <n v="0"/>
    <n v="193.65780000000001"/>
    <n v="115.101"/>
    <n v="0"/>
    <n v="200.15622173028405"/>
    <n v="113.88485975937691"/>
  </r>
  <r>
    <s v="Regular"/>
    <x v="1"/>
    <x v="2"/>
    <x v="3"/>
    <x v="4"/>
    <x v="0"/>
    <x v="0"/>
    <x v="2"/>
    <x v="8"/>
    <n v="0"/>
    <n v="0"/>
    <n v="1.47"/>
    <n v="1.47"/>
    <n v="1.47"/>
    <n v="1.47"/>
    <n v="0"/>
    <x v="0"/>
    <n v="0"/>
    <n v="0"/>
    <n v="69"/>
    <n v="10"/>
    <n v="0"/>
    <n v="131.74"/>
    <n v="78.3"/>
    <m/>
    <n v="136.16069505461499"/>
    <n v="77.472693713861844"/>
    <n v="0"/>
    <n v="193.65780000000001"/>
    <n v="115.101"/>
    <n v="0"/>
    <n v="200.15622173028405"/>
    <n v="113.88485975937691"/>
  </r>
  <r>
    <s v="Regular"/>
    <x v="1"/>
    <x v="2"/>
    <x v="3"/>
    <x v="4"/>
    <x v="0"/>
    <x v="0"/>
    <x v="2"/>
    <x v="9"/>
    <n v="0"/>
    <n v="0"/>
    <n v="1.44"/>
    <n v="1.44"/>
    <n v="1.44"/>
    <n v="1.44"/>
    <n v="0"/>
    <x v="0"/>
    <n v="0"/>
    <n v="0"/>
    <n v="69"/>
    <n v="10"/>
    <n v="0"/>
    <n v="131.74"/>
    <n v="78.3"/>
    <m/>
    <n v="136.16069505461499"/>
    <n v="77.472693713861844"/>
    <n v="0"/>
    <n v="189.7056"/>
    <n v="112.752"/>
    <n v="0"/>
    <n v="196.07140087864559"/>
    <n v="111.56067894796105"/>
  </r>
  <r>
    <s v="Regular"/>
    <x v="1"/>
    <x v="2"/>
    <x v="3"/>
    <x v="4"/>
    <x v="0"/>
    <x v="0"/>
    <x v="2"/>
    <x v="10"/>
    <n v="0"/>
    <n v="0"/>
    <n v="1.44"/>
    <n v="1.44"/>
    <n v="1.44"/>
    <n v="1.44"/>
    <n v="0"/>
    <x v="0"/>
    <n v="0"/>
    <n v="0"/>
    <n v="69"/>
    <n v="10"/>
    <n v="0"/>
    <n v="131.74"/>
    <n v="78.3"/>
    <m/>
    <n v="136.16069505461499"/>
    <n v="77.472693713861844"/>
    <n v="0"/>
    <n v="189.7056"/>
    <n v="112.752"/>
    <n v="0"/>
    <n v="196.07140087864559"/>
    <n v="111.56067894796105"/>
  </r>
  <r>
    <s v="PROJETADO"/>
    <x v="1"/>
    <x v="2"/>
    <x v="3"/>
    <x v="4"/>
    <x v="0"/>
    <x v="0"/>
    <x v="2"/>
    <x v="11"/>
    <n v="0"/>
    <n v="0"/>
    <n v="1.44"/>
    <n v="1.44"/>
    <n v="1.44"/>
    <n v="1.44"/>
    <n v="0"/>
    <x v="0"/>
    <n v="0"/>
    <n v="0"/>
    <n v="69"/>
    <n v="10"/>
    <n v="0"/>
    <n v="131.74"/>
    <n v="78.3"/>
    <m/>
    <n v="136.16069505461499"/>
    <n v="77.472693713861844"/>
    <n v="0"/>
    <n v="189.7056"/>
    <n v="112.752"/>
    <n v="0"/>
    <n v="196.07140087864559"/>
    <n v="111.56067894796105"/>
  </r>
  <r>
    <s v="Regular"/>
    <x v="1"/>
    <x v="2"/>
    <x v="3"/>
    <x v="5"/>
    <x v="0"/>
    <x v="0"/>
    <x v="2"/>
    <x v="0"/>
    <n v="0"/>
    <n v="0"/>
    <n v="2.7629999999999999"/>
    <n v="2.7629999999999999"/>
    <n v="2.7629999999999999"/>
    <n v="2.7629999999999999"/>
    <n v="12"/>
    <x v="0"/>
    <n v="0"/>
    <n v="0"/>
    <n v="70"/>
    <n v="29"/>
    <n v="0"/>
    <n v="225.84"/>
    <n v="134.22999999999999"/>
    <m/>
    <n v="233.41833437934"/>
    <n v="132.81033208090602"/>
    <n v="0"/>
    <n v="623.99591999999996"/>
    <n v="370.87748999999997"/>
    <n v="0"/>
    <n v="644.9348578901164"/>
    <n v="366.9549475395433"/>
  </r>
  <r>
    <s v="Regular"/>
    <x v="1"/>
    <x v="2"/>
    <x v="3"/>
    <x v="5"/>
    <x v="0"/>
    <x v="0"/>
    <x v="2"/>
    <x v="1"/>
    <n v="0"/>
    <n v="0"/>
    <n v="2.8559999999999999"/>
    <n v="2.8559999999999999"/>
    <n v="2.8559999999999999"/>
    <n v="2.8559999999999999"/>
    <n v="12"/>
    <x v="0"/>
    <n v="0"/>
    <n v="0"/>
    <n v="70"/>
    <n v="29"/>
    <n v="0"/>
    <n v="225.84"/>
    <n v="134.22999999999999"/>
    <m/>
    <n v="233.41833437934"/>
    <n v="132.81033208090602"/>
    <n v="0"/>
    <n v="644.99904000000004"/>
    <n v="383.36087999999995"/>
    <n v="0"/>
    <n v="666.64276298739503"/>
    <n v="379.30630842306761"/>
  </r>
  <r>
    <s v="Regular"/>
    <x v="1"/>
    <x v="2"/>
    <x v="3"/>
    <x v="5"/>
    <x v="0"/>
    <x v="0"/>
    <x v="2"/>
    <x v="2"/>
    <n v="0"/>
    <n v="0"/>
    <n v="2.8679999999999999"/>
    <n v="2.8679999999999999"/>
    <n v="2.8679999999999999"/>
    <n v="2.8679999999999999"/>
    <n v="10"/>
    <x v="0"/>
    <n v="0"/>
    <n v="0"/>
    <n v="70"/>
    <n v="29"/>
    <n v="0"/>
    <n v="225.84"/>
    <n v="134.22999999999999"/>
    <m/>
    <n v="233.41833437934"/>
    <n v="132.81033208090602"/>
    <n v="0"/>
    <n v="647.70911999999998"/>
    <n v="384.97163999999998"/>
    <n v="0"/>
    <n v="669.44378299994708"/>
    <n v="380.90003240803844"/>
  </r>
  <r>
    <s v="Regular"/>
    <x v="1"/>
    <x v="2"/>
    <x v="3"/>
    <x v="5"/>
    <x v="0"/>
    <x v="0"/>
    <x v="2"/>
    <x v="3"/>
    <n v="0"/>
    <n v="0"/>
    <n v="2.835"/>
    <n v="2.835"/>
    <n v="2.835"/>
    <n v="2.835"/>
    <n v="14"/>
    <x v="0"/>
    <n v="0"/>
    <n v="0"/>
    <n v="70"/>
    <n v="29"/>
    <n v="0"/>
    <n v="225.84"/>
    <n v="134.22999999999999"/>
    <m/>
    <n v="233.41833437934"/>
    <n v="132.81033208090602"/>
    <n v="0"/>
    <n v="640.25639999999999"/>
    <n v="380.54204999999996"/>
    <n v="0"/>
    <n v="661.7409779654289"/>
    <n v="376.51729144936854"/>
  </r>
  <r>
    <s v="Regular"/>
    <x v="1"/>
    <x v="2"/>
    <x v="3"/>
    <x v="5"/>
    <x v="0"/>
    <x v="0"/>
    <x v="2"/>
    <x v="4"/>
    <n v="0"/>
    <n v="0"/>
    <n v="3.1"/>
    <n v="3.1"/>
    <n v="3.1"/>
    <n v="3.1"/>
    <n v="11"/>
    <x v="0"/>
    <n v="0"/>
    <n v="0"/>
    <n v="70"/>
    <n v="29"/>
    <n v="0"/>
    <n v="225.84"/>
    <n v="134.22999999999999"/>
    <m/>
    <n v="233.41833437934"/>
    <n v="132.81033208090602"/>
    <n v="0"/>
    <n v="700.10400000000004"/>
    <n v="416.113"/>
    <n v="0"/>
    <n v="723.59683657595406"/>
    <n v="411.7120294508087"/>
  </r>
  <r>
    <s v="Regular"/>
    <x v="1"/>
    <x v="2"/>
    <x v="3"/>
    <x v="5"/>
    <x v="0"/>
    <x v="0"/>
    <x v="2"/>
    <x v="5"/>
    <n v="0"/>
    <n v="0"/>
    <n v="3.0750000000000002"/>
    <n v="3.0750000000000002"/>
    <n v="3.0750000000000002"/>
    <n v="3.0750000000000002"/>
    <n v="12"/>
    <x v="0"/>
    <n v="0"/>
    <n v="0"/>
    <n v="70"/>
    <n v="29"/>
    <n v="0"/>
    <n v="225.84"/>
    <n v="134.22999999999999"/>
    <m/>
    <n v="233.41833437934"/>
    <n v="132.81033208090602"/>
    <n v="0"/>
    <n v="694.45800000000008"/>
    <n v="412.75725"/>
    <n v="0"/>
    <n v="717.76137821647058"/>
    <n v="408.39177114878606"/>
  </r>
  <r>
    <s v="Regular"/>
    <x v="1"/>
    <x v="2"/>
    <x v="3"/>
    <x v="5"/>
    <x v="0"/>
    <x v="0"/>
    <x v="2"/>
    <x v="6"/>
    <n v="0"/>
    <n v="0"/>
    <n v="3.0350000000000001"/>
    <n v="3.0350000000000001"/>
    <n v="3.0350000000000001"/>
    <n v="3.0350000000000001"/>
    <n v="14"/>
    <x v="0"/>
    <n v="0"/>
    <n v="0"/>
    <n v="70"/>
    <n v="29"/>
    <n v="0"/>
    <n v="225.84"/>
    <n v="134.22999999999999"/>
    <m/>
    <n v="233.41833437934"/>
    <n v="132.81033208090602"/>
    <n v="0"/>
    <n v="685.42439999999999"/>
    <n v="407.38804999999996"/>
    <n v="0"/>
    <n v="708.42464484129687"/>
    <n v="403.07935786554981"/>
  </r>
  <r>
    <s v="Regular"/>
    <x v="1"/>
    <x v="2"/>
    <x v="3"/>
    <x v="5"/>
    <x v="0"/>
    <x v="0"/>
    <x v="2"/>
    <x v="7"/>
    <n v="0"/>
    <n v="0"/>
    <n v="3.1309999999999998"/>
    <n v="3.1309999999999998"/>
    <n v="3.1309999999999998"/>
    <n v="3.1309999999999998"/>
    <n v="11"/>
    <x v="0"/>
    <n v="0"/>
    <n v="0"/>
    <n v="70"/>
    <n v="29"/>
    <n v="0"/>
    <n v="225.84"/>
    <n v="134.22999999999999"/>
    <m/>
    <n v="233.41833437934"/>
    <n v="132.81033208090602"/>
    <n v="0"/>
    <n v="707.10503999999992"/>
    <n v="420.27412999999996"/>
    <n v="0"/>
    <n v="730.83280494171345"/>
    <n v="415.82914974531673"/>
  </r>
  <r>
    <s v="Regular"/>
    <x v="1"/>
    <x v="2"/>
    <x v="3"/>
    <x v="5"/>
    <x v="0"/>
    <x v="0"/>
    <x v="2"/>
    <x v="8"/>
    <n v="0"/>
    <n v="0"/>
    <n v="3.0840000000000001"/>
    <n v="3.0840000000000001"/>
    <n v="3.0840000000000001"/>
    <n v="3.0840000000000001"/>
    <n v="14"/>
    <x v="0"/>
    <n v="0"/>
    <n v="0"/>
    <n v="70"/>
    <n v="29"/>
    <n v="0"/>
    <n v="225.84"/>
    <n v="134.22999999999999"/>
    <m/>
    <n v="233.41833437934"/>
    <n v="132.81033208090602"/>
    <n v="0"/>
    <n v="696.49056000000007"/>
    <n v="413.96531999999996"/>
    <n v="0"/>
    <n v="719.86214322588455"/>
    <n v="409.58706413751418"/>
  </r>
  <r>
    <s v="Regular"/>
    <x v="1"/>
    <x v="2"/>
    <x v="3"/>
    <x v="5"/>
    <x v="0"/>
    <x v="0"/>
    <x v="2"/>
    <x v="9"/>
    <n v="0"/>
    <n v="0"/>
    <n v="3.0219999999999998"/>
    <n v="3.0219999999999998"/>
    <n v="3.0219999999999998"/>
    <n v="3.0219999999999998"/>
    <n v="12"/>
    <x v="0"/>
    <n v="0"/>
    <n v="0"/>
    <n v="70"/>
    <n v="29"/>
    <n v="0"/>
    <n v="225.84"/>
    <n v="134.22999999999999"/>
    <m/>
    <n v="233.41833437934"/>
    <n v="132.81033208090602"/>
    <n v="0"/>
    <n v="682.48847999999998"/>
    <n v="405.64305999999993"/>
    <n v="0"/>
    <n v="705.39020649436543"/>
    <n v="401.35282354849795"/>
  </r>
  <r>
    <s v="Regular"/>
    <x v="1"/>
    <x v="2"/>
    <x v="3"/>
    <x v="5"/>
    <x v="0"/>
    <x v="0"/>
    <x v="2"/>
    <x v="10"/>
    <n v="0"/>
    <n v="0"/>
    <n v="3.14"/>
    <n v="3.14"/>
    <n v="3.14"/>
    <n v="3.14"/>
    <n v="9"/>
    <x v="0"/>
    <n v="0"/>
    <n v="0"/>
    <n v="70"/>
    <n v="29"/>
    <n v="0"/>
    <n v="225.84"/>
    <n v="134.22999999999999"/>
    <m/>
    <n v="233.41833437934"/>
    <n v="132.81033208090602"/>
    <n v="0"/>
    <n v="709.13760000000002"/>
    <n v="421.48219999999998"/>
    <n v="0"/>
    <n v="732.93356995112765"/>
    <n v="417.02444273404495"/>
  </r>
  <r>
    <s v="PROJETADO"/>
    <x v="1"/>
    <x v="2"/>
    <x v="3"/>
    <x v="5"/>
    <x v="0"/>
    <x v="0"/>
    <x v="2"/>
    <x v="11"/>
    <n v="0"/>
    <n v="0"/>
    <n v="3.14"/>
    <n v="3.14"/>
    <n v="3.14"/>
    <n v="3.14"/>
    <n v="9"/>
    <x v="0"/>
    <n v="0"/>
    <n v="0"/>
    <n v="70"/>
    <n v="29"/>
    <n v="0"/>
    <n v="225.84"/>
    <n v="134.22999999999999"/>
    <m/>
    <n v="233.41833437934"/>
    <n v="132.81033208090602"/>
    <n v="0"/>
    <n v="709.13760000000002"/>
    <n v="421.48219999999998"/>
    <n v="0"/>
    <n v="732.93356995112765"/>
    <n v="417.02444273404495"/>
  </r>
  <r>
    <s v="Regular"/>
    <x v="1"/>
    <x v="2"/>
    <x v="3"/>
    <x v="6"/>
    <x v="0"/>
    <x v="0"/>
    <x v="2"/>
    <x v="0"/>
    <n v="0"/>
    <n v="0"/>
    <n v="2.3380000000000001"/>
    <n v="2.3380000000000001"/>
    <n v="2.3380000000000001"/>
    <n v="2.3380000000000001"/>
    <n v="22"/>
    <x v="0"/>
    <n v="0"/>
    <n v="0"/>
    <n v="54"/>
    <n v="30"/>
    <n v="0"/>
    <n v="338.77"/>
    <n v="201.35"/>
    <m/>
    <n v="350.12750156901001"/>
    <n v="199.21549812135905"/>
    <n v="0"/>
    <n v="792.04426000000001"/>
    <n v="470.75630000000001"/>
    <n v="0"/>
    <n v="818.59809866834541"/>
    <n v="465.76583460773747"/>
  </r>
  <r>
    <s v="Regular"/>
    <x v="1"/>
    <x v="2"/>
    <x v="3"/>
    <x v="6"/>
    <x v="0"/>
    <x v="0"/>
    <x v="2"/>
    <x v="1"/>
    <n v="0"/>
    <n v="0"/>
    <n v="2.4510000000000001"/>
    <n v="2.4510000000000001"/>
    <n v="2.4510000000000001"/>
    <n v="2.4510000000000001"/>
    <n v="24"/>
    <x v="0"/>
    <n v="0"/>
    <n v="0"/>
    <n v="54"/>
    <n v="30"/>
    <n v="0"/>
    <n v="338.77"/>
    <n v="201.35"/>
    <m/>
    <n v="350.12750156901001"/>
    <n v="199.21549812135905"/>
    <n v="0"/>
    <n v="830.32526999999993"/>
    <n v="493.50885"/>
    <n v="0"/>
    <n v="858.16250634564358"/>
    <n v="488.27718589545105"/>
  </r>
  <r>
    <s v="Regular"/>
    <x v="1"/>
    <x v="2"/>
    <x v="3"/>
    <x v="6"/>
    <x v="0"/>
    <x v="0"/>
    <x v="2"/>
    <x v="2"/>
    <n v="0"/>
    <n v="0"/>
    <n v="2.5870000000000002"/>
    <n v="2.5870000000000002"/>
    <n v="2.5870000000000002"/>
    <n v="2.5870000000000002"/>
    <n v="26"/>
    <x v="0"/>
    <n v="0"/>
    <n v="0"/>
    <n v="54"/>
    <n v="30"/>
    <n v="0"/>
    <n v="338.77"/>
    <n v="201.35"/>
    <m/>
    <n v="350.12750156901001"/>
    <n v="199.21549812135905"/>
    <n v="0"/>
    <n v="876.39799000000005"/>
    <n v="520.89245000000005"/>
    <n v="0"/>
    <n v="905.77984655902901"/>
    <n v="515.37049363995584"/>
  </r>
  <r>
    <s v="Regular"/>
    <x v="1"/>
    <x v="2"/>
    <x v="3"/>
    <x v="6"/>
    <x v="0"/>
    <x v="0"/>
    <x v="2"/>
    <x v="3"/>
    <n v="0"/>
    <n v="0"/>
    <n v="2.5099999999999998"/>
    <n v="2.5099999999999998"/>
    <n v="2.5099999999999998"/>
    <n v="2.5099999999999998"/>
    <n v="23"/>
    <x v="0"/>
    <n v="0"/>
    <n v="0"/>
    <n v="54"/>
    <n v="30"/>
    <n v="0"/>
    <n v="338.77"/>
    <n v="201.35"/>
    <m/>
    <n v="350.12750156901001"/>
    <n v="199.21549812135905"/>
    <n v="0"/>
    <n v="850.31269999999984"/>
    <n v="505.38849999999996"/>
    <n v="0"/>
    <n v="878.82002893821505"/>
    <n v="500.03090028461116"/>
  </r>
  <r>
    <s v="Refaturamento - Regular"/>
    <x v="1"/>
    <x v="2"/>
    <x v="3"/>
    <x v="6"/>
    <x v="0"/>
    <x v="0"/>
    <x v="2"/>
    <x v="3"/>
    <n v="0"/>
    <n v="0"/>
    <n v="-1.0999999999999999E-2"/>
    <n v="-1.0999999999999999E-2"/>
    <n v="-1.0999999999999999E-2"/>
    <n v="-1.0999999999999999E-2"/>
    <n v="0"/>
    <x v="0"/>
    <n v="0"/>
    <n v="0"/>
    <n v="54"/>
    <n v="30"/>
    <n v="0"/>
    <n v="338.77"/>
    <n v="201.35"/>
    <m/>
    <n v="350.12750156901001"/>
    <n v="199.21549812135905"/>
    <n v="0"/>
    <n v="-3.7264699999999995"/>
    <n v="-2.2148499999999998"/>
    <n v="0"/>
    <n v="-3.85140251725911"/>
    <n v="-2.1913704793349496"/>
  </r>
  <r>
    <s v="Regular"/>
    <x v="1"/>
    <x v="2"/>
    <x v="3"/>
    <x v="6"/>
    <x v="0"/>
    <x v="0"/>
    <x v="2"/>
    <x v="4"/>
    <n v="0"/>
    <n v="0"/>
    <n v="2.9670000000000001"/>
    <n v="2.9670000000000001"/>
    <n v="2.9670000000000001"/>
    <n v="2.9670000000000001"/>
    <n v="27"/>
    <x v="0"/>
    <n v="0"/>
    <n v="0"/>
    <n v="54"/>
    <n v="30"/>
    <n v="0"/>
    <n v="338.77"/>
    <n v="201.35"/>
    <m/>
    <n v="350.12750156901001"/>
    <n v="199.21549812135905"/>
    <n v="0"/>
    <n v="1005.13059"/>
    <n v="597.40544999999997"/>
    <n v="0"/>
    <n v="1038.8282971552528"/>
    <n v="591.07238292607235"/>
  </r>
  <r>
    <s v="Regular"/>
    <x v="1"/>
    <x v="2"/>
    <x v="3"/>
    <x v="6"/>
    <x v="0"/>
    <x v="0"/>
    <x v="2"/>
    <x v="5"/>
    <n v="0"/>
    <n v="0"/>
    <n v="2.8450000000000002"/>
    <n v="2.8450000000000002"/>
    <n v="2.8450000000000002"/>
    <n v="2.8450000000000002"/>
    <n v="23"/>
    <x v="0"/>
    <n v="0"/>
    <n v="0"/>
    <n v="54"/>
    <n v="30"/>
    <n v="0"/>
    <n v="338.77"/>
    <n v="201.35"/>
    <m/>
    <n v="350.12750156901001"/>
    <n v="199.21549812135905"/>
    <n v="0"/>
    <n v="963.80065000000002"/>
    <n v="572.84075000000007"/>
    <n v="0"/>
    <n v="996.11274196383351"/>
    <n v="566.76809215526657"/>
  </r>
  <r>
    <s v="Regular"/>
    <x v="1"/>
    <x v="2"/>
    <x v="3"/>
    <x v="6"/>
    <x v="0"/>
    <x v="0"/>
    <x v="2"/>
    <x v="6"/>
    <n v="0"/>
    <n v="0"/>
    <n v="2.8010000000000002"/>
    <n v="2.8010000000000002"/>
    <n v="2.8010000000000002"/>
    <n v="2.8010000000000002"/>
    <n v="26"/>
    <x v="0"/>
    <n v="0"/>
    <n v="0"/>
    <n v="54"/>
    <n v="30"/>
    <n v="0"/>
    <n v="338.77"/>
    <n v="201.35"/>
    <m/>
    <n v="350.12750156901001"/>
    <n v="199.21549812135905"/>
    <n v="0"/>
    <n v="948.89476999999999"/>
    <n v="563.98135000000002"/>
    <n v="0"/>
    <n v="980.70713189479704"/>
    <n v="558.00261023792677"/>
  </r>
  <r>
    <s v="Regular"/>
    <x v="1"/>
    <x v="2"/>
    <x v="3"/>
    <x v="6"/>
    <x v="0"/>
    <x v="0"/>
    <x v="2"/>
    <x v="7"/>
    <n v="0"/>
    <n v="0"/>
    <n v="2.819"/>
    <n v="2.819"/>
    <n v="2.819"/>
    <n v="2.819"/>
    <n v="24"/>
    <x v="0"/>
    <n v="0"/>
    <n v="0"/>
    <n v="54"/>
    <n v="30"/>
    <n v="0"/>
    <n v="338.77"/>
    <n v="201.35"/>
    <m/>
    <n v="350.12750156901001"/>
    <n v="199.21549812135905"/>
    <n v="0"/>
    <n v="954.99262999999996"/>
    <n v="567.60564999999997"/>
    <n v="0"/>
    <n v="987.0094269230392"/>
    <n v="561.58848920411117"/>
  </r>
  <r>
    <s v="Regular"/>
    <x v="1"/>
    <x v="2"/>
    <x v="3"/>
    <x v="6"/>
    <x v="0"/>
    <x v="0"/>
    <x v="2"/>
    <x v="8"/>
    <n v="0"/>
    <n v="0"/>
    <n v="2.585"/>
    <n v="2.585"/>
    <n v="2.585"/>
    <n v="2.585"/>
    <n v="25"/>
    <x v="0"/>
    <n v="0"/>
    <n v="0"/>
    <n v="54"/>
    <n v="30"/>
    <n v="0"/>
    <n v="338.77"/>
    <n v="201.35"/>
    <m/>
    <n v="350.12750156901001"/>
    <n v="199.21549812135905"/>
    <n v="0"/>
    <n v="875.72044999999991"/>
    <n v="520.48974999999996"/>
    <n v="0"/>
    <n v="905.07959155589083"/>
    <n v="514.97206264371312"/>
  </r>
  <r>
    <s v="Regular"/>
    <x v="1"/>
    <x v="2"/>
    <x v="3"/>
    <x v="6"/>
    <x v="0"/>
    <x v="0"/>
    <x v="2"/>
    <x v="9"/>
    <n v="0"/>
    <n v="0"/>
    <n v="2.6150000000000002"/>
    <n v="2.6150000000000002"/>
    <n v="2.6150000000000002"/>
    <n v="2.6150000000000002"/>
    <n v="27"/>
    <x v="0"/>
    <n v="0"/>
    <n v="0"/>
    <n v="54"/>
    <n v="30"/>
    <n v="0"/>
    <n v="338.77"/>
    <n v="201.35"/>
    <m/>
    <n v="350.12750156901001"/>
    <n v="199.21549812135905"/>
    <n v="0"/>
    <n v="885.88355000000001"/>
    <n v="526.53025000000002"/>
    <n v="0"/>
    <n v="915.58341660296128"/>
    <n v="520.94852758735396"/>
  </r>
  <r>
    <s v="Regular"/>
    <x v="1"/>
    <x v="2"/>
    <x v="3"/>
    <x v="6"/>
    <x v="0"/>
    <x v="0"/>
    <x v="2"/>
    <x v="10"/>
    <n v="0"/>
    <n v="0"/>
    <n v="3.1640000000000001"/>
    <n v="3.1640000000000001"/>
    <n v="3.1640000000000001"/>
    <n v="3.1640000000000001"/>
    <n v="23"/>
    <x v="0"/>
    <n v="0"/>
    <n v="0"/>
    <n v="54"/>
    <n v="30"/>
    <n v="0"/>
    <n v="338.77"/>
    <n v="201.35"/>
    <m/>
    <n v="350.12750156901001"/>
    <n v="199.21549812135905"/>
    <n v="0"/>
    <n v="1071.8682799999999"/>
    <n v="637.07140000000004"/>
    <n v="0"/>
    <n v="1107.8034149643477"/>
    <n v="630.31783605598002"/>
  </r>
  <r>
    <s v="PROJETADO"/>
    <x v="1"/>
    <x v="2"/>
    <x v="3"/>
    <x v="6"/>
    <x v="0"/>
    <x v="0"/>
    <x v="2"/>
    <x v="11"/>
    <n v="0"/>
    <n v="0"/>
    <n v="3.1640000000000001"/>
    <n v="3.1640000000000001"/>
    <n v="3.1640000000000001"/>
    <n v="3.1640000000000001"/>
    <n v="23"/>
    <x v="0"/>
    <n v="0"/>
    <n v="0"/>
    <n v="54"/>
    <n v="30"/>
    <n v="0"/>
    <n v="338.77"/>
    <n v="201.35"/>
    <m/>
    <n v="350.12750156901001"/>
    <n v="199.21549812135905"/>
    <n v="0"/>
    <n v="1071.8682799999999"/>
    <n v="637.07140000000004"/>
    <n v="0"/>
    <n v="1107.8034149643477"/>
    <n v="630.31783605598002"/>
  </r>
  <r>
    <s v="Regular"/>
    <x v="1"/>
    <x v="2"/>
    <x v="3"/>
    <x v="7"/>
    <x v="0"/>
    <x v="0"/>
    <x v="2"/>
    <x v="0"/>
    <n v="0"/>
    <n v="0"/>
    <n v="0.67500000000000004"/>
    <n v="0.67500000000000004"/>
    <n v="0.67500000000000004"/>
    <n v="0.67500000000000004"/>
    <n v="10"/>
    <x v="0"/>
    <n v="0"/>
    <n v="0"/>
    <n v="55"/>
    <n v="31"/>
    <n v="0"/>
    <n v="376.41"/>
    <n v="223.72"/>
    <m/>
    <n v="389.03055729890002"/>
    <n v="221.35055346817671"/>
    <n v="0"/>
    <n v="254.07675000000003"/>
    <n v="151.011"/>
    <n v="0"/>
    <n v="262.59562617675755"/>
    <n v="149.41162359101929"/>
  </r>
  <r>
    <s v="Regular"/>
    <x v="1"/>
    <x v="2"/>
    <x v="3"/>
    <x v="7"/>
    <x v="0"/>
    <x v="0"/>
    <x v="2"/>
    <x v="1"/>
    <n v="0"/>
    <n v="0"/>
    <n v="0.72299999999999998"/>
    <n v="0.72299999999999998"/>
    <n v="0.72299999999999998"/>
    <n v="0.72299999999999998"/>
    <n v="9"/>
    <x v="0"/>
    <n v="0"/>
    <n v="0"/>
    <n v="55"/>
    <n v="31"/>
    <n v="0"/>
    <n v="376.41"/>
    <n v="223.72"/>
    <m/>
    <n v="389.03055729890002"/>
    <n v="221.35055346817671"/>
    <n v="0"/>
    <n v="272.14443"/>
    <n v="161.74956"/>
    <n v="0"/>
    <n v="281.26909292710468"/>
    <n v="160.03645015749177"/>
  </r>
  <r>
    <s v="Regular"/>
    <x v="1"/>
    <x v="2"/>
    <x v="3"/>
    <x v="7"/>
    <x v="0"/>
    <x v="0"/>
    <x v="2"/>
    <x v="2"/>
    <n v="0"/>
    <n v="0"/>
    <n v="1.0489999999999999"/>
    <n v="1.0489999999999999"/>
    <n v="1.0489999999999999"/>
    <n v="1.0489999999999999"/>
    <n v="10"/>
    <x v="0"/>
    <n v="0"/>
    <n v="0"/>
    <n v="55"/>
    <n v="31"/>
    <n v="0"/>
    <n v="376.41"/>
    <n v="223.72"/>
    <m/>
    <n v="389.03055729890002"/>
    <n v="221.35055346817671"/>
    <n v="0"/>
    <n v="394.85408999999999"/>
    <n v="234.68227999999999"/>
    <n v="0"/>
    <n v="408.0930546065461"/>
    <n v="232.19673058811736"/>
  </r>
  <r>
    <s v="Regular"/>
    <x v="1"/>
    <x v="2"/>
    <x v="3"/>
    <x v="7"/>
    <x v="0"/>
    <x v="0"/>
    <x v="2"/>
    <x v="3"/>
    <n v="0"/>
    <n v="0"/>
    <n v="0.41299999999999998"/>
    <n v="0.41299999999999998"/>
    <n v="0.41299999999999998"/>
    <n v="0.41299999999999998"/>
    <n v="9"/>
    <x v="0"/>
    <n v="0"/>
    <n v="0"/>
    <n v="55"/>
    <n v="31"/>
    <n v="0"/>
    <n v="376.41"/>
    <n v="223.72"/>
    <m/>
    <n v="389.03055729890002"/>
    <n v="221.35055346817671"/>
    <n v="0"/>
    <n v="155.45733000000001"/>
    <n v="92.396360000000001"/>
    <n v="0"/>
    <n v="160.66962016444569"/>
    <n v="91.417778582356974"/>
  </r>
  <r>
    <s v="Refaturamento - Regular"/>
    <x v="1"/>
    <x v="2"/>
    <x v="3"/>
    <x v="7"/>
    <x v="0"/>
    <x v="0"/>
    <x v="2"/>
    <x v="3"/>
    <n v="0"/>
    <n v="0"/>
    <n v="-0.29499999999999998"/>
    <n v="-0.29499999999999998"/>
    <n v="-0.29499999999999998"/>
    <n v="-0.29499999999999998"/>
    <n v="0"/>
    <x v="0"/>
    <n v="0"/>
    <n v="0"/>
    <n v="55"/>
    <n v="31"/>
    <n v="0"/>
    <n v="376.41"/>
    <n v="223.72"/>
    <m/>
    <n v="389.03055729890002"/>
    <n v="221.35055346817671"/>
    <n v="0"/>
    <n v="-111.04095"/>
    <n v="-65.997399999999999"/>
    <n v="0"/>
    <n v="-114.76401440317549"/>
    <n v="-65.298413273112132"/>
  </r>
  <r>
    <s v="Regular"/>
    <x v="1"/>
    <x v="2"/>
    <x v="3"/>
    <x v="7"/>
    <x v="0"/>
    <x v="0"/>
    <x v="2"/>
    <x v="4"/>
    <n v="0"/>
    <n v="0"/>
    <n v="0.92400000000000004"/>
    <n v="0.92400000000000004"/>
    <n v="0.92400000000000004"/>
    <n v="0.92400000000000004"/>
    <n v="11"/>
    <x v="0"/>
    <n v="0"/>
    <n v="0"/>
    <n v="55"/>
    <n v="31"/>
    <n v="0"/>
    <n v="376.41"/>
    <n v="223.72"/>
    <m/>
    <n v="389.03055729890002"/>
    <n v="221.35055346817671"/>
    <n v="0"/>
    <n v="347.80284000000006"/>
    <n v="206.71728000000002"/>
    <n v="0"/>
    <n v="359.46423494418366"/>
    <n v="204.5279114045953"/>
  </r>
  <r>
    <s v="Regular"/>
    <x v="1"/>
    <x v="2"/>
    <x v="3"/>
    <x v="7"/>
    <x v="0"/>
    <x v="0"/>
    <x v="2"/>
    <x v="5"/>
    <n v="0"/>
    <n v="0"/>
    <n v="0.90300000000000002"/>
    <n v="0.90300000000000002"/>
    <n v="0.90300000000000002"/>
    <n v="0.90300000000000002"/>
    <n v="13"/>
    <x v="0"/>
    <n v="0"/>
    <n v="0"/>
    <n v="55"/>
    <n v="31"/>
    <n v="0"/>
    <n v="376.41"/>
    <n v="223.72"/>
    <m/>
    <n v="389.03055729890002"/>
    <n v="221.35055346817671"/>
    <n v="0"/>
    <n v="339.89823000000001"/>
    <n v="202.01916"/>
    <n v="0"/>
    <n v="351.29459324090675"/>
    <n v="199.87954978176359"/>
  </r>
  <r>
    <s v="Regular"/>
    <x v="1"/>
    <x v="2"/>
    <x v="3"/>
    <x v="7"/>
    <x v="0"/>
    <x v="0"/>
    <x v="2"/>
    <x v="6"/>
    <n v="0"/>
    <n v="0"/>
    <n v="0.79"/>
    <n v="0.79"/>
    <n v="0.79"/>
    <n v="0.79"/>
    <n v="8"/>
    <x v="0"/>
    <n v="0"/>
    <n v="0"/>
    <n v="55"/>
    <n v="31"/>
    <n v="0"/>
    <n v="376.41"/>
    <n v="223.72"/>
    <m/>
    <n v="389.03055729890002"/>
    <n v="221.35055346817671"/>
    <n v="0"/>
    <n v="297.36390000000006"/>
    <n v="176.7388"/>
    <n v="0"/>
    <n v="307.33414026613104"/>
    <n v="174.86693723985962"/>
  </r>
  <r>
    <s v="Regular"/>
    <x v="1"/>
    <x v="2"/>
    <x v="3"/>
    <x v="7"/>
    <x v="0"/>
    <x v="0"/>
    <x v="2"/>
    <x v="7"/>
    <n v="0"/>
    <n v="0"/>
    <n v="1.0900000000000001"/>
    <n v="1.0900000000000001"/>
    <n v="1.0900000000000001"/>
    <n v="1.0900000000000001"/>
    <n v="14"/>
    <x v="0"/>
    <n v="0"/>
    <n v="0"/>
    <n v="55"/>
    <n v="31"/>
    <n v="0"/>
    <n v="376.41"/>
    <n v="223.72"/>
    <m/>
    <n v="389.03055729890002"/>
    <n v="221.35055346817671"/>
    <n v="0"/>
    <n v="410.28690000000006"/>
    <n v="243.85480000000001"/>
    <n v="0"/>
    <n v="424.04330745580103"/>
    <n v="241.27210328031265"/>
  </r>
  <r>
    <s v="Regular"/>
    <x v="1"/>
    <x v="2"/>
    <x v="3"/>
    <x v="7"/>
    <x v="0"/>
    <x v="0"/>
    <x v="2"/>
    <x v="8"/>
    <n v="0"/>
    <n v="0"/>
    <n v="0.83899999999999997"/>
    <n v="0.83899999999999997"/>
    <n v="0.83899999999999997"/>
    <n v="0.83899999999999997"/>
    <n v="10"/>
    <x v="0"/>
    <n v="0"/>
    <n v="0"/>
    <n v="55"/>
    <n v="31"/>
    <n v="0"/>
    <n v="376.41"/>
    <n v="223.72"/>
    <m/>
    <n v="389.03055729890002"/>
    <n v="221.35055346817671"/>
    <n v="0"/>
    <n v="315.80799000000002"/>
    <n v="187.70107999999999"/>
    <n v="0"/>
    <n v="326.39663757377713"/>
    <n v="185.71311435980024"/>
  </r>
  <r>
    <s v="Regular"/>
    <x v="1"/>
    <x v="2"/>
    <x v="3"/>
    <x v="7"/>
    <x v="0"/>
    <x v="0"/>
    <x v="2"/>
    <x v="9"/>
    <n v="0"/>
    <n v="0"/>
    <n v="0.78500000000000003"/>
    <n v="0.78500000000000003"/>
    <n v="0.78500000000000003"/>
    <n v="0.78500000000000003"/>
    <n v="9"/>
    <x v="0"/>
    <n v="0"/>
    <n v="0"/>
    <n v="55"/>
    <n v="31"/>
    <n v="0"/>
    <n v="376.41"/>
    <n v="223.72"/>
    <m/>
    <n v="389.03055729890002"/>
    <n v="221.35055346817671"/>
    <n v="0"/>
    <n v="295.48185000000001"/>
    <n v="175.62020000000001"/>
    <n v="0"/>
    <n v="305.38898747963651"/>
    <n v="173.76018447251872"/>
  </r>
  <r>
    <s v="Regular"/>
    <x v="1"/>
    <x v="2"/>
    <x v="3"/>
    <x v="7"/>
    <x v="0"/>
    <x v="0"/>
    <x v="2"/>
    <x v="10"/>
    <n v="0"/>
    <n v="0"/>
    <n v="1.3360000000000001"/>
    <n v="1.3360000000000001"/>
    <n v="1.3360000000000001"/>
    <n v="1.3360000000000001"/>
    <n v="16"/>
    <x v="0"/>
    <n v="0"/>
    <n v="0"/>
    <n v="55"/>
    <n v="31"/>
    <n v="0"/>
    <n v="376.41"/>
    <n v="223.72"/>
    <m/>
    <n v="389.03055729890002"/>
    <n v="221.35055346817671"/>
    <n v="0"/>
    <n v="502.88376000000005"/>
    <n v="298.88992000000002"/>
    <n v="0"/>
    <n v="519.74482455133045"/>
    <n v="295.72433943348409"/>
  </r>
  <r>
    <s v="PROJETADO"/>
    <x v="1"/>
    <x v="2"/>
    <x v="3"/>
    <x v="7"/>
    <x v="0"/>
    <x v="0"/>
    <x v="2"/>
    <x v="11"/>
    <n v="0"/>
    <n v="0"/>
    <n v="1.3360000000000001"/>
    <n v="1.3360000000000001"/>
    <n v="1.3360000000000001"/>
    <n v="1.3360000000000001"/>
    <n v="16"/>
    <x v="0"/>
    <n v="0"/>
    <n v="0"/>
    <n v="55"/>
    <n v="31"/>
    <n v="0"/>
    <n v="376.41"/>
    <n v="223.72"/>
    <m/>
    <n v="389.03055729890002"/>
    <n v="221.35055346817671"/>
    <n v="0"/>
    <n v="502.88376000000005"/>
    <n v="298.88992000000002"/>
    <n v="0"/>
    <n v="519.74482455133045"/>
    <n v="295.72433943348409"/>
  </r>
  <r>
    <s v="Regular"/>
    <x v="2"/>
    <x v="2"/>
    <x v="4"/>
    <x v="2"/>
    <x v="3"/>
    <x v="0"/>
    <x v="2"/>
    <x v="0"/>
    <n v="0"/>
    <n v="0"/>
    <n v="1925.53"/>
    <n v="1925.53"/>
    <n v="1925.53"/>
    <n v="1925.53"/>
    <n v="0"/>
    <x v="0"/>
    <n v="0"/>
    <n v="0"/>
    <n v="60"/>
    <n v="16"/>
    <n v="0"/>
    <n v="387.29"/>
    <n v="196.87"/>
    <m/>
    <n v="456.08524314176981"/>
    <n v="208.06952026008611"/>
    <n v="0"/>
    <n v="745738.51370000001"/>
    <n v="379079.09110000002"/>
    <n v="0"/>
    <n v="878205.81822677201"/>
    <n v="400644.10334640357"/>
  </r>
  <r>
    <s v="Sistema de Compensação"/>
    <x v="2"/>
    <x v="2"/>
    <x v="4"/>
    <x v="2"/>
    <x v="3"/>
    <x v="0"/>
    <x v="2"/>
    <x v="0"/>
    <n v="0"/>
    <n v="0"/>
    <n v="0.1"/>
    <n v="0.1"/>
    <n v="0.1"/>
    <n v="0.1"/>
    <n v="0"/>
    <x v="0"/>
    <n v="0"/>
    <n v="0"/>
    <n v="60"/>
    <n v="16"/>
    <n v="0"/>
    <n v="387.29"/>
    <n v="196.87"/>
    <m/>
    <n v="456.08524314176981"/>
    <n v="208.06952026008611"/>
    <n v="0"/>
    <n v="38.729000000000006"/>
    <n v="19.687000000000001"/>
    <n v="0"/>
    <n v="45.608524314176982"/>
    <n v="20.806952026008613"/>
  </r>
  <r>
    <s v="Regular"/>
    <x v="2"/>
    <x v="2"/>
    <x v="4"/>
    <x v="2"/>
    <x v="3"/>
    <x v="0"/>
    <x v="2"/>
    <x v="1"/>
    <n v="0"/>
    <n v="0"/>
    <n v="2103.8020000000001"/>
    <n v="2103.8020000000001"/>
    <n v="2103.8020000000001"/>
    <n v="2103.8020000000001"/>
    <n v="0"/>
    <x v="0"/>
    <n v="0"/>
    <n v="0"/>
    <n v="60"/>
    <n v="16"/>
    <n v="0"/>
    <n v="387.29"/>
    <n v="196.87"/>
    <m/>
    <n v="456.08524314176981"/>
    <n v="208.06952026008611"/>
    <n v="0"/>
    <n v="814781.47658000013"/>
    <n v="414175.49974000006"/>
    <n v="0"/>
    <n v="959513.04669214168"/>
    <n v="437737.07286220969"/>
  </r>
  <r>
    <s v="Sistema de Compensação"/>
    <x v="2"/>
    <x v="2"/>
    <x v="4"/>
    <x v="2"/>
    <x v="3"/>
    <x v="0"/>
    <x v="2"/>
    <x v="1"/>
    <n v="0"/>
    <n v="0"/>
    <n v="18.318000000000001"/>
    <n v="18.318000000000001"/>
    <n v="18.318000000000001"/>
    <n v="18.318000000000001"/>
    <n v="0"/>
    <x v="0"/>
    <n v="0"/>
    <n v="0"/>
    <n v="60"/>
    <n v="16"/>
    <n v="0"/>
    <n v="387.29"/>
    <n v="196.87"/>
    <m/>
    <n v="456.08524314176981"/>
    <n v="208.06952026008611"/>
    <n v="0"/>
    <n v="7094.3782200000005"/>
    <n v="3606.2646600000003"/>
    <n v="0"/>
    <n v="8354.5694838709405"/>
    <n v="3811.4174721242575"/>
  </r>
  <r>
    <s v="Regular"/>
    <x v="2"/>
    <x v="2"/>
    <x v="4"/>
    <x v="2"/>
    <x v="3"/>
    <x v="0"/>
    <x v="2"/>
    <x v="2"/>
    <n v="0"/>
    <n v="0"/>
    <n v="712.08299999999997"/>
    <n v="712.08299999999997"/>
    <n v="712.08299999999997"/>
    <n v="712.08299999999997"/>
    <n v="0"/>
    <x v="0"/>
    <n v="0"/>
    <n v="0"/>
    <n v="60"/>
    <n v="16"/>
    <n v="0"/>
    <n v="387.29"/>
    <n v="196.87"/>
    <m/>
    <n v="456.08524314176981"/>
    <n v="208.06952026008611"/>
    <n v="0"/>
    <n v="275782.62507000001"/>
    <n v="140187.78021"/>
    <n v="0"/>
    <n v="324770.54819212086"/>
    <n v="148162.76819536288"/>
  </r>
  <r>
    <s v="Sistema de Compensação"/>
    <x v="2"/>
    <x v="2"/>
    <x v="4"/>
    <x v="2"/>
    <x v="3"/>
    <x v="0"/>
    <x v="2"/>
    <x v="2"/>
    <n v="0"/>
    <n v="0"/>
    <n v="0.1"/>
    <n v="0.1"/>
    <n v="0.1"/>
    <n v="0.1"/>
    <n v="0"/>
    <x v="0"/>
    <n v="0"/>
    <n v="0"/>
    <n v="60"/>
    <n v="16"/>
    <n v="0"/>
    <n v="387.29"/>
    <n v="196.87"/>
    <m/>
    <n v="456.08524314176981"/>
    <n v="208.06952026008611"/>
    <n v="0"/>
    <n v="38.729000000000006"/>
    <n v="19.687000000000001"/>
    <n v="0"/>
    <n v="45.608524314176982"/>
    <n v="20.806952026008613"/>
  </r>
  <r>
    <s v="Regular"/>
    <x v="2"/>
    <x v="2"/>
    <x v="4"/>
    <x v="2"/>
    <x v="3"/>
    <x v="0"/>
    <x v="2"/>
    <x v="3"/>
    <n v="0"/>
    <n v="0"/>
    <n v="5156.4939999999997"/>
    <n v="5156.4939999999997"/>
    <n v="5156.4939999999997"/>
    <n v="5156.4939999999997"/>
    <n v="0"/>
    <x v="0"/>
    <n v="0"/>
    <n v="0"/>
    <n v="60"/>
    <n v="16"/>
    <n v="0"/>
    <n v="387.29"/>
    <n v="196.87"/>
    <m/>
    <n v="456.08524314176981"/>
    <n v="208.06952026008611"/>
    <n v="0"/>
    <n v="1997058.5612599999"/>
    <n v="1015158.97378"/>
    <n v="0"/>
    <n v="2351800.8197490769"/>
    <n v="1072909.2328040125"/>
  </r>
  <r>
    <s v="Refaturamento - Regular"/>
    <x v="2"/>
    <x v="2"/>
    <x v="4"/>
    <x v="2"/>
    <x v="3"/>
    <x v="0"/>
    <x v="2"/>
    <x v="3"/>
    <n v="0"/>
    <n v="0"/>
    <n v="-3.8"/>
    <n v="-3.8"/>
    <n v="-3.8"/>
    <n v="-3.8"/>
    <n v="0"/>
    <x v="0"/>
    <n v="0"/>
    <n v="0"/>
    <n v="60"/>
    <n v="16"/>
    <n v="0"/>
    <n v="387.29"/>
    <n v="196.87"/>
    <m/>
    <n v="456.08524314176981"/>
    <n v="208.06952026008611"/>
    <n v="0"/>
    <n v="-1471.702"/>
    <n v="-748.10599999999999"/>
    <n v="0"/>
    <n v="-1733.1239239387253"/>
    <n v="-790.6641769883272"/>
  </r>
  <r>
    <s v="Sistema de Compensação"/>
    <x v="2"/>
    <x v="2"/>
    <x v="4"/>
    <x v="2"/>
    <x v="3"/>
    <x v="0"/>
    <x v="2"/>
    <x v="3"/>
    <n v="0"/>
    <n v="0"/>
    <n v="0.2"/>
    <n v="0.2"/>
    <n v="0.2"/>
    <n v="0.2"/>
    <n v="0"/>
    <x v="0"/>
    <n v="0"/>
    <n v="0"/>
    <n v="60"/>
    <n v="16"/>
    <n v="0"/>
    <n v="387.29"/>
    <n v="196.87"/>
    <m/>
    <n v="456.08524314176981"/>
    <n v="208.06952026008611"/>
    <n v="0"/>
    <n v="77.458000000000013"/>
    <n v="39.374000000000002"/>
    <n v="0"/>
    <n v="91.217048628353965"/>
    <n v="41.613904052017226"/>
  </r>
  <r>
    <s v="Regular"/>
    <x v="2"/>
    <x v="2"/>
    <x v="4"/>
    <x v="2"/>
    <x v="3"/>
    <x v="0"/>
    <x v="2"/>
    <x v="4"/>
    <n v="0"/>
    <n v="0"/>
    <n v="1334.6210000000001"/>
    <n v="1334.6210000000001"/>
    <n v="1334.6210000000001"/>
    <n v="1334.6210000000001"/>
    <n v="0"/>
    <x v="0"/>
    <n v="0"/>
    <n v="0"/>
    <n v="60"/>
    <n v="16"/>
    <n v="0"/>
    <n v="387.29"/>
    <n v="196.87"/>
    <m/>
    <n v="456.08524314176981"/>
    <n v="208.06952026008611"/>
    <n v="0"/>
    <n v="516885.36709000007"/>
    <n v="262746.83627000003"/>
    <n v="0"/>
    <n v="608700.94328711205"/>
    <n v="277693.95119903638"/>
  </r>
  <r>
    <s v="Refaturamento - Regular"/>
    <x v="2"/>
    <x v="2"/>
    <x v="4"/>
    <x v="2"/>
    <x v="3"/>
    <x v="0"/>
    <x v="2"/>
    <x v="4"/>
    <n v="0"/>
    <n v="0"/>
    <n v="-4000.4"/>
    <n v="-4000.4"/>
    <n v="-4000.4"/>
    <n v="-4000.4"/>
    <n v="0"/>
    <x v="0"/>
    <n v="0"/>
    <n v="0"/>
    <n v="60"/>
    <n v="16"/>
    <n v="0"/>
    <n v="387.29"/>
    <n v="196.87"/>
    <m/>
    <n v="456.08524314176981"/>
    <n v="208.06952026008611"/>
    <n v="0"/>
    <n v="-1549314.9160000002"/>
    <n v="-787558.74800000002"/>
    <n v="0"/>
    <n v="-1824523.4066643359"/>
    <n v="-832361.30884844845"/>
  </r>
  <r>
    <s v="Sistema de Compensação"/>
    <x v="2"/>
    <x v="2"/>
    <x v="4"/>
    <x v="2"/>
    <x v="3"/>
    <x v="0"/>
    <x v="2"/>
    <x v="4"/>
    <n v="0"/>
    <n v="0"/>
    <n v="1.9319999999999999"/>
    <n v="1.9319999999999999"/>
    <n v="1.9319999999999999"/>
    <n v="1.9319999999999999"/>
    <n v="0"/>
    <x v="0"/>
    <n v="0"/>
    <n v="0"/>
    <n v="60"/>
    <n v="16"/>
    <n v="0"/>
    <n v="387.29"/>
    <n v="196.87"/>
    <m/>
    <n v="456.08524314176981"/>
    <n v="208.06952026008611"/>
    <n v="0"/>
    <n v="748.24428"/>
    <n v="380.35284000000001"/>
    <n v="0"/>
    <n v="881.15668974989921"/>
    <n v="401.99031314248634"/>
  </r>
  <r>
    <s v="Regular"/>
    <x v="2"/>
    <x v="2"/>
    <x v="4"/>
    <x v="2"/>
    <x v="3"/>
    <x v="0"/>
    <x v="2"/>
    <x v="5"/>
    <n v="0"/>
    <n v="0"/>
    <n v="1521.9469999999999"/>
    <n v="1521.9469999999999"/>
    <n v="1521.9469999999999"/>
    <n v="1521.9469999999999"/>
    <n v="0"/>
    <x v="0"/>
    <n v="0"/>
    <n v="0"/>
    <n v="60"/>
    <n v="16"/>
    <n v="0"/>
    <n v="387.29"/>
    <n v="196.87"/>
    <m/>
    <n v="456.08524314176981"/>
    <n v="208.06952026008611"/>
    <n v="0"/>
    <n v="589434.85363000003"/>
    <n v="299625.70588999998"/>
    <n v="0"/>
    <n v="694137.56754388707"/>
    <n v="316670.78215127724"/>
  </r>
  <r>
    <s v="Sistema de Compensação"/>
    <x v="2"/>
    <x v="2"/>
    <x v="4"/>
    <x v="2"/>
    <x v="3"/>
    <x v="0"/>
    <x v="2"/>
    <x v="5"/>
    <n v="0"/>
    <n v="0"/>
    <n v="0.1"/>
    <n v="0.1"/>
    <n v="0.1"/>
    <n v="0.1"/>
    <n v="0"/>
    <x v="0"/>
    <n v="0"/>
    <n v="0"/>
    <n v="60"/>
    <n v="16"/>
    <n v="0"/>
    <n v="387.29"/>
    <n v="196.87"/>
    <m/>
    <n v="456.08524314176981"/>
    <n v="208.06952026008611"/>
    <n v="0"/>
    <n v="38.729000000000006"/>
    <n v="19.687000000000001"/>
    <n v="0"/>
    <n v="45.608524314176982"/>
    <n v="20.806952026008613"/>
  </r>
  <r>
    <s v="Regular"/>
    <x v="2"/>
    <x v="2"/>
    <x v="4"/>
    <x v="2"/>
    <x v="3"/>
    <x v="0"/>
    <x v="2"/>
    <x v="6"/>
    <n v="0"/>
    <n v="0"/>
    <n v="1443.8409999999999"/>
    <n v="1443.8409999999999"/>
    <n v="1443.8409999999999"/>
    <n v="1443.8409999999999"/>
    <n v="0"/>
    <x v="0"/>
    <n v="0"/>
    <n v="0"/>
    <n v="60"/>
    <n v="16"/>
    <n v="0"/>
    <n v="387.29"/>
    <n v="196.87"/>
    <m/>
    <n v="456.08524314176981"/>
    <n v="208.06952026008611"/>
    <n v="0"/>
    <n v="559185.18088999996"/>
    <n v="284248.97766999999"/>
    <n v="0"/>
    <n v="658514.57354305603"/>
    <n v="300419.30420184298"/>
  </r>
  <r>
    <s v="Sistema de Compensação"/>
    <x v="2"/>
    <x v="2"/>
    <x v="4"/>
    <x v="2"/>
    <x v="3"/>
    <x v="0"/>
    <x v="2"/>
    <x v="6"/>
    <n v="0"/>
    <n v="0"/>
    <n v="7.3"/>
    <n v="7.3"/>
    <n v="7.3"/>
    <n v="7.3"/>
    <n v="0"/>
    <x v="0"/>
    <n v="0"/>
    <n v="0"/>
    <n v="60"/>
    <n v="16"/>
    <n v="0"/>
    <n v="387.29"/>
    <n v="196.87"/>
    <m/>
    <n v="456.08524314176981"/>
    <n v="208.06952026008611"/>
    <n v="0"/>
    <n v="2827.2170000000001"/>
    <n v="1437.1510000000001"/>
    <n v="0"/>
    <n v="3329.4222749349196"/>
    <n v="1518.9074978986287"/>
  </r>
  <r>
    <s v="Regular"/>
    <x v="2"/>
    <x v="2"/>
    <x v="4"/>
    <x v="2"/>
    <x v="3"/>
    <x v="0"/>
    <x v="2"/>
    <x v="7"/>
    <n v="0"/>
    <n v="0"/>
    <n v="1907.675"/>
    <n v="1907.675"/>
    <n v="1907.675"/>
    <n v="1907.675"/>
    <n v="0"/>
    <x v="0"/>
    <n v="0"/>
    <n v="0"/>
    <n v="60"/>
    <n v="16"/>
    <n v="0"/>
    <n v="387.29"/>
    <n v="196.87"/>
    <m/>
    <n v="456.08524314176981"/>
    <n v="208.06952026008611"/>
    <n v="0"/>
    <n v="738823.45075000008"/>
    <n v="375563.97725"/>
    <n v="0"/>
    <n v="870062.41621047573"/>
    <n v="396929.02206215978"/>
  </r>
  <r>
    <s v="Sistema de Compensação"/>
    <x v="2"/>
    <x v="2"/>
    <x v="4"/>
    <x v="2"/>
    <x v="3"/>
    <x v="0"/>
    <x v="2"/>
    <x v="7"/>
    <n v="0"/>
    <n v="0"/>
    <n v="25.234000000000002"/>
    <n v="25.234000000000002"/>
    <n v="25.234000000000002"/>
    <n v="25.234000000000002"/>
    <n v="0"/>
    <x v="0"/>
    <n v="0"/>
    <n v="0"/>
    <n v="60"/>
    <n v="16"/>
    <n v="0"/>
    <n v="387.29"/>
    <n v="196.87"/>
    <m/>
    <n v="456.08524314176981"/>
    <n v="208.06952026008611"/>
    <n v="0"/>
    <n v="9772.8758600000019"/>
    <n v="4967.8175800000008"/>
    <n v="0"/>
    <n v="11508.855025439419"/>
    <n v="5250.4262742430128"/>
  </r>
  <r>
    <s v="Regular"/>
    <x v="2"/>
    <x v="2"/>
    <x v="4"/>
    <x v="2"/>
    <x v="3"/>
    <x v="0"/>
    <x v="2"/>
    <x v="8"/>
    <n v="0"/>
    <n v="0"/>
    <n v="1652.027"/>
    <n v="1652.027"/>
    <n v="1652.027"/>
    <n v="1652.027"/>
    <n v="0"/>
    <x v="0"/>
    <n v="0"/>
    <n v="0"/>
    <n v="60"/>
    <n v="16"/>
    <n v="0"/>
    <n v="387.29"/>
    <n v="196.87"/>
    <m/>
    <n v="456.08524314176981"/>
    <n v="208.06952026008611"/>
    <n v="0"/>
    <n v="639813.53683"/>
    <n v="325234.55549"/>
    <n v="0"/>
    <n v="753465.13597176853"/>
    <n v="343736.4653467093"/>
  </r>
  <r>
    <s v="Refaturamento - Regular"/>
    <x v="2"/>
    <x v="2"/>
    <x v="4"/>
    <x v="2"/>
    <x v="3"/>
    <x v="0"/>
    <x v="2"/>
    <x v="8"/>
    <n v="0"/>
    <n v="0"/>
    <n v="120.685"/>
    <n v="120.685"/>
    <n v="120.685"/>
    <n v="120.685"/>
    <n v="0"/>
    <x v="0"/>
    <n v="0"/>
    <n v="0"/>
    <n v="60"/>
    <n v="16"/>
    <n v="0"/>
    <n v="387.29"/>
    <n v="196.87"/>
    <m/>
    <n v="456.08524314176981"/>
    <n v="208.06952026008611"/>
    <n v="0"/>
    <n v="46740.093650000003"/>
    <n v="23759.255950000002"/>
    <n v="0"/>
    <n v="55042.647568564491"/>
    <n v="25110.870052588492"/>
  </r>
  <r>
    <s v="Sistema de Compensação"/>
    <x v="2"/>
    <x v="2"/>
    <x v="4"/>
    <x v="2"/>
    <x v="3"/>
    <x v="0"/>
    <x v="2"/>
    <x v="8"/>
    <n v="0"/>
    <n v="0"/>
    <n v="24.227"/>
    <n v="24.227"/>
    <n v="24.227"/>
    <n v="24.227"/>
    <n v="0"/>
    <x v="0"/>
    <n v="0"/>
    <n v="0"/>
    <n v="60"/>
    <n v="16"/>
    <n v="0"/>
    <n v="387.29"/>
    <n v="196.87"/>
    <m/>
    <n v="456.08524314176981"/>
    <n v="208.06952026008611"/>
    <n v="0"/>
    <n v="9382.8748300000007"/>
    <n v="4769.5694899999999"/>
    <n v="0"/>
    <n v="11049.577185595657"/>
    <n v="5040.900267341106"/>
  </r>
  <r>
    <s v="Regular"/>
    <x v="2"/>
    <x v="2"/>
    <x v="4"/>
    <x v="2"/>
    <x v="3"/>
    <x v="0"/>
    <x v="2"/>
    <x v="9"/>
    <n v="0"/>
    <n v="0"/>
    <n v="1415.28"/>
    <n v="1415.28"/>
    <n v="1415.28"/>
    <n v="1415.28"/>
    <n v="0"/>
    <x v="0"/>
    <n v="0"/>
    <n v="0"/>
    <n v="60"/>
    <n v="16"/>
    <n v="0"/>
    <n v="387.29"/>
    <n v="196.87"/>
    <m/>
    <n v="456.08524314176981"/>
    <n v="208.06952026008611"/>
    <n v="0"/>
    <n v="548123.79119999998"/>
    <n v="278626.17359999998"/>
    <n v="0"/>
    <n v="645488.32291368395"/>
    <n v="294476.63063369464"/>
  </r>
  <r>
    <s v="Sistema de Compensação"/>
    <x v="2"/>
    <x v="2"/>
    <x v="4"/>
    <x v="2"/>
    <x v="3"/>
    <x v="0"/>
    <x v="2"/>
    <x v="9"/>
    <n v="0"/>
    <n v="0"/>
    <n v="10.531000000000001"/>
    <n v="10.531000000000001"/>
    <n v="10.531000000000001"/>
    <n v="10.531000000000001"/>
    <n v="0"/>
    <x v="0"/>
    <n v="0"/>
    <n v="0"/>
    <n v="60"/>
    <n v="16"/>
    <n v="0"/>
    <n v="387.29"/>
    <n v="196.87"/>
    <m/>
    <n v="456.08524314176981"/>
    <n v="208.06952026008611"/>
    <n v="0"/>
    <n v="4078.5509900000006"/>
    <n v="2073.2379700000001"/>
    <n v="0"/>
    <n v="4803.0336955259781"/>
    <n v="2191.1801178589672"/>
  </r>
  <r>
    <s v="Regular"/>
    <x v="2"/>
    <x v="2"/>
    <x v="4"/>
    <x v="2"/>
    <x v="3"/>
    <x v="0"/>
    <x v="2"/>
    <x v="10"/>
    <n v="0"/>
    <n v="0"/>
    <n v="1298.3779999999999"/>
    <n v="1298.3779999999999"/>
    <n v="1298.3779999999999"/>
    <n v="1298.3779999999999"/>
    <n v="0"/>
    <x v="0"/>
    <n v="0"/>
    <n v="0"/>
    <n v="60"/>
    <n v="16"/>
    <n v="0"/>
    <n v="387.29"/>
    <n v="196.87"/>
    <m/>
    <n v="456.08524314176981"/>
    <n v="208.06952026008611"/>
    <n v="0"/>
    <n v="502848.81562000001"/>
    <n v="255611.67685999998"/>
    <n v="0"/>
    <n v="592171.0458199248"/>
    <n v="270152.88757625007"/>
  </r>
  <r>
    <s v="Sistema de Compensação"/>
    <x v="2"/>
    <x v="2"/>
    <x v="4"/>
    <x v="2"/>
    <x v="3"/>
    <x v="0"/>
    <x v="2"/>
    <x v="10"/>
    <n v="0"/>
    <n v="0"/>
    <n v="17.302"/>
    <n v="17.302"/>
    <n v="17.302"/>
    <n v="17.302"/>
    <n v="0"/>
    <x v="0"/>
    <n v="0"/>
    <n v="0"/>
    <n v="60"/>
    <n v="16"/>
    <n v="0"/>
    <n v="387.29"/>
    <n v="196.87"/>
    <m/>
    <n v="456.08524314176981"/>
    <n v="208.06952026008611"/>
    <n v="0"/>
    <n v="6700.8915800000004"/>
    <n v="3406.2447400000001"/>
    <n v="0"/>
    <n v="7891.1868768389013"/>
    <n v="3600.0188395400096"/>
  </r>
  <r>
    <s v="PROJETADO"/>
    <x v="2"/>
    <x v="2"/>
    <x v="4"/>
    <x v="2"/>
    <x v="3"/>
    <x v="0"/>
    <x v="2"/>
    <x v="11"/>
    <n v="0"/>
    <n v="0"/>
    <n v="1298.3779999999999"/>
    <n v="1298.3779999999999"/>
    <n v="1298.3779999999999"/>
    <n v="1298.3779999999999"/>
    <n v="0"/>
    <x v="0"/>
    <n v="0"/>
    <n v="0"/>
    <n v="60"/>
    <n v="16"/>
    <n v="0"/>
    <n v="387.29"/>
    <n v="196.87"/>
    <m/>
    <n v="456.08524314176981"/>
    <n v="208.06952026008611"/>
    <n v="0"/>
    <n v="502848.81562000001"/>
    <n v="255611.67685999998"/>
    <n v="0"/>
    <n v="592171.0458199248"/>
    <n v="270152.88757625007"/>
  </r>
  <r>
    <s v="PROJETADO"/>
    <x v="2"/>
    <x v="2"/>
    <x v="4"/>
    <x v="2"/>
    <x v="3"/>
    <x v="0"/>
    <x v="2"/>
    <x v="11"/>
    <n v="0"/>
    <n v="0"/>
    <n v="17.302"/>
    <n v="17.302"/>
    <n v="17.302"/>
    <n v="17.302"/>
    <n v="0"/>
    <x v="0"/>
    <n v="0"/>
    <n v="0"/>
    <n v="60"/>
    <n v="16"/>
    <n v="0"/>
    <n v="387.29"/>
    <n v="196.87"/>
    <m/>
    <n v="456.08524314176981"/>
    <n v="208.06952026008611"/>
    <n v="0"/>
    <n v="6700.8915800000004"/>
    <n v="3406.2447400000001"/>
    <n v="0"/>
    <n v="7891.1868768389013"/>
    <n v="3600.0188395400096"/>
  </r>
  <r>
    <s v="Regular"/>
    <x v="2"/>
    <x v="2"/>
    <x v="4"/>
    <x v="2"/>
    <x v="2"/>
    <x v="0"/>
    <x v="2"/>
    <x v="0"/>
    <n v="0"/>
    <n v="0"/>
    <n v="1064.1079999999999"/>
    <n v="425.64319999999998"/>
    <n v="1064.1079999999999"/>
    <n v="425.64319999999998"/>
    <n v="0"/>
    <x v="0"/>
    <n v="0"/>
    <n v="0"/>
    <n v="60"/>
    <n v="16"/>
    <n v="0"/>
    <n v="387.29"/>
    <n v="196.87"/>
    <m/>
    <n v="456.08524314176981"/>
    <n v="208.06952026008611"/>
    <n v="0"/>
    <n v="164847.35492799999"/>
    <n v="83796.376783999993"/>
    <n v="0"/>
    <n v="194129.58236364095"/>
    <n v="88563.376425967872"/>
  </r>
  <r>
    <s v="Regular"/>
    <x v="2"/>
    <x v="2"/>
    <x v="4"/>
    <x v="2"/>
    <x v="2"/>
    <x v="0"/>
    <x v="2"/>
    <x v="1"/>
    <n v="0"/>
    <n v="0"/>
    <n v="1083.645"/>
    <n v="433.45800000000003"/>
    <n v="1083.645"/>
    <n v="433.45800000000003"/>
    <n v="0"/>
    <x v="0"/>
    <n v="0"/>
    <n v="0"/>
    <n v="60"/>
    <n v="16"/>
    <n v="0"/>
    <n v="387.29"/>
    <n v="196.87"/>
    <m/>
    <n v="456.08524314176981"/>
    <n v="208.06952026008611"/>
    <n v="0"/>
    <n v="167873.94882000002"/>
    <n v="85334.876460000014"/>
    <n v="0"/>
    <n v="197693.79732174528"/>
    <n v="90189.398112896408"/>
  </r>
  <r>
    <s v="Sistema de Compensação"/>
    <x v="2"/>
    <x v="2"/>
    <x v="4"/>
    <x v="2"/>
    <x v="2"/>
    <x v="0"/>
    <x v="2"/>
    <x v="1"/>
    <n v="0"/>
    <n v="0"/>
    <n v="10.56"/>
    <n v="10.56"/>
    <n v="10.56"/>
    <n v="10.56"/>
    <n v="0"/>
    <x v="0"/>
    <n v="0"/>
    <n v="0"/>
    <n v="60"/>
    <n v="16"/>
    <n v="0"/>
    <n v="387.29"/>
    <n v="196.87"/>
    <m/>
    <n v="456.08524314176981"/>
    <n v="208.06952026008611"/>
    <n v="0"/>
    <n v="4089.7824000000005"/>
    <n v="2078.9472000000001"/>
    <n v="0"/>
    <n v="4816.2601675770893"/>
    <n v="2197.2141339465093"/>
  </r>
  <r>
    <s v="Regular"/>
    <x v="2"/>
    <x v="2"/>
    <x v="4"/>
    <x v="2"/>
    <x v="2"/>
    <x v="0"/>
    <x v="2"/>
    <x v="2"/>
    <n v="0"/>
    <n v="0"/>
    <n v="398.53300000000002"/>
    <n v="159.41319999999999"/>
    <n v="398.53300000000002"/>
    <n v="159.41319999999999"/>
    <n v="0"/>
    <x v="0"/>
    <n v="0"/>
    <n v="0"/>
    <n v="60"/>
    <n v="16"/>
    <n v="0"/>
    <n v="387.29"/>
    <n v="196.87"/>
    <m/>
    <n v="456.08524314176981"/>
    <n v="208.06952026008611"/>
    <n v="0"/>
    <n v="61739.138227999996"/>
    <n v="31383.676683999998"/>
    <n v="0"/>
    <n v="72706.008082007567"/>
    <n v="33169.028047125154"/>
  </r>
  <r>
    <s v="Regular"/>
    <x v="2"/>
    <x v="2"/>
    <x v="4"/>
    <x v="2"/>
    <x v="2"/>
    <x v="0"/>
    <x v="2"/>
    <x v="3"/>
    <n v="0"/>
    <n v="0"/>
    <n v="710.33799999999997"/>
    <n v="284.1352"/>
    <n v="710.33799999999997"/>
    <n v="284.1352"/>
    <n v="0"/>
    <x v="0"/>
    <n v="0"/>
    <n v="0"/>
    <n v="60"/>
    <n v="16"/>
    <n v="0"/>
    <n v="387.29"/>
    <n v="196.87"/>
    <m/>
    <n v="456.08524314176981"/>
    <n v="208.06952026008611"/>
    <n v="0"/>
    <n v="110042.72160800001"/>
    <n v="55937.696823999999"/>
    <n v="0"/>
    <n v="129589.8717771354"/>
    <n v="59119.87475300362"/>
  </r>
  <r>
    <s v="Refaturamento - Regular"/>
    <x v="2"/>
    <x v="2"/>
    <x v="4"/>
    <x v="2"/>
    <x v="2"/>
    <x v="0"/>
    <x v="2"/>
    <x v="3"/>
    <n v="0"/>
    <n v="0"/>
    <n v="-1.8"/>
    <n v="-0.72"/>
    <n v="-1.8"/>
    <n v="-0.72"/>
    <n v="0"/>
    <x v="0"/>
    <n v="0"/>
    <n v="0"/>
    <n v="60"/>
    <n v="16"/>
    <n v="0"/>
    <n v="387.29"/>
    <n v="196.87"/>
    <m/>
    <n v="456.08524314176981"/>
    <n v="208.06952026008611"/>
    <n v="0"/>
    <n v="-278.84879999999998"/>
    <n v="-141.74639999999999"/>
    <n v="0"/>
    <n v="-328.38137506207426"/>
    <n v="-149.81005458726199"/>
  </r>
  <r>
    <s v="Regular"/>
    <x v="2"/>
    <x v="2"/>
    <x v="4"/>
    <x v="2"/>
    <x v="2"/>
    <x v="0"/>
    <x v="2"/>
    <x v="4"/>
    <n v="0"/>
    <n v="0"/>
    <n v="788.05499999999995"/>
    <n v="315.22199999999998"/>
    <n v="788.05499999999995"/>
    <n v="315.22199999999998"/>
    <n v="0"/>
    <x v="0"/>
    <n v="0"/>
    <n v="0"/>
    <n v="60"/>
    <n v="16"/>
    <n v="0"/>
    <n v="387.29"/>
    <n v="196.87"/>
    <m/>
    <n v="456.08524314176981"/>
    <n v="208.06952026008611"/>
    <n v="0"/>
    <n v="122082.32837999999"/>
    <n v="62057.755140000001"/>
    <n v="0"/>
    <n v="143768.10251363495"/>
    <n v="65588.090315424852"/>
  </r>
  <r>
    <s v="Sistema de Compensação"/>
    <x v="2"/>
    <x v="2"/>
    <x v="4"/>
    <x v="2"/>
    <x v="2"/>
    <x v="0"/>
    <x v="2"/>
    <x v="4"/>
    <n v="0"/>
    <n v="0"/>
    <n v="4.92"/>
    <n v="4.92"/>
    <n v="4.92"/>
    <n v="4.92"/>
    <n v="0"/>
    <x v="0"/>
    <n v="0"/>
    <n v="0"/>
    <n v="60"/>
    <n v="16"/>
    <n v="0"/>
    <n v="387.29"/>
    <n v="196.87"/>
    <m/>
    <n v="456.08524314176981"/>
    <n v="208.06952026008611"/>
    <n v="0"/>
    <n v="1905.4668000000001"/>
    <n v="968.60040000000004"/>
    <n v="0"/>
    <n v="2243.9393962575073"/>
    <n v="1023.7020396796237"/>
  </r>
  <r>
    <s v="Regular"/>
    <x v="2"/>
    <x v="2"/>
    <x v="4"/>
    <x v="2"/>
    <x v="2"/>
    <x v="0"/>
    <x v="2"/>
    <x v="5"/>
    <n v="0"/>
    <n v="0"/>
    <n v="785.18899999999996"/>
    <n v="314.07560000000001"/>
    <n v="785.18899999999996"/>
    <n v="314.07560000000001"/>
    <n v="0"/>
    <x v="0"/>
    <n v="0"/>
    <n v="0"/>
    <n v="60"/>
    <n v="16"/>
    <n v="0"/>
    <n v="387.29"/>
    <n v="196.87"/>
    <m/>
    <n v="456.08524314176981"/>
    <n v="208.06952026008611"/>
    <n v="0"/>
    <n v="121638.33912400001"/>
    <n v="61832.063372000004"/>
    <n v="0"/>
    <n v="143245.24639089723"/>
    <n v="65349.559417398705"/>
  </r>
  <r>
    <s v="Sistema de Compensação"/>
    <x v="2"/>
    <x v="2"/>
    <x v="4"/>
    <x v="2"/>
    <x v="2"/>
    <x v="0"/>
    <x v="2"/>
    <x v="5"/>
    <n v="0"/>
    <n v="0"/>
    <n v="4.2850000000000001"/>
    <n v="4.2850000000000001"/>
    <n v="4.2850000000000001"/>
    <n v="4.2850000000000001"/>
    <n v="0"/>
    <x v="0"/>
    <n v="0"/>
    <n v="0"/>
    <n v="60"/>
    <n v="16"/>
    <n v="0"/>
    <n v="387.29"/>
    <n v="196.87"/>
    <m/>
    <n v="456.08524314176981"/>
    <n v="208.06952026008611"/>
    <n v="0"/>
    <n v="1659.5376500000002"/>
    <n v="843.58795000000009"/>
    <n v="0"/>
    <n v="1954.3252668624837"/>
    <n v="891.57789431446895"/>
  </r>
  <r>
    <s v="Regular"/>
    <x v="2"/>
    <x v="2"/>
    <x v="4"/>
    <x v="2"/>
    <x v="2"/>
    <x v="0"/>
    <x v="2"/>
    <x v="6"/>
    <n v="0"/>
    <n v="0"/>
    <n v="760.04100000000005"/>
    <n v="304.01639999999998"/>
    <n v="760.04100000000005"/>
    <n v="304.01639999999998"/>
    <n v="0"/>
    <x v="0"/>
    <n v="0"/>
    <n v="0"/>
    <n v="60"/>
    <n v="16"/>
    <n v="0"/>
    <n v="387.29"/>
    <n v="196.87"/>
    <m/>
    <n v="456.08524314176981"/>
    <n v="208.06952026008611"/>
    <n v="0"/>
    <n v="117742.511556"/>
    <n v="59851.708667999999"/>
    <n v="0"/>
    <n v="138657.39371308553"/>
    <n v="63256.546499198441"/>
  </r>
  <r>
    <s v="Sistema de Compensação"/>
    <x v="2"/>
    <x v="2"/>
    <x v="4"/>
    <x v="2"/>
    <x v="2"/>
    <x v="0"/>
    <x v="2"/>
    <x v="6"/>
    <n v="0"/>
    <n v="0"/>
    <n v="3.92"/>
    <n v="3.92"/>
    <n v="3.92"/>
    <n v="3.92"/>
    <n v="0"/>
    <x v="0"/>
    <n v="0"/>
    <n v="0"/>
    <n v="60"/>
    <n v="16"/>
    <n v="0"/>
    <n v="387.29"/>
    <n v="196.87"/>
    <m/>
    <n v="456.08524314176981"/>
    <n v="208.06952026008611"/>
    <n v="0"/>
    <n v="1518.1768"/>
    <n v="771.73040000000003"/>
    <n v="0"/>
    <n v="1787.8541531157375"/>
    <n v="815.63251941953752"/>
  </r>
  <r>
    <s v="Regular"/>
    <x v="2"/>
    <x v="2"/>
    <x v="4"/>
    <x v="2"/>
    <x v="2"/>
    <x v="0"/>
    <x v="2"/>
    <x v="7"/>
    <n v="0"/>
    <n v="0"/>
    <n v="1215.9490000000001"/>
    <n v="486.37959999999998"/>
    <n v="1215.9490000000001"/>
    <n v="486.37959999999998"/>
    <n v="0"/>
    <x v="0"/>
    <n v="0"/>
    <n v="0"/>
    <n v="60"/>
    <n v="16"/>
    <n v="0"/>
    <n v="387.29"/>
    <n v="196.87"/>
    <m/>
    <n v="456.08524314176981"/>
    <n v="208.06952026008611"/>
    <n v="0"/>
    <n v="188369.955284"/>
    <n v="95753.551852000004"/>
    <n v="0"/>
    <n v="221830.55812519672"/>
    <n v="101200.77003629257"/>
  </r>
  <r>
    <s v="Sistema de Compensação"/>
    <x v="2"/>
    <x v="2"/>
    <x v="4"/>
    <x v="2"/>
    <x v="2"/>
    <x v="0"/>
    <x v="2"/>
    <x v="7"/>
    <n v="0"/>
    <n v="0"/>
    <n v="17.940000000000001"/>
    <n v="17.940000000000001"/>
    <n v="17.940000000000001"/>
    <n v="17.940000000000001"/>
    <n v="0"/>
    <x v="0"/>
    <n v="0"/>
    <n v="0"/>
    <n v="60"/>
    <n v="16"/>
    <n v="0"/>
    <n v="387.29"/>
    <n v="196.87"/>
    <m/>
    <n v="456.08524314176981"/>
    <n v="208.06952026008611"/>
    <n v="0"/>
    <n v="6947.9826000000012"/>
    <n v="3531.8478000000005"/>
    <n v="0"/>
    <n v="8182.1692619633513"/>
    <n v="3732.7671934659452"/>
  </r>
  <r>
    <s v="Regular"/>
    <x v="2"/>
    <x v="2"/>
    <x v="4"/>
    <x v="2"/>
    <x v="2"/>
    <x v="0"/>
    <x v="2"/>
    <x v="8"/>
    <n v="0"/>
    <n v="0"/>
    <n v="890.36900000000003"/>
    <n v="356.14760000000001"/>
    <n v="890.36900000000003"/>
    <n v="356.14760000000001"/>
    <n v="0"/>
    <x v="0"/>
    <n v="0"/>
    <n v="0"/>
    <n v="60"/>
    <n v="16"/>
    <n v="0"/>
    <n v="387.29"/>
    <n v="196.87"/>
    <m/>
    <n v="456.08524314176981"/>
    <n v="208.06952026008611"/>
    <n v="0"/>
    <n v="137932.40400400001"/>
    <n v="70114.77801200001"/>
    <n v="0"/>
    <n v="162433.66474035778"/>
    <n v="74103.460273781049"/>
  </r>
  <r>
    <s v="Refaturamento - Regular"/>
    <x v="2"/>
    <x v="2"/>
    <x v="4"/>
    <x v="2"/>
    <x v="2"/>
    <x v="0"/>
    <x v="2"/>
    <x v="8"/>
    <n v="0"/>
    <n v="0"/>
    <n v="-125.2"/>
    <n v="-50.08"/>
    <n v="-125.2"/>
    <n v="-50.08"/>
    <n v="0"/>
    <x v="0"/>
    <n v="0"/>
    <n v="0"/>
    <n v="60"/>
    <n v="16"/>
    <n v="0"/>
    <n v="387.29"/>
    <n v="196.87"/>
    <m/>
    <n v="456.08524314176981"/>
    <n v="208.06952026008611"/>
    <n v="0"/>
    <n v="-19395.483199999999"/>
    <n v="-9859.2495999999992"/>
    <n v="0"/>
    <n v="-22840.748976539831"/>
    <n v="-10420.121574625113"/>
  </r>
  <r>
    <s v="Sistema de Compensação"/>
    <x v="2"/>
    <x v="2"/>
    <x v="4"/>
    <x v="2"/>
    <x v="2"/>
    <x v="0"/>
    <x v="2"/>
    <x v="8"/>
    <n v="0"/>
    <n v="0"/>
    <n v="15.58"/>
    <n v="15.58"/>
    <n v="15.58"/>
    <n v="15.58"/>
    <n v="0"/>
    <x v="0"/>
    <n v="0"/>
    <n v="0"/>
    <n v="60"/>
    <n v="16"/>
    <n v="0"/>
    <n v="387.29"/>
    <n v="196.87"/>
    <m/>
    <n v="456.08524314176981"/>
    <n v="208.06952026008611"/>
    <n v="0"/>
    <n v="6033.9782000000005"/>
    <n v="3067.2346000000002"/>
    <n v="0"/>
    <n v="7105.808088148774"/>
    <n v="3241.7231256521418"/>
  </r>
  <r>
    <s v="Regular"/>
    <x v="2"/>
    <x v="2"/>
    <x v="4"/>
    <x v="2"/>
    <x v="2"/>
    <x v="0"/>
    <x v="2"/>
    <x v="9"/>
    <n v="0"/>
    <n v="0"/>
    <n v="716.78800000000001"/>
    <n v="286.71519999999998"/>
    <n v="716.78800000000001"/>
    <n v="286.71519999999998"/>
    <n v="0"/>
    <x v="0"/>
    <n v="0"/>
    <n v="0"/>
    <n v="60"/>
    <n v="16"/>
    <n v="0"/>
    <n v="387.29"/>
    <n v="196.87"/>
    <m/>
    <n v="456.08524314176981"/>
    <n v="208.06952026008611"/>
    <n v="0"/>
    <n v="111041.929808"/>
    <n v="56445.621423999997"/>
    <n v="0"/>
    <n v="130766.57170444116"/>
    <n v="59656.694115274637"/>
  </r>
  <r>
    <s v="Sistema de Compensação"/>
    <x v="2"/>
    <x v="2"/>
    <x v="4"/>
    <x v="2"/>
    <x v="2"/>
    <x v="0"/>
    <x v="2"/>
    <x v="9"/>
    <n v="0"/>
    <n v="0"/>
    <n v="16.577000000000002"/>
    <n v="16.577000000000002"/>
    <n v="16.577000000000002"/>
    <n v="16.577000000000002"/>
    <n v="0"/>
    <x v="0"/>
    <n v="0"/>
    <n v="0"/>
    <n v="60"/>
    <n v="16"/>
    <n v="0"/>
    <n v="387.29"/>
    <n v="196.87"/>
    <m/>
    <n v="456.08524314176981"/>
    <n v="208.06952026008611"/>
    <n v="0"/>
    <n v="6420.1063300000014"/>
    <n v="3263.5139900000004"/>
    <n v="0"/>
    <n v="7560.5250755611187"/>
    <n v="3449.1684373514477"/>
  </r>
  <r>
    <s v="Regular"/>
    <x v="2"/>
    <x v="2"/>
    <x v="4"/>
    <x v="2"/>
    <x v="2"/>
    <x v="0"/>
    <x v="2"/>
    <x v="10"/>
    <n v="0"/>
    <n v="0"/>
    <n v="715.678"/>
    <n v="286.27120000000002"/>
    <n v="715.678"/>
    <n v="286.27120000000002"/>
    <n v="0"/>
    <x v="0"/>
    <n v="0"/>
    <n v="0"/>
    <n v="60"/>
    <n v="16"/>
    <n v="0"/>
    <n v="387.29"/>
    <n v="196.87"/>
    <m/>
    <n v="456.08524314176981"/>
    <n v="208.06952026008611"/>
    <n v="0"/>
    <n v="110869.97304800001"/>
    <n v="56358.211144000008"/>
    <n v="0"/>
    <n v="130564.06985648623"/>
    <n v="59564.311248279169"/>
  </r>
  <r>
    <s v="Sistema de Compensação"/>
    <x v="2"/>
    <x v="2"/>
    <x v="4"/>
    <x v="2"/>
    <x v="2"/>
    <x v="0"/>
    <x v="2"/>
    <x v="10"/>
    <n v="0"/>
    <n v="0"/>
    <n v="15.84"/>
    <n v="15.84"/>
    <n v="15.84"/>
    <n v="15.84"/>
    <n v="0"/>
    <x v="0"/>
    <n v="0"/>
    <n v="0"/>
    <n v="60"/>
    <n v="16"/>
    <n v="0"/>
    <n v="387.29"/>
    <n v="196.87"/>
    <m/>
    <n v="456.08524314176981"/>
    <n v="208.06952026008611"/>
    <n v="0"/>
    <n v="6134.6736000000001"/>
    <n v="3118.4207999999999"/>
    <n v="0"/>
    <n v="7224.390251365634"/>
    <n v="3295.8212009197641"/>
  </r>
  <r>
    <s v="PROJETADO"/>
    <x v="2"/>
    <x v="2"/>
    <x v="4"/>
    <x v="2"/>
    <x v="2"/>
    <x v="0"/>
    <x v="2"/>
    <x v="11"/>
    <n v="0"/>
    <n v="0"/>
    <n v="715.678"/>
    <n v="286.27120000000002"/>
    <n v="715.678"/>
    <n v="286.27120000000002"/>
    <n v="0"/>
    <x v="0"/>
    <n v="0"/>
    <n v="0"/>
    <n v="60"/>
    <n v="16"/>
    <n v="0"/>
    <n v="387.29"/>
    <n v="196.87"/>
    <m/>
    <n v="456.08524314176981"/>
    <n v="208.06952026008611"/>
    <n v="0"/>
    <n v="110869.97304800001"/>
    <n v="56358.211144000008"/>
    <n v="0"/>
    <n v="130564.06985648623"/>
    <n v="59564.311248279169"/>
  </r>
  <r>
    <s v="PROJETADO"/>
    <x v="2"/>
    <x v="2"/>
    <x v="4"/>
    <x v="2"/>
    <x v="2"/>
    <x v="0"/>
    <x v="2"/>
    <x v="11"/>
    <n v="0"/>
    <n v="0"/>
    <n v="15.84"/>
    <n v="15.84"/>
    <n v="15.84"/>
    <n v="15.84"/>
    <n v="0"/>
    <x v="0"/>
    <n v="0"/>
    <n v="0"/>
    <n v="60"/>
    <n v="16"/>
    <n v="0"/>
    <n v="387.29"/>
    <n v="196.87"/>
    <m/>
    <n v="456.08524314176981"/>
    <n v="208.06952026008611"/>
    <n v="0"/>
    <n v="6134.6736000000001"/>
    <n v="3118.4207999999999"/>
    <n v="0"/>
    <n v="7224.390251365634"/>
    <n v="3295.8212009197641"/>
  </r>
  <r>
    <s v="Regular"/>
    <x v="2"/>
    <x v="2"/>
    <x v="4"/>
    <x v="8"/>
    <x v="3"/>
    <x v="0"/>
    <x v="2"/>
    <x v="0"/>
    <n v="0"/>
    <n v="0"/>
    <n v="1.92"/>
    <n v="1.92"/>
    <n v="1.92"/>
    <n v="1.92"/>
    <n v="0"/>
    <x v="0"/>
    <n v="0"/>
    <n v="0"/>
    <n v="60"/>
    <n v="16"/>
    <n v="0"/>
    <n v="387.29"/>
    <n v="196.87"/>
    <m/>
    <n v="456.08524314176981"/>
    <n v="208.06952026008611"/>
    <n v="0"/>
    <n v="743.59680000000003"/>
    <n v="377.99040000000002"/>
    <n v="0"/>
    <n v="875.68366683219801"/>
    <n v="399.4934788993653"/>
  </r>
  <r>
    <s v="Regular"/>
    <x v="2"/>
    <x v="2"/>
    <x v="4"/>
    <x v="8"/>
    <x v="3"/>
    <x v="0"/>
    <x v="2"/>
    <x v="1"/>
    <n v="0"/>
    <n v="0"/>
    <n v="1.86"/>
    <n v="1.86"/>
    <n v="1.86"/>
    <n v="1.86"/>
    <n v="0"/>
    <x v="0"/>
    <n v="0"/>
    <n v="0"/>
    <n v="60"/>
    <n v="16"/>
    <n v="0"/>
    <n v="387.29"/>
    <n v="196.87"/>
    <m/>
    <n v="456.08524314176981"/>
    <n v="208.06952026008611"/>
    <n v="0"/>
    <n v="720.35940000000005"/>
    <n v="366.1782"/>
    <n v="0"/>
    <n v="848.3185522436919"/>
    <n v="387.0093076837602"/>
  </r>
  <r>
    <s v="Regular"/>
    <x v="2"/>
    <x v="2"/>
    <x v="4"/>
    <x v="8"/>
    <x v="3"/>
    <x v="0"/>
    <x v="2"/>
    <x v="2"/>
    <n v="0"/>
    <n v="0"/>
    <n v="1.46"/>
    <n v="1.46"/>
    <n v="1.46"/>
    <n v="1.46"/>
    <n v="0"/>
    <x v="0"/>
    <n v="0"/>
    <n v="0"/>
    <n v="60"/>
    <n v="16"/>
    <n v="0"/>
    <n v="387.29"/>
    <n v="196.87"/>
    <m/>
    <n v="456.08524314176981"/>
    <n v="208.06952026008611"/>
    <n v="0"/>
    <n v="565.4434"/>
    <n v="287.43020000000001"/>
    <n v="0"/>
    <n v="665.88445498698388"/>
    <n v="303.78149957972573"/>
  </r>
  <r>
    <s v="Regular"/>
    <x v="2"/>
    <x v="2"/>
    <x v="4"/>
    <x v="8"/>
    <x v="3"/>
    <x v="0"/>
    <x v="2"/>
    <x v="3"/>
    <n v="0"/>
    <n v="0"/>
    <n v="1.58"/>
    <n v="1.58"/>
    <n v="1.58"/>
    <n v="1.58"/>
    <n v="0"/>
    <x v="0"/>
    <n v="0"/>
    <n v="0"/>
    <n v="60"/>
    <n v="16"/>
    <n v="0"/>
    <n v="387.29"/>
    <n v="196.87"/>
    <m/>
    <n v="456.08524314176981"/>
    <n v="208.06952026008611"/>
    <n v="0"/>
    <n v="611.91820000000007"/>
    <n v="311.05459999999999"/>
    <n v="0"/>
    <n v="720.61468416399634"/>
    <n v="328.74984201093605"/>
  </r>
  <r>
    <s v="Regular"/>
    <x v="2"/>
    <x v="2"/>
    <x v="4"/>
    <x v="8"/>
    <x v="3"/>
    <x v="0"/>
    <x v="2"/>
    <x v="4"/>
    <n v="0"/>
    <n v="0"/>
    <n v="1.82"/>
    <n v="1.82"/>
    <n v="1.82"/>
    <n v="1.82"/>
    <n v="0"/>
    <x v="0"/>
    <n v="0"/>
    <n v="0"/>
    <n v="60"/>
    <n v="16"/>
    <n v="0"/>
    <n v="387.29"/>
    <n v="196.87"/>
    <m/>
    <n v="456.08524314176981"/>
    <n v="208.06952026008611"/>
    <n v="0"/>
    <n v="704.8678000000001"/>
    <n v="358.30340000000001"/>
    <n v="0"/>
    <n v="830.07514251802104"/>
    <n v="378.68652687335674"/>
  </r>
  <r>
    <s v="Regular"/>
    <x v="2"/>
    <x v="2"/>
    <x v="4"/>
    <x v="8"/>
    <x v="3"/>
    <x v="0"/>
    <x v="2"/>
    <x v="5"/>
    <n v="0"/>
    <n v="0"/>
    <n v="1.72"/>
    <n v="1.72"/>
    <n v="1.72"/>
    <n v="1.72"/>
    <n v="0"/>
    <x v="0"/>
    <n v="0"/>
    <n v="0"/>
    <n v="60"/>
    <n v="16"/>
    <n v="0"/>
    <n v="387.29"/>
    <n v="196.87"/>
    <m/>
    <n v="456.08524314176981"/>
    <n v="208.06952026008611"/>
    <n v="0"/>
    <n v="666.13880000000006"/>
    <n v="338.6164"/>
    <n v="0"/>
    <n v="784.46661820384406"/>
    <n v="357.87957484734812"/>
  </r>
  <r>
    <s v="Regular"/>
    <x v="2"/>
    <x v="2"/>
    <x v="4"/>
    <x v="8"/>
    <x v="3"/>
    <x v="0"/>
    <x v="2"/>
    <x v="6"/>
    <n v="0"/>
    <n v="0"/>
    <n v="0.06"/>
    <n v="0.06"/>
    <n v="0.06"/>
    <n v="0.06"/>
    <n v="0"/>
    <x v="0"/>
    <n v="0"/>
    <n v="0"/>
    <n v="60"/>
    <n v="16"/>
    <n v="0"/>
    <n v="387.29"/>
    <n v="196.87"/>
    <m/>
    <n v="456.08524314176981"/>
    <n v="208.06952026008611"/>
    <n v="0"/>
    <n v="23.237400000000001"/>
    <n v="11.812200000000001"/>
    <n v="0"/>
    <n v="27.365114588506188"/>
    <n v="12.484171215605166"/>
  </r>
  <r>
    <s v="Regular"/>
    <x v="2"/>
    <x v="2"/>
    <x v="4"/>
    <x v="8"/>
    <x v="3"/>
    <x v="0"/>
    <x v="2"/>
    <x v="7"/>
    <n v="0"/>
    <n v="0"/>
    <n v="0.06"/>
    <n v="0.06"/>
    <n v="0.06"/>
    <n v="0.06"/>
    <n v="0"/>
    <x v="0"/>
    <n v="0"/>
    <n v="0"/>
    <n v="60"/>
    <n v="16"/>
    <n v="0"/>
    <n v="387.29"/>
    <n v="196.87"/>
    <m/>
    <n v="456.08524314176981"/>
    <n v="208.06952026008611"/>
    <n v="0"/>
    <n v="23.237400000000001"/>
    <n v="11.812200000000001"/>
    <n v="0"/>
    <n v="27.365114588506188"/>
    <n v="12.484171215605166"/>
  </r>
  <r>
    <s v="Regular"/>
    <x v="2"/>
    <x v="2"/>
    <x v="4"/>
    <x v="8"/>
    <x v="3"/>
    <x v="0"/>
    <x v="2"/>
    <x v="8"/>
    <n v="0"/>
    <n v="0"/>
    <n v="0.12"/>
    <n v="0.12"/>
    <n v="0.12"/>
    <n v="0.12"/>
    <n v="0"/>
    <x v="0"/>
    <n v="0"/>
    <n v="0"/>
    <n v="60"/>
    <n v="16"/>
    <n v="0"/>
    <n v="387.29"/>
    <n v="196.87"/>
    <m/>
    <n v="456.08524314176981"/>
    <n v="208.06952026008611"/>
    <n v="0"/>
    <n v="46.474800000000002"/>
    <n v="23.624400000000001"/>
    <n v="0"/>
    <n v="54.730229177012376"/>
    <n v="24.968342431210331"/>
  </r>
  <r>
    <s v="Regular"/>
    <x v="2"/>
    <x v="2"/>
    <x v="4"/>
    <x v="8"/>
    <x v="3"/>
    <x v="0"/>
    <x v="2"/>
    <x v="9"/>
    <n v="0"/>
    <n v="0"/>
    <n v="0.16"/>
    <n v="0.16"/>
    <n v="0.16"/>
    <n v="0.16"/>
    <n v="0"/>
    <x v="0"/>
    <n v="0"/>
    <n v="0"/>
    <n v="60"/>
    <n v="16"/>
    <n v="0"/>
    <n v="387.29"/>
    <n v="196.87"/>
    <m/>
    <n v="456.08524314176981"/>
    <n v="208.06952026008611"/>
    <n v="0"/>
    <n v="61.966400000000007"/>
    <n v="31.499200000000002"/>
    <n v="0"/>
    <n v="72.973638902683177"/>
    <n v="33.291123241613775"/>
  </r>
  <r>
    <s v="Regular"/>
    <x v="2"/>
    <x v="2"/>
    <x v="4"/>
    <x v="8"/>
    <x v="3"/>
    <x v="0"/>
    <x v="2"/>
    <x v="10"/>
    <n v="0"/>
    <n v="0"/>
    <n v="0.14000000000000001"/>
    <n v="0.14000000000000001"/>
    <n v="0.14000000000000001"/>
    <n v="0.14000000000000001"/>
    <n v="0"/>
    <x v="0"/>
    <n v="0"/>
    <n v="0"/>
    <n v="60"/>
    <n v="16"/>
    <n v="0"/>
    <n v="387.29"/>
    <n v="196.87"/>
    <m/>
    <n v="456.08524314176981"/>
    <n v="208.06952026008611"/>
    <n v="0"/>
    <n v="54.220600000000005"/>
    <n v="27.561800000000002"/>
    <n v="0"/>
    <n v="63.851934039847777"/>
    <n v="29.129732836412057"/>
  </r>
  <r>
    <s v="PROJETADO"/>
    <x v="2"/>
    <x v="2"/>
    <x v="4"/>
    <x v="8"/>
    <x v="3"/>
    <x v="0"/>
    <x v="2"/>
    <x v="11"/>
    <n v="0"/>
    <n v="0"/>
    <n v="0.14000000000000001"/>
    <n v="0.14000000000000001"/>
    <n v="0.14000000000000001"/>
    <n v="0.14000000000000001"/>
    <n v="0"/>
    <x v="0"/>
    <n v="0"/>
    <n v="0"/>
    <n v="60"/>
    <n v="16"/>
    <n v="0"/>
    <n v="387.29"/>
    <n v="196.87"/>
    <m/>
    <n v="456.08524314176981"/>
    <n v="208.06952026008611"/>
    <n v="0"/>
    <n v="54.220600000000005"/>
    <n v="27.561800000000002"/>
    <n v="0"/>
    <n v="63.851934039847777"/>
    <n v="29.129732836412057"/>
  </r>
  <r>
    <s v="Regular"/>
    <x v="2"/>
    <x v="2"/>
    <x v="4"/>
    <x v="8"/>
    <x v="2"/>
    <x v="0"/>
    <x v="2"/>
    <x v="0"/>
    <n v="0"/>
    <n v="0"/>
    <n v="1.08"/>
    <n v="0.432"/>
    <n v="1.08"/>
    <n v="0.432"/>
    <n v="0"/>
    <x v="0"/>
    <n v="0"/>
    <n v="0"/>
    <n v="60"/>
    <n v="16"/>
    <n v="0"/>
    <n v="387.29"/>
    <n v="196.87"/>
    <m/>
    <n v="456.08524314176981"/>
    <n v="208.06952026008611"/>
    <n v="0"/>
    <n v="167.30928"/>
    <n v="85.047840000000008"/>
    <n v="0"/>
    <n v="197.02882503724456"/>
    <n v="89.886032752357195"/>
  </r>
  <r>
    <s v="Regular"/>
    <x v="2"/>
    <x v="2"/>
    <x v="4"/>
    <x v="8"/>
    <x v="2"/>
    <x v="0"/>
    <x v="2"/>
    <x v="1"/>
    <n v="0"/>
    <n v="0"/>
    <n v="1.02"/>
    <n v="0.40799999999999997"/>
    <n v="1.02"/>
    <n v="0.40799999999999997"/>
    <n v="0"/>
    <x v="0"/>
    <n v="0"/>
    <n v="0"/>
    <n v="60"/>
    <n v="16"/>
    <n v="0"/>
    <n v="387.29"/>
    <n v="196.87"/>
    <m/>
    <n v="456.08524314176981"/>
    <n v="208.06952026008611"/>
    <n v="0"/>
    <n v="158.01432"/>
    <n v="80.322959999999995"/>
    <n v="0"/>
    <n v="186.08277920184207"/>
    <n v="84.892364266115123"/>
  </r>
  <r>
    <s v="Regular"/>
    <x v="2"/>
    <x v="2"/>
    <x v="4"/>
    <x v="8"/>
    <x v="2"/>
    <x v="0"/>
    <x v="2"/>
    <x v="2"/>
    <n v="0"/>
    <n v="0"/>
    <n v="0.82"/>
    <n v="0.32800000000000001"/>
    <n v="0.82"/>
    <n v="0.32800000000000001"/>
    <n v="0"/>
    <x v="0"/>
    <n v="0"/>
    <n v="0"/>
    <n v="60"/>
    <n v="16"/>
    <n v="0"/>
    <n v="387.29"/>
    <n v="196.87"/>
    <m/>
    <n v="456.08524314176981"/>
    <n v="208.06952026008611"/>
    <n v="0"/>
    <n v="127.03112000000002"/>
    <n v="64.573360000000008"/>
    <n v="0"/>
    <n v="149.5959597505005"/>
    <n v="68.24680264530825"/>
  </r>
  <r>
    <s v="Regular"/>
    <x v="2"/>
    <x v="2"/>
    <x v="4"/>
    <x v="8"/>
    <x v="2"/>
    <x v="0"/>
    <x v="2"/>
    <x v="3"/>
    <n v="0"/>
    <n v="0"/>
    <n v="0.86"/>
    <n v="0.34399999999999997"/>
    <n v="0.86"/>
    <n v="0.34399999999999997"/>
    <n v="0"/>
    <x v="0"/>
    <n v="0"/>
    <n v="0"/>
    <n v="60"/>
    <n v="16"/>
    <n v="0"/>
    <n v="387.29"/>
    <n v="196.87"/>
    <m/>
    <n v="456.08524314176981"/>
    <n v="208.06952026008611"/>
    <n v="0"/>
    <n v="133.22775999999999"/>
    <n v="67.723280000000003"/>
    <n v="0"/>
    <n v="156.89332364076881"/>
    <n v="71.575914969469622"/>
  </r>
  <r>
    <s v="Regular"/>
    <x v="2"/>
    <x v="2"/>
    <x v="4"/>
    <x v="8"/>
    <x v="2"/>
    <x v="0"/>
    <x v="2"/>
    <x v="4"/>
    <n v="0"/>
    <n v="0"/>
    <n v="1.02"/>
    <n v="0.40799999999999997"/>
    <n v="1.02"/>
    <n v="0.40799999999999997"/>
    <n v="0"/>
    <x v="0"/>
    <n v="0"/>
    <n v="0"/>
    <n v="60"/>
    <n v="16"/>
    <n v="0"/>
    <n v="387.29"/>
    <n v="196.87"/>
    <m/>
    <n v="456.08524314176981"/>
    <n v="208.06952026008611"/>
    <n v="0"/>
    <n v="158.01432"/>
    <n v="80.322959999999995"/>
    <n v="0"/>
    <n v="186.08277920184207"/>
    <n v="84.892364266115123"/>
  </r>
  <r>
    <s v="Regular"/>
    <x v="2"/>
    <x v="2"/>
    <x v="4"/>
    <x v="8"/>
    <x v="2"/>
    <x v="0"/>
    <x v="2"/>
    <x v="5"/>
    <n v="0"/>
    <n v="0"/>
    <n v="0.92"/>
    <n v="0.36799999999999999"/>
    <n v="0.92"/>
    <n v="0.36799999999999999"/>
    <n v="0"/>
    <x v="0"/>
    <n v="0"/>
    <n v="0"/>
    <n v="60"/>
    <n v="16"/>
    <n v="0"/>
    <n v="387.29"/>
    <n v="196.87"/>
    <m/>
    <n v="456.08524314176981"/>
    <n v="208.06952026008611"/>
    <n v="0"/>
    <n v="142.52271999999999"/>
    <n v="72.448160000000001"/>
    <n v="0"/>
    <n v="167.8393694761713"/>
    <n v="76.56958345571168"/>
  </r>
  <r>
    <s v="Regular"/>
    <x v="2"/>
    <x v="2"/>
    <x v="4"/>
    <x v="8"/>
    <x v="2"/>
    <x v="0"/>
    <x v="2"/>
    <x v="6"/>
    <n v="0"/>
    <n v="0"/>
    <n v="0.04"/>
    <n v="1.6E-2"/>
    <n v="0.04"/>
    <n v="1.6E-2"/>
    <n v="0"/>
    <x v="0"/>
    <n v="0"/>
    <n v="0"/>
    <n v="60"/>
    <n v="16"/>
    <n v="0"/>
    <n v="387.29"/>
    <n v="196.87"/>
    <m/>
    <n v="456.08524314176981"/>
    <n v="208.06952026008611"/>
    <n v="0"/>
    <n v="6.1966400000000004"/>
    <n v="3.1499200000000003"/>
    <n v="0"/>
    <n v="7.2973638902683167"/>
    <n v="3.3291123241613776"/>
  </r>
  <r>
    <s v="Regular"/>
    <x v="2"/>
    <x v="2"/>
    <x v="4"/>
    <x v="8"/>
    <x v="2"/>
    <x v="0"/>
    <x v="2"/>
    <x v="7"/>
    <n v="0"/>
    <n v="0"/>
    <n v="0.04"/>
    <n v="1.6E-2"/>
    <n v="0.04"/>
    <n v="1.6E-2"/>
    <n v="0"/>
    <x v="0"/>
    <n v="0"/>
    <n v="0"/>
    <n v="60"/>
    <n v="16"/>
    <n v="0"/>
    <n v="387.29"/>
    <n v="196.87"/>
    <m/>
    <n v="456.08524314176981"/>
    <n v="208.06952026008611"/>
    <n v="0"/>
    <n v="6.1966400000000004"/>
    <n v="3.1499200000000003"/>
    <n v="0"/>
    <n v="7.2973638902683167"/>
    <n v="3.3291123241613776"/>
  </r>
  <r>
    <s v="Regular"/>
    <x v="2"/>
    <x v="2"/>
    <x v="4"/>
    <x v="8"/>
    <x v="2"/>
    <x v="0"/>
    <x v="2"/>
    <x v="9"/>
    <n v="0"/>
    <n v="0"/>
    <n v="0.08"/>
    <n v="3.2000000000000001E-2"/>
    <n v="0.08"/>
    <n v="3.2000000000000001E-2"/>
    <n v="0"/>
    <x v="0"/>
    <n v="0"/>
    <n v="0"/>
    <n v="60"/>
    <n v="16"/>
    <n v="0"/>
    <n v="387.29"/>
    <n v="196.87"/>
    <m/>
    <n v="456.08524314176981"/>
    <n v="208.06952026008611"/>
    <n v="0"/>
    <n v="12.393280000000001"/>
    <n v="6.2998400000000006"/>
    <n v="0"/>
    <n v="14.594727780536633"/>
    <n v="6.6582246483227552"/>
  </r>
  <r>
    <s v="Regular"/>
    <x v="2"/>
    <x v="2"/>
    <x v="4"/>
    <x v="8"/>
    <x v="2"/>
    <x v="0"/>
    <x v="2"/>
    <x v="10"/>
    <n v="0"/>
    <n v="0"/>
    <n v="0.06"/>
    <n v="2.4E-2"/>
    <n v="0.06"/>
    <n v="2.4E-2"/>
    <n v="0"/>
    <x v="0"/>
    <n v="0"/>
    <n v="0"/>
    <n v="60"/>
    <n v="16"/>
    <n v="0"/>
    <n v="387.29"/>
    <n v="196.87"/>
    <m/>
    <n v="456.08524314176981"/>
    <n v="208.06952026008611"/>
    <n v="0"/>
    <n v="9.2949600000000014"/>
    <n v="4.7248800000000006"/>
    <n v="0"/>
    <n v="10.946045835402476"/>
    <n v="4.9936684862420666"/>
  </r>
  <r>
    <s v="PROJETADO"/>
    <x v="2"/>
    <x v="2"/>
    <x v="4"/>
    <x v="8"/>
    <x v="2"/>
    <x v="0"/>
    <x v="2"/>
    <x v="11"/>
    <n v="0"/>
    <n v="0"/>
    <n v="0.06"/>
    <n v="2.4E-2"/>
    <n v="0.06"/>
    <n v="2.4E-2"/>
    <n v="0"/>
    <x v="0"/>
    <n v="0"/>
    <n v="0"/>
    <n v="60"/>
    <n v="16"/>
    <n v="0"/>
    <n v="387.29"/>
    <n v="196.87"/>
    <m/>
    <n v="456.08524314176981"/>
    <n v="208.06952026008611"/>
    <n v="0"/>
    <n v="9.2949600000000014"/>
    <n v="4.7248800000000006"/>
    <n v="0"/>
    <n v="10.946045835402476"/>
    <n v="4.9936684862420666"/>
  </r>
  <r>
    <s v="Regular"/>
    <x v="2"/>
    <x v="2"/>
    <x v="4"/>
    <x v="0"/>
    <x v="0"/>
    <x v="0"/>
    <x v="2"/>
    <x v="0"/>
    <n v="0"/>
    <n v="0"/>
    <n v="2546.63"/>
    <n v="2546.63"/>
    <n v="2546.63"/>
    <n v="2546.63"/>
    <n v="2087"/>
    <x v="0"/>
    <n v="0"/>
    <n v="0"/>
    <n v="60"/>
    <n v="16"/>
    <n v="0"/>
    <n v="387.29"/>
    <n v="196.87"/>
    <m/>
    <n v="456.08524314176981"/>
    <n v="208.06952026008611"/>
    <n v="0"/>
    <n v="986284.33270000014"/>
    <n v="501355.04810000001"/>
    <n v="0"/>
    <n v="1161480.3627421253"/>
    <n v="529876.08237994311"/>
  </r>
  <r>
    <s v="Refaturamento - Regular"/>
    <x v="2"/>
    <x v="2"/>
    <x v="4"/>
    <x v="0"/>
    <x v="0"/>
    <x v="0"/>
    <x v="2"/>
    <x v="0"/>
    <n v="0"/>
    <n v="0"/>
    <n v="-2.2999999999999998"/>
    <n v="-2.2999999999999998"/>
    <n v="-2.2999999999999998"/>
    <n v="-2.2999999999999998"/>
    <n v="0"/>
    <x v="0"/>
    <n v="0"/>
    <n v="0"/>
    <n v="60"/>
    <n v="16"/>
    <n v="0"/>
    <n v="387.29"/>
    <n v="196.87"/>
    <m/>
    <n v="456.08524314176981"/>
    <n v="208.06952026008611"/>
    <n v="0"/>
    <n v="-890.76699999999994"/>
    <n v="-452.80099999999999"/>
    <n v="0"/>
    <n v="-1048.9960592260704"/>
    <n v="-478.55989659819801"/>
  </r>
  <r>
    <s v="Sistema de Compensação"/>
    <x v="2"/>
    <x v="2"/>
    <x v="4"/>
    <x v="0"/>
    <x v="0"/>
    <x v="0"/>
    <x v="2"/>
    <x v="0"/>
    <n v="0"/>
    <n v="0"/>
    <n v="13.353999999999999"/>
    <n v="13.353999999999999"/>
    <n v="13.353999999999999"/>
    <n v="13.353999999999999"/>
    <n v="9"/>
    <x v="0"/>
    <n v="0"/>
    <n v="0"/>
    <n v="60"/>
    <n v="16"/>
    <n v="0"/>
    <n v="387.29"/>
    <n v="196.87"/>
    <m/>
    <n v="456.08524314176981"/>
    <n v="208.06952026008611"/>
    <n v="0"/>
    <n v="5171.8706599999996"/>
    <n v="2629.00198"/>
    <n v="0"/>
    <n v="6090.5623369151936"/>
    <n v="2778.5603735531899"/>
  </r>
  <r>
    <s v="Regular"/>
    <x v="2"/>
    <x v="2"/>
    <x v="4"/>
    <x v="0"/>
    <x v="0"/>
    <x v="0"/>
    <x v="2"/>
    <x v="1"/>
    <n v="0"/>
    <n v="0"/>
    <n v="2487.31"/>
    <n v="2487.31"/>
    <n v="2487.31"/>
    <n v="2487.31"/>
    <n v="2089"/>
    <x v="0"/>
    <n v="0"/>
    <n v="0"/>
    <n v="60"/>
    <n v="16"/>
    <n v="0"/>
    <n v="387.29"/>
    <n v="196.87"/>
    <m/>
    <n v="456.08524314176981"/>
    <n v="208.06952026008611"/>
    <n v="0"/>
    <n v="963310.28989999997"/>
    <n v="489676.71970000002"/>
    <n v="0"/>
    <n v="1134425.3861189554"/>
    <n v="517533.39843811479"/>
  </r>
  <r>
    <s v="Refaturamento - Regular"/>
    <x v="2"/>
    <x v="2"/>
    <x v="4"/>
    <x v="0"/>
    <x v="0"/>
    <x v="0"/>
    <x v="2"/>
    <x v="1"/>
    <n v="0"/>
    <n v="0"/>
    <n v="-24.905000000000001"/>
    <n v="-24.905000000000001"/>
    <n v="-24.905000000000001"/>
    <n v="-24.905000000000001"/>
    <n v="0"/>
    <x v="0"/>
    <n v="0"/>
    <n v="0"/>
    <n v="60"/>
    <n v="16"/>
    <n v="0"/>
    <n v="387.29"/>
    <n v="196.87"/>
    <m/>
    <n v="456.08524314176981"/>
    <n v="208.06952026008611"/>
    <n v="0"/>
    <n v="-9645.4574500000017"/>
    <n v="-4903.0473500000007"/>
    <n v="0"/>
    <n v="-11358.802980445778"/>
    <n v="-5181.9714020774445"/>
  </r>
  <r>
    <s v="Sistema de Compensação"/>
    <x v="2"/>
    <x v="2"/>
    <x v="4"/>
    <x v="0"/>
    <x v="0"/>
    <x v="0"/>
    <x v="2"/>
    <x v="1"/>
    <n v="0"/>
    <n v="0"/>
    <n v="9.4559999999999995"/>
    <n v="9.4559999999999995"/>
    <n v="9.4559999999999995"/>
    <n v="9.4559999999999995"/>
    <n v="9"/>
    <x v="0"/>
    <n v="0"/>
    <n v="0"/>
    <n v="60"/>
    <n v="16"/>
    <n v="0"/>
    <n v="387.29"/>
    <n v="196.87"/>
    <m/>
    <n v="456.08524314176981"/>
    <n v="208.06952026008611"/>
    <n v="0"/>
    <n v="3662.2142399999998"/>
    <n v="1861.6027199999999"/>
    <n v="0"/>
    <n v="4312.7420591485752"/>
    <n v="1967.5053835793742"/>
  </r>
  <r>
    <s v="Regular"/>
    <x v="2"/>
    <x v="2"/>
    <x v="4"/>
    <x v="0"/>
    <x v="0"/>
    <x v="0"/>
    <x v="2"/>
    <x v="2"/>
    <n v="0"/>
    <n v="0"/>
    <n v="1958.875"/>
    <n v="1958.875"/>
    <n v="1958.875"/>
    <n v="1958.875"/>
    <n v="2088"/>
    <x v="0"/>
    <n v="0"/>
    <n v="0"/>
    <n v="60"/>
    <n v="16"/>
    <n v="0"/>
    <n v="387.29"/>
    <n v="196.87"/>
    <m/>
    <n v="456.08524314176981"/>
    <n v="208.06952026008611"/>
    <n v="0"/>
    <n v="758652.6987500001"/>
    <n v="385643.72125"/>
    <n v="0"/>
    <n v="893413.98065933434"/>
    <n v="407582.1814994762"/>
  </r>
  <r>
    <s v="Sistema de Compensação"/>
    <x v="2"/>
    <x v="2"/>
    <x v="4"/>
    <x v="0"/>
    <x v="0"/>
    <x v="0"/>
    <x v="2"/>
    <x v="2"/>
    <n v="0"/>
    <n v="0"/>
    <n v="17.687000000000001"/>
    <n v="17.687000000000001"/>
    <n v="17.687000000000001"/>
    <n v="17.687000000000001"/>
    <n v="10"/>
    <x v="0"/>
    <n v="0"/>
    <n v="0"/>
    <n v="60"/>
    <n v="16"/>
    <n v="0"/>
    <n v="387.29"/>
    <n v="196.87"/>
    <m/>
    <n v="456.08524314176981"/>
    <n v="208.06952026008611"/>
    <n v="0"/>
    <n v="6849.9982300000011"/>
    <n v="3482.0396900000005"/>
    <n v="0"/>
    <n v="8066.7796954484829"/>
    <n v="3680.1256048401433"/>
  </r>
  <r>
    <s v="Sistema de Compensação"/>
    <x v="2"/>
    <x v="2"/>
    <x v="4"/>
    <x v="0"/>
    <x v="0"/>
    <x v="0"/>
    <x v="2"/>
    <x v="2"/>
    <n v="0"/>
    <n v="0"/>
    <n v="-2.0859999999999999"/>
    <n v="-2.0859999999999999"/>
    <n v="-2.0859999999999999"/>
    <n v="-2.0859999999999999"/>
    <n v="1"/>
    <x v="0"/>
    <n v="0"/>
    <n v="0"/>
    <n v="60"/>
    <n v="16"/>
    <n v="0"/>
    <n v="387.29"/>
    <n v="196.87"/>
    <m/>
    <n v="456.08524314176981"/>
    <n v="208.06952026008611"/>
    <n v="0"/>
    <n v="-807.88693999999998"/>
    <n v="-410.67081999999999"/>
    <n v="0"/>
    <n v="-951.39381719373171"/>
    <n v="-434.0330192625396"/>
  </r>
  <r>
    <s v="Regular"/>
    <x v="2"/>
    <x v="2"/>
    <x v="4"/>
    <x v="0"/>
    <x v="0"/>
    <x v="0"/>
    <x v="2"/>
    <x v="3"/>
    <n v="0"/>
    <n v="0"/>
    <n v="2007.154"/>
    <n v="2007.154"/>
    <n v="2007.154"/>
    <n v="2007.154"/>
    <n v="2083"/>
    <x v="0"/>
    <n v="0"/>
    <n v="0"/>
    <n v="60"/>
    <n v="16"/>
    <n v="0"/>
    <n v="387.29"/>
    <n v="196.87"/>
    <m/>
    <n v="456.08524314176981"/>
    <n v="208.06952026008611"/>
    <n v="0"/>
    <n v="777350.67266000004"/>
    <n v="395148.40798000002"/>
    <n v="0"/>
    <n v="915433.32011297578"/>
    <n v="417627.56986811286"/>
  </r>
  <r>
    <s v="Refaturamento - Regular"/>
    <x v="2"/>
    <x v="2"/>
    <x v="4"/>
    <x v="0"/>
    <x v="0"/>
    <x v="0"/>
    <x v="2"/>
    <x v="3"/>
    <n v="0"/>
    <n v="0"/>
    <n v="-9.42"/>
    <n v="-9.42"/>
    <n v="-9.42"/>
    <n v="-9.42"/>
    <n v="0"/>
    <x v="0"/>
    <n v="0"/>
    <n v="0"/>
    <n v="60"/>
    <n v="16"/>
    <n v="0"/>
    <n v="387.29"/>
    <n v="196.87"/>
    <m/>
    <n v="456.08524314176981"/>
    <n v="208.06952026008611"/>
    <n v="0"/>
    <n v="-3648.2718"/>
    <n v="-1854.5154"/>
    <n v="0"/>
    <n v="-4296.3229903954716"/>
    <n v="-1960.0148808500112"/>
  </r>
  <r>
    <s v="Sistema de Compensação"/>
    <x v="2"/>
    <x v="2"/>
    <x v="4"/>
    <x v="0"/>
    <x v="0"/>
    <x v="0"/>
    <x v="2"/>
    <x v="3"/>
    <n v="0"/>
    <n v="0"/>
    <n v="18.791"/>
    <n v="18.791"/>
    <n v="18.791"/>
    <n v="18.791"/>
    <n v="14"/>
    <x v="0"/>
    <n v="0"/>
    <n v="0"/>
    <n v="60"/>
    <n v="16"/>
    <n v="0"/>
    <n v="387.29"/>
    <n v="196.87"/>
    <m/>
    <n v="456.08524314176981"/>
    <n v="208.06952026008611"/>
    <n v="0"/>
    <n v="7277.5663900000009"/>
    <n v="3699.3841700000003"/>
    <n v="0"/>
    <n v="8570.2978038769961"/>
    <n v="3909.8343552072783"/>
  </r>
  <r>
    <s v="Sistema de Compensação"/>
    <x v="2"/>
    <x v="2"/>
    <x v="4"/>
    <x v="0"/>
    <x v="0"/>
    <x v="0"/>
    <x v="2"/>
    <x v="3"/>
    <n v="0"/>
    <n v="0"/>
    <n v="1.9E-2"/>
    <n v="1.9E-2"/>
    <n v="1.9E-2"/>
    <n v="1.9E-2"/>
    <n v="2"/>
    <x v="0"/>
    <n v="0"/>
    <n v="0"/>
    <n v="60"/>
    <n v="16"/>
    <n v="0"/>
    <n v="387.29"/>
    <n v="196.87"/>
    <m/>
    <n v="456.08524314176981"/>
    <n v="208.06952026008611"/>
    <n v="0"/>
    <n v="7.3585099999999999"/>
    <n v="3.7405300000000001"/>
    <n v="0"/>
    <n v="8.6656196196936257"/>
    <n v="3.9533208849416361"/>
  </r>
  <r>
    <s v="Regular"/>
    <x v="2"/>
    <x v="2"/>
    <x v="4"/>
    <x v="0"/>
    <x v="0"/>
    <x v="0"/>
    <x v="2"/>
    <x v="4"/>
    <n v="0"/>
    <n v="0"/>
    <n v="2340.4430000000002"/>
    <n v="2340.4430000000002"/>
    <n v="2340.4430000000002"/>
    <n v="2340.4430000000002"/>
    <n v="2096"/>
    <x v="0"/>
    <n v="0"/>
    <n v="0"/>
    <n v="60"/>
    <n v="16"/>
    <n v="0"/>
    <n v="387.29"/>
    <n v="196.87"/>
    <m/>
    <n v="456.08524314176981"/>
    <n v="208.06952026008611"/>
    <n v="0"/>
    <n v="906430.16947000008"/>
    <n v="460763.01341000007"/>
    <n v="0"/>
    <n v="1067441.5147144531"/>
    <n v="486974.85220607673"/>
  </r>
  <r>
    <s v="Refaturamento - Regular"/>
    <x v="2"/>
    <x v="2"/>
    <x v="4"/>
    <x v="0"/>
    <x v="0"/>
    <x v="0"/>
    <x v="2"/>
    <x v="4"/>
    <n v="0"/>
    <n v="0"/>
    <n v="5.26"/>
    <n v="5.26"/>
    <n v="5.26"/>
    <n v="5.26"/>
    <n v="0"/>
    <x v="0"/>
    <n v="0"/>
    <n v="0"/>
    <n v="60"/>
    <n v="16"/>
    <n v="0"/>
    <n v="387.29"/>
    <n v="196.87"/>
    <m/>
    <n v="456.08524314176981"/>
    <n v="208.06952026008611"/>
    <n v="0"/>
    <n v="2037.1454000000001"/>
    <n v="1035.5362"/>
    <n v="0"/>
    <n v="2399.0083789257092"/>
    <n v="1094.4456765680529"/>
  </r>
  <r>
    <s v="Sistema de Compensação"/>
    <x v="2"/>
    <x v="2"/>
    <x v="4"/>
    <x v="0"/>
    <x v="0"/>
    <x v="0"/>
    <x v="2"/>
    <x v="4"/>
    <n v="0"/>
    <n v="0"/>
    <n v="14.803000000000001"/>
    <n v="14.803000000000001"/>
    <n v="14.803000000000001"/>
    <n v="14.803000000000001"/>
    <n v="12"/>
    <x v="0"/>
    <n v="0"/>
    <n v="0"/>
    <n v="60"/>
    <n v="16"/>
    <n v="0"/>
    <n v="387.29"/>
    <n v="196.87"/>
    <m/>
    <n v="456.08524314176981"/>
    <n v="208.06952026008611"/>
    <n v="0"/>
    <n v="5733.0538700000006"/>
    <n v="2914.2666100000001"/>
    <n v="0"/>
    <n v="6751.4298542276192"/>
    <n v="3080.0531084100548"/>
  </r>
  <r>
    <s v="Regular"/>
    <x v="2"/>
    <x v="2"/>
    <x v="4"/>
    <x v="0"/>
    <x v="0"/>
    <x v="0"/>
    <x v="2"/>
    <x v="5"/>
    <n v="0"/>
    <n v="0"/>
    <n v="2510.3119999999999"/>
    <n v="2510.3119999999999"/>
    <n v="2510.3119999999999"/>
    <n v="2510.3119999999999"/>
    <n v="2094"/>
    <x v="0"/>
    <n v="0"/>
    <n v="0"/>
    <n v="60"/>
    <n v="16"/>
    <n v="0"/>
    <n v="387.29"/>
    <n v="196.87"/>
    <m/>
    <n v="456.08524314176981"/>
    <n v="208.06952026008611"/>
    <n v="0"/>
    <n v="972218.73447999998"/>
    <n v="494205.12344"/>
    <n v="0"/>
    <n v="1144916.2588817023"/>
    <n v="522319.41354313726"/>
  </r>
  <r>
    <s v="Refaturamento - Regular"/>
    <x v="2"/>
    <x v="2"/>
    <x v="4"/>
    <x v="0"/>
    <x v="0"/>
    <x v="0"/>
    <x v="2"/>
    <x v="5"/>
    <n v="0"/>
    <n v="0"/>
    <n v="-0.152"/>
    <n v="-0.152"/>
    <n v="-0.152"/>
    <n v="-0.152"/>
    <n v="0"/>
    <x v="0"/>
    <n v="0"/>
    <n v="0"/>
    <n v="60"/>
    <n v="16"/>
    <n v="0"/>
    <n v="387.29"/>
    <n v="196.87"/>
    <m/>
    <n v="456.08524314176981"/>
    <n v="208.06952026008611"/>
    <n v="0"/>
    <n v="-58.868079999999999"/>
    <n v="-29.924240000000001"/>
    <n v="0"/>
    <n v="-69.324956957549006"/>
    <n v="-31.626567079533089"/>
  </r>
  <r>
    <s v="Sistema de Compensação"/>
    <x v="2"/>
    <x v="2"/>
    <x v="4"/>
    <x v="0"/>
    <x v="0"/>
    <x v="0"/>
    <x v="2"/>
    <x v="5"/>
    <n v="0"/>
    <n v="0"/>
    <n v="54.148000000000003"/>
    <n v="54.148000000000003"/>
    <n v="54.148000000000003"/>
    <n v="54.148000000000003"/>
    <n v="16"/>
    <x v="0"/>
    <n v="0"/>
    <n v="0"/>
    <n v="60"/>
    <n v="16"/>
    <n v="0"/>
    <n v="387.29"/>
    <n v="196.87"/>
    <m/>
    <n v="456.08524314176981"/>
    <n v="208.06952026008611"/>
    <n v="0"/>
    <n v="20970.978920000001"/>
    <n v="10660.116760000001"/>
    <n v="0"/>
    <n v="24696.103745640554"/>
    <n v="11266.548383043144"/>
  </r>
  <r>
    <s v="Regular"/>
    <x v="2"/>
    <x v="2"/>
    <x v="4"/>
    <x v="0"/>
    <x v="0"/>
    <x v="0"/>
    <x v="2"/>
    <x v="6"/>
    <n v="0"/>
    <n v="0"/>
    <n v="2154.7689999999998"/>
    <n v="2154.7689999999998"/>
    <n v="2154.7689999999998"/>
    <n v="2154.7689999999998"/>
    <n v="2095"/>
    <x v="0"/>
    <n v="0"/>
    <n v="0"/>
    <n v="60"/>
    <n v="16"/>
    <n v="0"/>
    <n v="387.29"/>
    <n v="196.87"/>
    <m/>
    <n v="456.08524314176981"/>
    <n v="208.06952026008611"/>
    <n v="0"/>
    <n v="834520.48600999999"/>
    <n v="424209.37302999996"/>
    <n v="0"/>
    <n v="982758.3432793481"/>
    <n v="448341.75210130546"/>
  </r>
  <r>
    <s v="Refaturamento - Regular"/>
    <x v="2"/>
    <x v="2"/>
    <x v="4"/>
    <x v="0"/>
    <x v="0"/>
    <x v="0"/>
    <x v="2"/>
    <x v="6"/>
    <n v="0"/>
    <n v="0"/>
    <n v="-9.8490000000000002"/>
    <n v="-9.8490000000000002"/>
    <n v="-9.8490000000000002"/>
    <n v="-9.8490000000000002"/>
    <n v="0"/>
    <x v="0"/>
    <n v="0"/>
    <n v="0"/>
    <n v="60"/>
    <n v="16"/>
    <n v="0"/>
    <n v="387.29"/>
    <n v="196.87"/>
    <m/>
    <n v="456.08524314176981"/>
    <n v="208.06952026008611"/>
    <n v="0"/>
    <n v="-3814.4192100000005"/>
    <n v="-1938.97263"/>
    <n v="0"/>
    <n v="-4491.9835597032907"/>
    <n v="-2049.2767050415882"/>
  </r>
  <r>
    <s v="Sistema de Compensação"/>
    <x v="2"/>
    <x v="2"/>
    <x v="4"/>
    <x v="0"/>
    <x v="0"/>
    <x v="0"/>
    <x v="2"/>
    <x v="6"/>
    <n v="0"/>
    <n v="0"/>
    <n v="89.162000000000006"/>
    <n v="89.162000000000006"/>
    <n v="89.162000000000006"/>
    <n v="89.162000000000006"/>
    <n v="20"/>
    <x v="0"/>
    <n v="0"/>
    <n v="0"/>
    <n v="60"/>
    <n v="16"/>
    <n v="0"/>
    <n v="387.29"/>
    <n v="196.87"/>
    <m/>
    <n v="456.08524314176981"/>
    <n v="208.06952026008611"/>
    <n v="0"/>
    <n v="34531.550980000007"/>
    <n v="17553.322940000002"/>
    <n v="0"/>
    <n v="40665.472449006484"/>
    <n v="18551.8945654298"/>
  </r>
  <r>
    <s v="Regular"/>
    <x v="2"/>
    <x v="2"/>
    <x v="4"/>
    <x v="0"/>
    <x v="0"/>
    <x v="0"/>
    <x v="2"/>
    <x v="7"/>
    <n v="0"/>
    <n v="0"/>
    <n v="2489.1129999999998"/>
    <n v="2489.1129999999998"/>
    <n v="2489.1129999999998"/>
    <n v="2489.1129999999998"/>
    <n v="2092"/>
    <x v="0"/>
    <n v="0"/>
    <n v="0"/>
    <n v="60"/>
    <n v="16"/>
    <n v="0"/>
    <n v="387.29"/>
    <n v="196.87"/>
    <m/>
    <n v="456.08524314176981"/>
    <n v="208.06952026008611"/>
    <n v="0"/>
    <n v="964008.57377000002"/>
    <n v="490031.67630999995"/>
    <n v="0"/>
    <n v="1135247.70781234"/>
    <n v="517908.5477831437"/>
  </r>
  <r>
    <s v="Refaturamento - Regular"/>
    <x v="2"/>
    <x v="2"/>
    <x v="4"/>
    <x v="0"/>
    <x v="0"/>
    <x v="0"/>
    <x v="2"/>
    <x v="7"/>
    <n v="0"/>
    <n v="0"/>
    <n v="-0.70099999999999996"/>
    <n v="-0.70099999999999996"/>
    <n v="-0.70099999999999996"/>
    <n v="-0.70099999999999996"/>
    <n v="0"/>
    <x v="0"/>
    <n v="0"/>
    <n v="0"/>
    <n v="60"/>
    <n v="16"/>
    <n v="0"/>
    <n v="387.29"/>
    <n v="196.87"/>
    <m/>
    <n v="456.08524314176981"/>
    <n v="208.06952026008611"/>
    <n v="0"/>
    <n v="-271.49029000000002"/>
    <n v="-138.00586999999999"/>
    <n v="0"/>
    <n v="-319.71575544238061"/>
    <n v="-145.85673370232035"/>
  </r>
  <r>
    <s v="Sistema de Compensação"/>
    <x v="2"/>
    <x v="2"/>
    <x v="4"/>
    <x v="0"/>
    <x v="0"/>
    <x v="0"/>
    <x v="2"/>
    <x v="7"/>
    <n v="0"/>
    <n v="0"/>
    <n v="67.254999999999995"/>
    <n v="67.254999999999995"/>
    <n v="67.254999999999995"/>
    <n v="67.254999999999995"/>
    <n v="21"/>
    <x v="0"/>
    <n v="0"/>
    <n v="0"/>
    <n v="60"/>
    <n v="16"/>
    <n v="0"/>
    <n v="387.29"/>
    <n v="196.87"/>
    <m/>
    <n v="456.08524314176981"/>
    <n v="208.06952026008611"/>
    <n v="0"/>
    <n v="26047.18895"/>
    <n v="13240.491849999999"/>
    <n v="0"/>
    <n v="30674.013027499728"/>
    <n v="13993.71558509209"/>
  </r>
  <r>
    <s v="Regular"/>
    <x v="2"/>
    <x v="2"/>
    <x v="4"/>
    <x v="0"/>
    <x v="0"/>
    <x v="0"/>
    <x v="2"/>
    <x v="8"/>
    <n v="0"/>
    <n v="0"/>
    <n v="2225.7460000000001"/>
    <n v="2225.7460000000001"/>
    <n v="2225.7460000000001"/>
    <n v="2225.7460000000001"/>
    <n v="2098"/>
    <x v="0"/>
    <n v="0"/>
    <n v="0"/>
    <n v="60"/>
    <n v="16"/>
    <n v="0"/>
    <n v="387.29"/>
    <n v="196.87"/>
    <m/>
    <n v="456.08524314176981"/>
    <n v="208.06952026008611"/>
    <n v="0"/>
    <n v="862009.16834000009"/>
    <n v="438182.61502000003"/>
    <n v="0"/>
    <n v="1015129.9055818216"/>
    <n v="463109.90244080563"/>
  </r>
  <r>
    <s v="Refaturamento - Regular"/>
    <x v="2"/>
    <x v="2"/>
    <x v="4"/>
    <x v="0"/>
    <x v="0"/>
    <x v="0"/>
    <x v="2"/>
    <x v="8"/>
    <n v="0"/>
    <n v="0"/>
    <n v="-1.4530000000000001"/>
    <n v="-1.4530000000000001"/>
    <n v="-1.4530000000000001"/>
    <n v="-1.4530000000000001"/>
    <n v="0"/>
    <x v="0"/>
    <n v="0"/>
    <n v="0"/>
    <n v="60"/>
    <n v="16"/>
    <n v="0"/>
    <n v="387.29"/>
    <n v="196.87"/>
    <m/>
    <n v="456.08524314176981"/>
    <n v="208.06952026008611"/>
    <n v="0"/>
    <n v="-562.73237000000006"/>
    <n v="-286.05211000000003"/>
    <n v="0"/>
    <n v="-662.69185828499155"/>
    <n v="-302.32501293790511"/>
  </r>
  <r>
    <s v="Sistema de Compensação"/>
    <x v="2"/>
    <x v="2"/>
    <x v="4"/>
    <x v="0"/>
    <x v="0"/>
    <x v="0"/>
    <x v="2"/>
    <x v="8"/>
    <n v="0"/>
    <n v="0"/>
    <n v="76.545000000000002"/>
    <n v="76.545000000000002"/>
    <n v="76.545000000000002"/>
    <n v="76.545000000000002"/>
    <n v="24"/>
    <x v="0"/>
    <n v="0"/>
    <n v="0"/>
    <n v="60"/>
    <n v="16"/>
    <n v="0"/>
    <n v="387.29"/>
    <n v="196.87"/>
    <m/>
    <n v="456.08524314176981"/>
    <n v="208.06952026008611"/>
    <n v="0"/>
    <n v="29645.113050000004"/>
    <n v="15069.414150000001"/>
    <n v="0"/>
    <n v="34911.044936286773"/>
    <n v="15926.681428308291"/>
  </r>
  <r>
    <s v="Regular"/>
    <x v="2"/>
    <x v="2"/>
    <x v="4"/>
    <x v="0"/>
    <x v="0"/>
    <x v="0"/>
    <x v="2"/>
    <x v="9"/>
    <n v="0"/>
    <n v="0"/>
    <n v="2174.2919999999999"/>
    <n v="2174.2919999999999"/>
    <n v="2174.2919999999999"/>
    <n v="2174.2919999999999"/>
    <n v="2096"/>
    <x v="0"/>
    <n v="0"/>
    <n v="0"/>
    <n v="60"/>
    <n v="16"/>
    <n v="0"/>
    <n v="387.29"/>
    <n v="196.87"/>
    <m/>
    <n v="456.08524314176981"/>
    <n v="208.06952026008611"/>
    <n v="0"/>
    <n v="842081.54868000001"/>
    <n v="428052.86603999999"/>
    <n v="0"/>
    <n v="991662.49548120494"/>
    <n v="452403.89334534312"/>
  </r>
  <r>
    <s v="Refaturamento - Regular"/>
    <x v="2"/>
    <x v="2"/>
    <x v="4"/>
    <x v="0"/>
    <x v="0"/>
    <x v="0"/>
    <x v="2"/>
    <x v="9"/>
    <n v="0"/>
    <n v="0"/>
    <n v="-4.2690000000000001"/>
    <n v="-4.2690000000000001"/>
    <n v="-4.2690000000000001"/>
    <n v="-4.2690000000000001"/>
    <n v="0"/>
    <x v="0"/>
    <n v="0"/>
    <n v="0"/>
    <n v="60"/>
    <n v="16"/>
    <n v="0"/>
    <n v="387.29"/>
    <n v="196.87"/>
    <m/>
    <n v="456.08524314176981"/>
    <n v="208.06952026008611"/>
    <n v="0"/>
    <n v="-1653.3410100000001"/>
    <n v="-840.43803000000003"/>
    <n v="0"/>
    <n v="-1947.0279029722153"/>
    <n v="-888.24878199030763"/>
  </r>
  <r>
    <s v="Sistema de Compensação"/>
    <x v="2"/>
    <x v="2"/>
    <x v="4"/>
    <x v="0"/>
    <x v="0"/>
    <x v="0"/>
    <x v="2"/>
    <x v="9"/>
    <n v="0"/>
    <n v="0"/>
    <n v="78.852000000000004"/>
    <n v="78.852000000000004"/>
    <n v="78.852000000000004"/>
    <n v="78.852000000000004"/>
    <n v="24"/>
    <x v="0"/>
    <n v="0"/>
    <n v="0"/>
    <n v="60"/>
    <n v="16"/>
    <n v="0"/>
    <n v="387.29"/>
    <n v="196.87"/>
    <m/>
    <n v="456.08524314176981"/>
    <n v="208.06952026008611"/>
    <n v="0"/>
    <n v="30538.591080000002"/>
    <n v="15523.593240000002"/>
    <n v="0"/>
    <n v="35963.233592214834"/>
    <n v="16406.697811548311"/>
  </r>
  <r>
    <s v="Regular"/>
    <x v="2"/>
    <x v="2"/>
    <x v="4"/>
    <x v="0"/>
    <x v="0"/>
    <x v="0"/>
    <x v="2"/>
    <x v="10"/>
    <n v="0"/>
    <n v="0"/>
    <n v="2301.3029999999999"/>
    <n v="2301.3029999999999"/>
    <n v="2301.3029999999999"/>
    <n v="2301.3029999999999"/>
    <n v="2085"/>
    <x v="0"/>
    <n v="0"/>
    <n v="0"/>
    <n v="60"/>
    <n v="16"/>
    <n v="0"/>
    <n v="387.29"/>
    <n v="196.87"/>
    <m/>
    <n v="456.08524314176981"/>
    <n v="208.06952026008611"/>
    <n v="0"/>
    <n v="891271.63887000002"/>
    <n v="453057.52161"/>
    <n v="0"/>
    <n v="1049590.3382978842"/>
    <n v="478831.01118309691"/>
  </r>
  <r>
    <s v="Refaturamento - Regular"/>
    <x v="2"/>
    <x v="2"/>
    <x v="4"/>
    <x v="0"/>
    <x v="0"/>
    <x v="0"/>
    <x v="2"/>
    <x v="10"/>
    <n v="0"/>
    <n v="0"/>
    <n v="-0.88700000000000001"/>
    <n v="-0.88700000000000001"/>
    <n v="-0.88700000000000001"/>
    <n v="-0.88700000000000001"/>
    <n v="0"/>
    <x v="0"/>
    <n v="0"/>
    <n v="0"/>
    <n v="60"/>
    <n v="16"/>
    <n v="0"/>
    <n v="387.29"/>
    <n v="196.87"/>
    <m/>
    <n v="456.08524314176981"/>
    <n v="208.06952026008611"/>
    <n v="0"/>
    <n v="-343.52623"/>
    <n v="-174.62369000000001"/>
    <n v="0"/>
    <n v="-404.54761066674985"/>
    <n v="-184.55766447069638"/>
  </r>
  <r>
    <s v="Sistema de Compensação"/>
    <x v="2"/>
    <x v="2"/>
    <x v="4"/>
    <x v="0"/>
    <x v="0"/>
    <x v="0"/>
    <x v="2"/>
    <x v="10"/>
    <n v="0"/>
    <n v="0"/>
    <n v="86.263999999999996"/>
    <n v="86.263999999999996"/>
    <n v="86.263999999999996"/>
    <n v="86.263999999999996"/>
    <n v="29"/>
    <x v="0"/>
    <n v="0"/>
    <n v="0"/>
    <n v="60"/>
    <n v="16"/>
    <n v="0"/>
    <n v="387.29"/>
    <n v="196.87"/>
    <m/>
    <n v="456.08524314176981"/>
    <n v="208.06952026008611"/>
    <n v="0"/>
    <n v="33409.184560000002"/>
    <n v="16982.793679999999"/>
    <n v="0"/>
    <n v="39343.737414381627"/>
    <n v="17948.909095716066"/>
  </r>
  <r>
    <s v="PROJETADO"/>
    <x v="2"/>
    <x v="2"/>
    <x v="4"/>
    <x v="0"/>
    <x v="0"/>
    <x v="0"/>
    <x v="2"/>
    <x v="11"/>
    <n v="0"/>
    <n v="0"/>
    <n v="2301.3029999999999"/>
    <n v="2301.3029999999999"/>
    <n v="2301.3029999999999"/>
    <n v="2301.3029999999999"/>
    <n v="2085"/>
    <x v="0"/>
    <n v="0"/>
    <n v="0"/>
    <n v="60"/>
    <n v="16"/>
    <n v="0"/>
    <n v="387.29"/>
    <n v="196.87"/>
    <m/>
    <n v="456.08524314176981"/>
    <n v="208.06952026008611"/>
    <n v="0"/>
    <n v="891271.63887000002"/>
    <n v="453057.52161"/>
    <n v="0"/>
    <n v="1049590.3382978842"/>
    <n v="478831.01118309691"/>
  </r>
  <r>
    <s v="PROJETADO"/>
    <x v="2"/>
    <x v="2"/>
    <x v="4"/>
    <x v="0"/>
    <x v="0"/>
    <x v="0"/>
    <x v="2"/>
    <x v="11"/>
    <n v="0"/>
    <n v="0"/>
    <n v="-0.88700000000000001"/>
    <n v="-0.88700000000000001"/>
    <n v="-0.88700000000000001"/>
    <n v="-0.88700000000000001"/>
    <n v="0"/>
    <x v="0"/>
    <n v="0"/>
    <n v="0"/>
    <n v="60"/>
    <n v="16"/>
    <n v="0"/>
    <n v="387.29"/>
    <n v="196.87"/>
    <m/>
    <n v="456.08524314176981"/>
    <n v="208.06952026008611"/>
    <n v="0"/>
    <n v="-343.52623"/>
    <n v="-174.62369000000001"/>
    <n v="0"/>
    <n v="-404.54761066674985"/>
    <n v="-184.55766447069638"/>
  </r>
  <r>
    <s v="PROJETADO"/>
    <x v="2"/>
    <x v="2"/>
    <x v="4"/>
    <x v="0"/>
    <x v="0"/>
    <x v="0"/>
    <x v="2"/>
    <x v="11"/>
    <n v="0"/>
    <n v="0"/>
    <n v="86.263999999999996"/>
    <n v="86.263999999999996"/>
    <n v="86.263999999999996"/>
    <n v="86.263999999999996"/>
    <n v="29"/>
    <x v="0"/>
    <n v="0"/>
    <n v="0"/>
    <n v="60"/>
    <n v="16"/>
    <n v="0"/>
    <n v="387.29"/>
    <n v="196.87"/>
    <m/>
    <n v="456.08524314176981"/>
    <n v="208.06952026008611"/>
    <n v="0"/>
    <n v="33409.184560000002"/>
    <n v="16982.793679999999"/>
    <n v="0"/>
    <n v="39343.737414381627"/>
    <n v="17948.909095716066"/>
  </r>
  <r>
    <s v="Regular"/>
    <x v="3"/>
    <x v="2"/>
    <x v="1"/>
    <x v="0"/>
    <x v="0"/>
    <x v="0"/>
    <x v="2"/>
    <x v="0"/>
    <n v="0"/>
    <n v="0"/>
    <n v="625.47299999999996"/>
    <n v="625.47299999999996"/>
    <n v="625.47299999999996"/>
    <n v="625.47299999999996"/>
    <n v="537"/>
    <x v="0"/>
    <n v="0"/>
    <n v="0"/>
    <n v="2"/>
    <n v="26"/>
    <n v="0"/>
    <n v="440.1"/>
    <n v="223.72"/>
    <m/>
    <n v="485.19706717209556"/>
    <n v="221.35055346817671"/>
    <n v="0"/>
    <n v="275270.66729999997"/>
    <n v="139930.81956"/>
    <n v="0"/>
    <n v="303477.66519533208"/>
    <n v="138448.79472940089"/>
  </r>
  <r>
    <s v="Sistema de Compensação"/>
    <x v="3"/>
    <x v="2"/>
    <x v="1"/>
    <x v="0"/>
    <x v="0"/>
    <x v="0"/>
    <x v="2"/>
    <x v="0"/>
    <n v="0"/>
    <n v="0"/>
    <n v="9.5630000000000006"/>
    <n v="9.5630000000000006"/>
    <n v="9.5630000000000006"/>
    <n v="9.5630000000000006"/>
    <n v="7"/>
    <x v="0"/>
    <n v="0"/>
    <n v="0"/>
    <n v="2"/>
    <n v="26"/>
    <n v="0"/>
    <n v="440.1"/>
    <n v="223.72"/>
    <m/>
    <n v="485.19706717209556"/>
    <n v="221.35055346817671"/>
    <n v="0"/>
    <n v="4208.6763000000001"/>
    <n v="2139.4343600000002"/>
    <n v="0"/>
    <n v="4639.9395533667503"/>
    <n v="2116.7753428161741"/>
  </r>
  <r>
    <s v="Regular"/>
    <x v="3"/>
    <x v="2"/>
    <x v="1"/>
    <x v="0"/>
    <x v="0"/>
    <x v="0"/>
    <x v="2"/>
    <x v="1"/>
    <n v="0"/>
    <n v="0"/>
    <n v="607.95399999999995"/>
    <n v="607.95399999999995"/>
    <n v="607.95399999999995"/>
    <n v="607.95399999999995"/>
    <n v="542"/>
    <x v="0"/>
    <n v="0"/>
    <n v="0"/>
    <n v="2"/>
    <n v="26"/>
    <n v="0"/>
    <n v="440.1"/>
    <n v="223.72"/>
    <m/>
    <n v="485.19706717209556"/>
    <n v="221.35055346817671"/>
    <n v="0"/>
    <n v="267560.55540000001"/>
    <n v="136011.46888"/>
    <n v="0"/>
    <n v="294977.49777554418"/>
    <n v="134570.95438319189"/>
  </r>
  <r>
    <s v="Refaturamento - Regular"/>
    <x v="3"/>
    <x v="2"/>
    <x v="1"/>
    <x v="0"/>
    <x v="0"/>
    <x v="0"/>
    <x v="2"/>
    <x v="1"/>
    <n v="0"/>
    <n v="0"/>
    <n v="-1.03"/>
    <n v="-1.03"/>
    <n v="-1.03"/>
    <n v="-1.03"/>
    <n v="0"/>
    <x v="0"/>
    <n v="0"/>
    <n v="0"/>
    <n v="2"/>
    <n v="26"/>
    <n v="0"/>
    <n v="440.1"/>
    <n v="223.72"/>
    <m/>
    <n v="485.19706717209556"/>
    <n v="221.35055346817671"/>
    <n v="0"/>
    <n v="-453.30300000000005"/>
    <n v="-230.4316"/>
    <n v="0"/>
    <n v="-499.75297918725846"/>
    <n v="-227.99107007222202"/>
  </r>
  <r>
    <s v="Sistema de Compensação"/>
    <x v="3"/>
    <x v="2"/>
    <x v="1"/>
    <x v="0"/>
    <x v="0"/>
    <x v="0"/>
    <x v="2"/>
    <x v="1"/>
    <n v="0"/>
    <n v="0"/>
    <n v="7.0670000000000002"/>
    <n v="7.0670000000000002"/>
    <n v="7.0670000000000002"/>
    <n v="7.0670000000000002"/>
    <n v="6"/>
    <x v="0"/>
    <n v="0"/>
    <n v="0"/>
    <n v="2"/>
    <n v="26"/>
    <n v="0"/>
    <n v="440.1"/>
    <n v="223.72"/>
    <m/>
    <n v="485.19706717209556"/>
    <n v="221.35055346817671"/>
    <n v="0"/>
    <n v="3110.1867000000002"/>
    <n v="1581.0292400000001"/>
    <n v="0"/>
    <n v="3428.8876737051992"/>
    <n v="1564.2843613596049"/>
  </r>
  <r>
    <s v="Regular"/>
    <x v="3"/>
    <x v="2"/>
    <x v="1"/>
    <x v="0"/>
    <x v="0"/>
    <x v="0"/>
    <x v="2"/>
    <x v="2"/>
    <n v="0"/>
    <n v="0"/>
    <n v="553.21100000000001"/>
    <n v="553.21100000000001"/>
    <n v="553.21100000000001"/>
    <n v="553.21100000000001"/>
    <n v="544"/>
    <x v="0"/>
    <n v="0"/>
    <n v="0"/>
    <n v="2"/>
    <n v="26"/>
    <n v="0"/>
    <n v="440.1"/>
    <n v="223.72"/>
    <m/>
    <n v="485.19706717209556"/>
    <n v="221.35055346817671"/>
    <n v="0"/>
    <n v="243468.16110000003"/>
    <n v="123764.36492000001"/>
    <n v="0"/>
    <n v="268416.35472734214"/>
    <n v="122453.56103468352"/>
  </r>
  <r>
    <s v="Refaturamento - Regular"/>
    <x v="3"/>
    <x v="2"/>
    <x v="1"/>
    <x v="0"/>
    <x v="0"/>
    <x v="0"/>
    <x v="2"/>
    <x v="2"/>
    <n v="0"/>
    <n v="0"/>
    <n v="-1.28"/>
    <n v="-1.28"/>
    <n v="-1.28"/>
    <n v="-1.28"/>
    <n v="0"/>
    <x v="0"/>
    <n v="0"/>
    <n v="0"/>
    <n v="2"/>
    <n v="26"/>
    <n v="0"/>
    <n v="440.1"/>
    <n v="223.72"/>
    <m/>
    <n v="485.19706717209556"/>
    <n v="221.35055346817671"/>
    <n v="0"/>
    <n v="-563.32800000000009"/>
    <n v="-286.36160000000001"/>
    <n v="0"/>
    <n v="-621.05224598028235"/>
    <n v="-283.32870843926622"/>
  </r>
  <r>
    <s v="Sistema de Compensação"/>
    <x v="3"/>
    <x v="2"/>
    <x v="1"/>
    <x v="0"/>
    <x v="0"/>
    <x v="0"/>
    <x v="2"/>
    <x v="2"/>
    <n v="0"/>
    <n v="0"/>
    <n v="9.5380000000000003"/>
    <n v="9.5380000000000003"/>
    <n v="9.5380000000000003"/>
    <n v="9.5380000000000003"/>
    <n v="5"/>
    <x v="0"/>
    <n v="0"/>
    <n v="0"/>
    <n v="2"/>
    <n v="26"/>
    <n v="0"/>
    <n v="440.1"/>
    <n v="223.72"/>
    <m/>
    <n v="485.19706717209556"/>
    <n v="221.35055346817671"/>
    <n v="0"/>
    <n v="4197.6738000000005"/>
    <n v="2133.8413599999999"/>
    <n v="0"/>
    <n v="4627.8096266874472"/>
    <n v="2111.2415789794695"/>
  </r>
  <r>
    <s v="Regular"/>
    <x v="3"/>
    <x v="2"/>
    <x v="1"/>
    <x v="0"/>
    <x v="0"/>
    <x v="0"/>
    <x v="2"/>
    <x v="3"/>
    <n v="0"/>
    <n v="0"/>
    <n v="522.37"/>
    <n v="522.37"/>
    <n v="522.37"/>
    <n v="522.37"/>
    <n v="540"/>
    <x v="0"/>
    <n v="0"/>
    <n v="0"/>
    <n v="2"/>
    <n v="26"/>
    <n v="0"/>
    <n v="440.1"/>
    <n v="223.72"/>
    <m/>
    <n v="485.19706717209556"/>
    <n v="221.35055346817671"/>
    <n v="0"/>
    <n v="229895.03700000001"/>
    <n v="116864.6164"/>
    <n v="0"/>
    <n v="253452.39197868755"/>
    <n v="115626.88861517147"/>
  </r>
  <r>
    <s v="Sistema de Compensação"/>
    <x v="3"/>
    <x v="2"/>
    <x v="1"/>
    <x v="0"/>
    <x v="0"/>
    <x v="0"/>
    <x v="2"/>
    <x v="3"/>
    <n v="0"/>
    <n v="0"/>
    <n v="31.213000000000001"/>
    <n v="31.213000000000001"/>
    <n v="31.213000000000001"/>
    <n v="31.213000000000001"/>
    <n v="8"/>
    <x v="0"/>
    <n v="0"/>
    <n v="0"/>
    <n v="2"/>
    <n v="26"/>
    <n v="0"/>
    <n v="440.1"/>
    <n v="223.72"/>
    <m/>
    <n v="485.19706717209556"/>
    <n v="221.35055346817671"/>
    <n v="0"/>
    <n v="13736.841300000002"/>
    <n v="6982.9723599999998"/>
    <n v="0"/>
    <n v="15144.456057642619"/>
    <n v="6909.0148254021997"/>
  </r>
  <r>
    <s v="Regular"/>
    <x v="3"/>
    <x v="2"/>
    <x v="1"/>
    <x v="0"/>
    <x v="0"/>
    <x v="0"/>
    <x v="2"/>
    <x v="4"/>
    <n v="0"/>
    <n v="0"/>
    <n v="580.21"/>
    <n v="580.21"/>
    <n v="580.21"/>
    <n v="580.21"/>
    <n v="540"/>
    <x v="0"/>
    <n v="0"/>
    <n v="0"/>
    <n v="2"/>
    <n v="26"/>
    <n v="0"/>
    <n v="440.1"/>
    <n v="223.72"/>
    <m/>
    <n v="485.19706717209556"/>
    <n v="221.35055346817671"/>
    <n v="0"/>
    <n v="255350.42100000003"/>
    <n v="129804.5812"/>
    <n v="0"/>
    <n v="281516.1903439216"/>
    <n v="128429.80462777082"/>
  </r>
  <r>
    <s v="Sistema de Compensação"/>
    <x v="3"/>
    <x v="2"/>
    <x v="1"/>
    <x v="0"/>
    <x v="0"/>
    <x v="0"/>
    <x v="2"/>
    <x v="4"/>
    <n v="0"/>
    <n v="0"/>
    <n v="25.219000000000001"/>
    <n v="25.219000000000001"/>
    <n v="25.219000000000001"/>
    <n v="25.219000000000001"/>
    <n v="8"/>
    <x v="0"/>
    <n v="0"/>
    <n v="0"/>
    <n v="2"/>
    <n v="26"/>
    <n v="0"/>
    <n v="440.1"/>
    <n v="223.72"/>
    <m/>
    <n v="485.19706717209556"/>
    <n v="221.35055346817671"/>
    <n v="0"/>
    <n v="11098.8819"/>
    <n v="5641.9946799999998"/>
    <n v="0"/>
    <n v="12236.184837013079"/>
    <n v="5582.2396079139489"/>
  </r>
  <r>
    <s v="Regular"/>
    <x v="3"/>
    <x v="2"/>
    <x v="1"/>
    <x v="0"/>
    <x v="0"/>
    <x v="0"/>
    <x v="2"/>
    <x v="5"/>
    <n v="0"/>
    <n v="0"/>
    <n v="630.98500000000001"/>
    <n v="630.98500000000001"/>
    <n v="630.98500000000001"/>
    <n v="630.98500000000001"/>
    <n v="541"/>
    <x v="0"/>
    <n v="0"/>
    <n v="0"/>
    <n v="2"/>
    <n v="26"/>
    <n v="0"/>
    <n v="440.1"/>
    <n v="223.72"/>
    <m/>
    <n v="485.19706717209556"/>
    <n v="221.35055346817671"/>
    <n v="0"/>
    <n v="277696.49850000005"/>
    <n v="141163.96420000002"/>
    <n v="0"/>
    <n v="306152.0714295847"/>
    <n v="139668.8789801175"/>
  </r>
  <r>
    <s v="Refaturamento - Regular"/>
    <x v="3"/>
    <x v="2"/>
    <x v="1"/>
    <x v="0"/>
    <x v="0"/>
    <x v="0"/>
    <x v="2"/>
    <x v="5"/>
    <n v="0"/>
    <n v="0"/>
    <n v="-1.119"/>
    <n v="-1.119"/>
    <n v="-1.119"/>
    <n v="-1.119"/>
    <n v="0"/>
    <x v="0"/>
    <n v="0"/>
    <n v="0"/>
    <n v="2"/>
    <n v="26"/>
    <n v="0"/>
    <n v="440.1"/>
    <n v="223.72"/>
    <m/>
    <n v="485.19706717209556"/>
    <n v="221.35055346817671"/>
    <n v="0"/>
    <n v="-492.47190000000001"/>
    <n v="-250.34268"/>
    <n v="0"/>
    <n v="-542.93551816557488"/>
    <n v="-247.69126933088975"/>
  </r>
  <r>
    <s v="Sistema de Compensação"/>
    <x v="3"/>
    <x v="2"/>
    <x v="1"/>
    <x v="0"/>
    <x v="0"/>
    <x v="0"/>
    <x v="2"/>
    <x v="5"/>
    <n v="0"/>
    <n v="0"/>
    <n v="29.215"/>
    <n v="29.215"/>
    <n v="29.215"/>
    <n v="29.215"/>
    <n v="9"/>
    <x v="0"/>
    <n v="0"/>
    <n v="0"/>
    <n v="2"/>
    <n v="26"/>
    <n v="0"/>
    <n v="440.1"/>
    <n v="223.72"/>
    <m/>
    <n v="485.19706717209556"/>
    <n v="221.35055346817671"/>
    <n v="0"/>
    <n v="12857.521500000001"/>
    <n v="6535.9798000000001"/>
    <n v="0"/>
    <n v="14175.032317432771"/>
    <n v="6466.7564195727828"/>
  </r>
  <r>
    <s v="Regular"/>
    <x v="3"/>
    <x v="2"/>
    <x v="1"/>
    <x v="0"/>
    <x v="0"/>
    <x v="0"/>
    <x v="2"/>
    <x v="6"/>
    <n v="0"/>
    <n v="0"/>
    <n v="596.86300000000006"/>
    <n v="596.86300000000006"/>
    <n v="596.86300000000006"/>
    <n v="596.86300000000006"/>
    <n v="539"/>
    <x v="0"/>
    <n v="0"/>
    <n v="0"/>
    <n v="2"/>
    <n v="26"/>
    <n v="0"/>
    <n v="440.1"/>
    <n v="223.72"/>
    <m/>
    <n v="485.19706717209556"/>
    <n v="221.35055346817671"/>
    <n v="0"/>
    <n v="262679.40630000003"/>
    <n v="133530.19036000001"/>
    <n v="0"/>
    <n v="289596.17710353847"/>
    <n v="132115.95539467636"/>
  </r>
  <r>
    <s v="Sistema de Compensação"/>
    <x v="3"/>
    <x v="2"/>
    <x v="1"/>
    <x v="0"/>
    <x v="0"/>
    <x v="0"/>
    <x v="2"/>
    <x v="6"/>
    <n v="0"/>
    <n v="0"/>
    <n v="28.164000000000001"/>
    <n v="28.164000000000001"/>
    <n v="28.164000000000001"/>
    <n v="28.164000000000001"/>
    <n v="9"/>
    <x v="0"/>
    <n v="0"/>
    <n v="0"/>
    <n v="2"/>
    <n v="26"/>
    <n v="0"/>
    <n v="440.1"/>
    <n v="223.72"/>
    <m/>
    <n v="485.19706717209556"/>
    <n v="221.35055346817671"/>
    <n v="0"/>
    <n v="12394.976400000001"/>
    <n v="6300.8500800000002"/>
    <n v="0"/>
    <n v="13665.0901998349"/>
    <n v="6234.1169878777291"/>
  </r>
  <r>
    <s v="Regular"/>
    <x v="3"/>
    <x v="2"/>
    <x v="1"/>
    <x v="0"/>
    <x v="0"/>
    <x v="0"/>
    <x v="2"/>
    <x v="7"/>
    <n v="0"/>
    <n v="0"/>
    <n v="660.21799999999996"/>
    <n v="660.21799999999996"/>
    <n v="660.21799999999996"/>
    <n v="660.21799999999996"/>
    <n v="536"/>
    <x v="0"/>
    <n v="0"/>
    <n v="0"/>
    <n v="2"/>
    <n v="26"/>
    <n v="0"/>
    <n v="440.1"/>
    <n v="223.72"/>
    <m/>
    <n v="485.19706717209556"/>
    <n v="221.35055346817671"/>
    <n v="0"/>
    <n v="290561.94179999997"/>
    <n v="147703.97095999998"/>
    <n v="0"/>
    <n v="320335.83729422657"/>
    <n v="146139.61970965267"/>
  </r>
  <r>
    <s v="Sistema de Compensação"/>
    <x v="3"/>
    <x v="2"/>
    <x v="1"/>
    <x v="0"/>
    <x v="0"/>
    <x v="0"/>
    <x v="2"/>
    <x v="7"/>
    <n v="0"/>
    <n v="0"/>
    <n v="26.613"/>
    <n v="26.613"/>
    <n v="26.613"/>
    <n v="26.613"/>
    <n v="11"/>
    <x v="0"/>
    <n v="0"/>
    <n v="0"/>
    <n v="2"/>
    <n v="26"/>
    <n v="0"/>
    <n v="440.1"/>
    <n v="223.72"/>
    <m/>
    <n v="485.19706717209556"/>
    <n v="221.35055346817671"/>
    <n v="0"/>
    <n v="11712.381300000001"/>
    <n v="5953.8603599999997"/>
    <n v="0"/>
    <n v="12912.549548650979"/>
    <n v="5890.8022794485869"/>
  </r>
  <r>
    <s v="Regular"/>
    <x v="3"/>
    <x v="2"/>
    <x v="1"/>
    <x v="0"/>
    <x v="0"/>
    <x v="0"/>
    <x v="2"/>
    <x v="8"/>
    <n v="0"/>
    <n v="0"/>
    <n v="636.60199999999998"/>
    <n v="636.60199999999998"/>
    <n v="636.60199999999998"/>
    <n v="636.60199999999998"/>
    <n v="536"/>
    <x v="0"/>
    <n v="0"/>
    <n v="0"/>
    <n v="2"/>
    <n v="26"/>
    <n v="0"/>
    <n v="440.1"/>
    <n v="223.72"/>
    <m/>
    <n v="485.19706717209556"/>
    <n v="221.35055346817671"/>
    <n v="0"/>
    <n v="280168.54019999999"/>
    <n v="142420.59943999999"/>
    <n v="0"/>
    <n v="308877.42335589038"/>
    <n v="140912.20503894822"/>
  </r>
  <r>
    <s v="Sistema de Compensação"/>
    <x v="3"/>
    <x v="2"/>
    <x v="1"/>
    <x v="0"/>
    <x v="0"/>
    <x v="0"/>
    <x v="2"/>
    <x v="8"/>
    <n v="0"/>
    <n v="0"/>
    <n v="18.149999999999999"/>
    <n v="18.149999999999999"/>
    <n v="18.149999999999999"/>
    <n v="18.149999999999999"/>
    <n v="12"/>
    <x v="0"/>
    <n v="0"/>
    <n v="0"/>
    <n v="2"/>
    <n v="26"/>
    <n v="0"/>
    <n v="440.1"/>
    <n v="223.72"/>
    <m/>
    <n v="485.19706717209556"/>
    <n v="221.35055346817671"/>
    <n v="0"/>
    <n v="7987.8149999999996"/>
    <n v="4060.5179999999996"/>
    <n v="0"/>
    <n v="8806.3267691735346"/>
    <n v="4017.5125454474069"/>
  </r>
  <r>
    <s v="Regular"/>
    <x v="3"/>
    <x v="2"/>
    <x v="1"/>
    <x v="0"/>
    <x v="0"/>
    <x v="0"/>
    <x v="2"/>
    <x v="9"/>
    <n v="0"/>
    <n v="0"/>
    <n v="697.19500000000005"/>
    <n v="697.19500000000005"/>
    <n v="697.19500000000005"/>
    <n v="697.19500000000005"/>
    <n v="537"/>
    <x v="0"/>
    <n v="0"/>
    <n v="0"/>
    <n v="2"/>
    <n v="26"/>
    <n v="0"/>
    <n v="440.1"/>
    <n v="223.72"/>
    <m/>
    <n v="485.19706717209556"/>
    <n v="221.35055346817671"/>
    <n v="0"/>
    <n v="306835.51950000005"/>
    <n v="155976.46540000002"/>
    <n v="0"/>
    <n v="338276.96924704919"/>
    <n v="154324.49912524546"/>
  </r>
  <r>
    <s v="Sistema de Compensação"/>
    <x v="3"/>
    <x v="2"/>
    <x v="1"/>
    <x v="0"/>
    <x v="0"/>
    <x v="0"/>
    <x v="2"/>
    <x v="9"/>
    <n v="0"/>
    <n v="0"/>
    <n v="21.731999999999999"/>
    <n v="21.731999999999999"/>
    <n v="21.731999999999999"/>
    <n v="21.731999999999999"/>
    <n v="11"/>
    <x v="0"/>
    <n v="0"/>
    <n v="0"/>
    <n v="2"/>
    <n v="26"/>
    <n v="0"/>
    <n v="440.1"/>
    <n v="223.72"/>
    <m/>
    <n v="485.19706717209556"/>
    <n v="221.35055346817671"/>
    <n v="0"/>
    <n v="9564.253200000001"/>
    <n v="4861.8830399999997"/>
    <n v="0"/>
    <n v="10544.302663783981"/>
    <n v="4810.3902279704162"/>
  </r>
  <r>
    <s v="Regular"/>
    <x v="3"/>
    <x v="2"/>
    <x v="1"/>
    <x v="0"/>
    <x v="0"/>
    <x v="0"/>
    <x v="2"/>
    <x v="10"/>
    <n v="0"/>
    <n v="0"/>
    <n v="675.43"/>
    <n v="675.43"/>
    <n v="675.43"/>
    <n v="675.43"/>
    <n v="535"/>
    <x v="0"/>
    <n v="0"/>
    <n v="0"/>
    <n v="2"/>
    <n v="26"/>
    <n v="0"/>
    <n v="440.1"/>
    <n v="223.72"/>
    <m/>
    <n v="485.19706717209556"/>
    <n v="221.35055346817671"/>
    <n v="0"/>
    <n v="297256.74300000002"/>
    <n v="151107.19959999999"/>
    <n v="0"/>
    <n v="327716.65508004848"/>
    <n v="149506.8043290106"/>
  </r>
  <r>
    <s v="Refaturamento - Regular"/>
    <x v="3"/>
    <x v="2"/>
    <x v="1"/>
    <x v="0"/>
    <x v="0"/>
    <x v="0"/>
    <x v="2"/>
    <x v="10"/>
    <n v="0"/>
    <n v="0"/>
    <n v="-9.0169999999999995"/>
    <n v="-9.0169999999999995"/>
    <n v="-9.0169999999999995"/>
    <n v="-9.0169999999999995"/>
    <n v="0"/>
    <x v="0"/>
    <n v="0"/>
    <n v="0"/>
    <n v="2"/>
    <n v="26"/>
    <n v="0"/>
    <n v="440.1"/>
    <n v="223.72"/>
    <m/>
    <n v="485.19706717209556"/>
    <n v="221.35055346817671"/>
    <n v="0"/>
    <n v="-3968.3816999999999"/>
    <n v="-2017.28324"/>
    <n v="0"/>
    <n v="-4375.0219546907856"/>
    <n v="-1995.9179406225494"/>
  </r>
  <r>
    <s v="Sistema de Compensação"/>
    <x v="3"/>
    <x v="2"/>
    <x v="1"/>
    <x v="0"/>
    <x v="0"/>
    <x v="0"/>
    <x v="2"/>
    <x v="10"/>
    <n v="0"/>
    <n v="0"/>
    <n v="23.11"/>
    <n v="23.11"/>
    <n v="23.11"/>
    <n v="23.11"/>
    <n v="14"/>
    <x v="0"/>
    <n v="0"/>
    <n v="0"/>
    <n v="2"/>
    <n v="26"/>
    <n v="0"/>
    <n v="440.1"/>
    <n v="223.72"/>
    <m/>
    <n v="485.19706717209556"/>
    <n v="221.35055346817671"/>
    <n v="0"/>
    <n v="10170.711000000001"/>
    <n v="5170.1692000000003"/>
    <n v="0"/>
    <n v="11212.904222347128"/>
    <n v="5115.4112906495639"/>
  </r>
  <r>
    <s v="PROJETADO"/>
    <x v="3"/>
    <x v="2"/>
    <x v="1"/>
    <x v="0"/>
    <x v="0"/>
    <x v="0"/>
    <x v="2"/>
    <x v="11"/>
    <n v="0"/>
    <n v="0"/>
    <n v="675.43"/>
    <n v="675.43"/>
    <n v="675.43"/>
    <n v="675.43"/>
    <n v="535"/>
    <x v="0"/>
    <n v="0"/>
    <n v="0"/>
    <n v="2"/>
    <n v="26"/>
    <n v="0"/>
    <n v="440.1"/>
    <n v="223.72"/>
    <m/>
    <n v="485.19706717209556"/>
    <n v="221.35055346817671"/>
    <n v="0"/>
    <n v="297256.74300000002"/>
    <n v="151107.19959999999"/>
    <n v="0"/>
    <n v="327716.65508004848"/>
    <n v="149506.8043290106"/>
  </r>
  <r>
    <s v="PROJETADO"/>
    <x v="3"/>
    <x v="2"/>
    <x v="1"/>
    <x v="0"/>
    <x v="0"/>
    <x v="0"/>
    <x v="2"/>
    <x v="11"/>
    <n v="0"/>
    <n v="0"/>
    <n v="-9.0169999999999995"/>
    <n v="-9.0169999999999995"/>
    <n v="-9.0169999999999995"/>
    <n v="-9.0169999999999995"/>
    <n v="0"/>
    <x v="0"/>
    <n v="0"/>
    <n v="0"/>
    <n v="2"/>
    <n v="26"/>
    <n v="0"/>
    <n v="440.1"/>
    <n v="223.72"/>
    <m/>
    <n v="485.19706717209556"/>
    <n v="221.35055346817671"/>
    <n v="0"/>
    <n v="-3968.3816999999999"/>
    <n v="-2017.28324"/>
    <n v="0"/>
    <n v="-4375.0219546907856"/>
    <n v="-1995.9179406225494"/>
  </r>
  <r>
    <s v="PROJETADO"/>
    <x v="3"/>
    <x v="2"/>
    <x v="1"/>
    <x v="0"/>
    <x v="0"/>
    <x v="0"/>
    <x v="2"/>
    <x v="11"/>
    <n v="0"/>
    <n v="0"/>
    <n v="23.11"/>
    <n v="23.11"/>
    <n v="23.11"/>
    <n v="23.11"/>
    <n v="14"/>
    <x v="0"/>
    <n v="0"/>
    <n v="0"/>
    <n v="2"/>
    <n v="26"/>
    <n v="0"/>
    <n v="440.1"/>
    <n v="223.72"/>
    <m/>
    <n v="485.19706717209556"/>
    <n v="221.35055346817671"/>
    <n v="0"/>
    <n v="10170.711000000001"/>
    <n v="5170.1692000000003"/>
    <n v="0"/>
    <n v="11212.904222347128"/>
    <n v="5115.4112906495639"/>
  </r>
  <r>
    <s v="Regular"/>
    <x v="3"/>
    <x v="2"/>
    <x v="2"/>
    <x v="0"/>
    <x v="0"/>
    <x v="0"/>
    <x v="2"/>
    <x v="0"/>
    <n v="0"/>
    <n v="0"/>
    <n v="53.07"/>
    <n v="53.07"/>
    <n v="53.07"/>
    <n v="53.07"/>
    <n v="23"/>
    <x v="0"/>
    <n v="0"/>
    <n v="0"/>
    <n v="2"/>
    <n v="26"/>
    <n v="0"/>
    <n v="440.1"/>
    <n v="223.72"/>
    <m/>
    <n v="485.19706717209556"/>
    <n v="221.35055346817671"/>
    <n v="0"/>
    <n v="23356.107"/>
    <n v="11872.820400000001"/>
    <n v="0"/>
    <n v="25749.40835482311"/>
    <n v="11747.073872556139"/>
  </r>
  <r>
    <s v="Regular"/>
    <x v="3"/>
    <x v="2"/>
    <x v="2"/>
    <x v="0"/>
    <x v="0"/>
    <x v="0"/>
    <x v="2"/>
    <x v="1"/>
    <n v="0"/>
    <n v="0"/>
    <n v="70.343000000000004"/>
    <n v="70.343000000000004"/>
    <n v="70.343000000000004"/>
    <n v="70.343000000000004"/>
    <n v="25"/>
    <x v="0"/>
    <n v="0"/>
    <n v="0"/>
    <n v="2"/>
    <n v="26"/>
    <n v="0"/>
    <n v="440.1"/>
    <n v="223.72"/>
    <m/>
    <n v="485.19706717209556"/>
    <n v="221.35055346817671"/>
    <n v="0"/>
    <n v="30957.954300000005"/>
    <n v="15737.135960000001"/>
    <n v="0"/>
    <n v="34130.217296086717"/>
    <n v="15570.461982611956"/>
  </r>
  <r>
    <s v="Regular"/>
    <x v="3"/>
    <x v="2"/>
    <x v="2"/>
    <x v="0"/>
    <x v="0"/>
    <x v="0"/>
    <x v="2"/>
    <x v="2"/>
    <n v="0"/>
    <n v="0"/>
    <n v="51.085999999999999"/>
    <n v="51.085999999999999"/>
    <n v="51.085999999999999"/>
    <n v="51.085999999999999"/>
    <n v="25"/>
    <x v="0"/>
    <n v="0"/>
    <n v="0"/>
    <n v="2"/>
    <n v="26"/>
    <n v="0"/>
    <n v="440.1"/>
    <n v="223.72"/>
    <m/>
    <n v="485.19706717209556"/>
    <n v="221.35055346817671"/>
    <n v="0"/>
    <n v="22482.9486"/>
    <n v="11428.959919999999"/>
    <n v="0"/>
    <n v="24786.777373553672"/>
    <n v="11307.914374475275"/>
  </r>
  <r>
    <s v="Regular"/>
    <x v="3"/>
    <x v="2"/>
    <x v="2"/>
    <x v="0"/>
    <x v="0"/>
    <x v="0"/>
    <x v="2"/>
    <x v="3"/>
    <n v="0"/>
    <n v="0"/>
    <n v="50.176000000000002"/>
    <n v="50.176000000000002"/>
    <n v="50.176000000000002"/>
    <n v="50.176000000000002"/>
    <n v="25"/>
    <x v="0"/>
    <n v="0"/>
    <n v="0"/>
    <n v="2"/>
    <n v="26"/>
    <n v="0"/>
    <n v="440.1"/>
    <n v="223.72"/>
    <m/>
    <n v="485.19706717209556"/>
    <n v="221.35055346817671"/>
    <n v="0"/>
    <n v="22082.457600000002"/>
    <n v="11225.37472"/>
    <n v="0"/>
    <n v="24345.248042427069"/>
    <n v="11106.485370819235"/>
  </r>
  <r>
    <s v="Regular"/>
    <x v="3"/>
    <x v="2"/>
    <x v="2"/>
    <x v="0"/>
    <x v="0"/>
    <x v="0"/>
    <x v="2"/>
    <x v="4"/>
    <n v="0"/>
    <n v="0"/>
    <n v="56.345999999999997"/>
    <n v="56.345999999999997"/>
    <n v="56.345999999999997"/>
    <n v="56.345999999999997"/>
    <n v="25"/>
    <x v="0"/>
    <n v="0"/>
    <n v="0"/>
    <n v="2"/>
    <n v="26"/>
    <n v="0"/>
    <n v="440.1"/>
    <n v="223.72"/>
    <m/>
    <n v="485.19706717209556"/>
    <n v="221.35055346817671"/>
    <n v="0"/>
    <n v="24797.874599999999"/>
    <n v="12605.72712"/>
    <n v="0"/>
    <n v="27338.913946878896"/>
    <n v="12472.218285717885"/>
  </r>
  <r>
    <s v="Regular"/>
    <x v="3"/>
    <x v="2"/>
    <x v="2"/>
    <x v="0"/>
    <x v="0"/>
    <x v="0"/>
    <x v="2"/>
    <x v="5"/>
    <n v="0"/>
    <n v="0"/>
    <n v="62.942999999999998"/>
    <n v="62.942999999999998"/>
    <n v="62.942999999999998"/>
    <n v="62.942999999999998"/>
    <n v="25"/>
    <x v="0"/>
    <n v="0"/>
    <n v="0"/>
    <n v="2"/>
    <n v="26"/>
    <n v="0"/>
    <n v="440.1"/>
    <n v="223.72"/>
    <m/>
    <n v="485.19706717209556"/>
    <n v="221.35055346817671"/>
    <n v="0"/>
    <n v="27701.2143"/>
    <n v="14081.607959999999"/>
    <n v="0"/>
    <n v="30539.758999013211"/>
    <n v="13932.467886947446"/>
  </r>
  <r>
    <s v="Regular"/>
    <x v="3"/>
    <x v="2"/>
    <x v="2"/>
    <x v="0"/>
    <x v="0"/>
    <x v="0"/>
    <x v="2"/>
    <x v="6"/>
    <n v="0"/>
    <n v="0"/>
    <n v="54.314"/>
    <n v="54.314"/>
    <n v="54.314"/>
    <n v="54.314"/>
    <n v="25"/>
    <x v="0"/>
    <n v="0"/>
    <n v="0"/>
    <n v="2"/>
    <n v="26"/>
    <n v="0"/>
    <n v="440.1"/>
    <n v="223.72"/>
    <m/>
    <n v="485.19706717209556"/>
    <n v="221.35055346817671"/>
    <n v="0"/>
    <n v="23903.591400000001"/>
    <n v="12151.12808"/>
    <n v="0"/>
    <n v="26352.993506385199"/>
    <n v="12022.43396107055"/>
  </r>
  <r>
    <s v="Regular"/>
    <x v="3"/>
    <x v="2"/>
    <x v="2"/>
    <x v="0"/>
    <x v="0"/>
    <x v="0"/>
    <x v="2"/>
    <x v="7"/>
    <n v="0"/>
    <n v="0"/>
    <n v="54.893999999999998"/>
    <n v="54.893999999999998"/>
    <n v="54.893999999999998"/>
    <n v="54.893999999999998"/>
    <n v="24"/>
    <x v="0"/>
    <n v="0"/>
    <n v="0"/>
    <n v="2"/>
    <n v="26"/>
    <n v="0"/>
    <n v="440.1"/>
    <n v="223.72"/>
    <m/>
    <n v="485.19706717209556"/>
    <n v="221.35055346817671"/>
    <n v="0"/>
    <n v="24158.849399999999"/>
    <n v="12280.885679999999"/>
    <n v="0"/>
    <n v="26634.407805345014"/>
    <n v="12150.817282082093"/>
  </r>
  <r>
    <s v="Sistema de Compensação"/>
    <x v="3"/>
    <x v="2"/>
    <x v="2"/>
    <x v="0"/>
    <x v="0"/>
    <x v="0"/>
    <x v="2"/>
    <x v="7"/>
    <n v="0"/>
    <n v="0"/>
    <n v="0.1"/>
    <n v="0.1"/>
    <n v="0.1"/>
    <n v="0.1"/>
    <n v="1"/>
    <x v="0"/>
    <n v="0"/>
    <n v="0"/>
    <n v="2"/>
    <n v="26"/>
    <n v="0"/>
    <n v="440.1"/>
    <n v="223.72"/>
    <m/>
    <n v="485.19706717209556"/>
    <n v="221.35055346817671"/>
    <n v="0"/>
    <n v="44.010000000000005"/>
    <n v="22.372"/>
    <n v="0"/>
    <n v="48.519706717209559"/>
    <n v="22.135055346817673"/>
  </r>
  <r>
    <s v="Regular"/>
    <x v="3"/>
    <x v="2"/>
    <x v="2"/>
    <x v="0"/>
    <x v="0"/>
    <x v="0"/>
    <x v="2"/>
    <x v="8"/>
    <n v="0"/>
    <n v="0"/>
    <n v="45.625"/>
    <n v="45.625"/>
    <n v="45.625"/>
    <n v="45.625"/>
    <n v="24"/>
    <x v="0"/>
    <n v="0"/>
    <n v="0"/>
    <n v="2"/>
    <n v="26"/>
    <n v="0"/>
    <n v="440.1"/>
    <n v="223.72"/>
    <m/>
    <n v="485.19706717209556"/>
    <n v="221.35055346817671"/>
    <n v="0"/>
    <n v="20079.5625"/>
    <n v="10207.225"/>
    <n v="0"/>
    <n v="22137.116189726861"/>
    <n v="10099.119001985562"/>
  </r>
  <r>
    <s v="Sistema de Compensação"/>
    <x v="3"/>
    <x v="2"/>
    <x v="2"/>
    <x v="0"/>
    <x v="0"/>
    <x v="0"/>
    <x v="2"/>
    <x v="8"/>
    <n v="0"/>
    <n v="0"/>
    <n v="0.1"/>
    <n v="0.1"/>
    <n v="0.1"/>
    <n v="0.1"/>
    <n v="1"/>
    <x v="0"/>
    <n v="0"/>
    <n v="0"/>
    <n v="2"/>
    <n v="26"/>
    <n v="0"/>
    <n v="440.1"/>
    <n v="223.72"/>
    <m/>
    <n v="485.19706717209556"/>
    <n v="221.35055346817671"/>
    <n v="0"/>
    <n v="44.010000000000005"/>
    <n v="22.372"/>
    <n v="0"/>
    <n v="48.519706717209559"/>
    <n v="22.135055346817673"/>
  </r>
  <r>
    <s v="Regular"/>
    <x v="3"/>
    <x v="2"/>
    <x v="2"/>
    <x v="0"/>
    <x v="0"/>
    <x v="0"/>
    <x v="2"/>
    <x v="9"/>
    <n v="0"/>
    <n v="0"/>
    <n v="56.762999999999998"/>
    <n v="56.762999999999998"/>
    <n v="56.762999999999998"/>
    <n v="56.762999999999998"/>
    <n v="24"/>
    <x v="0"/>
    <n v="0"/>
    <n v="0"/>
    <n v="2"/>
    <n v="26"/>
    <n v="0"/>
    <n v="440.1"/>
    <n v="223.72"/>
    <m/>
    <n v="485.19706717209556"/>
    <n v="221.35055346817671"/>
    <n v="0"/>
    <n v="24981.3963"/>
    <n v="12699.01836"/>
    <n v="0"/>
    <n v="27541.24112388966"/>
    <n v="12564.521466514114"/>
  </r>
  <r>
    <s v="Sistema de Compensação"/>
    <x v="3"/>
    <x v="2"/>
    <x v="2"/>
    <x v="0"/>
    <x v="0"/>
    <x v="0"/>
    <x v="2"/>
    <x v="9"/>
    <n v="0"/>
    <n v="0"/>
    <n v="0.1"/>
    <n v="0.1"/>
    <n v="0.1"/>
    <n v="0.1"/>
    <n v="1"/>
    <x v="0"/>
    <n v="0"/>
    <n v="0"/>
    <n v="2"/>
    <n v="26"/>
    <n v="0"/>
    <n v="440.1"/>
    <n v="223.72"/>
    <m/>
    <n v="485.19706717209556"/>
    <n v="221.35055346817671"/>
    <n v="0"/>
    <n v="44.010000000000005"/>
    <n v="22.372"/>
    <n v="0"/>
    <n v="48.519706717209559"/>
    <n v="22.135055346817673"/>
  </r>
  <r>
    <s v="Regular"/>
    <x v="3"/>
    <x v="2"/>
    <x v="2"/>
    <x v="0"/>
    <x v="0"/>
    <x v="0"/>
    <x v="2"/>
    <x v="10"/>
    <n v="0"/>
    <n v="0"/>
    <n v="50.95"/>
    <n v="50.95"/>
    <n v="50.95"/>
    <n v="50.95"/>
    <n v="23"/>
    <x v="0"/>
    <n v="0"/>
    <n v="0"/>
    <n v="2"/>
    <n v="26"/>
    <n v="0"/>
    <n v="440.1"/>
    <n v="223.72"/>
    <m/>
    <n v="485.19706717209556"/>
    <n v="221.35055346817671"/>
    <n v="0"/>
    <n v="22423.095000000001"/>
    <n v="11398.534000000001"/>
    <n v="0"/>
    <n v="24720.790572418271"/>
    <n v="11277.810699203605"/>
  </r>
  <r>
    <s v="Sistema de Compensação"/>
    <x v="3"/>
    <x v="2"/>
    <x v="2"/>
    <x v="0"/>
    <x v="0"/>
    <x v="0"/>
    <x v="2"/>
    <x v="10"/>
    <n v="0"/>
    <n v="0"/>
    <n v="0.15"/>
    <n v="0.15"/>
    <n v="0.15"/>
    <n v="0.15"/>
    <n v="2"/>
    <x v="0"/>
    <n v="0"/>
    <n v="0"/>
    <n v="2"/>
    <n v="26"/>
    <n v="0"/>
    <n v="440.1"/>
    <n v="223.72"/>
    <m/>
    <n v="485.19706717209556"/>
    <n v="221.35055346817671"/>
    <n v="0"/>
    <n v="66.015000000000001"/>
    <n v="33.558"/>
    <n v="0"/>
    <n v="72.779560075814331"/>
    <n v="33.202583020226506"/>
  </r>
  <r>
    <s v="PROJETADO"/>
    <x v="3"/>
    <x v="2"/>
    <x v="2"/>
    <x v="0"/>
    <x v="0"/>
    <x v="0"/>
    <x v="2"/>
    <x v="11"/>
    <n v="0"/>
    <n v="0"/>
    <n v="50.95"/>
    <n v="50.95"/>
    <n v="50.95"/>
    <n v="50.95"/>
    <n v="23"/>
    <x v="0"/>
    <n v="0"/>
    <n v="0"/>
    <n v="2"/>
    <n v="26"/>
    <n v="0"/>
    <n v="440.1"/>
    <n v="223.72"/>
    <m/>
    <n v="485.19706717209556"/>
    <n v="221.35055346817671"/>
    <n v="0"/>
    <n v="22423.095000000001"/>
    <n v="11398.534000000001"/>
    <n v="0"/>
    <n v="24720.790572418271"/>
    <n v="11277.810699203605"/>
  </r>
  <r>
    <s v="PROJETADO"/>
    <x v="3"/>
    <x v="2"/>
    <x v="2"/>
    <x v="0"/>
    <x v="0"/>
    <x v="0"/>
    <x v="2"/>
    <x v="11"/>
    <n v="0"/>
    <n v="0"/>
    <n v="0.15"/>
    <n v="0.15"/>
    <n v="0.15"/>
    <n v="0.15"/>
    <n v="2"/>
    <x v="0"/>
    <n v="0"/>
    <n v="0"/>
    <n v="2"/>
    <n v="26"/>
    <n v="0"/>
    <n v="440.1"/>
    <n v="223.72"/>
    <m/>
    <n v="485.19706717209556"/>
    <n v="221.35055346817671"/>
    <n v="0"/>
    <n v="66.015000000000001"/>
    <n v="33.558"/>
    <n v="0"/>
    <n v="72.779560075814331"/>
    <n v="33.202583020226506"/>
  </r>
  <r>
    <s v="Regular"/>
    <x v="3"/>
    <x v="2"/>
    <x v="0"/>
    <x v="0"/>
    <x v="0"/>
    <x v="0"/>
    <x v="2"/>
    <x v="0"/>
    <n v="0"/>
    <n v="0"/>
    <n v="31.361999999999998"/>
    <n v="31.361999999999998"/>
    <n v="31.361999999999998"/>
    <n v="31.361999999999998"/>
    <n v="52"/>
    <x v="0"/>
    <n v="0"/>
    <n v="0"/>
    <n v="2"/>
    <n v="26"/>
    <n v="0"/>
    <n v="440.1"/>
    <n v="223.72"/>
    <m/>
    <n v="485.19706717209556"/>
    <n v="221.35055346817671"/>
    <n v="0"/>
    <n v="13802.4162"/>
    <n v="7016.3066399999998"/>
    <n v="0"/>
    <n v="15216.75042065126"/>
    <n v="6941.9960578689579"/>
  </r>
  <r>
    <s v="Regular"/>
    <x v="3"/>
    <x v="2"/>
    <x v="0"/>
    <x v="0"/>
    <x v="0"/>
    <x v="0"/>
    <x v="2"/>
    <x v="1"/>
    <n v="0"/>
    <n v="0"/>
    <n v="29.183"/>
    <n v="29.183"/>
    <n v="29.183"/>
    <n v="29.183"/>
    <n v="52"/>
    <x v="0"/>
    <n v="0"/>
    <n v="0"/>
    <n v="2"/>
    <n v="26"/>
    <n v="0"/>
    <n v="440.1"/>
    <n v="223.72"/>
    <m/>
    <n v="485.19706717209556"/>
    <n v="221.35055346817671"/>
    <n v="0"/>
    <n v="12843.4383"/>
    <n v="6528.8207599999996"/>
    <n v="0"/>
    <n v="14159.506011283265"/>
    <n v="6459.6732018618013"/>
  </r>
  <r>
    <s v="Regular"/>
    <x v="3"/>
    <x v="2"/>
    <x v="0"/>
    <x v="0"/>
    <x v="0"/>
    <x v="0"/>
    <x v="2"/>
    <x v="2"/>
    <n v="0"/>
    <n v="0"/>
    <n v="30.219000000000001"/>
    <n v="30.219000000000001"/>
    <n v="30.219000000000001"/>
    <n v="30.219000000000001"/>
    <n v="52"/>
    <x v="0"/>
    <n v="0"/>
    <n v="0"/>
    <n v="2"/>
    <n v="26"/>
    <n v="0"/>
    <n v="440.1"/>
    <n v="223.72"/>
    <m/>
    <n v="485.19706717209556"/>
    <n v="221.35055346817671"/>
    <n v="0"/>
    <n v="13299.3819"/>
    <n v="6760.5946800000002"/>
    <n v="0"/>
    <n v="14662.170172873557"/>
    <n v="6688.992375254832"/>
  </r>
  <r>
    <s v="Regular"/>
    <x v="3"/>
    <x v="2"/>
    <x v="0"/>
    <x v="0"/>
    <x v="0"/>
    <x v="0"/>
    <x v="2"/>
    <x v="3"/>
    <n v="0"/>
    <n v="0"/>
    <n v="28.157"/>
    <n v="28.157"/>
    <n v="28.157"/>
    <n v="28.157"/>
    <n v="52"/>
    <x v="0"/>
    <n v="0"/>
    <n v="0"/>
    <n v="2"/>
    <n v="26"/>
    <n v="0"/>
    <n v="440.1"/>
    <n v="223.72"/>
    <m/>
    <n v="485.19706717209556"/>
    <n v="221.35055346817671"/>
    <n v="0"/>
    <n v="12391.895700000001"/>
    <n v="6299.2840399999995"/>
    <n v="0"/>
    <n v="13661.693820364695"/>
    <n v="6232.5675340034513"/>
  </r>
  <r>
    <s v="Regular"/>
    <x v="3"/>
    <x v="2"/>
    <x v="0"/>
    <x v="0"/>
    <x v="0"/>
    <x v="0"/>
    <x v="2"/>
    <x v="4"/>
    <n v="0"/>
    <n v="0"/>
    <n v="31.911999999999999"/>
    <n v="31.911999999999999"/>
    <n v="31.911999999999999"/>
    <n v="31.911999999999999"/>
    <n v="52"/>
    <x v="0"/>
    <n v="0"/>
    <n v="0"/>
    <n v="2"/>
    <n v="26"/>
    <n v="0"/>
    <n v="440.1"/>
    <n v="223.72"/>
    <m/>
    <n v="485.19706717209556"/>
    <n v="221.35055346817671"/>
    <n v="0"/>
    <n v="14044.4712"/>
    <n v="7139.3526400000001"/>
    <n v="0"/>
    <n v="15483.608807595912"/>
    <n v="7063.7388622764547"/>
  </r>
  <r>
    <s v="Regular"/>
    <x v="3"/>
    <x v="2"/>
    <x v="0"/>
    <x v="0"/>
    <x v="0"/>
    <x v="0"/>
    <x v="2"/>
    <x v="5"/>
    <n v="0"/>
    <n v="0"/>
    <n v="37.844000000000001"/>
    <n v="37.844000000000001"/>
    <n v="37.844000000000001"/>
    <n v="37.844000000000001"/>
    <n v="52"/>
    <x v="0"/>
    <n v="0"/>
    <n v="0"/>
    <n v="2"/>
    <n v="26"/>
    <n v="0"/>
    <n v="440.1"/>
    <n v="223.72"/>
    <m/>
    <n v="485.19706717209556"/>
    <n v="221.35055346817671"/>
    <n v="0"/>
    <n v="16655.144400000001"/>
    <n v="8466.4596799999999"/>
    <n v="0"/>
    <n v="18361.797810060783"/>
    <n v="8376.7903454496791"/>
  </r>
  <r>
    <s v="Regular"/>
    <x v="3"/>
    <x v="2"/>
    <x v="0"/>
    <x v="0"/>
    <x v="0"/>
    <x v="0"/>
    <x v="2"/>
    <x v="6"/>
    <n v="0"/>
    <n v="0"/>
    <n v="35.908999999999999"/>
    <n v="35.908999999999999"/>
    <n v="35.908999999999999"/>
    <n v="35.908999999999999"/>
    <n v="53"/>
    <x v="0"/>
    <n v="0"/>
    <n v="0"/>
    <n v="2"/>
    <n v="26"/>
    <n v="0"/>
    <n v="440.1"/>
    <n v="223.72"/>
    <m/>
    <n v="485.19706717209556"/>
    <n v="221.35055346817671"/>
    <n v="0"/>
    <n v="15803.5509"/>
    <n v="8033.5614799999994"/>
    <n v="0"/>
    <n v="17422.941485082778"/>
    <n v="7948.4770244887577"/>
  </r>
  <r>
    <s v="Regular"/>
    <x v="3"/>
    <x v="2"/>
    <x v="0"/>
    <x v="0"/>
    <x v="0"/>
    <x v="0"/>
    <x v="2"/>
    <x v="7"/>
    <n v="0"/>
    <n v="0"/>
    <n v="36.732999999999997"/>
    <n v="36.732999999999997"/>
    <n v="36.732999999999997"/>
    <n v="36.732999999999997"/>
    <n v="53"/>
    <x v="0"/>
    <n v="0"/>
    <n v="0"/>
    <n v="2"/>
    <n v="26"/>
    <n v="0"/>
    <n v="440.1"/>
    <n v="223.72"/>
    <m/>
    <n v="485.19706717209556"/>
    <n v="221.35055346817671"/>
    <n v="0"/>
    <n v="16166.193299999999"/>
    <n v="8217.9067599999998"/>
    <n v="0"/>
    <n v="17822.743868432586"/>
    <n v="8130.8698805465347"/>
  </r>
  <r>
    <s v="Regular"/>
    <x v="3"/>
    <x v="2"/>
    <x v="0"/>
    <x v="0"/>
    <x v="0"/>
    <x v="0"/>
    <x v="2"/>
    <x v="8"/>
    <n v="0"/>
    <n v="0"/>
    <n v="39.914000000000001"/>
    <n v="39.914000000000001"/>
    <n v="39.914000000000001"/>
    <n v="39.914000000000001"/>
    <n v="53"/>
    <x v="0"/>
    <n v="0"/>
    <n v="0"/>
    <n v="2"/>
    <n v="26"/>
    <n v="0"/>
    <n v="440.1"/>
    <n v="223.72"/>
    <m/>
    <n v="485.19706717209556"/>
    <n v="221.35055346817671"/>
    <n v="0"/>
    <n v="17566.151400000002"/>
    <n v="8929.5600800000011"/>
    <n v="0"/>
    <n v="19366.155739107024"/>
    <n v="8834.9859911288058"/>
  </r>
  <r>
    <s v="Regular"/>
    <x v="3"/>
    <x v="2"/>
    <x v="0"/>
    <x v="0"/>
    <x v="0"/>
    <x v="0"/>
    <x v="2"/>
    <x v="9"/>
    <n v="0"/>
    <n v="0"/>
    <n v="33.045000000000002"/>
    <n v="33.045000000000002"/>
    <n v="33.045000000000002"/>
    <n v="33.045000000000002"/>
    <n v="52"/>
    <x v="0"/>
    <n v="0"/>
    <n v="0"/>
    <n v="2"/>
    <n v="26"/>
    <n v="0"/>
    <n v="440.1"/>
    <n v="223.72"/>
    <m/>
    <n v="485.19706717209556"/>
    <n v="221.35055346817671"/>
    <n v="0"/>
    <n v="14543.104500000001"/>
    <n v="7392.8274000000001"/>
    <n v="0"/>
    <n v="16033.337084701898"/>
    <n v="7314.5290393558998"/>
  </r>
  <r>
    <s v="Regular"/>
    <x v="3"/>
    <x v="2"/>
    <x v="0"/>
    <x v="0"/>
    <x v="0"/>
    <x v="0"/>
    <x v="2"/>
    <x v="10"/>
    <n v="0"/>
    <n v="0"/>
    <n v="35.738"/>
    <n v="35.738"/>
    <n v="35.738"/>
    <n v="35.738"/>
    <n v="52"/>
    <x v="0"/>
    <n v="0"/>
    <n v="0"/>
    <n v="2"/>
    <n v="26"/>
    <n v="0"/>
    <n v="440.1"/>
    <n v="223.72"/>
    <m/>
    <n v="485.19706717209556"/>
    <n v="221.35055346817671"/>
    <n v="0"/>
    <n v="15728.293800000001"/>
    <n v="7995.3053600000003"/>
    <n v="0"/>
    <n v="17339.97278659635"/>
    <n v="7910.6260798456997"/>
  </r>
  <r>
    <s v="PROJETADO"/>
    <x v="3"/>
    <x v="2"/>
    <x v="0"/>
    <x v="0"/>
    <x v="0"/>
    <x v="0"/>
    <x v="2"/>
    <x v="11"/>
    <n v="0"/>
    <n v="0"/>
    <n v="35.738"/>
    <n v="35.738"/>
    <n v="35.738"/>
    <n v="35.738"/>
    <n v="52"/>
    <x v="0"/>
    <n v="0"/>
    <n v="0"/>
    <n v="2"/>
    <n v="26"/>
    <n v="0"/>
    <n v="440.1"/>
    <n v="223.72"/>
    <m/>
    <n v="485.19706717209556"/>
    <n v="221.35055346817671"/>
    <n v="0"/>
    <n v="15728.293800000001"/>
    <n v="7995.3053600000003"/>
    <n v="0"/>
    <n v="17339.97278659635"/>
    <n v="7910.6260798456997"/>
  </r>
  <r>
    <s v="Regular"/>
    <x v="3"/>
    <x v="2"/>
    <x v="5"/>
    <x v="3"/>
    <x v="0"/>
    <x v="0"/>
    <x v="2"/>
    <x v="0"/>
    <n v="0"/>
    <n v="0"/>
    <n v="43.765999999999998"/>
    <n v="41.140039999999999"/>
    <n v="43.765999999999998"/>
    <n v="41.140039999999999"/>
    <n v="17"/>
    <x v="0"/>
    <n v="0"/>
    <n v="0"/>
    <n v="2"/>
    <n v="26"/>
    <n v="0"/>
    <n v="440.1"/>
    <n v="223.72"/>
    <m/>
    <n v="485.19706717209556"/>
    <n v="221.35055346817671"/>
    <n v="0"/>
    <n v="18105.731604000001"/>
    <n v="9203.8497487999994"/>
    <n v="0"/>
    <n v="19961.026751342699"/>
    <n v="9106.3706237029292"/>
  </r>
  <r>
    <s v="Regular"/>
    <x v="3"/>
    <x v="2"/>
    <x v="5"/>
    <x v="3"/>
    <x v="0"/>
    <x v="0"/>
    <x v="2"/>
    <x v="1"/>
    <n v="0"/>
    <n v="0"/>
    <n v="44.619"/>
    <n v="41.941859999999998"/>
    <n v="44.619"/>
    <n v="41.941859999999998"/>
    <n v="17"/>
    <x v="0"/>
    <n v="0"/>
    <n v="0"/>
    <n v="2"/>
    <n v="26"/>
    <n v="0"/>
    <n v="440.1"/>
    <n v="223.72"/>
    <m/>
    <n v="485.19706717209556"/>
    <n v="221.35055346817671"/>
    <n v="0"/>
    <n v="18458.612585999999"/>
    <n v="9383.2329191999997"/>
    <n v="0"/>
    <n v="20350.067463742627"/>
    <n v="9283.8539244847816"/>
  </r>
  <r>
    <s v="Regular"/>
    <x v="3"/>
    <x v="2"/>
    <x v="5"/>
    <x v="3"/>
    <x v="0"/>
    <x v="0"/>
    <x v="2"/>
    <x v="2"/>
    <n v="0"/>
    <n v="0"/>
    <n v="47.972000000000001"/>
    <n v="45.093679999999999"/>
    <n v="47.972000000000001"/>
    <n v="45.093679999999999"/>
    <n v="17"/>
    <x v="0"/>
    <n v="0"/>
    <n v="0"/>
    <n v="2"/>
    <n v="26"/>
    <n v="0"/>
    <n v="440.1"/>
    <n v="223.72"/>
    <m/>
    <n v="485.19706717209556"/>
    <n v="221.35055346817671"/>
    <n v="0"/>
    <n v="19845.728568000002"/>
    <n v="10088.3580896"/>
    <n v="0"/>
    <n v="21879.321283996982"/>
    <n v="9981.5110259168505"/>
  </r>
  <r>
    <s v="Regular"/>
    <x v="3"/>
    <x v="2"/>
    <x v="5"/>
    <x v="3"/>
    <x v="0"/>
    <x v="0"/>
    <x v="2"/>
    <x v="3"/>
    <n v="0"/>
    <n v="0"/>
    <n v="36.499000000000002"/>
    <n v="34.309060000000002"/>
    <n v="36.499000000000002"/>
    <n v="34.309060000000002"/>
    <n v="17"/>
    <x v="0"/>
    <n v="0"/>
    <n v="0"/>
    <n v="2"/>
    <n v="26"/>
    <n v="0"/>
    <n v="440.1"/>
    <n v="223.72"/>
    <m/>
    <n v="485.19706717209556"/>
    <n v="221.35055346817671"/>
    <n v="0"/>
    <n v="15099.417306000001"/>
    <n v="7675.6229032000001"/>
    <n v="0"/>
    <n v="16646.655289431459"/>
    <n v="7594.3294199728834"/>
  </r>
  <r>
    <s v="Regular"/>
    <x v="3"/>
    <x v="2"/>
    <x v="5"/>
    <x v="3"/>
    <x v="0"/>
    <x v="0"/>
    <x v="2"/>
    <x v="4"/>
    <n v="0"/>
    <n v="0"/>
    <n v="41.853999999999999"/>
    <n v="39.342759999999998"/>
    <n v="41.853999999999999"/>
    <n v="39.342759999999998"/>
    <n v="18"/>
    <x v="0"/>
    <n v="0"/>
    <n v="0"/>
    <n v="2"/>
    <n v="26"/>
    <n v="0"/>
    <n v="440.1"/>
    <n v="223.72"/>
    <m/>
    <n v="485.19706717209556"/>
    <n v="221.35055346817671"/>
    <n v="0"/>
    <n v="17314.748675999999"/>
    <n v="8801.7622671999998"/>
    <n v="0"/>
    <n v="19088.991766455634"/>
    <n v="8708.541700965643"/>
  </r>
  <r>
    <s v="Regular"/>
    <x v="3"/>
    <x v="2"/>
    <x v="5"/>
    <x v="3"/>
    <x v="0"/>
    <x v="0"/>
    <x v="2"/>
    <x v="5"/>
    <n v="0"/>
    <n v="0"/>
    <n v="44.115000000000002"/>
    <n v="41.4681"/>
    <n v="44.115000000000002"/>
    <n v="41.4681"/>
    <n v="18"/>
    <x v="0"/>
    <n v="0"/>
    <n v="0"/>
    <n v="2"/>
    <n v="26"/>
    <n v="0"/>
    <n v="440.1"/>
    <n v="223.72"/>
    <m/>
    <n v="485.19706717209556"/>
    <n v="221.35055346817671"/>
    <n v="0"/>
    <n v="18250.110810000002"/>
    <n v="9277.243332"/>
    <n v="0"/>
    <n v="20120.200501199175"/>
    <n v="9178.9868862736985"/>
  </r>
  <r>
    <s v="Regular"/>
    <x v="3"/>
    <x v="2"/>
    <x v="5"/>
    <x v="3"/>
    <x v="0"/>
    <x v="0"/>
    <x v="2"/>
    <x v="6"/>
    <n v="0"/>
    <n v="0"/>
    <n v="40.51"/>
    <n v="38.0794"/>
    <n v="40.51"/>
    <n v="38.0794"/>
    <n v="18"/>
    <x v="0"/>
    <n v="0"/>
    <n v="0"/>
    <n v="2"/>
    <n v="26"/>
    <n v="0"/>
    <n v="440.1"/>
    <n v="223.72"/>
    <m/>
    <n v="485.19706717209556"/>
    <n v="221.35055346817671"/>
    <n v="0"/>
    <n v="16758.74394"/>
    <n v="8519.1233680000005"/>
    <n v="0"/>
    <n v="18476.013199673096"/>
    <n v="8428.896265736088"/>
  </r>
  <r>
    <s v="Regular"/>
    <x v="3"/>
    <x v="2"/>
    <x v="5"/>
    <x v="3"/>
    <x v="0"/>
    <x v="0"/>
    <x v="2"/>
    <x v="7"/>
    <n v="0"/>
    <n v="0"/>
    <n v="65.736999999999995"/>
    <n v="61.79278"/>
    <n v="65.736999999999995"/>
    <n v="61.79278"/>
    <n v="18"/>
    <x v="0"/>
    <n v="0"/>
    <n v="0"/>
    <n v="2"/>
    <n v="26"/>
    <n v="0"/>
    <n v="440.1"/>
    <n v="223.72"/>
    <m/>
    <n v="485.19706717209556"/>
    <n v="221.35055346817671"/>
    <n v="0"/>
    <n v="27195.002478000002"/>
    <n v="13824.2807416"/>
    <n v="0"/>
    <n v="29981.675628410525"/>
    <n v="13677.86605333728"/>
  </r>
  <r>
    <s v="Regular"/>
    <x v="3"/>
    <x v="2"/>
    <x v="5"/>
    <x v="3"/>
    <x v="0"/>
    <x v="0"/>
    <x v="2"/>
    <x v="8"/>
    <n v="0"/>
    <n v="0"/>
    <n v="51.005000000000003"/>
    <n v="47.944699999999997"/>
    <n v="51.005000000000003"/>
    <n v="47.944699999999997"/>
    <n v="18"/>
    <x v="0"/>
    <n v="0"/>
    <n v="0"/>
    <n v="2"/>
    <n v="26"/>
    <n v="0"/>
    <n v="440.1"/>
    <n v="223.72"/>
    <m/>
    <n v="485.19706717209556"/>
    <n v="221.35055346817671"/>
    <n v="0"/>
    <n v="21100.462469999999"/>
    <n v="10726.188284"/>
    <n v="0"/>
    <n v="23262.627826445969"/>
    <n v="10612.585880865692"/>
  </r>
  <r>
    <s v="Regular"/>
    <x v="3"/>
    <x v="2"/>
    <x v="5"/>
    <x v="3"/>
    <x v="0"/>
    <x v="0"/>
    <x v="2"/>
    <x v="9"/>
    <n v="0"/>
    <n v="0"/>
    <n v="55.319000000000003"/>
    <n v="51.999859999999998"/>
    <n v="55.319000000000003"/>
    <n v="51.999859999999998"/>
    <n v="18"/>
    <x v="0"/>
    <n v="0"/>
    <n v="0"/>
    <n v="2"/>
    <n v="26"/>
    <n v="0"/>
    <n v="440.1"/>
    <n v="223.72"/>
    <m/>
    <n v="485.19706717209556"/>
    <n v="221.35055346817671"/>
    <n v="0"/>
    <n v="22885.138385999999"/>
    <n v="11633.4086792"/>
    <n v="0"/>
    <n v="25230.179565359565"/>
    <n v="11510.197791267703"/>
  </r>
  <r>
    <s v="Regular"/>
    <x v="3"/>
    <x v="2"/>
    <x v="5"/>
    <x v="3"/>
    <x v="0"/>
    <x v="0"/>
    <x v="2"/>
    <x v="10"/>
    <n v="0"/>
    <n v="0"/>
    <n v="61.372999999999998"/>
    <n v="57.690620000000003"/>
    <n v="61.372999999999998"/>
    <n v="57.690620000000003"/>
    <n v="18"/>
    <x v="0"/>
    <n v="0"/>
    <n v="0"/>
    <n v="2"/>
    <n v="26"/>
    <n v="0"/>
    <n v="440.1"/>
    <n v="223.72"/>
    <m/>
    <n v="485.19706717209556"/>
    <n v="221.35055346817671"/>
    <n v="0"/>
    <n v="25389.641862000004"/>
    <n v="12906.5455064"/>
    <n v="0"/>
    <n v="27991.319627339839"/>
    <n v="12769.850666922266"/>
  </r>
  <r>
    <s v="PROJETADO"/>
    <x v="3"/>
    <x v="2"/>
    <x v="5"/>
    <x v="3"/>
    <x v="0"/>
    <x v="0"/>
    <x v="2"/>
    <x v="11"/>
    <n v="0"/>
    <n v="0"/>
    <n v="61.372999999999998"/>
    <n v="57.690620000000003"/>
    <n v="61.372999999999998"/>
    <n v="57.690620000000003"/>
    <n v="18"/>
    <x v="0"/>
    <n v="0"/>
    <n v="0"/>
    <n v="2"/>
    <n v="26"/>
    <n v="0"/>
    <n v="440.1"/>
    <n v="223.72"/>
    <m/>
    <n v="485.19706717209556"/>
    <n v="221.35055346817671"/>
    <n v="0"/>
    <n v="25389.641862000004"/>
    <n v="12906.5455064"/>
    <n v="0"/>
    <n v="27991.319627339839"/>
    <n v="12769.850666922266"/>
  </r>
  <r>
    <s v="Regular"/>
    <x v="4"/>
    <x v="2"/>
    <x v="6"/>
    <x v="9"/>
    <x v="0"/>
    <x v="0"/>
    <x v="2"/>
    <x v="0"/>
    <n v="0"/>
    <n v="0"/>
    <n v="11.387"/>
    <n v="11.387"/>
    <n v="11.387"/>
    <n v="11.387"/>
    <n v="6"/>
    <x v="0"/>
    <n v="0"/>
    <n v="0"/>
    <n v="4"/>
    <n v="41"/>
    <n v="0"/>
    <n v="242.06"/>
    <n v="123.04"/>
    <m/>
    <n v="266.85838694465264"/>
    <n v="121.7428044074972"/>
    <n v="0"/>
    <n v="2756.3372200000003"/>
    <n v="1401.0564800000002"/>
    <n v="0"/>
    <n v="3038.7164521387599"/>
    <n v="1386.2853137881707"/>
  </r>
  <r>
    <s v="Regular"/>
    <x v="4"/>
    <x v="2"/>
    <x v="6"/>
    <x v="9"/>
    <x v="0"/>
    <x v="0"/>
    <x v="2"/>
    <x v="1"/>
    <n v="0"/>
    <n v="0"/>
    <n v="10.378"/>
    <n v="10.378"/>
    <n v="10.378"/>
    <n v="10.378"/>
    <n v="6"/>
    <x v="0"/>
    <n v="0"/>
    <n v="0"/>
    <n v="4"/>
    <n v="41"/>
    <n v="0"/>
    <n v="242.06"/>
    <n v="123.04"/>
    <m/>
    <n v="266.85838694465264"/>
    <n v="121.7428044074972"/>
    <n v="0"/>
    <n v="2512.0986800000001"/>
    <n v="1276.90912"/>
    <n v="0"/>
    <n v="2769.4563397116049"/>
    <n v="1263.4468241410059"/>
  </r>
  <r>
    <s v="Regular"/>
    <x v="4"/>
    <x v="2"/>
    <x v="6"/>
    <x v="9"/>
    <x v="0"/>
    <x v="0"/>
    <x v="2"/>
    <x v="2"/>
    <n v="0"/>
    <n v="0"/>
    <n v="10.183999999999999"/>
    <n v="10.183999999999999"/>
    <n v="10.183999999999999"/>
    <n v="10.183999999999999"/>
    <n v="6"/>
    <x v="0"/>
    <n v="0"/>
    <n v="0"/>
    <n v="4"/>
    <n v="41"/>
    <n v="0"/>
    <n v="242.06"/>
    <n v="123.04"/>
    <m/>
    <n v="266.85838694465264"/>
    <n v="121.7428044074972"/>
    <n v="0"/>
    <n v="2465.13904"/>
    <n v="1253.03936"/>
    <n v="0"/>
    <n v="2717.6858126443421"/>
    <n v="1239.8287200859515"/>
  </r>
  <r>
    <s v="Regular"/>
    <x v="4"/>
    <x v="2"/>
    <x v="6"/>
    <x v="9"/>
    <x v="0"/>
    <x v="0"/>
    <x v="2"/>
    <x v="3"/>
    <n v="0"/>
    <n v="0"/>
    <n v="10.151"/>
    <n v="10.151"/>
    <n v="10.151"/>
    <n v="10.151"/>
    <n v="6"/>
    <x v="0"/>
    <n v="0"/>
    <n v="0"/>
    <n v="4"/>
    <n v="41"/>
    <n v="0"/>
    <n v="242.06"/>
    <n v="123.04"/>
    <m/>
    <n v="266.85838694465264"/>
    <n v="121.7428044074972"/>
    <n v="0"/>
    <n v="2457.1510600000001"/>
    <n v="1248.9790399999999"/>
    <n v="0"/>
    <n v="2708.8794858751689"/>
    <n v="1235.811207540504"/>
  </r>
  <r>
    <s v="Regular"/>
    <x v="4"/>
    <x v="2"/>
    <x v="6"/>
    <x v="9"/>
    <x v="0"/>
    <x v="0"/>
    <x v="2"/>
    <x v="4"/>
    <n v="0"/>
    <n v="0"/>
    <n v="10.202"/>
    <n v="10.202"/>
    <n v="10.202"/>
    <n v="10.202"/>
    <n v="6"/>
    <x v="0"/>
    <n v="0"/>
    <n v="0"/>
    <n v="4"/>
    <n v="41"/>
    <n v="0"/>
    <n v="242.06"/>
    <n v="123.04"/>
    <m/>
    <n v="266.85838694465264"/>
    <n v="121.7428044074972"/>
    <n v="0"/>
    <n v="2469.4961199999998"/>
    <n v="1255.2540800000002"/>
    <n v="0"/>
    <n v="2722.4892636093464"/>
    <n v="1242.0200905652864"/>
  </r>
  <r>
    <s v="Regular"/>
    <x v="4"/>
    <x v="2"/>
    <x v="6"/>
    <x v="9"/>
    <x v="0"/>
    <x v="0"/>
    <x v="2"/>
    <x v="5"/>
    <n v="0"/>
    <n v="0"/>
    <n v="10.85"/>
    <n v="10.85"/>
    <n v="10.85"/>
    <n v="10.85"/>
    <n v="6"/>
    <x v="0"/>
    <n v="0"/>
    <n v="0"/>
    <n v="4"/>
    <n v="41"/>
    <n v="0"/>
    <n v="242.06"/>
    <n v="123.04"/>
    <m/>
    <n v="266.85838694465264"/>
    <n v="121.7428044074972"/>
    <n v="0"/>
    <n v="2626.3510000000001"/>
    <n v="1334.9839999999999"/>
    <n v="0"/>
    <n v="2895.413498349481"/>
    <n v="1320.9094278213447"/>
  </r>
  <r>
    <s v="Regular"/>
    <x v="4"/>
    <x v="2"/>
    <x v="6"/>
    <x v="9"/>
    <x v="0"/>
    <x v="0"/>
    <x v="2"/>
    <x v="6"/>
    <n v="0"/>
    <n v="0"/>
    <n v="9.0210000000000008"/>
    <n v="9.0210000000000008"/>
    <n v="9.0210000000000008"/>
    <n v="9.0210000000000008"/>
    <n v="6"/>
    <x v="0"/>
    <n v="0"/>
    <n v="0"/>
    <n v="4"/>
    <n v="41"/>
    <n v="0"/>
    <n v="242.06"/>
    <n v="123.04"/>
    <m/>
    <n v="266.85838694465264"/>
    <n v="121.7428044074972"/>
    <n v="0"/>
    <n v="2183.6232600000003"/>
    <n v="1109.9438400000001"/>
    <n v="0"/>
    <n v="2407.3295086277117"/>
    <n v="1098.2418385600324"/>
  </r>
  <r>
    <s v="Regular"/>
    <x v="4"/>
    <x v="2"/>
    <x v="6"/>
    <x v="9"/>
    <x v="0"/>
    <x v="0"/>
    <x v="2"/>
    <x v="7"/>
    <n v="0"/>
    <n v="0"/>
    <n v="10.260999999999999"/>
    <n v="10.260999999999999"/>
    <n v="10.260999999999999"/>
    <n v="10.260999999999999"/>
    <n v="6"/>
    <x v="0"/>
    <n v="0"/>
    <n v="0"/>
    <n v="4"/>
    <n v="41"/>
    <n v="0"/>
    <n v="242.06"/>
    <n v="123.04"/>
    <m/>
    <n v="266.85838694465264"/>
    <n v="121.7428044074972"/>
    <n v="0"/>
    <n v="2483.7776599999997"/>
    <n v="1262.5134399999999"/>
    <n v="0"/>
    <n v="2738.2339084390806"/>
    <n v="1249.2029160253287"/>
  </r>
  <r>
    <s v="Regular"/>
    <x v="4"/>
    <x v="2"/>
    <x v="6"/>
    <x v="9"/>
    <x v="0"/>
    <x v="0"/>
    <x v="2"/>
    <x v="8"/>
    <n v="0"/>
    <n v="0"/>
    <n v="9.0459999999999994"/>
    <n v="9.0459999999999994"/>
    <n v="9.0459999999999994"/>
    <n v="9.0459999999999994"/>
    <n v="6"/>
    <x v="0"/>
    <n v="0"/>
    <n v="0"/>
    <n v="4"/>
    <n v="41"/>
    <n v="0"/>
    <n v="242.06"/>
    <n v="123.04"/>
    <m/>
    <n v="266.85838694465264"/>
    <n v="121.7428044074972"/>
    <n v="0"/>
    <n v="2189.6747599999999"/>
    <n v="1113.0198399999999"/>
    <n v="0"/>
    <n v="2414.0009683013277"/>
    <n v="1101.2854086702196"/>
  </r>
  <r>
    <s v="Regular"/>
    <x v="4"/>
    <x v="2"/>
    <x v="6"/>
    <x v="9"/>
    <x v="0"/>
    <x v="0"/>
    <x v="2"/>
    <x v="9"/>
    <n v="0"/>
    <n v="0"/>
    <n v="9.532"/>
    <n v="9.532"/>
    <n v="9.532"/>
    <n v="9.532"/>
    <n v="6"/>
    <x v="0"/>
    <n v="0"/>
    <n v="0"/>
    <n v="4"/>
    <n v="41"/>
    <n v="0"/>
    <n v="242.06"/>
    <n v="123.04"/>
    <m/>
    <n v="266.85838694465264"/>
    <n v="121.7428044074972"/>
    <n v="0"/>
    <n v="2307.31592"/>
    <n v="1172.81728"/>
    <n v="0"/>
    <n v="2543.6941443564288"/>
    <n v="1160.4524116122634"/>
  </r>
  <r>
    <s v="Regular"/>
    <x v="4"/>
    <x v="2"/>
    <x v="6"/>
    <x v="9"/>
    <x v="0"/>
    <x v="0"/>
    <x v="2"/>
    <x v="10"/>
    <n v="0"/>
    <n v="0"/>
    <n v="10.298999999999999"/>
    <n v="10.298999999999999"/>
    <n v="10.298999999999999"/>
    <n v="10.298999999999999"/>
    <n v="6"/>
    <x v="0"/>
    <n v="0"/>
    <n v="0"/>
    <n v="4"/>
    <n v="41"/>
    <n v="0"/>
    <n v="242.06"/>
    <n v="123.04"/>
    <m/>
    <n v="266.85838694465264"/>
    <n v="121.7428044074972"/>
    <n v="0"/>
    <n v="2492.9759399999998"/>
    <n v="1267.18896"/>
    <n v="0"/>
    <n v="2748.3745271429775"/>
    <n v="1253.8291425928137"/>
  </r>
  <r>
    <s v="PROJETADO"/>
    <x v="4"/>
    <x v="2"/>
    <x v="6"/>
    <x v="9"/>
    <x v="0"/>
    <x v="0"/>
    <x v="2"/>
    <x v="11"/>
    <n v="0"/>
    <n v="0"/>
    <n v="10.298999999999999"/>
    <n v="10.298999999999999"/>
    <n v="10.298999999999999"/>
    <n v="10.298999999999999"/>
    <n v="6"/>
    <x v="0"/>
    <n v="0"/>
    <n v="0"/>
    <n v="4"/>
    <n v="41"/>
    <n v="0"/>
    <n v="242.06"/>
    <n v="123.04"/>
    <m/>
    <n v="266.85838694465264"/>
    <n v="121.7428044074972"/>
    <n v="0"/>
    <n v="2492.9759399999998"/>
    <n v="1267.18896"/>
    <n v="0"/>
    <n v="2748.3745271429775"/>
    <n v="1253.8291425928137"/>
  </r>
  <r>
    <s v="Regular"/>
    <x v="4"/>
    <x v="2"/>
    <x v="6"/>
    <x v="10"/>
    <x v="0"/>
    <x v="0"/>
    <x v="2"/>
    <x v="0"/>
    <n v="0"/>
    <n v="0"/>
    <n v="193.792"/>
    <n v="193.792"/>
    <n v="193.792"/>
    <n v="193.792"/>
    <n v="44"/>
    <x v="0"/>
    <n v="0"/>
    <n v="0"/>
    <n v="5"/>
    <n v="42"/>
    <n v="0"/>
    <n v="264.06"/>
    <n v="134.22999999999999"/>
    <m/>
    <n v="291.11824030325738"/>
    <n v="132.81033208090602"/>
    <n v="0"/>
    <n v="51172.715519999998"/>
    <n v="26012.700159999997"/>
    <n v="0"/>
    <n v="56416.386024848856"/>
    <n v="25737.579874622941"/>
  </r>
  <r>
    <s v="Regular"/>
    <x v="4"/>
    <x v="2"/>
    <x v="6"/>
    <x v="10"/>
    <x v="0"/>
    <x v="0"/>
    <x v="2"/>
    <x v="1"/>
    <n v="0"/>
    <n v="0"/>
    <n v="196.27199999999999"/>
    <n v="196.27199999999999"/>
    <n v="196.27199999999999"/>
    <n v="196.27199999999999"/>
    <n v="44"/>
    <x v="0"/>
    <n v="0"/>
    <n v="0"/>
    <n v="5"/>
    <n v="42"/>
    <n v="0"/>
    <n v="264.06"/>
    <n v="134.22999999999999"/>
    <m/>
    <n v="291.11824030325738"/>
    <n v="132.81033208090602"/>
    <n v="0"/>
    <n v="51827.584320000002"/>
    <n v="26345.590559999997"/>
    <n v="0"/>
    <n v="57138.359260800928"/>
    <n v="26066.949498183585"/>
  </r>
  <r>
    <s v="Regular"/>
    <x v="4"/>
    <x v="2"/>
    <x v="6"/>
    <x v="10"/>
    <x v="0"/>
    <x v="0"/>
    <x v="2"/>
    <x v="2"/>
    <n v="0"/>
    <n v="0"/>
    <n v="211.64699999999999"/>
    <n v="211.64699999999999"/>
    <n v="211.64699999999999"/>
    <n v="211.64699999999999"/>
    <n v="44"/>
    <x v="0"/>
    <n v="0"/>
    <n v="0"/>
    <n v="5"/>
    <n v="42"/>
    <n v="0"/>
    <n v="264.06"/>
    <n v="134.22999999999999"/>
    <m/>
    <n v="291.11824030325738"/>
    <n v="132.81033208090602"/>
    <n v="0"/>
    <n v="55887.506819999995"/>
    <n v="28409.376809999998"/>
    <n v="0"/>
    <n v="61614.302205463515"/>
    <n v="28108.908353927516"/>
  </r>
  <r>
    <s v="Regular"/>
    <x v="4"/>
    <x v="2"/>
    <x v="6"/>
    <x v="10"/>
    <x v="0"/>
    <x v="0"/>
    <x v="2"/>
    <x v="3"/>
    <n v="0"/>
    <n v="0"/>
    <n v="202.92599999999999"/>
    <n v="202.92599999999999"/>
    <n v="202.92599999999999"/>
    <n v="202.92599999999999"/>
    <n v="44"/>
    <x v="0"/>
    <n v="0"/>
    <n v="0"/>
    <n v="5"/>
    <n v="42"/>
    <n v="0"/>
    <n v="264.06"/>
    <n v="134.22999999999999"/>
    <m/>
    <n v="291.11824030325738"/>
    <n v="132.81033208090602"/>
    <n v="0"/>
    <n v="53584.639559999996"/>
    <n v="27238.756979999995"/>
    <n v="0"/>
    <n v="59075.460031778806"/>
    <n v="26950.669447849934"/>
  </r>
  <r>
    <s v="Regular"/>
    <x v="4"/>
    <x v="2"/>
    <x v="6"/>
    <x v="10"/>
    <x v="0"/>
    <x v="0"/>
    <x v="2"/>
    <x v="4"/>
    <n v="0"/>
    <n v="0"/>
    <n v="201.93"/>
    <n v="201.93"/>
    <n v="201.93"/>
    <n v="201.93"/>
    <n v="44"/>
    <x v="0"/>
    <n v="0"/>
    <n v="0"/>
    <n v="5"/>
    <n v="42"/>
    <n v="0"/>
    <n v="264.06"/>
    <n v="134.22999999999999"/>
    <m/>
    <n v="291.11824030325738"/>
    <n v="132.81033208090602"/>
    <n v="0"/>
    <n v="53321.635800000004"/>
    <n v="27105.063899999997"/>
    <n v="0"/>
    <n v="58785.506264436764"/>
    <n v="26818.390357097353"/>
  </r>
  <r>
    <s v="Regular"/>
    <x v="4"/>
    <x v="2"/>
    <x v="6"/>
    <x v="10"/>
    <x v="0"/>
    <x v="0"/>
    <x v="2"/>
    <x v="5"/>
    <n v="0"/>
    <n v="0"/>
    <n v="191.06700000000001"/>
    <n v="191.06700000000001"/>
    <n v="191.06700000000001"/>
    <n v="191.06700000000001"/>
    <n v="44"/>
    <x v="0"/>
    <n v="0"/>
    <n v="0"/>
    <n v="5"/>
    <n v="42"/>
    <n v="0"/>
    <n v="264.06"/>
    <n v="134.22999999999999"/>
    <m/>
    <n v="291.11824030325738"/>
    <n v="132.81033208090602"/>
    <n v="0"/>
    <n v="50453.152020000001"/>
    <n v="25646.923409999999"/>
    <n v="0"/>
    <n v="55623.08882002248"/>
    <n v="25375.671719702474"/>
  </r>
  <r>
    <s v="Regular"/>
    <x v="4"/>
    <x v="2"/>
    <x v="6"/>
    <x v="10"/>
    <x v="0"/>
    <x v="0"/>
    <x v="2"/>
    <x v="6"/>
    <n v="0"/>
    <n v="0"/>
    <n v="173.85"/>
    <n v="173.85"/>
    <n v="173.85"/>
    <n v="173.85"/>
    <n v="44"/>
    <x v="0"/>
    <n v="0"/>
    <n v="0"/>
    <n v="5"/>
    <n v="42"/>
    <n v="0"/>
    <n v="264.06"/>
    <n v="134.22999999999999"/>
    <m/>
    <n v="291.11824030325738"/>
    <n v="132.81033208090602"/>
    <n v="0"/>
    <n v="45906.830999999998"/>
    <n v="23335.885499999997"/>
    <n v="0"/>
    <n v="50610.906076721294"/>
    <n v="23089.07623226551"/>
  </r>
  <r>
    <s v="Regular"/>
    <x v="4"/>
    <x v="2"/>
    <x v="6"/>
    <x v="10"/>
    <x v="0"/>
    <x v="0"/>
    <x v="2"/>
    <x v="7"/>
    <n v="0"/>
    <n v="0"/>
    <n v="169.73500000000001"/>
    <n v="169.73500000000001"/>
    <n v="169.73500000000001"/>
    <n v="169.73500000000001"/>
    <n v="44"/>
    <x v="0"/>
    <n v="0"/>
    <n v="0"/>
    <n v="5"/>
    <n v="42"/>
    <n v="0"/>
    <n v="264.06"/>
    <n v="134.22999999999999"/>
    <m/>
    <n v="291.11824030325738"/>
    <n v="132.81033208090602"/>
    <n v="0"/>
    <n v="44820.224100000007"/>
    <n v="22783.529050000001"/>
    <n v="0"/>
    <n v="49412.954517873397"/>
    <n v="22542.561715752585"/>
  </r>
  <r>
    <s v="Regular"/>
    <x v="4"/>
    <x v="2"/>
    <x v="6"/>
    <x v="10"/>
    <x v="0"/>
    <x v="0"/>
    <x v="2"/>
    <x v="8"/>
    <n v="0"/>
    <n v="0"/>
    <n v="159.703"/>
    <n v="159.703"/>
    <n v="159.703"/>
    <n v="159.703"/>
    <n v="44"/>
    <x v="0"/>
    <n v="0"/>
    <n v="0"/>
    <n v="5"/>
    <n v="42"/>
    <n v="0"/>
    <n v="264.06"/>
    <n v="134.22999999999999"/>
    <m/>
    <n v="291.11824030325738"/>
    <n v="132.81033208090602"/>
    <n v="0"/>
    <n v="42171.174180000002"/>
    <n v="21436.933689999998"/>
    <n v="0"/>
    <n v="46492.456331151116"/>
    <n v="21210.208464316936"/>
  </r>
  <r>
    <s v="Regular"/>
    <x v="4"/>
    <x v="2"/>
    <x v="6"/>
    <x v="10"/>
    <x v="0"/>
    <x v="0"/>
    <x v="2"/>
    <x v="9"/>
    <n v="0"/>
    <n v="0"/>
    <n v="167.80500000000001"/>
    <n v="167.80500000000001"/>
    <n v="167.80500000000001"/>
    <n v="167.80500000000001"/>
    <n v="44"/>
    <x v="0"/>
    <n v="0"/>
    <n v="0"/>
    <n v="5"/>
    <n v="42"/>
    <n v="0"/>
    <n v="264.06"/>
    <n v="134.22999999999999"/>
    <m/>
    <n v="291.11824030325738"/>
    <n v="132.81033208090602"/>
    <n v="0"/>
    <n v="44310.588300000003"/>
    <n v="22524.46515"/>
    <n v="0"/>
    <n v="48851.096314088107"/>
    <n v="22286.237774836434"/>
  </r>
  <r>
    <s v="Regular"/>
    <x v="4"/>
    <x v="2"/>
    <x v="6"/>
    <x v="10"/>
    <x v="0"/>
    <x v="0"/>
    <x v="2"/>
    <x v="10"/>
    <n v="0"/>
    <n v="0"/>
    <n v="176.07"/>
    <n v="176.07"/>
    <n v="176.07"/>
    <n v="176.07"/>
    <n v="44"/>
    <x v="0"/>
    <n v="0"/>
    <n v="0"/>
    <n v="5"/>
    <n v="42"/>
    <n v="0"/>
    <n v="264.06"/>
    <n v="134.22999999999999"/>
    <m/>
    <n v="291.11824030325738"/>
    <n v="132.81033208090602"/>
    <n v="0"/>
    <n v="46493.044199999997"/>
    <n v="23633.876099999998"/>
    <n v="0"/>
    <n v="51257.188570194528"/>
    <n v="23383.915169485121"/>
  </r>
  <r>
    <s v="PROJETADO"/>
    <x v="4"/>
    <x v="2"/>
    <x v="6"/>
    <x v="10"/>
    <x v="0"/>
    <x v="0"/>
    <x v="2"/>
    <x v="11"/>
    <n v="0"/>
    <n v="0"/>
    <n v="176.07"/>
    <n v="176.07"/>
    <n v="176.07"/>
    <n v="176.07"/>
    <n v="44"/>
    <x v="0"/>
    <n v="0"/>
    <n v="0"/>
    <n v="5"/>
    <n v="42"/>
    <n v="0"/>
    <n v="264.06"/>
    <n v="134.22999999999999"/>
    <m/>
    <n v="291.11824030325738"/>
    <n v="132.81033208090602"/>
    <n v="0"/>
    <n v="46493.044199999997"/>
    <n v="23633.876099999998"/>
    <n v="0"/>
    <n v="51257.188570194528"/>
    <n v="23383.9151694851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5">
  <r>
    <s v="Regular"/>
    <x v="0"/>
    <x v="0"/>
    <x v="0"/>
    <x v="0"/>
    <x v="0"/>
    <x v="0"/>
    <x v="0"/>
    <x v="0"/>
    <n v="0"/>
    <n v="0"/>
    <n v="183.053"/>
    <n v="91.526499999999999"/>
    <n v="0"/>
    <n v="0"/>
    <n v="0"/>
    <s v="LIVRE"/>
    <n v="0"/>
    <n v="0"/>
    <n v="47"/>
    <n v="0"/>
    <n v="0"/>
    <n v="72.23"/>
    <n v="0"/>
    <m/>
    <n v="102.01454208880898"/>
    <m/>
    <n v="0"/>
    <n v="6610.9590950000002"/>
    <n v="0"/>
    <n v="9337.0339864913749"/>
    <x v="0"/>
  </r>
  <r>
    <s v="Regular"/>
    <x v="0"/>
    <x v="0"/>
    <x v="0"/>
    <x v="0"/>
    <x v="0"/>
    <x v="0"/>
    <x v="0"/>
    <x v="1"/>
    <n v="0"/>
    <n v="0"/>
    <n v="167.06399999999999"/>
    <n v="83.531999999999996"/>
    <n v="0"/>
    <n v="0"/>
    <n v="0"/>
    <s v="LIVRE"/>
    <n v="0"/>
    <n v="0"/>
    <n v="47"/>
    <n v="0"/>
    <n v="0"/>
    <n v="72.23"/>
    <n v="0"/>
    <m/>
    <n v="102.01454208880898"/>
    <m/>
    <n v="0"/>
    <n v="6033.5163600000005"/>
    <n v="0"/>
    <n v="8521.4787297623916"/>
    <x v="0"/>
  </r>
  <r>
    <s v="Regular"/>
    <x v="0"/>
    <x v="0"/>
    <x v="0"/>
    <x v="0"/>
    <x v="0"/>
    <x v="0"/>
    <x v="0"/>
    <x v="2"/>
    <n v="0"/>
    <n v="0"/>
    <n v="1205.672"/>
    <n v="602.83600000000001"/>
    <n v="0"/>
    <n v="0"/>
    <n v="0"/>
    <s v="LIVRE"/>
    <n v="0"/>
    <n v="0"/>
    <n v="47"/>
    <n v="0"/>
    <n v="0"/>
    <n v="72.23"/>
    <n v="0"/>
    <m/>
    <n v="102.01454208880898"/>
    <m/>
    <n v="0"/>
    <n v="43542.844280000005"/>
    <n v="0"/>
    <n v="61498.038494649249"/>
    <x v="0"/>
  </r>
  <r>
    <s v="Regular"/>
    <x v="0"/>
    <x v="0"/>
    <x v="0"/>
    <x v="0"/>
    <x v="0"/>
    <x v="0"/>
    <x v="0"/>
    <x v="3"/>
    <n v="0"/>
    <n v="0"/>
    <n v="1782.691"/>
    <n v="891.34550000000002"/>
    <n v="0"/>
    <n v="0"/>
    <n v="0"/>
    <s v="LIVRE"/>
    <n v="0"/>
    <n v="0"/>
    <n v="47"/>
    <n v="0"/>
    <n v="0"/>
    <n v="72.23"/>
    <n v="0"/>
    <m/>
    <n v="102.01454208880898"/>
    <m/>
    <n v="0"/>
    <n v="64381.885465000007"/>
    <n v="0"/>
    <n v="90930.203025420487"/>
    <x v="0"/>
  </r>
  <r>
    <s v="Regular"/>
    <x v="0"/>
    <x v="0"/>
    <x v="0"/>
    <x v="0"/>
    <x v="0"/>
    <x v="0"/>
    <x v="0"/>
    <x v="4"/>
    <n v="0"/>
    <n v="0"/>
    <n v="1376.5740000000001"/>
    <n v="688.28700000000003"/>
    <n v="0"/>
    <n v="0"/>
    <n v="0"/>
    <s v="LIVRE"/>
    <n v="0"/>
    <n v="0"/>
    <n v="47"/>
    <n v="0"/>
    <n v="0"/>
    <n v="72.23"/>
    <n v="0"/>
    <m/>
    <n v="102.01454208880898"/>
    <m/>
    <n v="0"/>
    <n v="49714.970010000005"/>
    <n v="0"/>
    <n v="70215.283130680065"/>
    <x v="0"/>
  </r>
  <r>
    <s v="Regular"/>
    <x v="0"/>
    <x v="0"/>
    <x v="0"/>
    <x v="0"/>
    <x v="0"/>
    <x v="0"/>
    <x v="0"/>
    <x v="5"/>
    <n v="0"/>
    <n v="0"/>
    <n v="891.61500000000001"/>
    <n v="445.8075"/>
    <n v="0"/>
    <n v="0"/>
    <n v="0"/>
    <s v="LIVRE"/>
    <n v="0"/>
    <n v="0"/>
    <n v="47"/>
    <n v="0"/>
    <n v="0"/>
    <n v="72.23"/>
    <n v="0"/>
    <m/>
    <n v="102.01454208880898"/>
    <m/>
    <n v="0"/>
    <n v="32200.675725000001"/>
    <n v="0"/>
    <n v="45478.847972256714"/>
    <x v="0"/>
  </r>
  <r>
    <s v="Regular"/>
    <x v="0"/>
    <x v="0"/>
    <x v="0"/>
    <x v="0"/>
    <x v="0"/>
    <x v="0"/>
    <x v="0"/>
    <x v="6"/>
    <n v="0"/>
    <n v="0"/>
    <n v="730.61900000000003"/>
    <n v="365.30950000000001"/>
    <n v="0"/>
    <n v="0"/>
    <n v="0"/>
    <s v="LIVRE"/>
    <n v="0"/>
    <n v="0"/>
    <n v="47"/>
    <n v="0"/>
    <n v="0"/>
    <n v="72.23"/>
    <n v="0"/>
    <m/>
    <n v="102.01454208880898"/>
    <m/>
    <n v="0"/>
    <n v="26386.305185000001"/>
    <n v="0"/>
    <n v="37266.881363191766"/>
    <x v="0"/>
  </r>
  <r>
    <s v="Regular"/>
    <x v="0"/>
    <x v="0"/>
    <x v="0"/>
    <x v="0"/>
    <x v="0"/>
    <x v="0"/>
    <x v="0"/>
    <x v="7"/>
    <n v="0"/>
    <n v="0"/>
    <n v="392.88499999999999"/>
    <n v="196.4425"/>
    <n v="0"/>
    <n v="0"/>
    <n v="0"/>
    <s v="LIVRE"/>
    <n v="0"/>
    <n v="0"/>
    <n v="47"/>
    <n v="0"/>
    <n v="0"/>
    <n v="72.23"/>
    <n v="0"/>
    <m/>
    <n v="102.01454208880898"/>
    <m/>
    <n v="0"/>
    <n v="14189.041775"/>
    <n v="0"/>
    <n v="20039.991684280856"/>
    <x v="0"/>
  </r>
  <r>
    <s v="Regular"/>
    <x v="0"/>
    <x v="0"/>
    <x v="0"/>
    <x v="0"/>
    <x v="0"/>
    <x v="0"/>
    <x v="0"/>
    <x v="8"/>
    <n v="0"/>
    <n v="0"/>
    <n v="674.35599999999999"/>
    <n v="337.178"/>
    <n v="0"/>
    <n v="0"/>
    <n v="0"/>
    <s v="LIVRE"/>
    <n v="0"/>
    <n v="0"/>
    <n v="47"/>
    <n v="0"/>
    <n v="0"/>
    <n v="72.23"/>
    <n v="0"/>
    <m/>
    <n v="102.01454208880898"/>
    <m/>
    <n v="0"/>
    <n v="24354.36694"/>
    <n v="0"/>
    <n v="34397.059272420433"/>
    <x v="0"/>
  </r>
  <r>
    <s v="Regular"/>
    <x v="0"/>
    <x v="0"/>
    <x v="0"/>
    <x v="0"/>
    <x v="0"/>
    <x v="0"/>
    <x v="0"/>
    <x v="9"/>
    <n v="0"/>
    <n v="0"/>
    <n v="1234.6990000000001"/>
    <n v="617.34950000000003"/>
    <n v="0"/>
    <n v="0"/>
    <n v="0"/>
    <s v="LIVRE"/>
    <n v="0"/>
    <n v="0"/>
    <n v="47"/>
    <n v="0"/>
    <n v="0"/>
    <n v="72.23"/>
    <n v="0"/>
    <m/>
    <n v="102.01454208880898"/>
    <m/>
    <n v="0"/>
    <n v="44591.154385000002"/>
    <n v="0"/>
    <n v="62978.626551255184"/>
    <x v="0"/>
  </r>
  <r>
    <s v="Regular"/>
    <x v="0"/>
    <x v="0"/>
    <x v="0"/>
    <x v="0"/>
    <x v="0"/>
    <x v="0"/>
    <x v="0"/>
    <x v="10"/>
    <n v="0"/>
    <n v="0"/>
    <n v="354.33600000000001"/>
    <n v="177.16800000000001"/>
    <n v="0"/>
    <n v="0"/>
    <n v="0"/>
    <s v="LIVRE"/>
    <n v="0"/>
    <n v="0"/>
    <n v="47"/>
    <n v="0"/>
    <n v="0"/>
    <n v="72.23"/>
    <n v="0"/>
    <m/>
    <n v="102.01454208880898"/>
    <m/>
    <n v="0"/>
    <n v="12796.844640000001"/>
    <n v="0"/>
    <n v="18073.712392790108"/>
    <x v="0"/>
  </r>
  <r>
    <s v="PROJETADO"/>
    <x v="0"/>
    <x v="0"/>
    <x v="0"/>
    <x v="0"/>
    <x v="0"/>
    <x v="0"/>
    <x v="0"/>
    <x v="11"/>
    <n v="0"/>
    <n v="0"/>
    <n v="354.33600000000001"/>
    <n v="177.16800000000001"/>
    <n v="0"/>
    <n v="0"/>
    <n v="0"/>
    <s v="LIVRE"/>
    <n v="0"/>
    <n v="0"/>
    <n v="47"/>
    <n v="0"/>
    <n v="0"/>
    <n v="72.23"/>
    <n v="0"/>
    <m/>
    <n v="102.01454208880898"/>
    <m/>
    <n v="0"/>
    <n v="12796.844640000001"/>
    <n v="0"/>
    <n v="18073.712392790108"/>
    <x v="0"/>
  </r>
  <r>
    <s v="Regular"/>
    <x v="0"/>
    <x v="0"/>
    <x v="0"/>
    <x v="0"/>
    <x v="0"/>
    <x v="0"/>
    <x v="1"/>
    <x v="0"/>
    <n v="985"/>
    <n v="492.5"/>
    <n v="0"/>
    <n v="0"/>
    <n v="0"/>
    <n v="0"/>
    <n v="1"/>
    <s v="LIVRE"/>
    <n v="0"/>
    <n v="65"/>
    <n v="0"/>
    <n v="0"/>
    <n v="23.41"/>
    <n v="0"/>
    <n v="0"/>
    <n v="23.763428126815878"/>
    <m/>
    <m/>
    <n v="11529.424999999999"/>
    <n v="0"/>
    <n v="11703.488352456819"/>
    <n v="0"/>
    <x v="0"/>
  </r>
  <r>
    <s v="Regular"/>
    <x v="0"/>
    <x v="0"/>
    <x v="0"/>
    <x v="0"/>
    <x v="0"/>
    <x v="0"/>
    <x v="1"/>
    <x v="1"/>
    <n v="1342"/>
    <n v="671"/>
    <n v="0"/>
    <n v="0"/>
    <n v="0"/>
    <n v="0"/>
    <n v="1"/>
    <s v="LIVRE"/>
    <n v="0"/>
    <n v="65"/>
    <n v="0"/>
    <n v="0"/>
    <n v="23.41"/>
    <n v="0"/>
    <n v="0"/>
    <n v="23.763428126815878"/>
    <m/>
    <m/>
    <n v="15708.11"/>
    <n v="0"/>
    <n v="15945.260273093454"/>
    <n v="0"/>
    <x v="0"/>
  </r>
  <r>
    <s v="Regular"/>
    <x v="0"/>
    <x v="0"/>
    <x v="0"/>
    <x v="0"/>
    <x v="0"/>
    <x v="0"/>
    <x v="1"/>
    <x v="2"/>
    <n v="8938"/>
    <n v="4469"/>
    <n v="0"/>
    <n v="0"/>
    <n v="0"/>
    <n v="0"/>
    <n v="1"/>
    <s v="LIVRE"/>
    <n v="0"/>
    <n v="65"/>
    <n v="0"/>
    <n v="0"/>
    <n v="23.41"/>
    <n v="0"/>
    <n v="0"/>
    <n v="23.763428126815878"/>
    <m/>
    <m/>
    <n v="104619.29"/>
    <n v="0"/>
    <n v="106198.76029874016"/>
    <n v="0"/>
    <x v="0"/>
  </r>
  <r>
    <s v="Regular"/>
    <x v="0"/>
    <x v="0"/>
    <x v="0"/>
    <x v="0"/>
    <x v="0"/>
    <x v="0"/>
    <x v="1"/>
    <x v="3"/>
    <n v="2485"/>
    <n v="1242.5"/>
    <n v="0"/>
    <n v="0"/>
    <n v="0"/>
    <n v="0"/>
    <n v="1"/>
    <s v="LIVRE"/>
    <n v="0"/>
    <n v="65"/>
    <n v="0"/>
    <n v="0"/>
    <n v="23.41"/>
    <n v="0"/>
    <n v="0"/>
    <n v="23.763428126815878"/>
    <m/>
    <m/>
    <n v="29086.924999999999"/>
    <n v="0"/>
    <n v="29526.059447568729"/>
    <n v="0"/>
    <x v="0"/>
  </r>
  <r>
    <s v="Regular"/>
    <x v="0"/>
    <x v="0"/>
    <x v="0"/>
    <x v="0"/>
    <x v="0"/>
    <x v="0"/>
    <x v="1"/>
    <x v="4"/>
    <n v="5051"/>
    <n v="2525.5"/>
    <n v="0"/>
    <n v="0"/>
    <n v="0"/>
    <n v="0"/>
    <n v="1"/>
    <s v="LIVRE"/>
    <n v="0"/>
    <n v="65"/>
    <n v="0"/>
    <n v="0"/>
    <n v="23.41"/>
    <n v="0"/>
    <n v="0"/>
    <n v="23.763428126815878"/>
    <m/>
    <m/>
    <n v="59121.955000000002"/>
    <n v="0"/>
    <n v="60014.537734273501"/>
    <n v="0"/>
    <x v="0"/>
  </r>
  <r>
    <s v="Regular"/>
    <x v="0"/>
    <x v="0"/>
    <x v="0"/>
    <x v="0"/>
    <x v="0"/>
    <x v="0"/>
    <x v="1"/>
    <x v="5"/>
    <n v="4911"/>
    <n v="2455.5"/>
    <n v="0"/>
    <n v="0"/>
    <n v="0"/>
    <n v="0"/>
    <n v="1"/>
    <s v="LIVRE"/>
    <n v="0"/>
    <n v="65"/>
    <n v="0"/>
    <n v="0"/>
    <n v="23.41"/>
    <n v="0"/>
    <n v="0"/>
    <n v="23.763428126815878"/>
    <m/>
    <m/>
    <n v="57483.254999999997"/>
    <n v="0"/>
    <n v="58351.097765396386"/>
    <n v="0"/>
    <x v="0"/>
  </r>
  <r>
    <s v="Regular"/>
    <x v="0"/>
    <x v="0"/>
    <x v="0"/>
    <x v="0"/>
    <x v="0"/>
    <x v="0"/>
    <x v="1"/>
    <x v="6"/>
    <n v="5028"/>
    <n v="2514"/>
    <n v="0"/>
    <n v="0"/>
    <n v="0"/>
    <n v="0"/>
    <n v="1"/>
    <s v="LIVRE"/>
    <n v="0"/>
    <n v="65"/>
    <n v="0"/>
    <n v="0"/>
    <n v="23.41"/>
    <n v="0"/>
    <n v="0"/>
    <n v="23.763428126815878"/>
    <m/>
    <m/>
    <n v="58852.74"/>
    <n v="0"/>
    <n v="59741.258310815116"/>
    <n v="0"/>
    <x v="0"/>
  </r>
  <r>
    <s v="Regular"/>
    <x v="0"/>
    <x v="0"/>
    <x v="0"/>
    <x v="0"/>
    <x v="0"/>
    <x v="0"/>
    <x v="1"/>
    <x v="7"/>
    <n v="5012"/>
    <n v="2506"/>
    <n v="0"/>
    <n v="0"/>
    <n v="0"/>
    <n v="0"/>
    <n v="1"/>
    <s v="LIVRE"/>
    <n v="0"/>
    <n v="65"/>
    <n v="0"/>
    <n v="0"/>
    <n v="23.41"/>
    <n v="0"/>
    <n v="0"/>
    <n v="23.763428126815878"/>
    <m/>
    <m/>
    <n v="58665.46"/>
    <n v="0"/>
    <n v="59551.150885800591"/>
    <n v="0"/>
    <x v="0"/>
  </r>
  <r>
    <s v="Regular"/>
    <x v="0"/>
    <x v="0"/>
    <x v="0"/>
    <x v="0"/>
    <x v="0"/>
    <x v="0"/>
    <x v="1"/>
    <x v="8"/>
    <n v="5009"/>
    <n v="2504.5"/>
    <n v="0"/>
    <n v="0"/>
    <n v="0"/>
    <n v="0"/>
    <n v="1"/>
    <s v="LIVRE"/>
    <n v="0"/>
    <n v="65"/>
    <n v="0"/>
    <n v="0"/>
    <n v="23.41"/>
    <n v="0"/>
    <n v="0"/>
    <n v="23.763428126815878"/>
    <m/>
    <m/>
    <n v="58630.345000000001"/>
    <n v="0"/>
    <n v="59515.505743610367"/>
    <n v="0"/>
    <x v="0"/>
  </r>
  <r>
    <s v="Regular"/>
    <x v="0"/>
    <x v="0"/>
    <x v="0"/>
    <x v="0"/>
    <x v="0"/>
    <x v="0"/>
    <x v="1"/>
    <x v="9"/>
    <n v="4969"/>
    <n v="2484.5"/>
    <n v="0"/>
    <n v="0"/>
    <n v="0"/>
    <n v="0"/>
    <n v="1"/>
    <s v="LIVRE"/>
    <n v="0"/>
    <n v="65"/>
    <n v="0"/>
    <n v="0"/>
    <n v="23.41"/>
    <n v="0"/>
    <n v="0"/>
    <n v="23.763428126815878"/>
    <m/>
    <m/>
    <n v="58162.144999999997"/>
    <n v="0"/>
    <n v="59040.237181074051"/>
    <n v="0"/>
    <x v="0"/>
  </r>
  <r>
    <s v="Regular"/>
    <x v="0"/>
    <x v="0"/>
    <x v="0"/>
    <x v="0"/>
    <x v="0"/>
    <x v="0"/>
    <x v="1"/>
    <x v="10"/>
    <n v="5273"/>
    <n v="2636.5"/>
    <n v="0"/>
    <n v="0"/>
    <n v="0"/>
    <n v="0"/>
    <n v="8"/>
    <s v="LIVRE"/>
    <n v="0"/>
    <n v="65"/>
    <n v="0"/>
    <n v="0"/>
    <n v="23.41"/>
    <n v="0"/>
    <n v="0"/>
    <n v="23.763428126815878"/>
    <m/>
    <m/>
    <n v="61720.465000000004"/>
    <n v="0"/>
    <n v="62652.278256350066"/>
    <n v="0"/>
    <x v="0"/>
  </r>
  <r>
    <s v="PROJETADO"/>
    <x v="0"/>
    <x v="0"/>
    <x v="0"/>
    <x v="0"/>
    <x v="0"/>
    <x v="0"/>
    <x v="1"/>
    <x v="11"/>
    <n v="5273"/>
    <n v="2636.5"/>
    <n v="0"/>
    <n v="0"/>
    <n v="0"/>
    <n v="0"/>
    <n v="8"/>
    <s v="LIVRE"/>
    <n v="0"/>
    <n v="65"/>
    <n v="0"/>
    <n v="0"/>
    <n v="23.41"/>
    <n v="0"/>
    <n v="0"/>
    <n v="23.763428126815878"/>
    <m/>
    <m/>
    <n v="61720.465000000004"/>
    <n v="0"/>
    <n v="62652.278256350066"/>
    <n v="0"/>
    <x v="0"/>
  </r>
  <r>
    <s v="Regular"/>
    <x v="0"/>
    <x v="0"/>
    <x v="0"/>
    <x v="0"/>
    <x v="0"/>
    <x v="0"/>
    <x v="2"/>
    <x v="0"/>
    <n v="0"/>
    <n v="0"/>
    <n v="19.989000000000001"/>
    <n v="9.9945000000000004"/>
    <n v="0"/>
    <n v="0"/>
    <n v="0"/>
    <s v="LIVRE"/>
    <n v="0"/>
    <n v="0"/>
    <n v="66"/>
    <n v="0"/>
    <n v="0"/>
    <n v="2263.58"/>
    <n v="0"/>
    <m/>
    <n v="2325.9355132623718"/>
    <m/>
    <n v="0"/>
    <n v="22623.350310000002"/>
    <n v="0"/>
    <n v="23246.562487300776"/>
    <x v="0"/>
  </r>
  <r>
    <s v="Regular"/>
    <x v="0"/>
    <x v="0"/>
    <x v="0"/>
    <x v="0"/>
    <x v="0"/>
    <x v="0"/>
    <x v="2"/>
    <x v="1"/>
    <n v="0"/>
    <n v="0"/>
    <n v="23.256"/>
    <n v="11.628"/>
    <n v="0"/>
    <n v="0"/>
    <n v="0"/>
    <s v="LIVRE"/>
    <n v="0"/>
    <n v="0"/>
    <n v="66"/>
    <n v="0"/>
    <n v="0"/>
    <n v="2263.58"/>
    <n v="0"/>
    <m/>
    <n v="2325.9355132623718"/>
    <m/>
    <n v="0"/>
    <n v="26320.908240000001"/>
    <n v="0"/>
    <n v="27045.978148214861"/>
    <x v="0"/>
  </r>
  <r>
    <s v="Regular"/>
    <x v="0"/>
    <x v="0"/>
    <x v="0"/>
    <x v="0"/>
    <x v="0"/>
    <x v="0"/>
    <x v="2"/>
    <x v="2"/>
    <n v="0"/>
    <n v="0"/>
    <n v="107.532"/>
    <n v="53.765999999999998"/>
    <n v="0"/>
    <n v="0"/>
    <n v="0"/>
    <s v="LIVRE"/>
    <n v="0"/>
    <n v="0"/>
    <n v="66"/>
    <n v="0"/>
    <n v="0"/>
    <n v="2263.58"/>
    <n v="0"/>
    <m/>
    <n v="2325.9355132623718"/>
    <m/>
    <n v="0"/>
    <n v="121703.64227999999"/>
    <n v="0"/>
    <n v="125056.24880606469"/>
    <x v="0"/>
  </r>
  <r>
    <s v="Regular"/>
    <x v="0"/>
    <x v="0"/>
    <x v="0"/>
    <x v="0"/>
    <x v="0"/>
    <x v="0"/>
    <x v="2"/>
    <x v="3"/>
    <n v="0"/>
    <n v="0"/>
    <n v="171.18299999999999"/>
    <n v="85.591499999999996"/>
    <n v="0"/>
    <n v="0"/>
    <n v="0"/>
    <s v="LIVRE"/>
    <n v="0"/>
    <n v="0"/>
    <n v="66"/>
    <n v="0"/>
    <n v="0"/>
    <n v="2263.58"/>
    <n v="0"/>
    <m/>
    <n v="2325.9355132623718"/>
    <m/>
    <n v="0"/>
    <n v="193743.20757"/>
    <n v="0"/>
    <n v="199080.3094833963"/>
    <x v="0"/>
  </r>
  <r>
    <s v="Regular"/>
    <x v="0"/>
    <x v="0"/>
    <x v="0"/>
    <x v="0"/>
    <x v="0"/>
    <x v="0"/>
    <x v="2"/>
    <x v="4"/>
    <n v="0"/>
    <n v="0"/>
    <n v="123.505"/>
    <n v="61.752499999999998"/>
    <n v="0"/>
    <n v="0"/>
    <n v="0"/>
    <s v="LIVRE"/>
    <n v="0"/>
    <n v="0"/>
    <n v="66"/>
    <n v="0"/>
    <n v="0"/>
    <n v="2263.58"/>
    <n v="0"/>
    <m/>
    <n v="2325.9355132623718"/>
    <m/>
    <n v="0"/>
    <n v="139781.72394999999"/>
    <n v="0"/>
    <n v="143632.33278273462"/>
    <x v="0"/>
  </r>
  <r>
    <s v="Regular"/>
    <x v="0"/>
    <x v="0"/>
    <x v="0"/>
    <x v="0"/>
    <x v="0"/>
    <x v="0"/>
    <x v="2"/>
    <x v="5"/>
    <n v="0"/>
    <n v="0"/>
    <n v="77.082999999999998"/>
    <n v="38.541499999999999"/>
    <n v="0"/>
    <n v="0"/>
    <n v="0"/>
    <s v="LIVRE"/>
    <n v="0"/>
    <n v="0"/>
    <n v="66"/>
    <n v="0"/>
    <n v="0"/>
    <n v="2263.58"/>
    <n v="0"/>
    <m/>
    <n v="2325.9355132623718"/>
    <m/>
    <n v="0"/>
    <n v="87241.76857"/>
    <n v="0"/>
    <n v="89645.043584401705"/>
    <x v="0"/>
  </r>
  <r>
    <s v="Regular"/>
    <x v="0"/>
    <x v="0"/>
    <x v="0"/>
    <x v="0"/>
    <x v="0"/>
    <x v="0"/>
    <x v="2"/>
    <x v="6"/>
    <n v="0"/>
    <n v="0"/>
    <n v="61.756999999999998"/>
    <n v="30.878499999999999"/>
    <n v="0"/>
    <n v="0"/>
    <n v="0"/>
    <s v="LIVRE"/>
    <n v="0"/>
    <n v="0"/>
    <n v="66"/>
    <n v="0"/>
    <n v="0"/>
    <n v="2263.58"/>
    <n v="0"/>
    <m/>
    <n v="2325.9355132623718"/>
    <m/>
    <n v="0"/>
    <n v="69895.955029999997"/>
    <n v="0"/>
    <n v="71821.399746272145"/>
    <x v="0"/>
  </r>
  <r>
    <s v="Regular"/>
    <x v="0"/>
    <x v="0"/>
    <x v="0"/>
    <x v="0"/>
    <x v="0"/>
    <x v="0"/>
    <x v="2"/>
    <x v="7"/>
    <n v="0"/>
    <n v="0"/>
    <n v="38.241999999999997"/>
    <n v="19.120999999999999"/>
    <n v="0"/>
    <n v="0"/>
    <n v="0"/>
    <s v="LIVRE"/>
    <n v="0"/>
    <n v="0"/>
    <n v="66"/>
    <n v="0"/>
    <n v="0"/>
    <n v="2263.58"/>
    <n v="0"/>
    <m/>
    <n v="2325.9355132623718"/>
    <m/>
    <n v="0"/>
    <n v="43281.913179999996"/>
    <n v="0"/>
    <n v="44474.212949089808"/>
    <x v="0"/>
  </r>
  <r>
    <s v="Regular"/>
    <x v="0"/>
    <x v="0"/>
    <x v="0"/>
    <x v="0"/>
    <x v="0"/>
    <x v="0"/>
    <x v="2"/>
    <x v="8"/>
    <n v="0"/>
    <n v="0"/>
    <n v="69.284999999999997"/>
    <n v="34.642499999999998"/>
    <n v="0"/>
    <n v="0"/>
    <n v="0"/>
    <s v="LIVRE"/>
    <n v="0"/>
    <n v="0"/>
    <n v="66"/>
    <n v="0"/>
    <n v="0"/>
    <n v="2263.58"/>
    <n v="0"/>
    <m/>
    <n v="2325.9355132623718"/>
    <m/>
    <n v="0"/>
    <n v="78416.07015"/>
    <n v="0"/>
    <n v="80576.221018191718"/>
    <x v="0"/>
  </r>
  <r>
    <s v="Regular"/>
    <x v="0"/>
    <x v="0"/>
    <x v="0"/>
    <x v="0"/>
    <x v="0"/>
    <x v="0"/>
    <x v="2"/>
    <x v="9"/>
    <n v="0"/>
    <n v="0"/>
    <n v="118.67"/>
    <n v="59.335000000000001"/>
    <n v="0"/>
    <n v="0"/>
    <n v="0"/>
    <s v="LIVRE"/>
    <n v="0"/>
    <n v="0"/>
    <n v="66"/>
    <n v="0"/>
    <n v="0"/>
    <n v="2263.58"/>
    <n v="0"/>
    <m/>
    <n v="2325.9355132623718"/>
    <m/>
    <n v="0"/>
    <n v="134309.51929999999"/>
    <n v="0"/>
    <n v="138009.38367942284"/>
    <x v="0"/>
  </r>
  <r>
    <s v="Regular"/>
    <x v="0"/>
    <x v="0"/>
    <x v="0"/>
    <x v="0"/>
    <x v="0"/>
    <x v="0"/>
    <x v="2"/>
    <x v="10"/>
    <n v="0"/>
    <n v="0"/>
    <n v="158.113"/>
    <n v="79.0565"/>
    <n v="0"/>
    <n v="0"/>
    <n v="0"/>
    <s v="LIVRE"/>
    <n v="0"/>
    <n v="0"/>
    <n v="66"/>
    <n v="0"/>
    <n v="0"/>
    <n v="2263.58"/>
    <n v="0"/>
    <m/>
    <n v="2325.9355132623718"/>
    <m/>
    <n v="0"/>
    <n v="178950.71226999999"/>
    <n v="0"/>
    <n v="183880.32090422671"/>
    <x v="0"/>
  </r>
  <r>
    <s v="PROJETADO"/>
    <x v="0"/>
    <x v="0"/>
    <x v="0"/>
    <x v="0"/>
    <x v="0"/>
    <x v="0"/>
    <x v="2"/>
    <x v="11"/>
    <n v="0"/>
    <n v="0"/>
    <n v="158.113"/>
    <n v="79.0565"/>
    <n v="0"/>
    <n v="0"/>
    <n v="0"/>
    <s v="LIVRE"/>
    <n v="0"/>
    <n v="0"/>
    <n v="66"/>
    <n v="0"/>
    <n v="0"/>
    <n v="2263.58"/>
    <n v="0"/>
    <m/>
    <n v="2325.9355132623718"/>
    <m/>
    <n v="0"/>
    <n v="178950.71226999999"/>
    <n v="0"/>
    <n v="183880.32090422671"/>
    <x v="0"/>
  </r>
  <r>
    <s v="Regular"/>
    <x v="0"/>
    <x v="0"/>
    <x v="1"/>
    <x v="1"/>
    <x v="1"/>
    <x v="0"/>
    <x v="0"/>
    <x v="0"/>
    <n v="0"/>
    <n v="0"/>
    <n v="2758.2179999999998"/>
    <n v="827.46540000000005"/>
    <n v="2758.2179999999998"/>
    <n v="827.46540000000005"/>
    <n v="0"/>
    <s v="CATIVO"/>
    <n v="0"/>
    <n v="0"/>
    <n v="47"/>
    <n v="27"/>
    <n v="0"/>
    <n v="72.23"/>
    <n v="223.72"/>
    <m/>
    <n v="102.01454208880898"/>
    <n v="221.35055346817671"/>
    <n v="0"/>
    <n v="571406.23196999996"/>
    <n v="0"/>
    <n v="624337.99899589852"/>
    <x v="1"/>
  </r>
  <r>
    <s v="Regular"/>
    <x v="0"/>
    <x v="0"/>
    <x v="1"/>
    <x v="1"/>
    <x v="1"/>
    <x v="0"/>
    <x v="0"/>
    <x v="1"/>
    <n v="0"/>
    <n v="0"/>
    <n v="2399.1280000000002"/>
    <n v="719.73839999999996"/>
    <n v="2399.1280000000002"/>
    <n v="719.73839999999996"/>
    <n v="0"/>
    <s v="CATIVO"/>
    <n v="0"/>
    <n v="0"/>
    <n v="47"/>
    <n v="27"/>
    <n v="0"/>
    <n v="72.23"/>
    <n v="223.72"/>
    <m/>
    <n v="102.01454208880898"/>
    <n v="221.35055346817671"/>
    <n v="0"/>
    <n v="497015.35212000005"/>
    <n v="0"/>
    <n v="543055.97848140809"/>
    <x v="1"/>
  </r>
  <r>
    <s v="Regular"/>
    <x v="0"/>
    <x v="0"/>
    <x v="1"/>
    <x v="1"/>
    <x v="1"/>
    <x v="0"/>
    <x v="0"/>
    <x v="2"/>
    <n v="0"/>
    <n v="0"/>
    <n v="622.09799999999996"/>
    <n v="186.6294"/>
    <n v="622.09799999999996"/>
    <n v="186.6294"/>
    <n v="0"/>
    <s v="CATIVO"/>
    <n v="0"/>
    <n v="0"/>
    <n v="47"/>
    <n v="27"/>
    <n v="0"/>
    <n v="72.23"/>
    <n v="223.72"/>
    <m/>
    <n v="102.01454208880898"/>
    <n v="221.35055346817671"/>
    <n v="0"/>
    <n v="128876.93216999999"/>
    <n v="0"/>
    <n v="140815.34545106677"/>
    <x v="1"/>
  </r>
  <r>
    <s v="Regular"/>
    <x v="0"/>
    <x v="0"/>
    <x v="1"/>
    <x v="1"/>
    <x v="1"/>
    <x v="0"/>
    <x v="0"/>
    <x v="3"/>
    <n v="0"/>
    <n v="0"/>
    <n v="1602.904"/>
    <n v="480.87119999999999"/>
    <n v="1602.904"/>
    <n v="480.87119999999999"/>
    <n v="0"/>
    <s v="CATIVO"/>
    <n v="0"/>
    <n v="0"/>
    <n v="47"/>
    <n v="27"/>
    <n v="0"/>
    <n v="72.23"/>
    <n v="223.72"/>
    <m/>
    <n v="102.01454208880898"/>
    <n v="221.35055346817671"/>
    <n v="0"/>
    <n v="332065.60716000001"/>
    <n v="0"/>
    <n v="362826.2435900722"/>
    <x v="1"/>
  </r>
  <r>
    <s v="Regular"/>
    <x v="0"/>
    <x v="0"/>
    <x v="1"/>
    <x v="1"/>
    <x v="1"/>
    <x v="0"/>
    <x v="0"/>
    <x v="4"/>
    <n v="0"/>
    <n v="0"/>
    <n v="2331.518"/>
    <n v="699.45540000000005"/>
    <n v="2331.518"/>
    <n v="699.45540000000005"/>
    <n v="0"/>
    <s v="CATIVO"/>
    <n v="0"/>
    <n v="0"/>
    <n v="47"/>
    <n v="27"/>
    <n v="0"/>
    <n v="72.23"/>
    <n v="223.72"/>
    <m/>
    <n v="102.01454208880898"/>
    <n v="221.35055346817671"/>
    <n v="0"/>
    <n v="483008.92647000001"/>
    <n v="0"/>
    <n v="527752.07860398246"/>
    <x v="1"/>
  </r>
  <r>
    <s v="Regular"/>
    <x v="0"/>
    <x v="0"/>
    <x v="1"/>
    <x v="1"/>
    <x v="1"/>
    <x v="0"/>
    <x v="0"/>
    <x v="5"/>
    <n v="0"/>
    <n v="0"/>
    <n v="2273.6559999999999"/>
    <n v="682.09680000000003"/>
    <n v="2273.6559999999999"/>
    <n v="682.09680000000003"/>
    <n v="0"/>
    <s v="CATIVO"/>
    <n v="0"/>
    <n v="0"/>
    <n v="47"/>
    <n v="27"/>
    <n v="0"/>
    <n v="72.23"/>
    <n v="223.72"/>
    <m/>
    <n v="102.01454208880898"/>
    <n v="221.35055346817671"/>
    <n v="0"/>
    <n v="471021.94523999997"/>
    <n v="0"/>
    <n v="514654.69279259967"/>
    <x v="1"/>
  </r>
  <r>
    <s v="Regular"/>
    <x v="0"/>
    <x v="0"/>
    <x v="1"/>
    <x v="1"/>
    <x v="1"/>
    <x v="0"/>
    <x v="0"/>
    <x v="6"/>
    <n v="0"/>
    <n v="0"/>
    <n v="1691.5060000000001"/>
    <n v="507.45179999999999"/>
    <n v="1691.5060000000001"/>
    <n v="507.45179999999999"/>
    <n v="0"/>
    <s v="CATIVO"/>
    <n v="0"/>
    <n v="0"/>
    <n v="47"/>
    <n v="27"/>
    <n v="0"/>
    <n v="72.23"/>
    <n v="223.72"/>
    <m/>
    <n v="102.01454208880898"/>
    <n v="221.35055346817671"/>
    <n v="0"/>
    <n v="350420.84049000003"/>
    <n v="0"/>
    <n v="382881.79952765023"/>
    <x v="1"/>
  </r>
  <r>
    <s v="Regular"/>
    <x v="0"/>
    <x v="0"/>
    <x v="1"/>
    <x v="1"/>
    <x v="1"/>
    <x v="0"/>
    <x v="0"/>
    <x v="7"/>
    <n v="0"/>
    <n v="0"/>
    <n v="3128.319"/>
    <n v="938.49570000000006"/>
    <n v="3128.319"/>
    <n v="938.49570000000006"/>
    <n v="0"/>
    <s v="CATIVO"/>
    <n v="0"/>
    <n v="0"/>
    <n v="47"/>
    <n v="27"/>
    <n v="0"/>
    <n v="72.23"/>
    <n v="223.72"/>
    <m/>
    <n v="102.01454208880898"/>
    <n v="221.35055346817671"/>
    <n v="0"/>
    <n v="648078.20563500002"/>
    <n v="0"/>
    <n v="708112.42065741378"/>
    <x v="1"/>
  </r>
  <r>
    <s v="Regular"/>
    <x v="0"/>
    <x v="0"/>
    <x v="1"/>
    <x v="1"/>
    <x v="1"/>
    <x v="0"/>
    <x v="0"/>
    <x v="8"/>
    <n v="0"/>
    <n v="0"/>
    <n v="2618.0569999999998"/>
    <n v="785.4171"/>
    <n v="2618.0569999999998"/>
    <n v="785.4171"/>
    <n v="0"/>
    <s v="CATIVO"/>
    <n v="0"/>
    <n v="0"/>
    <n v="47"/>
    <n v="27"/>
    <n v="0"/>
    <n v="72.23"/>
    <n v="223.72"/>
    <m/>
    <n v="102.01454208880898"/>
    <n v="221.35055346817671"/>
    <n v="0"/>
    <n v="542369.77840499987"/>
    <n v="0"/>
    <n v="592611.77638504468"/>
    <x v="1"/>
  </r>
  <r>
    <s v="Regular"/>
    <x v="0"/>
    <x v="0"/>
    <x v="1"/>
    <x v="1"/>
    <x v="1"/>
    <x v="0"/>
    <x v="0"/>
    <x v="9"/>
    <n v="0"/>
    <n v="0"/>
    <n v="1408.03"/>
    <n v="422.40899999999999"/>
    <n v="1408.03"/>
    <n v="422.40899999999999"/>
    <n v="0"/>
    <s v="CATIVO"/>
    <n v="0"/>
    <n v="0"/>
    <n v="47"/>
    <n v="27"/>
    <n v="0"/>
    <n v="72.23"/>
    <n v="223.72"/>
    <m/>
    <n v="102.01454208880898"/>
    <n v="221.35055346817671"/>
    <n v="0"/>
    <n v="291694.53495"/>
    <n v="0"/>
    <n v="318715.42884797178"/>
    <x v="1"/>
  </r>
  <r>
    <s v="Regular"/>
    <x v="0"/>
    <x v="0"/>
    <x v="1"/>
    <x v="1"/>
    <x v="1"/>
    <x v="0"/>
    <x v="0"/>
    <x v="10"/>
    <n v="0"/>
    <n v="0"/>
    <n v="2469.1060000000002"/>
    <n v="740.73180000000002"/>
    <n v="2469.1060000000002"/>
    <n v="740.73180000000002"/>
    <n v="0"/>
    <s v="CATIVO"/>
    <n v="0"/>
    <n v="0"/>
    <n v="47"/>
    <n v="27"/>
    <n v="0"/>
    <n v="72.23"/>
    <n v="223.72"/>
    <m/>
    <n v="102.01454208880898"/>
    <n v="221.35055346817671"/>
    <n v="0"/>
    <n v="511512.34449000005"/>
    <n v="0"/>
    <n v="558895.88834122871"/>
    <x v="1"/>
  </r>
  <r>
    <s v="PROJETADO"/>
    <x v="0"/>
    <x v="0"/>
    <x v="1"/>
    <x v="1"/>
    <x v="1"/>
    <x v="0"/>
    <x v="0"/>
    <x v="11"/>
    <n v="0"/>
    <n v="0"/>
    <n v="2469.1060000000002"/>
    <n v="740.73180000000002"/>
    <n v="2469.1060000000002"/>
    <n v="740.73180000000002"/>
    <n v="0"/>
    <s v="CATIVO"/>
    <n v="0"/>
    <n v="0"/>
    <n v="47"/>
    <n v="27"/>
    <n v="0"/>
    <n v="72.23"/>
    <n v="223.72"/>
    <m/>
    <n v="102.01454208880898"/>
    <n v="221.35055346817671"/>
    <n v="0"/>
    <n v="511512.34449000005"/>
    <n v="0"/>
    <n v="558895.88834122871"/>
    <x v="1"/>
  </r>
  <r>
    <s v="Regular"/>
    <x v="0"/>
    <x v="0"/>
    <x v="1"/>
    <x v="1"/>
    <x v="2"/>
    <x v="0"/>
    <x v="0"/>
    <x v="0"/>
    <n v="0"/>
    <n v="0"/>
    <n v="3909.1790000000001"/>
    <n v="3752.8118399999998"/>
    <n v="3909.1790000000001"/>
    <n v="3752.8118399999998"/>
    <n v="0"/>
    <s v="CATIVO"/>
    <n v="0"/>
    <n v="0"/>
    <n v="47"/>
    <n v="27"/>
    <n v="0"/>
    <n v="72.23"/>
    <n v="223.72"/>
    <m/>
    <n v="102.01454208880898"/>
    <n v="221.35055346817671"/>
    <n v="0"/>
    <n v="46276.861002000071"/>
    <n v="0"/>
    <n v="50563.681635374553"/>
    <x v="2"/>
  </r>
  <r>
    <s v="Regular"/>
    <x v="0"/>
    <x v="0"/>
    <x v="1"/>
    <x v="1"/>
    <x v="2"/>
    <x v="0"/>
    <x v="0"/>
    <x v="1"/>
    <n v="0"/>
    <n v="0"/>
    <n v="3215.9920000000002"/>
    <n v="3072.5587568000001"/>
    <n v="3215.9920000000002"/>
    <n v="3072.5587568000001"/>
    <n v="0"/>
    <s v="CATIVO"/>
    <n v="0"/>
    <n v="0"/>
    <n v="47"/>
    <n v="27"/>
    <n v="0"/>
    <n v="72.23"/>
    <n v="223.72"/>
    <m/>
    <n v="102.01454208880898"/>
    <n v="221.35055346817671"/>
    <n v="0"/>
    <n v="42449.068325040033"/>
    <n v="0"/>
    <n v="46381.304393416402"/>
    <x v="2"/>
  </r>
  <r>
    <s v="Regular"/>
    <x v="0"/>
    <x v="0"/>
    <x v="1"/>
    <x v="1"/>
    <x v="2"/>
    <x v="0"/>
    <x v="0"/>
    <x v="2"/>
    <n v="0"/>
    <n v="0"/>
    <n v="879.98299999999995"/>
    <n v="844.78368"/>
    <n v="879.98299999999995"/>
    <n v="844.78368"/>
    <n v="0"/>
    <s v="CATIVO"/>
    <n v="0"/>
    <n v="0"/>
    <n v="47"/>
    <n v="27"/>
    <n v="0"/>
    <n v="72.23"/>
    <n v="223.72"/>
    <m/>
    <n v="102.01454208880898"/>
    <n v="221.35055346817671"/>
    <n v="0"/>
    <n v="10417.238753999984"/>
    <n v="0"/>
    <n v="11382.231475340899"/>
    <x v="2"/>
  </r>
  <r>
    <s v="Sistema de Compensação"/>
    <x v="0"/>
    <x v="0"/>
    <x v="1"/>
    <x v="1"/>
    <x v="2"/>
    <x v="0"/>
    <x v="0"/>
    <x v="2"/>
    <n v="0"/>
    <n v="0"/>
    <n v="0.89900000000000002"/>
    <n v="0.86304000000000003"/>
    <n v="0.89900000000000002"/>
    <n v="0.86304000000000003"/>
    <n v="0"/>
    <s v="CATIVO"/>
    <n v="0"/>
    <n v="0"/>
    <n v="47"/>
    <n v="27"/>
    <n v="0"/>
    <n v="72.23"/>
    <n v="223.72"/>
    <m/>
    <n v="102.01454208880898"/>
    <n v="221.35055346817671"/>
    <n v="0"/>
    <n v="10.642361999999997"/>
    <n v="0"/>
    <n v="11.628208836229202"/>
    <x v="2"/>
  </r>
  <r>
    <s v="Regular"/>
    <x v="0"/>
    <x v="0"/>
    <x v="1"/>
    <x v="1"/>
    <x v="2"/>
    <x v="0"/>
    <x v="0"/>
    <x v="3"/>
    <n v="0"/>
    <n v="0"/>
    <n v="1818.075"/>
    <n v="1745.3520000000001"/>
    <n v="1818.075"/>
    <n v="1745.3520000000001"/>
    <n v="0"/>
    <s v="CATIVO"/>
    <n v="0"/>
    <n v="0"/>
    <n v="47"/>
    <n v="27"/>
    <n v="0"/>
    <n v="72.23"/>
    <n v="223.72"/>
    <m/>
    <n v="102.01454208880898"/>
    <n v="221.35055346817671"/>
    <n v="0"/>
    <n v="21522.371849999989"/>
    <n v="0"/>
    <n v="23516.079844190655"/>
    <x v="2"/>
  </r>
  <r>
    <s v="Sistema de Compensação"/>
    <x v="0"/>
    <x v="0"/>
    <x v="1"/>
    <x v="1"/>
    <x v="2"/>
    <x v="0"/>
    <x v="0"/>
    <x v="3"/>
    <n v="0"/>
    <n v="0"/>
    <n v="5.8029999999999999"/>
    <n v="5.5708799999999998"/>
    <n v="5.8029999999999999"/>
    <n v="5.5708799999999998"/>
    <n v="0"/>
    <s v="CATIVO"/>
    <n v="0"/>
    <n v="0"/>
    <n v="47"/>
    <n v="27"/>
    <n v="0"/>
    <n v="72.23"/>
    <n v="223.72"/>
    <m/>
    <n v="102.01454208880898"/>
    <n v="221.35055346817671"/>
    <n v="0"/>
    <n v="68.69591400000003"/>
    <n v="0"/>
    <n v="75.059505980687547"/>
    <x v="2"/>
  </r>
  <r>
    <s v="Regular"/>
    <x v="0"/>
    <x v="0"/>
    <x v="1"/>
    <x v="1"/>
    <x v="2"/>
    <x v="0"/>
    <x v="0"/>
    <x v="4"/>
    <n v="0"/>
    <n v="0"/>
    <n v="2998.8490000000002"/>
    <n v="2878.8950399999999"/>
    <n v="2998.8490000000002"/>
    <n v="2878.8950399999999"/>
    <n v="0"/>
    <s v="CATIVO"/>
    <n v="0"/>
    <n v="0"/>
    <n v="47"/>
    <n v="27"/>
    <n v="0"/>
    <n v="72.23"/>
    <n v="223.72"/>
    <m/>
    <n v="102.01454208880898"/>
    <n v="221.35055346817671"/>
    <n v="0"/>
    <n v="35500.374462000087"/>
    <n v="0"/>
    <n v="38788.92373783893"/>
    <x v="2"/>
  </r>
  <r>
    <s v="Regular"/>
    <x v="0"/>
    <x v="0"/>
    <x v="1"/>
    <x v="1"/>
    <x v="2"/>
    <x v="0"/>
    <x v="0"/>
    <x v="5"/>
    <n v="0"/>
    <n v="0"/>
    <n v="3142.7460000000001"/>
    <n v="3017.0361600000001"/>
    <n v="3142.7460000000001"/>
    <n v="3017.0361600000001"/>
    <n v="0"/>
    <s v="CATIVO"/>
    <n v="0"/>
    <n v="0"/>
    <n v="47"/>
    <n v="27"/>
    <n v="0"/>
    <n v="72.23"/>
    <n v="223.72"/>
    <m/>
    <n v="102.01454208880898"/>
    <n v="221.35055346817671"/>
    <n v="0"/>
    <n v="37203.827147999997"/>
    <n v="0"/>
    <n v="40650.174424053374"/>
    <x v="2"/>
  </r>
  <r>
    <s v="Sistema de Compensação"/>
    <x v="0"/>
    <x v="0"/>
    <x v="1"/>
    <x v="1"/>
    <x v="2"/>
    <x v="0"/>
    <x v="0"/>
    <x v="5"/>
    <n v="0"/>
    <n v="0"/>
    <n v="1.4750000000000001"/>
    <n v="1.4159999999999999"/>
    <n v="1.4750000000000001"/>
    <n v="1.4159999999999999"/>
    <n v="0"/>
    <s v="CATIVO"/>
    <n v="0"/>
    <n v="0"/>
    <n v="47"/>
    <n v="27"/>
    <n v="0"/>
    <n v="72.23"/>
    <n v="223.72"/>
    <m/>
    <n v="102.01454208880898"/>
    <n v="221.35055346817671"/>
    <n v="0"/>
    <n v="17.46105000000005"/>
    <n v="0"/>
    <n v="19.078540637862208"/>
    <x v="2"/>
  </r>
  <r>
    <s v="Regular"/>
    <x v="0"/>
    <x v="0"/>
    <x v="1"/>
    <x v="1"/>
    <x v="2"/>
    <x v="0"/>
    <x v="0"/>
    <x v="6"/>
    <n v="0"/>
    <n v="0"/>
    <n v="2613.7330000000002"/>
    <n v="2509.1836800000001"/>
    <n v="2613.7330000000002"/>
    <n v="2509.1836800000001"/>
    <n v="0"/>
    <s v="CATIVO"/>
    <n v="0"/>
    <n v="0"/>
    <n v="47"/>
    <n v="27"/>
    <n v="0"/>
    <n v="72.23"/>
    <n v="223.72"/>
    <m/>
    <n v="102.01454208880898"/>
    <n v="221.35055346817671"/>
    <n v="0"/>
    <n v="30941.371254000023"/>
    <n v="0"/>
    <n v="33807.600852217904"/>
    <x v="2"/>
  </r>
  <r>
    <s v="Sistema de Compensação"/>
    <x v="0"/>
    <x v="0"/>
    <x v="1"/>
    <x v="1"/>
    <x v="2"/>
    <x v="0"/>
    <x v="0"/>
    <x v="6"/>
    <n v="0"/>
    <n v="0"/>
    <n v="7.3719999999999999"/>
    <n v="7.0771199999999999"/>
    <n v="7.3719999999999999"/>
    <n v="7.0771199999999999"/>
    <n v="0"/>
    <s v="CATIVO"/>
    <n v="0"/>
    <n v="0"/>
    <n v="47"/>
    <n v="27"/>
    <n v="0"/>
    <n v="72.23"/>
    <n v="223.72"/>
    <m/>
    <n v="102.01454208880898"/>
    <n v="221.35055346817671"/>
    <n v="0"/>
    <n v="87.269736000000009"/>
    <n v="0"/>
    <n v="95.353899377843959"/>
    <x v="2"/>
  </r>
  <r>
    <s v="Regular"/>
    <x v="0"/>
    <x v="0"/>
    <x v="1"/>
    <x v="1"/>
    <x v="2"/>
    <x v="0"/>
    <x v="0"/>
    <x v="7"/>
    <n v="0"/>
    <n v="0"/>
    <n v="4457.0309999999999"/>
    <n v="4278.7497599999997"/>
    <n v="4457.0309999999999"/>
    <n v="4278.7497599999997"/>
    <n v="0"/>
    <s v="CATIVO"/>
    <n v="0"/>
    <n v="0"/>
    <n v="47"/>
    <n v="27"/>
    <n v="0"/>
    <n v="72.23"/>
    <n v="223.72"/>
    <m/>
    <n v="102.01454208880898"/>
    <n v="221.35055346817671"/>
    <n v="0"/>
    <n v="52762.332978000079"/>
    <n v="0"/>
    <n v="57649.930208617981"/>
    <x v="2"/>
  </r>
  <r>
    <s v="Sistema de Compensação"/>
    <x v="0"/>
    <x v="0"/>
    <x v="1"/>
    <x v="1"/>
    <x v="2"/>
    <x v="0"/>
    <x v="0"/>
    <x v="7"/>
    <n v="0"/>
    <n v="0"/>
    <n v="15.714"/>
    <n v="15.08544"/>
    <n v="15.714"/>
    <n v="15.08544"/>
    <n v="0"/>
    <s v="CATIVO"/>
    <n v="0"/>
    <n v="0"/>
    <n v="47"/>
    <n v="27"/>
    <n v="0"/>
    <n v="72.23"/>
    <n v="223.72"/>
    <m/>
    <n v="102.01454208880898"/>
    <n v="221.35055346817671"/>
    <n v="0"/>
    <n v="186.02233200000006"/>
    <n v="0"/>
    <n v="203.254364463299"/>
    <x v="2"/>
  </r>
  <r>
    <s v="Regular"/>
    <x v="0"/>
    <x v="0"/>
    <x v="1"/>
    <x v="1"/>
    <x v="2"/>
    <x v="0"/>
    <x v="0"/>
    <x v="8"/>
    <n v="0"/>
    <n v="0"/>
    <n v="3668.5549999999998"/>
    <n v="3521.8128000000002"/>
    <n v="3668.5549999999998"/>
    <n v="3521.8128000000002"/>
    <n v="0"/>
    <s v="CATIVO"/>
    <n v="0"/>
    <n v="0"/>
    <n v="47"/>
    <n v="27"/>
    <n v="0"/>
    <n v="72.23"/>
    <n v="223.72"/>
    <m/>
    <n v="102.01454208880898"/>
    <n v="221.35055346817671"/>
    <n v="0"/>
    <n v="43428.354089999906"/>
    <n v="0"/>
    <n v="47451.305525242205"/>
    <x v="2"/>
  </r>
  <r>
    <s v="Refaturamento - Regular"/>
    <x v="0"/>
    <x v="0"/>
    <x v="1"/>
    <x v="1"/>
    <x v="2"/>
    <x v="0"/>
    <x v="0"/>
    <x v="8"/>
    <n v="0"/>
    <n v="0"/>
    <n v="1.665"/>
    <n v="1.5984"/>
    <n v="1.665"/>
    <n v="1.5984"/>
    <n v="0"/>
    <s v="CATIVO"/>
    <n v="0"/>
    <n v="0"/>
    <n v="47"/>
    <n v="27"/>
    <n v="0"/>
    <n v="72.23"/>
    <n v="223.72"/>
    <m/>
    <n v="102.01454208880898"/>
    <n v="221.35055346817671"/>
    <n v="0"/>
    <n v="19.710269999999998"/>
    <n v="0"/>
    <n v="21.536115364095245"/>
    <x v="2"/>
  </r>
  <r>
    <s v="Sistema de Compensação"/>
    <x v="0"/>
    <x v="0"/>
    <x v="1"/>
    <x v="1"/>
    <x v="2"/>
    <x v="0"/>
    <x v="0"/>
    <x v="8"/>
    <n v="0"/>
    <n v="0"/>
    <n v="3.76"/>
    <n v="3.6095999999999995"/>
    <n v="3.76"/>
    <n v="3.6095999999999995"/>
    <n v="0"/>
    <s v="CATIVO"/>
    <n v="0"/>
    <n v="0"/>
    <n v="47"/>
    <n v="27"/>
    <n v="0"/>
    <n v="72.23"/>
    <n v="223.72"/>
    <m/>
    <n v="102.01454208880898"/>
    <n v="221.35055346817671"/>
    <n v="0"/>
    <n v="44.510880000000085"/>
    <n v="0"/>
    <n v="48.634110371770745"/>
    <x v="2"/>
  </r>
  <r>
    <s v="Regular"/>
    <x v="0"/>
    <x v="0"/>
    <x v="1"/>
    <x v="1"/>
    <x v="2"/>
    <x v="0"/>
    <x v="0"/>
    <x v="9"/>
    <n v="0"/>
    <n v="0"/>
    <n v="2265.0030000000002"/>
    <n v="2174.4028800000001"/>
    <n v="2265.0030000000002"/>
    <n v="2174.4028800000001"/>
    <n v="0"/>
    <s v="CATIVO"/>
    <n v="0"/>
    <n v="0"/>
    <n v="47"/>
    <n v="27"/>
    <n v="0"/>
    <n v="72.23"/>
    <n v="223.72"/>
    <m/>
    <n v="102.01454208880898"/>
    <n v="221.35055346817671"/>
    <n v="0"/>
    <n v="26813.105514000017"/>
    <n v="0"/>
    <n v="29296.916461274392"/>
    <x v="2"/>
  </r>
  <r>
    <s v="Regular"/>
    <x v="0"/>
    <x v="0"/>
    <x v="1"/>
    <x v="1"/>
    <x v="2"/>
    <x v="0"/>
    <x v="0"/>
    <x v="10"/>
    <n v="0"/>
    <n v="0"/>
    <n v="3510.4380000000001"/>
    <n v="3370.0204800000001"/>
    <n v="3510.4380000000001"/>
    <n v="3370.0204800000001"/>
    <n v="0"/>
    <s v="CATIVO"/>
    <n v="0"/>
    <n v="0"/>
    <n v="47"/>
    <n v="27"/>
    <n v="0"/>
    <n v="72.23"/>
    <n v="223.72"/>
    <m/>
    <n v="102.01454208880898"/>
    <n v="221.35055346817671"/>
    <n v="0"/>
    <n v="41556.565043999988"/>
    <n v="0"/>
    <n v="45406.124772674943"/>
    <x v="2"/>
  </r>
  <r>
    <s v="Sistema de Compensação"/>
    <x v="0"/>
    <x v="0"/>
    <x v="1"/>
    <x v="1"/>
    <x v="2"/>
    <x v="0"/>
    <x v="0"/>
    <x v="10"/>
    <n v="0"/>
    <n v="0"/>
    <n v="9.907"/>
    <n v="9.5107199999999992"/>
    <n v="9.907"/>
    <n v="9.5107199999999992"/>
    <n v="0"/>
    <s v="CATIVO"/>
    <n v="0"/>
    <n v="0"/>
    <n v="47"/>
    <n v="27"/>
    <n v="0"/>
    <n v="72.23"/>
    <n v="223.72"/>
    <m/>
    <n v="102.01454208880898"/>
    <n v="221.35055346817671"/>
    <n v="0"/>
    <n v="117.27906600000026"/>
    <n v="0"/>
    <n v="128.14312006732257"/>
    <x v="2"/>
  </r>
  <r>
    <s v="PROJETADO"/>
    <x v="0"/>
    <x v="0"/>
    <x v="1"/>
    <x v="1"/>
    <x v="2"/>
    <x v="0"/>
    <x v="0"/>
    <x v="11"/>
    <n v="0"/>
    <n v="0"/>
    <n v="3510.4380000000001"/>
    <n v="3370.0204800000001"/>
    <n v="3510.4380000000001"/>
    <n v="3370.0204800000001"/>
    <n v="0"/>
    <s v="CATIVO"/>
    <n v="0"/>
    <n v="0"/>
    <n v="47"/>
    <n v="27"/>
    <n v="0"/>
    <n v="72.23"/>
    <n v="223.72"/>
    <m/>
    <n v="102.01454208880898"/>
    <n v="221.35055346817671"/>
    <n v="0"/>
    <n v="41556.565043999988"/>
    <n v="0"/>
    <n v="45406.124772674943"/>
    <x v="2"/>
  </r>
  <r>
    <s v="PROJETADO"/>
    <x v="0"/>
    <x v="0"/>
    <x v="1"/>
    <x v="1"/>
    <x v="2"/>
    <x v="0"/>
    <x v="0"/>
    <x v="11"/>
    <n v="0"/>
    <n v="0"/>
    <n v="9.907"/>
    <n v="9.5107199999999992"/>
    <n v="9.907"/>
    <n v="9.5107199999999992"/>
    <n v="0"/>
    <s v="CATIVO"/>
    <n v="0"/>
    <n v="0"/>
    <n v="47"/>
    <n v="27"/>
    <n v="0"/>
    <n v="72.23"/>
    <n v="223.72"/>
    <m/>
    <n v="102.01454208880898"/>
    <n v="221.35055346817671"/>
    <n v="0"/>
    <n v="117.27906600000026"/>
    <n v="0"/>
    <n v="128.14312006732257"/>
    <x v="2"/>
  </r>
  <r>
    <s v="Regular"/>
    <x v="0"/>
    <x v="0"/>
    <x v="1"/>
    <x v="1"/>
    <x v="2"/>
    <x v="0"/>
    <x v="1"/>
    <x v="0"/>
    <n v="39572"/>
    <n v="37989.119999999995"/>
    <n v="0"/>
    <n v="0"/>
    <n v="0"/>
    <n v="0"/>
    <n v="270"/>
    <s v="CATIVO"/>
    <n v="0"/>
    <n v="65"/>
    <n v="0"/>
    <n v="0"/>
    <n v="23.41"/>
    <n v="0"/>
    <n v="0"/>
    <n v="23.763428126815878"/>
    <m/>
    <m/>
    <n v="37055.220800000112"/>
    <n v="0"/>
    <n v="37614.655113374429"/>
    <n v="0"/>
    <x v="2"/>
  </r>
  <r>
    <s v="Regular"/>
    <x v="0"/>
    <x v="0"/>
    <x v="1"/>
    <x v="1"/>
    <x v="2"/>
    <x v="0"/>
    <x v="1"/>
    <x v="1"/>
    <n v="39314"/>
    <n v="37560.595600000001"/>
    <n v="0"/>
    <n v="0"/>
    <n v="0"/>
    <n v="0"/>
    <n v="273"/>
    <s v="CATIVO"/>
    <n v="0"/>
    <n v="65"/>
    <n v="0"/>
    <n v="0"/>
    <n v="23.41"/>
    <n v="0"/>
    <n v="0"/>
    <n v="23.763428126815878"/>
    <m/>
    <m/>
    <n v="41047.197003999987"/>
    <n v="0"/>
    <n v="41666.899436642707"/>
    <n v="0"/>
    <x v="2"/>
  </r>
  <r>
    <s v="Regular"/>
    <x v="0"/>
    <x v="0"/>
    <x v="1"/>
    <x v="1"/>
    <x v="2"/>
    <x v="0"/>
    <x v="1"/>
    <x v="2"/>
    <n v="26683"/>
    <n v="25615.68"/>
    <n v="0"/>
    <n v="0"/>
    <n v="0"/>
    <n v="0"/>
    <n v="271"/>
    <s v="CATIVO"/>
    <n v="0"/>
    <n v="65"/>
    <n v="0"/>
    <n v="0"/>
    <n v="23.41"/>
    <n v="0"/>
    <n v="0"/>
    <n v="23.763428126815878"/>
    <m/>
    <m/>
    <n v="24985.961199999994"/>
    <n v="0"/>
    <n v="25363.182108313114"/>
    <n v="0"/>
    <x v="2"/>
  </r>
  <r>
    <s v="Sistema de Compensação"/>
    <x v="0"/>
    <x v="0"/>
    <x v="1"/>
    <x v="1"/>
    <x v="2"/>
    <x v="0"/>
    <x v="1"/>
    <x v="2"/>
    <n v="97"/>
    <n v="93.11999999999999"/>
    <n v="0"/>
    <n v="0"/>
    <n v="0"/>
    <n v="0"/>
    <n v="1"/>
    <s v="CATIVO"/>
    <n v="0"/>
    <n v="65"/>
    <n v="0"/>
    <n v="0"/>
    <n v="23.41"/>
    <n v="0"/>
    <n v="0"/>
    <n v="23.763428126815878"/>
    <m/>
    <m/>
    <n v="90.830800000000224"/>
    <n v="0"/>
    <n v="92.20210113204584"/>
    <n v="0"/>
    <x v="2"/>
  </r>
  <r>
    <s v="Regular"/>
    <x v="0"/>
    <x v="0"/>
    <x v="1"/>
    <x v="1"/>
    <x v="2"/>
    <x v="0"/>
    <x v="1"/>
    <x v="3"/>
    <n v="35636"/>
    <n v="34210.559999999998"/>
    <n v="0"/>
    <n v="0"/>
    <n v="0"/>
    <n v="0"/>
    <n v="272"/>
    <s v="CATIVO"/>
    <n v="0"/>
    <n v="65"/>
    <n v="0"/>
    <n v="0"/>
    <n v="23.41"/>
    <n v="0"/>
    <n v="0"/>
    <n v="23.763428126815878"/>
    <m/>
    <m/>
    <n v="33369.550400000058"/>
    <n v="0"/>
    <n v="33873.34098908848"/>
    <n v="0"/>
    <x v="2"/>
  </r>
  <r>
    <s v="Sistema de Compensação"/>
    <x v="0"/>
    <x v="0"/>
    <x v="1"/>
    <x v="1"/>
    <x v="2"/>
    <x v="0"/>
    <x v="1"/>
    <x v="3"/>
    <n v="99"/>
    <n v="95.039999999999992"/>
    <n v="0"/>
    <n v="0"/>
    <n v="0"/>
    <n v="0"/>
    <n v="1"/>
    <s v="CATIVO"/>
    <n v="0"/>
    <n v="65"/>
    <n v="0"/>
    <n v="0"/>
    <n v="23.41"/>
    <n v="0"/>
    <n v="0"/>
    <n v="23.763428126815878"/>
    <m/>
    <m/>
    <n v="92.703600000000193"/>
    <n v="0"/>
    <n v="94.103175382191068"/>
    <n v="0"/>
    <x v="2"/>
  </r>
  <r>
    <s v="Regular"/>
    <x v="0"/>
    <x v="0"/>
    <x v="1"/>
    <x v="1"/>
    <x v="2"/>
    <x v="0"/>
    <x v="1"/>
    <x v="4"/>
    <n v="40625"/>
    <n v="39000"/>
    <n v="0"/>
    <n v="0"/>
    <n v="0"/>
    <n v="0"/>
    <n v="276"/>
    <s v="CATIVO"/>
    <n v="0"/>
    <n v="65"/>
    <n v="0"/>
    <n v="0"/>
    <n v="23.41"/>
    <n v="0"/>
    <n v="0"/>
    <n v="23.763428126815878"/>
    <m/>
    <m/>
    <n v="38041.25"/>
    <n v="0"/>
    <n v="38615.5707060758"/>
    <n v="0"/>
    <x v="2"/>
  </r>
  <r>
    <s v="Sistema de Compensação"/>
    <x v="0"/>
    <x v="0"/>
    <x v="1"/>
    <x v="1"/>
    <x v="2"/>
    <x v="0"/>
    <x v="1"/>
    <x v="4"/>
    <n v="121"/>
    <n v="116.16"/>
    <n v="0"/>
    <n v="0"/>
    <n v="0"/>
    <n v="0"/>
    <n v="1"/>
    <s v="CATIVO"/>
    <n v="0"/>
    <n v="65"/>
    <n v="0"/>
    <n v="0"/>
    <n v="23.41"/>
    <n v="0"/>
    <n v="0"/>
    <n v="23.763428126815878"/>
    <m/>
    <m/>
    <n v="113.30440000000009"/>
    <n v="0"/>
    <n v="115.01499213378894"/>
    <n v="0"/>
    <x v="2"/>
  </r>
  <r>
    <s v="Regular"/>
    <x v="0"/>
    <x v="0"/>
    <x v="1"/>
    <x v="1"/>
    <x v="2"/>
    <x v="0"/>
    <x v="1"/>
    <x v="5"/>
    <n v="42303"/>
    <n v="40610.879999999997"/>
    <n v="0"/>
    <n v="0"/>
    <n v="0"/>
    <n v="0"/>
    <n v="281"/>
    <s v="CATIVO"/>
    <n v="0"/>
    <n v="65"/>
    <n v="0"/>
    <n v="0"/>
    <n v="23.41"/>
    <n v="0"/>
    <n v="0"/>
    <n v="23.763428126815878"/>
    <m/>
    <m/>
    <n v="39612.529200000063"/>
    <n v="0"/>
    <n v="40210.572001947745"/>
    <n v="0"/>
    <x v="2"/>
  </r>
  <r>
    <s v="Sistema de Compensação"/>
    <x v="0"/>
    <x v="0"/>
    <x v="1"/>
    <x v="1"/>
    <x v="2"/>
    <x v="0"/>
    <x v="1"/>
    <x v="5"/>
    <n v="122"/>
    <n v="117.11999999999999"/>
    <n v="0"/>
    <n v="0"/>
    <n v="0"/>
    <n v="0"/>
    <n v="1"/>
    <s v="CATIVO"/>
    <n v="0"/>
    <n v="65"/>
    <n v="0"/>
    <n v="0"/>
    <n v="23.41"/>
    <n v="0"/>
    <n v="0"/>
    <n v="23.763428126815878"/>
    <m/>
    <m/>
    <n v="114.24080000000022"/>
    <n v="0"/>
    <n v="115.96552925886171"/>
    <n v="0"/>
    <x v="2"/>
  </r>
  <r>
    <s v="Regular"/>
    <x v="0"/>
    <x v="0"/>
    <x v="1"/>
    <x v="1"/>
    <x v="2"/>
    <x v="0"/>
    <x v="1"/>
    <x v="6"/>
    <n v="47299"/>
    <n v="45407.040000000001"/>
    <n v="0"/>
    <n v="0"/>
    <n v="0"/>
    <n v="0"/>
    <n v="282"/>
    <s v="CATIVO"/>
    <n v="0"/>
    <n v="65"/>
    <n v="0"/>
    <n v="0"/>
    <n v="23.41"/>
    <n v="0"/>
    <n v="0"/>
    <n v="23.763428126815878"/>
    <m/>
    <m/>
    <n v="44290.783599999981"/>
    <n v="0"/>
    <n v="44959.455478810545"/>
    <n v="0"/>
    <x v="2"/>
  </r>
  <r>
    <s v="Sistema de Compensação"/>
    <x v="0"/>
    <x v="0"/>
    <x v="1"/>
    <x v="1"/>
    <x v="2"/>
    <x v="0"/>
    <x v="1"/>
    <x v="6"/>
    <n v="121"/>
    <n v="116.16"/>
    <n v="0"/>
    <n v="0"/>
    <n v="0"/>
    <n v="0"/>
    <n v="1"/>
    <s v="CATIVO"/>
    <n v="0"/>
    <n v="65"/>
    <n v="0"/>
    <n v="0"/>
    <n v="23.41"/>
    <n v="0"/>
    <n v="0"/>
    <n v="23.763428126815878"/>
    <m/>
    <m/>
    <n v="113.30440000000009"/>
    <n v="0"/>
    <n v="115.01499213378894"/>
    <n v="0"/>
    <x v="2"/>
  </r>
  <r>
    <s v="Regular"/>
    <x v="0"/>
    <x v="0"/>
    <x v="1"/>
    <x v="1"/>
    <x v="2"/>
    <x v="0"/>
    <x v="1"/>
    <x v="7"/>
    <n v="46838"/>
    <n v="44964.480000000003"/>
    <n v="0"/>
    <n v="0"/>
    <n v="0"/>
    <n v="0"/>
    <n v="281"/>
    <s v="CATIVO"/>
    <n v="0"/>
    <n v="65"/>
    <n v="0"/>
    <n v="0"/>
    <n v="23.41"/>
    <n v="0"/>
    <n v="0"/>
    <n v="23.763428126815878"/>
    <m/>
    <m/>
    <n v="43859.103199999925"/>
    <n v="0"/>
    <n v="44521.257864152009"/>
    <n v="0"/>
    <x v="2"/>
  </r>
  <r>
    <s v="Sistema de Compensação"/>
    <x v="0"/>
    <x v="0"/>
    <x v="1"/>
    <x v="1"/>
    <x v="2"/>
    <x v="0"/>
    <x v="1"/>
    <x v="7"/>
    <n v="121"/>
    <n v="116.16"/>
    <n v="0"/>
    <n v="0"/>
    <n v="0"/>
    <n v="0"/>
    <n v="1"/>
    <s v="CATIVO"/>
    <n v="0"/>
    <n v="65"/>
    <n v="0"/>
    <n v="0"/>
    <n v="23.41"/>
    <n v="0"/>
    <n v="0"/>
    <n v="23.763428126815878"/>
    <m/>
    <m/>
    <n v="113.30440000000009"/>
    <n v="0"/>
    <n v="115.01499213378894"/>
    <n v="0"/>
    <x v="2"/>
  </r>
  <r>
    <s v="Regular"/>
    <x v="0"/>
    <x v="0"/>
    <x v="1"/>
    <x v="1"/>
    <x v="2"/>
    <x v="0"/>
    <x v="1"/>
    <x v="8"/>
    <n v="45532"/>
    <n v="43710.720000000001"/>
    <n v="0"/>
    <n v="0"/>
    <n v="0"/>
    <n v="0"/>
    <n v="283"/>
    <s v="CATIVO"/>
    <n v="0"/>
    <n v="65"/>
    <n v="0"/>
    <n v="0"/>
    <n v="23.41"/>
    <n v="0"/>
    <n v="0"/>
    <n v="23.763428126815878"/>
    <m/>
    <m/>
    <n v="42636.16479999997"/>
    <n v="0"/>
    <n v="43279.856378807192"/>
    <n v="0"/>
    <x v="2"/>
  </r>
  <r>
    <s v="Sistema de Compensação"/>
    <x v="0"/>
    <x v="0"/>
    <x v="1"/>
    <x v="1"/>
    <x v="2"/>
    <x v="0"/>
    <x v="1"/>
    <x v="8"/>
    <n v="119"/>
    <n v="114.24"/>
    <n v="0"/>
    <n v="0"/>
    <n v="0"/>
    <n v="0"/>
    <n v="1"/>
    <s v="CATIVO"/>
    <n v="0"/>
    <n v="65"/>
    <n v="0"/>
    <n v="0"/>
    <n v="23.41"/>
    <n v="0"/>
    <n v="0"/>
    <n v="23.763428126815878"/>
    <m/>
    <m/>
    <n v="111.43160000000012"/>
    <n v="0"/>
    <n v="113.11391788364369"/>
    <n v="0"/>
    <x v="2"/>
  </r>
  <r>
    <s v="Regular"/>
    <x v="0"/>
    <x v="0"/>
    <x v="1"/>
    <x v="1"/>
    <x v="2"/>
    <x v="0"/>
    <x v="1"/>
    <x v="9"/>
    <n v="43263"/>
    <n v="41532.480000000003"/>
    <n v="0"/>
    <n v="0"/>
    <n v="0"/>
    <n v="0"/>
    <n v="283"/>
    <s v="CATIVO"/>
    <n v="0"/>
    <n v="65"/>
    <n v="0"/>
    <n v="0"/>
    <n v="23.41"/>
    <n v="0"/>
    <n v="0"/>
    <n v="23.763428126815878"/>
    <m/>
    <m/>
    <n v="40511.473199999928"/>
    <n v="0"/>
    <n v="41123.087642017337"/>
    <n v="0"/>
    <x v="2"/>
  </r>
  <r>
    <s v="Sistema de Compensação"/>
    <x v="0"/>
    <x v="0"/>
    <x v="1"/>
    <x v="1"/>
    <x v="2"/>
    <x v="0"/>
    <x v="1"/>
    <x v="9"/>
    <n v="95"/>
    <n v="91.2"/>
    <n v="0"/>
    <n v="0"/>
    <n v="0"/>
    <n v="0"/>
    <n v="1"/>
    <s v="CATIVO"/>
    <n v="0"/>
    <n v="65"/>
    <n v="0"/>
    <n v="0"/>
    <n v="23.41"/>
    <n v="0"/>
    <n v="0"/>
    <n v="23.763428126815878"/>
    <m/>
    <m/>
    <n v="88.957999999999927"/>
    <n v="0"/>
    <n v="90.30102688190027"/>
    <n v="0"/>
    <x v="2"/>
  </r>
  <r>
    <s v="Regular"/>
    <x v="0"/>
    <x v="0"/>
    <x v="1"/>
    <x v="1"/>
    <x v="2"/>
    <x v="0"/>
    <x v="1"/>
    <x v="10"/>
    <n v="43841"/>
    <n v="42087.360000000001"/>
    <n v="0"/>
    <n v="0"/>
    <n v="0"/>
    <n v="0"/>
    <n v="283"/>
    <s v="CATIVO"/>
    <n v="0"/>
    <n v="65"/>
    <n v="0"/>
    <n v="0"/>
    <n v="23.41"/>
    <n v="0"/>
    <n v="0"/>
    <n v="23.763428126815878"/>
    <m/>
    <m/>
    <n v="41052.712399999989"/>
    <n v="0"/>
    <n v="41672.498100309385"/>
    <n v="0"/>
    <x v="2"/>
  </r>
  <r>
    <s v="Sistema de Compensação"/>
    <x v="0"/>
    <x v="0"/>
    <x v="1"/>
    <x v="1"/>
    <x v="2"/>
    <x v="0"/>
    <x v="1"/>
    <x v="10"/>
    <n v="120"/>
    <n v="115.19999999999999"/>
    <n v="0"/>
    <n v="0"/>
    <n v="0"/>
    <n v="0"/>
    <n v="1"/>
    <s v="CATIVO"/>
    <n v="0"/>
    <n v="65"/>
    <n v="0"/>
    <n v="0"/>
    <n v="23.41"/>
    <n v="0"/>
    <n v="0"/>
    <n v="23.763428126815878"/>
    <m/>
    <m/>
    <n v="112.36800000000027"/>
    <n v="0"/>
    <n v="114.06445500871648"/>
    <n v="0"/>
    <x v="2"/>
  </r>
  <r>
    <s v="PROJETADO"/>
    <x v="0"/>
    <x v="0"/>
    <x v="1"/>
    <x v="1"/>
    <x v="2"/>
    <x v="0"/>
    <x v="1"/>
    <x v="11"/>
    <n v="43841"/>
    <n v="42087.360000000001"/>
    <n v="0"/>
    <n v="0"/>
    <n v="0"/>
    <n v="0"/>
    <n v="283"/>
    <s v="CATIVO"/>
    <n v="0"/>
    <n v="65"/>
    <n v="0"/>
    <n v="0"/>
    <n v="23.41"/>
    <n v="0"/>
    <n v="0"/>
    <n v="23.763428126815878"/>
    <m/>
    <m/>
    <n v="41052.712399999989"/>
    <n v="0"/>
    <n v="41672.498100309385"/>
    <n v="0"/>
    <x v="2"/>
  </r>
  <r>
    <s v="PROJETADO"/>
    <x v="0"/>
    <x v="0"/>
    <x v="1"/>
    <x v="1"/>
    <x v="2"/>
    <x v="0"/>
    <x v="1"/>
    <x v="11"/>
    <n v="120"/>
    <n v="115.19999999999999"/>
    <n v="0"/>
    <n v="0"/>
    <n v="0"/>
    <n v="0"/>
    <n v="1"/>
    <s v="CATIVO"/>
    <n v="0"/>
    <n v="65"/>
    <n v="0"/>
    <n v="0"/>
    <n v="23.41"/>
    <n v="0"/>
    <n v="0"/>
    <n v="23.763428126815878"/>
    <m/>
    <m/>
    <n v="112.36800000000027"/>
    <n v="0"/>
    <n v="114.06445500871648"/>
    <n v="0"/>
    <x v="2"/>
  </r>
  <r>
    <s v="Regular"/>
    <x v="0"/>
    <x v="0"/>
    <x v="1"/>
    <x v="1"/>
    <x v="2"/>
    <x v="0"/>
    <x v="2"/>
    <x v="0"/>
    <n v="0"/>
    <n v="0"/>
    <n v="50.738999999999997"/>
    <n v="48.709439999999994"/>
    <n v="50.738999999999997"/>
    <n v="48.709439999999994"/>
    <n v="0"/>
    <s v="CATIVO"/>
    <n v="0"/>
    <n v="0"/>
    <n v="66"/>
    <n v="6"/>
    <n v="0"/>
    <n v="2263.58"/>
    <n v="223.72"/>
    <m/>
    <n v="2325.9355132623718"/>
    <n v="221.35055346817671"/>
    <n v="0"/>
    <n v="5048.1245880000088"/>
    <n v="0"/>
    <n v="5169.8699095936609"/>
    <x v="2"/>
  </r>
  <r>
    <s v="Regular"/>
    <x v="0"/>
    <x v="0"/>
    <x v="1"/>
    <x v="1"/>
    <x v="2"/>
    <x v="0"/>
    <x v="2"/>
    <x v="1"/>
    <n v="0"/>
    <n v="0"/>
    <n v="40.271000000000001"/>
    <n v="38.474913399999998"/>
    <n v="40.271000000000001"/>
    <n v="38.474913399999998"/>
    <n v="0"/>
    <s v="CATIVO"/>
    <n v="0"/>
    <n v="0"/>
    <n v="66"/>
    <n v="6"/>
    <n v="0"/>
    <n v="2263.58"/>
    <n v="223.72"/>
    <m/>
    <n v="2325.9355132623718"/>
    <n v="221.35055346817671"/>
    <n v="0"/>
    <n v="4467.4062001800057"/>
    <n v="0"/>
    <n v="4575.1463708214505"/>
    <x v="2"/>
  </r>
  <r>
    <s v="Regular"/>
    <x v="0"/>
    <x v="0"/>
    <x v="1"/>
    <x v="1"/>
    <x v="2"/>
    <x v="0"/>
    <x v="2"/>
    <x v="2"/>
    <n v="0"/>
    <n v="0"/>
    <n v="18.818000000000001"/>
    <n v="18.065280000000001"/>
    <n v="18.818000000000001"/>
    <n v="18.065280000000001"/>
    <n v="0"/>
    <s v="CATIVO"/>
    <n v="0"/>
    <n v="0"/>
    <n v="66"/>
    <n v="6"/>
    <n v="0"/>
    <n v="2263.58"/>
    <n v="223.72"/>
    <m/>
    <n v="2325.9355132623718"/>
    <n v="221.35055346817671"/>
    <n v="0"/>
    <n v="1872.2404560000002"/>
    <n v="0"/>
    <n v="1917.3931681494187"/>
    <x v="2"/>
  </r>
  <r>
    <s v="Sistema de Compensação"/>
    <x v="0"/>
    <x v="0"/>
    <x v="1"/>
    <x v="1"/>
    <x v="2"/>
    <x v="0"/>
    <x v="2"/>
    <x v="2"/>
    <n v="0"/>
    <n v="0"/>
    <n v="0.30599999999999999"/>
    <n v="0.29375999999999997"/>
    <n v="0.30599999999999999"/>
    <n v="0.29375999999999997"/>
    <n v="0"/>
    <s v="CATIVO"/>
    <n v="0"/>
    <n v="0"/>
    <n v="66"/>
    <n v="6"/>
    <n v="0"/>
    <n v="2263.58"/>
    <n v="223.72"/>
    <m/>
    <n v="2325.9355132623718"/>
    <n v="221.35055346817671"/>
    <n v="0"/>
    <n v="30.444552000000069"/>
    <n v="0"/>
    <n v="31.178781456781987"/>
    <x v="2"/>
  </r>
  <r>
    <s v="Regular"/>
    <x v="0"/>
    <x v="0"/>
    <x v="1"/>
    <x v="1"/>
    <x v="2"/>
    <x v="0"/>
    <x v="2"/>
    <x v="3"/>
    <n v="0"/>
    <n v="0"/>
    <n v="52.542000000000002"/>
    <n v="50.44032"/>
    <n v="52.542000000000002"/>
    <n v="50.44032"/>
    <n v="0"/>
    <s v="CATIVO"/>
    <n v="0"/>
    <n v="0"/>
    <n v="66"/>
    <n v="6"/>
    <n v="0"/>
    <n v="2263.58"/>
    <n v="223.72"/>
    <m/>
    <n v="2325.9355132623718"/>
    <n v="221.35055346817671"/>
    <n v="0"/>
    <n v="5227.5086640000045"/>
    <n v="0"/>
    <n v="5353.5801807262642"/>
    <x v="2"/>
  </r>
  <r>
    <s v="Sistema de Compensação"/>
    <x v="0"/>
    <x v="0"/>
    <x v="1"/>
    <x v="1"/>
    <x v="2"/>
    <x v="0"/>
    <x v="2"/>
    <x v="3"/>
    <n v="0"/>
    <n v="0"/>
    <n v="6.7000000000000004E-2"/>
    <n v="6.4320000000000002E-2"/>
    <n v="6.7000000000000004E-2"/>
    <n v="6.4320000000000002E-2"/>
    <n v="0"/>
    <s v="CATIVO"/>
    <n v="0"/>
    <n v="0"/>
    <n v="66"/>
    <n v="6"/>
    <n v="0"/>
    <n v="2263.58"/>
    <n v="223.72"/>
    <m/>
    <n v="2325.9355132623718"/>
    <n v="221.35055346817671"/>
    <n v="0"/>
    <n v="6.6659640000000042"/>
    <n v="0"/>
    <n v="6.8267266588378748"/>
    <x v="2"/>
  </r>
  <r>
    <s v="Regular"/>
    <x v="0"/>
    <x v="0"/>
    <x v="1"/>
    <x v="1"/>
    <x v="2"/>
    <x v="0"/>
    <x v="2"/>
    <x v="4"/>
    <n v="0"/>
    <n v="0"/>
    <n v="49.073999999999998"/>
    <n v="47.111040000000003"/>
    <n v="49.073999999999998"/>
    <n v="47.111040000000003"/>
    <n v="0"/>
    <s v="CATIVO"/>
    <n v="0"/>
    <n v="0"/>
    <n v="66"/>
    <n v="6"/>
    <n v="0"/>
    <n v="2263.58"/>
    <n v="223.72"/>
    <m/>
    <n v="2325.9355132623718"/>
    <n v="221.35055346817671"/>
    <n v="0"/>
    <n v="4882.4704079999883"/>
    <n v="0"/>
    <n v="5000.2206575493856"/>
    <x v="2"/>
  </r>
  <r>
    <s v="Regular"/>
    <x v="0"/>
    <x v="0"/>
    <x v="1"/>
    <x v="1"/>
    <x v="2"/>
    <x v="0"/>
    <x v="2"/>
    <x v="5"/>
    <n v="0"/>
    <n v="0"/>
    <n v="55.771000000000001"/>
    <n v="53.54016"/>
    <n v="55.771000000000001"/>
    <n v="53.54016"/>
    <n v="0"/>
    <s v="CATIVO"/>
    <n v="0"/>
    <n v="0"/>
    <n v="66"/>
    <n v="6"/>
    <n v="0"/>
    <n v="2263.58"/>
    <n v="223.72"/>
    <m/>
    <n v="2325.9355132623718"/>
    <n v="221.35055346817671"/>
    <n v="0"/>
    <n v="5548.7683320000015"/>
    <n v="0"/>
    <n v="5682.5876491051786"/>
    <x v="2"/>
  </r>
  <r>
    <s v="Regular"/>
    <x v="0"/>
    <x v="0"/>
    <x v="1"/>
    <x v="1"/>
    <x v="2"/>
    <x v="0"/>
    <x v="2"/>
    <x v="6"/>
    <n v="0"/>
    <n v="0"/>
    <n v="44.161000000000001"/>
    <n v="42.394559999999998"/>
    <n v="44.161000000000001"/>
    <n v="42.394559999999998"/>
    <n v="0"/>
    <s v="CATIVO"/>
    <n v="0"/>
    <n v="0"/>
    <n v="66"/>
    <n v="6"/>
    <n v="0"/>
    <n v="2263.58"/>
    <n v="223.72"/>
    <m/>
    <n v="2325.9355132623718"/>
    <n v="221.35055346817671"/>
    <n v="0"/>
    <n v="4393.6662120000074"/>
    <n v="0"/>
    <n v="4499.627999715517"/>
    <x v="2"/>
  </r>
  <r>
    <s v="Regular"/>
    <x v="0"/>
    <x v="0"/>
    <x v="1"/>
    <x v="1"/>
    <x v="2"/>
    <x v="0"/>
    <x v="2"/>
    <x v="7"/>
    <n v="0"/>
    <n v="0"/>
    <n v="74.503"/>
    <n v="71.522880000000001"/>
    <n v="74.503"/>
    <n v="71.522880000000001"/>
    <n v="0"/>
    <s v="CATIVO"/>
    <n v="0"/>
    <n v="0"/>
    <n v="66"/>
    <n v="6"/>
    <n v="0"/>
    <n v="2263.58"/>
    <n v="223.72"/>
    <m/>
    <n v="2325.9355132623718"/>
    <n v="221.35055346817671"/>
    <n v="0"/>
    <n v="7412.4524759999986"/>
    <n v="0"/>
    <n v="7591.2181531850401"/>
    <x v="2"/>
  </r>
  <r>
    <s v="Sistema de Compensação"/>
    <x v="0"/>
    <x v="0"/>
    <x v="1"/>
    <x v="1"/>
    <x v="2"/>
    <x v="0"/>
    <x v="2"/>
    <x v="7"/>
    <n v="0"/>
    <n v="0"/>
    <n v="7.4999999999999997E-2"/>
    <n v="7.1999999999999995E-2"/>
    <n v="7.4999999999999997E-2"/>
    <n v="7.1999999999999995E-2"/>
    <n v="0"/>
    <s v="CATIVO"/>
    <n v="0"/>
    <n v="0"/>
    <n v="66"/>
    <n v="6"/>
    <n v="0"/>
    <n v="2263.58"/>
    <n v="223.72"/>
    <m/>
    <n v="2325.9355132623718"/>
    <n v="221.35055346817671"/>
    <n v="0"/>
    <n v="7.4619000000000062"/>
    <n v="0"/>
    <n v="7.6418582001916526"/>
    <x v="2"/>
  </r>
  <r>
    <s v="Regular"/>
    <x v="0"/>
    <x v="0"/>
    <x v="1"/>
    <x v="1"/>
    <x v="2"/>
    <x v="0"/>
    <x v="2"/>
    <x v="8"/>
    <n v="0"/>
    <n v="0"/>
    <n v="74.665999999999997"/>
    <n v="71.679360000000003"/>
    <n v="74.665999999999997"/>
    <n v="71.679360000000003"/>
    <n v="0"/>
    <s v="CATIVO"/>
    <n v="0"/>
    <n v="0"/>
    <n v="66"/>
    <n v="6"/>
    <n v="0"/>
    <n v="2263.58"/>
    <n v="223.72"/>
    <m/>
    <n v="2325.9355132623718"/>
    <n v="221.35055346817671"/>
    <n v="0"/>
    <n v="7428.6696719999854"/>
    <n v="0"/>
    <n v="7607.8264583401105"/>
    <x v="2"/>
  </r>
  <r>
    <s v="Refaturamento - Regular"/>
    <x v="0"/>
    <x v="0"/>
    <x v="1"/>
    <x v="1"/>
    <x v="2"/>
    <x v="0"/>
    <x v="2"/>
    <x v="8"/>
    <n v="0"/>
    <n v="0"/>
    <n v="-1.665"/>
    <n v="-1.5984"/>
    <n v="-1.665"/>
    <n v="-1.5984"/>
    <n v="0"/>
    <s v="CATIVO"/>
    <n v="0"/>
    <n v="0"/>
    <n v="66"/>
    <n v="6"/>
    <n v="0"/>
    <n v="2263.58"/>
    <n v="223.72"/>
    <m/>
    <n v="2325.9355132623718"/>
    <n v="221.35055346817671"/>
    <n v="0"/>
    <n v="-165.65418"/>
    <n v="0"/>
    <n v="-169.6492520442545"/>
    <x v="2"/>
  </r>
  <r>
    <s v="Sistema de Compensação"/>
    <x v="0"/>
    <x v="0"/>
    <x v="1"/>
    <x v="1"/>
    <x v="2"/>
    <x v="0"/>
    <x v="2"/>
    <x v="8"/>
    <n v="0"/>
    <n v="0"/>
    <n v="2.3E-2"/>
    <n v="2.2079999999999999E-2"/>
    <n v="2.3E-2"/>
    <n v="2.2079999999999999E-2"/>
    <n v="0"/>
    <s v="CATIVO"/>
    <n v="0"/>
    <n v="0"/>
    <n v="66"/>
    <n v="6"/>
    <n v="0"/>
    <n v="2263.58"/>
    <n v="223.72"/>
    <m/>
    <n v="2325.9355132623718"/>
    <n v="221.35055346817671"/>
    <n v="0"/>
    <n v="2.2883160000000018"/>
    <n v="0"/>
    <n v="2.3435031813921063"/>
    <x v="2"/>
  </r>
  <r>
    <s v="Regular"/>
    <x v="0"/>
    <x v="0"/>
    <x v="1"/>
    <x v="1"/>
    <x v="2"/>
    <x v="0"/>
    <x v="2"/>
    <x v="9"/>
    <n v="0"/>
    <n v="0"/>
    <n v="42.938000000000002"/>
    <n v="41.220480000000002"/>
    <n v="42.938000000000002"/>
    <n v="41.220480000000002"/>
    <n v="0"/>
    <s v="CATIVO"/>
    <n v="0"/>
    <n v="0"/>
    <n v="66"/>
    <n v="6"/>
    <n v="0"/>
    <n v="2263.58"/>
    <n v="223.72"/>
    <m/>
    <n v="2325.9355132623718"/>
    <n v="221.35055346817671"/>
    <n v="0"/>
    <n v="4271.9874960000006"/>
    <n v="0"/>
    <n v="4375.0147653310532"/>
    <x v="2"/>
  </r>
  <r>
    <s v="Regular"/>
    <x v="0"/>
    <x v="0"/>
    <x v="1"/>
    <x v="1"/>
    <x v="2"/>
    <x v="0"/>
    <x v="2"/>
    <x v="10"/>
    <n v="0"/>
    <n v="0"/>
    <n v="71.948999999999998"/>
    <n v="69.071039999999996"/>
    <n v="71.948999999999998"/>
    <n v="69.071039999999996"/>
    <n v="0"/>
    <s v="CATIVO"/>
    <n v="0"/>
    <n v="0"/>
    <n v="66"/>
    <n v="6"/>
    <n v="0"/>
    <n v="2263.58"/>
    <n v="223.72"/>
    <m/>
    <n v="2325.9355132623718"/>
    <n v="221.35055346817671"/>
    <n v="0"/>
    <n v="7158.3499080000038"/>
    <n v="0"/>
    <n v="7330.9874086078535"/>
    <x v="2"/>
  </r>
  <r>
    <s v="Sistema de Compensação"/>
    <x v="0"/>
    <x v="0"/>
    <x v="1"/>
    <x v="1"/>
    <x v="2"/>
    <x v="0"/>
    <x v="2"/>
    <x v="10"/>
    <n v="0"/>
    <n v="0"/>
    <n v="1.2E-2"/>
    <n v="1.1519999999999999E-2"/>
    <n v="1.2E-2"/>
    <n v="1.1519999999999999E-2"/>
    <n v="0"/>
    <s v="CATIVO"/>
    <n v="0"/>
    <n v="0"/>
    <n v="66"/>
    <n v="6"/>
    <n v="0"/>
    <n v="2263.58"/>
    <n v="223.72"/>
    <m/>
    <n v="2325.9355132623718"/>
    <n v="221.35055346817671"/>
    <n v="0"/>
    <n v="1.193904000000003"/>
    <n v="0"/>
    <n v="1.2226973120306663"/>
    <x v="2"/>
  </r>
  <r>
    <s v="PROJETADO"/>
    <x v="0"/>
    <x v="0"/>
    <x v="1"/>
    <x v="1"/>
    <x v="2"/>
    <x v="0"/>
    <x v="2"/>
    <x v="11"/>
    <n v="0"/>
    <n v="0"/>
    <n v="71.948999999999998"/>
    <n v="69.071039999999996"/>
    <n v="71.948999999999998"/>
    <n v="69.071039999999996"/>
    <n v="0"/>
    <s v="CATIVO"/>
    <n v="0"/>
    <n v="0"/>
    <n v="66"/>
    <n v="6"/>
    <n v="0"/>
    <n v="2263.58"/>
    <n v="223.72"/>
    <m/>
    <n v="2325.9355132623718"/>
    <n v="221.35055346817671"/>
    <n v="0"/>
    <n v="7158.3499080000038"/>
    <n v="0"/>
    <n v="7330.9874086078535"/>
    <x v="2"/>
  </r>
  <r>
    <s v="PROJETADO"/>
    <x v="0"/>
    <x v="0"/>
    <x v="1"/>
    <x v="1"/>
    <x v="2"/>
    <x v="0"/>
    <x v="2"/>
    <x v="11"/>
    <n v="0"/>
    <n v="0"/>
    <n v="1.2E-2"/>
    <n v="1.1519999999999999E-2"/>
    <n v="1.2E-2"/>
    <n v="1.1519999999999999E-2"/>
    <n v="0"/>
    <s v="CATIVO"/>
    <n v="0"/>
    <n v="0"/>
    <n v="66"/>
    <n v="6"/>
    <n v="0"/>
    <n v="2263.58"/>
    <n v="223.72"/>
    <m/>
    <n v="2325.9355132623718"/>
    <n v="221.35055346817671"/>
    <n v="0"/>
    <n v="1.193904000000003"/>
    <n v="0"/>
    <n v="1.2226973120306663"/>
    <x v="2"/>
  </r>
  <r>
    <s v="Regular"/>
    <x v="0"/>
    <x v="0"/>
    <x v="1"/>
    <x v="0"/>
    <x v="2"/>
    <x v="0"/>
    <x v="0"/>
    <x v="0"/>
    <n v="0"/>
    <n v="0"/>
    <n v="188.108"/>
    <n v="180.58367999999999"/>
    <n v="188.108"/>
    <n v="180.58367999999999"/>
    <n v="0"/>
    <s v="CATIVO"/>
    <n v="0"/>
    <n v="0"/>
    <n v="47"/>
    <n v="27"/>
    <n v="0"/>
    <n v="72.23"/>
    <n v="223.72"/>
    <m/>
    <n v="102.01454208880898"/>
    <n v="221.35055346817671"/>
    <n v="0"/>
    <n v="2226.8225040000052"/>
    <n v="0"/>
    <n v="2433.1024558013441"/>
    <x v="2"/>
  </r>
  <r>
    <s v="Regular"/>
    <x v="0"/>
    <x v="0"/>
    <x v="1"/>
    <x v="0"/>
    <x v="2"/>
    <x v="0"/>
    <x v="0"/>
    <x v="1"/>
    <n v="0"/>
    <n v="0"/>
    <n v="146.77600000000001"/>
    <n v="140.61140800000001"/>
    <n v="146.77600000000001"/>
    <n v="140.61140800000001"/>
    <n v="0"/>
    <s v="CATIVO"/>
    <n v="0"/>
    <n v="0"/>
    <n v="47"/>
    <n v="27"/>
    <n v="0"/>
    <n v="72.23"/>
    <n v="223.72"/>
    <m/>
    <n v="102.01454208880898"/>
    <n v="221.35055346817671"/>
    <n v="0"/>
    <n v="1824.4110023999997"/>
    <n v="0"/>
    <n v="1993.4138811498292"/>
    <x v="2"/>
  </r>
  <r>
    <s v="Regular"/>
    <x v="0"/>
    <x v="0"/>
    <x v="1"/>
    <x v="0"/>
    <x v="2"/>
    <x v="0"/>
    <x v="0"/>
    <x v="2"/>
    <n v="0"/>
    <n v="0"/>
    <n v="133.42400000000001"/>
    <n v="128.08704"/>
    <n v="133.42400000000001"/>
    <n v="128.08704"/>
    <n v="0"/>
    <s v="CATIVO"/>
    <n v="0"/>
    <n v="0"/>
    <n v="47"/>
    <n v="27"/>
    <n v="0"/>
    <n v="72.23"/>
    <n v="223.72"/>
    <m/>
    <n v="102.01454208880898"/>
    <n v="221.35055346817671"/>
    <n v="0"/>
    <n v="1579.4733120000014"/>
    <n v="0"/>
    <n v="1725.7865803838122"/>
    <x v="2"/>
  </r>
  <r>
    <s v="Regular"/>
    <x v="0"/>
    <x v="0"/>
    <x v="1"/>
    <x v="0"/>
    <x v="2"/>
    <x v="0"/>
    <x v="0"/>
    <x v="3"/>
    <n v="0"/>
    <n v="0"/>
    <n v="162.58199999999999"/>
    <n v="156.07872"/>
    <n v="162.58199999999999"/>
    <n v="156.07872"/>
    <n v="0"/>
    <s v="CATIVO"/>
    <n v="0"/>
    <n v="0"/>
    <n v="47"/>
    <n v="27"/>
    <n v="0"/>
    <n v="72.23"/>
    <n v="223.72"/>
    <m/>
    <n v="102.01454208880898"/>
    <n v="221.35055346817671"/>
    <n v="0"/>
    <n v="1924.6457159999968"/>
    <n v="0"/>
    <n v="2102.9337586338306"/>
    <x v="2"/>
  </r>
  <r>
    <s v="Regular"/>
    <x v="0"/>
    <x v="0"/>
    <x v="1"/>
    <x v="0"/>
    <x v="2"/>
    <x v="0"/>
    <x v="0"/>
    <x v="4"/>
    <n v="0"/>
    <n v="0"/>
    <n v="189.41"/>
    <n v="181.83359999999999"/>
    <n v="189.41"/>
    <n v="181.83359999999999"/>
    <n v="0"/>
    <s v="CATIVO"/>
    <n v="0"/>
    <n v="0"/>
    <n v="47"/>
    <n v="27"/>
    <n v="0"/>
    <n v="72.23"/>
    <n v="223.72"/>
    <m/>
    <n v="102.01454208880898"/>
    <n v="221.35055346817671"/>
    <n v="0"/>
    <n v="2242.2355800000018"/>
    <n v="0"/>
    <n v="2449.9433099779485"/>
    <x v="2"/>
  </r>
  <r>
    <s v="Regular"/>
    <x v="0"/>
    <x v="0"/>
    <x v="1"/>
    <x v="0"/>
    <x v="2"/>
    <x v="0"/>
    <x v="0"/>
    <x v="5"/>
    <n v="0"/>
    <n v="0"/>
    <n v="207.28800000000001"/>
    <n v="198.99647999999999"/>
    <n v="207.28800000000001"/>
    <n v="198.99647999999999"/>
    <n v="0"/>
    <s v="CATIVO"/>
    <n v="0"/>
    <n v="0"/>
    <n v="47"/>
    <n v="27"/>
    <n v="0"/>
    <n v="72.23"/>
    <n v="223.72"/>
    <m/>
    <n v="102.01454208880898"/>
    <n v="221.35055346817671"/>
    <n v="0"/>
    <n v="2453.875344000006"/>
    <n v="0"/>
    <n v="2681.1881571126646"/>
    <x v="2"/>
  </r>
  <r>
    <s v="Regular"/>
    <x v="0"/>
    <x v="0"/>
    <x v="1"/>
    <x v="0"/>
    <x v="2"/>
    <x v="0"/>
    <x v="0"/>
    <x v="6"/>
    <n v="0"/>
    <n v="0"/>
    <n v="183.16399999999999"/>
    <n v="175.83743999999999"/>
    <n v="183.16399999999999"/>
    <n v="175.83743999999999"/>
    <n v="0"/>
    <s v="CATIVO"/>
    <n v="0"/>
    <n v="0"/>
    <n v="47"/>
    <n v="27"/>
    <n v="0"/>
    <n v="72.23"/>
    <n v="223.72"/>
    <m/>
    <n v="102.01454208880898"/>
    <n v="221.35055346817671"/>
    <n v="0"/>
    <n v="2168.2954320000003"/>
    <n v="0"/>
    <n v="2369.1537745039891"/>
    <x v="2"/>
  </r>
  <r>
    <s v="Regular"/>
    <x v="0"/>
    <x v="0"/>
    <x v="1"/>
    <x v="0"/>
    <x v="2"/>
    <x v="0"/>
    <x v="0"/>
    <x v="7"/>
    <n v="0"/>
    <n v="0"/>
    <n v="225.84800000000001"/>
    <n v="216.81407999999999"/>
    <n v="225.84800000000001"/>
    <n v="216.81407999999999"/>
    <n v="0"/>
    <s v="CATIVO"/>
    <n v="0"/>
    <n v="0"/>
    <n v="47"/>
    <n v="27"/>
    <n v="0"/>
    <n v="72.23"/>
    <n v="223.72"/>
    <m/>
    <n v="102.01454208880898"/>
    <n v="221.35055346817671"/>
    <n v="0"/>
    <n v="2673.5886240000068"/>
    <n v="0"/>
    <n v="2921.2544040541716"/>
    <x v="2"/>
  </r>
  <r>
    <s v="Regular"/>
    <x v="0"/>
    <x v="0"/>
    <x v="1"/>
    <x v="0"/>
    <x v="2"/>
    <x v="0"/>
    <x v="0"/>
    <x v="8"/>
    <n v="0"/>
    <n v="0"/>
    <n v="220.56800000000001"/>
    <n v="211.74528000000001"/>
    <n v="220.56800000000001"/>
    <n v="211.74528000000001"/>
    <n v="0"/>
    <s v="CATIVO"/>
    <n v="0"/>
    <n v="0"/>
    <n v="47"/>
    <n v="27"/>
    <n v="0"/>
    <n v="72.23"/>
    <n v="223.72"/>
    <m/>
    <n v="102.01454208880898"/>
    <n v="221.35055346817671"/>
    <n v="0"/>
    <n v="2611.0839840000012"/>
    <n v="0"/>
    <n v="2852.9596958725301"/>
    <x v="2"/>
  </r>
  <r>
    <s v="Regular"/>
    <x v="0"/>
    <x v="0"/>
    <x v="1"/>
    <x v="0"/>
    <x v="2"/>
    <x v="0"/>
    <x v="0"/>
    <x v="9"/>
    <n v="0"/>
    <n v="0"/>
    <n v="219.31399999999999"/>
    <n v="210.54143999999999"/>
    <n v="219.31399999999999"/>
    <n v="210.54143999999999"/>
    <n v="0"/>
    <s v="CATIVO"/>
    <n v="0"/>
    <n v="0"/>
    <n v="47"/>
    <n v="27"/>
    <n v="0"/>
    <n v="72.23"/>
    <n v="223.72"/>
    <m/>
    <n v="102.01454208880898"/>
    <n v="221.35055346817671"/>
    <n v="0"/>
    <n v="2596.2391319999997"/>
    <n v="0"/>
    <n v="2836.7397026793897"/>
    <x v="2"/>
  </r>
  <r>
    <s v="Regular"/>
    <x v="0"/>
    <x v="0"/>
    <x v="1"/>
    <x v="0"/>
    <x v="2"/>
    <x v="0"/>
    <x v="0"/>
    <x v="10"/>
    <n v="0"/>
    <n v="0"/>
    <n v="278.76299999999998"/>
    <n v="267.61248000000001"/>
    <n v="278.76299999999998"/>
    <n v="267.61248000000001"/>
    <n v="0"/>
    <s v="CATIVO"/>
    <n v="0"/>
    <n v="0"/>
    <n v="47"/>
    <n v="27"/>
    <n v="0"/>
    <n v="72.23"/>
    <n v="223.72"/>
    <m/>
    <n v="102.01454208880898"/>
    <n v="221.35055346817671"/>
    <n v="0"/>
    <n v="3299.9963939999916"/>
    <n v="0"/>
    <n v="3605.6889653100707"/>
    <x v="2"/>
  </r>
  <r>
    <s v="PROJETADO"/>
    <x v="0"/>
    <x v="0"/>
    <x v="1"/>
    <x v="0"/>
    <x v="2"/>
    <x v="0"/>
    <x v="0"/>
    <x v="11"/>
    <n v="0"/>
    <n v="0"/>
    <n v="278.76299999999998"/>
    <n v="267.61248000000001"/>
    <n v="278.76299999999998"/>
    <n v="267.61248000000001"/>
    <n v="0"/>
    <s v="CATIVO"/>
    <n v="0"/>
    <n v="0"/>
    <n v="47"/>
    <n v="27"/>
    <n v="0"/>
    <n v="72.23"/>
    <n v="223.72"/>
    <m/>
    <n v="102.01454208880898"/>
    <n v="221.35055346817671"/>
    <n v="0"/>
    <n v="3299.9963939999916"/>
    <n v="0"/>
    <n v="3605.6889653100707"/>
    <x v="2"/>
  </r>
  <r>
    <s v="Regular"/>
    <x v="0"/>
    <x v="0"/>
    <x v="1"/>
    <x v="0"/>
    <x v="2"/>
    <x v="0"/>
    <x v="1"/>
    <x v="0"/>
    <n v="1432"/>
    <n v="1374.72"/>
    <n v="0"/>
    <n v="0"/>
    <n v="0"/>
    <n v="0"/>
    <n v="12"/>
    <s v="CATIVO"/>
    <n v="0"/>
    <n v="65"/>
    <n v="0"/>
    <n v="0"/>
    <n v="23.41"/>
    <n v="0"/>
    <n v="0"/>
    <n v="23.763428126815878"/>
    <m/>
    <m/>
    <n v="1340.9247999999993"/>
    <n v="0"/>
    <n v="1361.1691631040128"/>
    <n v="0"/>
    <x v="2"/>
  </r>
  <r>
    <s v="Regular"/>
    <x v="0"/>
    <x v="0"/>
    <x v="1"/>
    <x v="0"/>
    <x v="2"/>
    <x v="0"/>
    <x v="1"/>
    <x v="1"/>
    <n v="1066"/>
    <n v="1021.228"/>
    <n v="0"/>
    <n v="0"/>
    <n v="0"/>
    <n v="0"/>
    <n v="12"/>
    <s v="CATIVO"/>
    <n v="0"/>
    <n v="65"/>
    <n v="0"/>
    <n v="0"/>
    <n v="23.41"/>
    <n v="0"/>
    <n v="0"/>
    <n v="23.763428126815878"/>
    <m/>
    <m/>
    <n v="1048.112520000001"/>
    <n v="0"/>
    <n v="1063.9362040938017"/>
    <n v="0"/>
    <x v="2"/>
  </r>
  <r>
    <s v="Regular"/>
    <x v="0"/>
    <x v="0"/>
    <x v="1"/>
    <x v="0"/>
    <x v="2"/>
    <x v="0"/>
    <x v="1"/>
    <x v="2"/>
    <n v="1292"/>
    <n v="1240.32"/>
    <n v="0"/>
    <n v="0"/>
    <n v="0"/>
    <n v="0"/>
    <n v="12"/>
    <s v="CATIVO"/>
    <n v="0"/>
    <n v="65"/>
    <n v="0"/>
    <n v="0"/>
    <n v="23.41"/>
    <n v="0"/>
    <n v="0"/>
    <n v="23.763428126815878"/>
    <m/>
    <m/>
    <n v="1209.8288000000016"/>
    <n v="0"/>
    <n v="1228.0939655938462"/>
    <n v="0"/>
    <x v="2"/>
  </r>
  <r>
    <s v="Regular"/>
    <x v="0"/>
    <x v="0"/>
    <x v="1"/>
    <x v="0"/>
    <x v="2"/>
    <x v="0"/>
    <x v="1"/>
    <x v="3"/>
    <n v="1311"/>
    <n v="1258.56"/>
    <n v="0"/>
    <n v="0"/>
    <n v="0"/>
    <n v="0"/>
    <n v="12"/>
    <s v="CATIVO"/>
    <n v="0"/>
    <n v="65"/>
    <n v="0"/>
    <n v="0"/>
    <n v="23.41"/>
    <n v="0"/>
    <n v="0"/>
    <n v="23.763428126815878"/>
    <m/>
    <m/>
    <n v="1227.6204000000014"/>
    <n v="0"/>
    <n v="1246.154170970226"/>
    <n v="0"/>
    <x v="2"/>
  </r>
  <r>
    <s v="Regular"/>
    <x v="0"/>
    <x v="0"/>
    <x v="1"/>
    <x v="0"/>
    <x v="2"/>
    <x v="0"/>
    <x v="1"/>
    <x v="4"/>
    <n v="1384"/>
    <n v="1328.64"/>
    <n v="0"/>
    <n v="0"/>
    <n v="0"/>
    <n v="0"/>
    <n v="12"/>
    <s v="CATIVO"/>
    <n v="0"/>
    <n v="65"/>
    <n v="0"/>
    <n v="0"/>
    <n v="23.41"/>
    <n v="0"/>
    <n v="0"/>
    <n v="23.763428126815878"/>
    <m/>
    <m/>
    <n v="1295.9775999999977"/>
    <n v="0"/>
    <n v="1315.5433811005246"/>
    <n v="0"/>
    <x v="2"/>
  </r>
  <r>
    <s v="Regular"/>
    <x v="0"/>
    <x v="0"/>
    <x v="1"/>
    <x v="0"/>
    <x v="2"/>
    <x v="0"/>
    <x v="1"/>
    <x v="5"/>
    <n v="1484"/>
    <n v="1424.64"/>
    <n v="0"/>
    <n v="0"/>
    <n v="0"/>
    <n v="0"/>
    <n v="13"/>
    <s v="CATIVO"/>
    <n v="0"/>
    <n v="65"/>
    <n v="0"/>
    <n v="0"/>
    <n v="23.41"/>
    <n v="0"/>
    <n v="0"/>
    <n v="23.763428126815878"/>
    <m/>
    <m/>
    <n v="1389.6175999999978"/>
    <n v="0"/>
    <n v="1410.5970936077881"/>
    <n v="0"/>
    <x v="2"/>
  </r>
  <r>
    <s v="Regular"/>
    <x v="0"/>
    <x v="0"/>
    <x v="1"/>
    <x v="0"/>
    <x v="2"/>
    <x v="0"/>
    <x v="1"/>
    <x v="6"/>
    <n v="1377"/>
    <n v="1321.92"/>
    <n v="0"/>
    <n v="0"/>
    <n v="0"/>
    <n v="0"/>
    <n v="13"/>
    <s v="CATIVO"/>
    <n v="0"/>
    <n v="65"/>
    <n v="0"/>
    <n v="0"/>
    <n v="23.41"/>
    <n v="0"/>
    <n v="0"/>
    <n v="23.763428126815878"/>
    <m/>
    <m/>
    <n v="1289.4227999999982"/>
    <n v="0"/>
    <n v="1308.8896212250168"/>
    <n v="0"/>
    <x v="2"/>
  </r>
  <r>
    <s v="Regular"/>
    <x v="0"/>
    <x v="0"/>
    <x v="1"/>
    <x v="0"/>
    <x v="2"/>
    <x v="0"/>
    <x v="1"/>
    <x v="7"/>
    <n v="1383"/>
    <n v="1327.68"/>
    <n v="0"/>
    <n v="0"/>
    <n v="0"/>
    <n v="0"/>
    <n v="13"/>
    <s v="CATIVO"/>
    <n v="0"/>
    <n v="65"/>
    <n v="0"/>
    <n v="0"/>
    <n v="23.41"/>
    <n v="0"/>
    <n v="0"/>
    <n v="23.763428126815878"/>
    <m/>
    <m/>
    <n v="1295.0411999999985"/>
    <n v="0"/>
    <n v="1314.5928439754528"/>
    <n v="0"/>
    <x v="2"/>
  </r>
  <r>
    <s v="Regular"/>
    <x v="0"/>
    <x v="0"/>
    <x v="1"/>
    <x v="0"/>
    <x v="2"/>
    <x v="0"/>
    <x v="1"/>
    <x v="8"/>
    <n v="1410"/>
    <n v="1353.6"/>
    <n v="0"/>
    <n v="0"/>
    <n v="0"/>
    <n v="0"/>
    <n v="13"/>
    <s v="CATIVO"/>
    <n v="0"/>
    <n v="65"/>
    <n v="0"/>
    <n v="0"/>
    <n v="23.41"/>
    <n v="0"/>
    <n v="0"/>
    <n v="23.763428126815878"/>
    <m/>
    <m/>
    <n v="1320.3240000000021"/>
    <n v="0"/>
    <n v="1340.2573463524177"/>
    <n v="0"/>
    <x v="2"/>
  </r>
  <r>
    <s v="Regular"/>
    <x v="0"/>
    <x v="0"/>
    <x v="1"/>
    <x v="0"/>
    <x v="2"/>
    <x v="0"/>
    <x v="1"/>
    <x v="9"/>
    <n v="1300"/>
    <n v="1248"/>
    <n v="0"/>
    <n v="0"/>
    <n v="0"/>
    <n v="0"/>
    <n v="13"/>
    <s v="CATIVO"/>
    <n v="0"/>
    <n v="65"/>
    <n v="0"/>
    <n v="0"/>
    <n v="23.41"/>
    <n v="0"/>
    <n v="0"/>
    <n v="23.763428126815878"/>
    <m/>
    <m/>
    <n v="1217.32"/>
    <n v="0"/>
    <n v="1235.6982625944256"/>
    <n v="0"/>
    <x v="2"/>
  </r>
  <r>
    <s v="Regular"/>
    <x v="0"/>
    <x v="0"/>
    <x v="1"/>
    <x v="0"/>
    <x v="2"/>
    <x v="0"/>
    <x v="1"/>
    <x v="10"/>
    <n v="1383"/>
    <n v="1327.68"/>
    <n v="0"/>
    <n v="0"/>
    <n v="0"/>
    <n v="0"/>
    <n v="13"/>
    <s v="CATIVO"/>
    <n v="0"/>
    <n v="65"/>
    <n v="0"/>
    <n v="0"/>
    <n v="23.41"/>
    <n v="0"/>
    <n v="0"/>
    <n v="23.763428126815878"/>
    <m/>
    <m/>
    <n v="1295.0411999999985"/>
    <n v="0"/>
    <n v="1314.5928439754528"/>
    <n v="0"/>
    <x v="2"/>
  </r>
  <r>
    <s v="PROJETADO"/>
    <x v="0"/>
    <x v="0"/>
    <x v="1"/>
    <x v="0"/>
    <x v="2"/>
    <x v="0"/>
    <x v="1"/>
    <x v="11"/>
    <n v="1383"/>
    <n v="1327.68"/>
    <n v="0"/>
    <n v="0"/>
    <n v="0"/>
    <n v="0"/>
    <n v="13"/>
    <s v="CATIVO"/>
    <n v="0"/>
    <n v="65"/>
    <n v="0"/>
    <n v="0"/>
    <n v="23.41"/>
    <n v="0"/>
    <n v="0"/>
    <n v="23.763428126815878"/>
    <m/>
    <m/>
    <n v="1295.0411999999985"/>
    <n v="0"/>
    <n v="1314.5928439754528"/>
    <n v="0"/>
    <x v="2"/>
  </r>
  <r>
    <s v="Regular"/>
    <x v="0"/>
    <x v="0"/>
    <x v="1"/>
    <x v="0"/>
    <x v="2"/>
    <x v="0"/>
    <x v="2"/>
    <x v="0"/>
    <n v="0"/>
    <n v="0"/>
    <n v="13.541"/>
    <n v="12.999359999999999"/>
    <n v="13.541"/>
    <n v="12.999359999999999"/>
    <n v="0"/>
    <s v="CATIVO"/>
    <n v="0"/>
    <n v="0"/>
    <n v="66"/>
    <n v="6"/>
    <n v="0"/>
    <n v="2263.58"/>
    <n v="223.72"/>
    <m/>
    <n v="2325.9355132623718"/>
    <n v="221.35055346817671"/>
    <n v="0"/>
    <n v="1347.2211720000025"/>
    <n v="0"/>
    <n v="1379.7120251839369"/>
    <x v="2"/>
  </r>
  <r>
    <s v="Regular"/>
    <x v="0"/>
    <x v="0"/>
    <x v="1"/>
    <x v="0"/>
    <x v="2"/>
    <x v="0"/>
    <x v="2"/>
    <x v="1"/>
    <n v="0"/>
    <n v="0"/>
    <n v="10.247"/>
    <n v="9.8166259999999994"/>
    <n v="10.247"/>
    <n v="9.8166259999999994"/>
    <n v="0"/>
    <s v="CATIVO"/>
    <n v="0"/>
    <n v="0"/>
    <n v="66"/>
    <n v="6"/>
    <n v="0"/>
    <n v="2263.58"/>
    <n v="223.72"/>
    <m/>
    <n v="2325.9355132623718"/>
    <n v="221.35055346817671"/>
    <n v="0"/>
    <n v="1070.4692502000012"/>
    <n v="0"/>
    <n v="1096.2856936830945"/>
    <x v="2"/>
  </r>
  <r>
    <s v="Regular"/>
    <x v="0"/>
    <x v="0"/>
    <x v="1"/>
    <x v="0"/>
    <x v="2"/>
    <x v="0"/>
    <x v="2"/>
    <x v="2"/>
    <n v="0"/>
    <n v="0"/>
    <n v="8.9819999999999993"/>
    <n v="8.6227199999999993"/>
    <n v="8.9819999999999993"/>
    <n v="8.6227199999999993"/>
    <n v="0"/>
    <s v="CATIVO"/>
    <n v="0"/>
    <n v="0"/>
    <n v="66"/>
    <n v="6"/>
    <n v="0"/>
    <n v="2263.58"/>
    <n v="223.72"/>
    <m/>
    <n v="2325.9355132623718"/>
    <n v="221.35055346817671"/>
    <n v="0"/>
    <n v="893.63714400000003"/>
    <n v="0"/>
    <n v="915.18893805495156"/>
    <x v="2"/>
  </r>
  <r>
    <s v="Regular"/>
    <x v="0"/>
    <x v="0"/>
    <x v="1"/>
    <x v="0"/>
    <x v="2"/>
    <x v="0"/>
    <x v="2"/>
    <x v="3"/>
    <n v="0"/>
    <n v="0"/>
    <n v="12.948"/>
    <n v="12.43008"/>
    <n v="12.948"/>
    <n v="12.43008"/>
    <n v="0"/>
    <s v="CATIVO"/>
    <n v="0"/>
    <n v="0"/>
    <n v="66"/>
    <n v="6"/>
    <n v="0"/>
    <n v="2263.58"/>
    <n v="223.72"/>
    <m/>
    <n v="2325.9355132623718"/>
    <n v="221.35055346817671"/>
    <n v="0"/>
    <n v="1288.2224160000003"/>
    <n v="0"/>
    <n v="1319.290399681086"/>
    <x v="2"/>
  </r>
  <r>
    <s v="Regular"/>
    <x v="0"/>
    <x v="0"/>
    <x v="1"/>
    <x v="0"/>
    <x v="2"/>
    <x v="0"/>
    <x v="2"/>
    <x v="4"/>
    <n v="0"/>
    <n v="0"/>
    <n v="15.106"/>
    <n v="14.501760000000001"/>
    <n v="15.106"/>
    <n v="14.501760000000001"/>
    <n v="0"/>
    <s v="CATIVO"/>
    <n v="0"/>
    <n v="0"/>
    <n v="66"/>
    <n v="6"/>
    <n v="0"/>
    <n v="2263.58"/>
    <n v="223.72"/>
    <m/>
    <n v="2325.9355132623718"/>
    <n v="221.35055346817671"/>
    <n v="0"/>
    <n v="1502.9261519999975"/>
    <n v="0"/>
    <n v="1539.1721329612642"/>
    <x v="2"/>
  </r>
  <r>
    <s v="Regular"/>
    <x v="0"/>
    <x v="0"/>
    <x v="1"/>
    <x v="0"/>
    <x v="2"/>
    <x v="0"/>
    <x v="2"/>
    <x v="5"/>
    <n v="0"/>
    <n v="0"/>
    <n v="13.499000000000001"/>
    <n v="12.95904"/>
    <n v="13.499000000000001"/>
    <n v="12.95904"/>
    <n v="0"/>
    <s v="CATIVO"/>
    <n v="0"/>
    <n v="0"/>
    <n v="66"/>
    <n v="6"/>
    <n v="0"/>
    <n v="2263.58"/>
    <n v="223.72"/>
    <m/>
    <n v="2325.9355132623718"/>
    <n v="221.35055346817671"/>
    <n v="0"/>
    <n v="1343.0425080000016"/>
    <n v="0"/>
    <n v="1375.4325845918286"/>
    <x v="2"/>
  </r>
  <r>
    <s v="Regular"/>
    <x v="0"/>
    <x v="0"/>
    <x v="1"/>
    <x v="0"/>
    <x v="2"/>
    <x v="0"/>
    <x v="2"/>
    <x v="6"/>
    <n v="0"/>
    <n v="0"/>
    <n v="11.019"/>
    <n v="10.578239999999999"/>
    <n v="11.019"/>
    <n v="10.578239999999999"/>
    <n v="0"/>
    <s v="CATIVO"/>
    <n v="0"/>
    <n v="0"/>
    <n v="66"/>
    <n v="6"/>
    <n v="0"/>
    <n v="2263.58"/>
    <n v="223.72"/>
    <m/>
    <n v="2325.9355132623718"/>
    <n v="221.35055346817671"/>
    <n v="0"/>
    <n v="1096.3023480000022"/>
    <n v="0"/>
    <n v="1122.7418067721587"/>
    <x v="2"/>
  </r>
  <r>
    <s v="Regular"/>
    <x v="0"/>
    <x v="0"/>
    <x v="1"/>
    <x v="0"/>
    <x v="2"/>
    <x v="0"/>
    <x v="2"/>
    <x v="7"/>
    <n v="0"/>
    <n v="0"/>
    <n v="14.958"/>
    <n v="14.359680000000001"/>
    <n v="14.958"/>
    <n v="14.359680000000001"/>
    <n v="0"/>
    <s v="CATIVO"/>
    <n v="0"/>
    <n v="0"/>
    <n v="66"/>
    <n v="6"/>
    <n v="0"/>
    <n v="2263.58"/>
    <n v="223.72"/>
    <m/>
    <n v="2325.9355132623718"/>
    <n v="221.35055346817671"/>
    <n v="0"/>
    <n v="1488.2013359999983"/>
    <n v="0"/>
    <n v="1524.0921994462201"/>
    <x v="2"/>
  </r>
  <r>
    <s v="Regular"/>
    <x v="0"/>
    <x v="0"/>
    <x v="1"/>
    <x v="0"/>
    <x v="2"/>
    <x v="0"/>
    <x v="2"/>
    <x v="8"/>
    <n v="0"/>
    <n v="0"/>
    <n v="15.686"/>
    <n v="15.05856"/>
    <n v="15.686"/>
    <n v="15.05856"/>
    <n v="0"/>
    <s v="CATIVO"/>
    <n v="0"/>
    <n v="0"/>
    <n v="66"/>
    <n v="6"/>
    <n v="0"/>
    <n v="2263.58"/>
    <n v="223.72"/>
    <m/>
    <n v="2325.9355132623718"/>
    <n v="221.35055346817671"/>
    <n v="0"/>
    <n v="1560.6315119999999"/>
    <n v="0"/>
    <n v="1598.2691697094153"/>
    <x v="2"/>
  </r>
  <r>
    <s v="Regular"/>
    <x v="0"/>
    <x v="0"/>
    <x v="1"/>
    <x v="0"/>
    <x v="2"/>
    <x v="0"/>
    <x v="2"/>
    <x v="9"/>
    <n v="0"/>
    <n v="0"/>
    <n v="16.434999999999999"/>
    <n v="15.7776"/>
    <n v="16.434999999999999"/>
    <n v="15.7776"/>
    <n v="0"/>
    <s v="CATIVO"/>
    <n v="0"/>
    <n v="0"/>
    <n v="66"/>
    <n v="6"/>
    <n v="0"/>
    <n v="2263.58"/>
    <n v="223.72"/>
    <m/>
    <n v="2325.9355132623718"/>
    <n v="221.35055346817671"/>
    <n v="0"/>
    <n v="1635.1510199999975"/>
    <n v="0"/>
    <n v="1674.5858602686603"/>
    <x v="2"/>
  </r>
  <r>
    <s v="Regular"/>
    <x v="0"/>
    <x v="0"/>
    <x v="1"/>
    <x v="0"/>
    <x v="2"/>
    <x v="0"/>
    <x v="2"/>
    <x v="10"/>
    <n v="0"/>
    <n v="0"/>
    <n v="25.297999999999998"/>
    <n v="24.286079999999998"/>
    <n v="25.297999999999998"/>
    <n v="24.286079999999998"/>
    <n v="0"/>
    <s v="CATIVO"/>
    <n v="0"/>
    <n v="0"/>
    <n v="66"/>
    <n v="6"/>
    <n v="0"/>
    <n v="2263.58"/>
    <n v="223.72"/>
    <m/>
    <n v="2325.9355132623718"/>
    <n v="221.35055346817671"/>
    <n v="0"/>
    <n v="2516.9486159999997"/>
    <n v="0"/>
    <n v="2577.6497166459762"/>
    <x v="2"/>
  </r>
  <r>
    <s v="PROJETADO"/>
    <x v="0"/>
    <x v="0"/>
    <x v="1"/>
    <x v="0"/>
    <x v="2"/>
    <x v="0"/>
    <x v="2"/>
    <x v="11"/>
    <n v="0"/>
    <n v="0"/>
    <n v="25.297999999999998"/>
    <n v="24.286079999999998"/>
    <n v="25.297999999999998"/>
    <n v="24.286079999999998"/>
    <n v="0"/>
    <s v="CATIVO"/>
    <n v="0"/>
    <n v="0"/>
    <n v="66"/>
    <n v="6"/>
    <n v="0"/>
    <n v="2263.58"/>
    <n v="223.72"/>
    <m/>
    <n v="2325.9355132623718"/>
    <n v="221.35055346817671"/>
    <n v="0"/>
    <n v="2516.9486159999997"/>
    <n v="0"/>
    <n v="2577.6497166459762"/>
    <x v="2"/>
  </r>
  <r>
    <s v="Regular"/>
    <x v="0"/>
    <x v="0"/>
    <x v="2"/>
    <x v="2"/>
    <x v="2"/>
    <x v="0"/>
    <x v="0"/>
    <x v="0"/>
    <n v="0"/>
    <n v="0"/>
    <n v="130.72300000000001"/>
    <n v="122.87962"/>
    <n v="130.72300000000001"/>
    <n v="122.87962"/>
    <n v="0"/>
    <s v="CATIVO"/>
    <n v="0"/>
    <n v="0"/>
    <n v="47"/>
    <n v="27"/>
    <n v="0"/>
    <n v="72.23"/>
    <n v="223.72"/>
    <m/>
    <n v="102.01454208880898"/>
    <n v="221.35055346817671"/>
    <n v="0"/>
    <n v="2321.248311000003"/>
    <n v="0"/>
    <n v="2536.2753231897541"/>
    <x v="3"/>
  </r>
  <r>
    <s v="Regular"/>
    <x v="0"/>
    <x v="0"/>
    <x v="2"/>
    <x v="2"/>
    <x v="2"/>
    <x v="0"/>
    <x v="0"/>
    <x v="1"/>
    <n v="0"/>
    <n v="0"/>
    <n v="120.06699999999999"/>
    <n v="112.502779"/>
    <n v="120.06699999999999"/>
    <n v="112.502779"/>
    <n v="0"/>
    <s v="CATIVO"/>
    <n v="0"/>
    <n v="0"/>
    <n v="47"/>
    <n v="27"/>
    <n v="0"/>
    <n v="72.23"/>
    <n v="223.72"/>
    <m/>
    <n v="102.01454208880898"/>
    <n v="221.35055346817671"/>
    <n v="0"/>
    <n v="2238.6312049499966"/>
    <n v="0"/>
    <n v="2446.0050464791543"/>
    <x v="3"/>
  </r>
  <r>
    <s v="Regular"/>
    <x v="0"/>
    <x v="0"/>
    <x v="2"/>
    <x v="2"/>
    <x v="2"/>
    <x v="0"/>
    <x v="0"/>
    <x v="2"/>
    <n v="0"/>
    <n v="0"/>
    <n v="116.58799999999999"/>
    <n v="109.59272"/>
    <n v="116.58799999999999"/>
    <n v="109.59272"/>
    <n v="0"/>
    <s v="CATIVO"/>
    <n v="0"/>
    <n v="0"/>
    <n v="47"/>
    <n v="27"/>
    <n v="0"/>
    <n v="72.23"/>
    <n v="223.72"/>
    <m/>
    <n v="102.01454208880898"/>
    <n v="221.35055346817671"/>
    <n v="0"/>
    <n v="2070.253115999998"/>
    <n v="0"/>
    <n v="2262.0293856478688"/>
    <x v="3"/>
  </r>
  <r>
    <s v="Regular"/>
    <x v="0"/>
    <x v="0"/>
    <x v="2"/>
    <x v="2"/>
    <x v="2"/>
    <x v="0"/>
    <x v="0"/>
    <x v="3"/>
    <n v="0"/>
    <n v="0"/>
    <n v="112.50700000000001"/>
    <n v="105.75658"/>
    <n v="112.50700000000001"/>
    <n v="105.75658"/>
    <n v="0"/>
    <s v="CATIVO"/>
    <n v="0"/>
    <n v="0"/>
    <n v="47"/>
    <n v="27"/>
    <n v="0"/>
    <n v="72.23"/>
    <n v="223.72"/>
    <m/>
    <n v="102.01454208880898"/>
    <n v="221.35055346817671"/>
    <n v="0"/>
    <n v="1997.7867990000018"/>
    <n v="0"/>
    <n v="2182.8502083497892"/>
    <x v="3"/>
  </r>
  <r>
    <s v="Regular"/>
    <x v="0"/>
    <x v="0"/>
    <x v="2"/>
    <x v="2"/>
    <x v="2"/>
    <x v="0"/>
    <x v="0"/>
    <x v="4"/>
    <n v="0"/>
    <n v="0"/>
    <n v="112.31399999999999"/>
    <n v="105.57516"/>
    <n v="112.31399999999999"/>
    <n v="105.57516"/>
    <n v="0"/>
    <s v="CATIVO"/>
    <n v="0"/>
    <n v="0"/>
    <n v="47"/>
    <n v="27"/>
    <n v="0"/>
    <n v="72.23"/>
    <n v="223.72"/>
    <m/>
    <n v="102.01454208880898"/>
    <n v="221.35055346817671"/>
    <n v="0"/>
    <n v="1994.3596979999988"/>
    <n v="0"/>
    <n v="2179.1056405432364"/>
    <x v="3"/>
  </r>
  <r>
    <s v="Regular"/>
    <x v="0"/>
    <x v="0"/>
    <x v="2"/>
    <x v="2"/>
    <x v="2"/>
    <x v="0"/>
    <x v="0"/>
    <x v="5"/>
    <n v="0"/>
    <n v="0"/>
    <n v="116.23399999999999"/>
    <n v="109.25996000000001"/>
    <n v="116.23399999999999"/>
    <n v="109.25996000000001"/>
    <n v="0"/>
    <s v="CATIVO"/>
    <n v="0"/>
    <n v="0"/>
    <n v="47"/>
    <n v="27"/>
    <n v="0"/>
    <n v="72.23"/>
    <n v="223.72"/>
    <m/>
    <n v="102.01454208880898"/>
    <n v="221.35055346817671"/>
    <n v="0"/>
    <n v="2063.9671379999963"/>
    <n v="0"/>
    <n v="2255.1611110182366"/>
    <x v="3"/>
  </r>
  <r>
    <s v="Regular"/>
    <x v="0"/>
    <x v="0"/>
    <x v="2"/>
    <x v="2"/>
    <x v="2"/>
    <x v="0"/>
    <x v="0"/>
    <x v="6"/>
    <n v="0"/>
    <n v="0"/>
    <n v="113.712"/>
    <n v="106.88928"/>
    <n v="113.712"/>
    <n v="106.88928"/>
    <n v="0"/>
    <s v="CATIVO"/>
    <n v="0"/>
    <n v="0"/>
    <n v="47"/>
    <n v="27"/>
    <n v="0"/>
    <n v="72.23"/>
    <n v="223.72"/>
    <m/>
    <n v="102.01454208880898"/>
    <n v="221.35055346817671"/>
    <n v="0"/>
    <n v="2019.1839840000011"/>
    <n v="0"/>
    <n v="2206.2295047585585"/>
    <x v="3"/>
  </r>
  <r>
    <s v="Regular"/>
    <x v="0"/>
    <x v="0"/>
    <x v="2"/>
    <x v="2"/>
    <x v="2"/>
    <x v="0"/>
    <x v="0"/>
    <x v="7"/>
    <n v="0"/>
    <n v="0"/>
    <n v="114.208"/>
    <n v="107.35552"/>
    <n v="114.208"/>
    <n v="107.35552"/>
    <n v="0"/>
    <s v="CATIVO"/>
    <n v="0"/>
    <n v="0"/>
    <n v="47"/>
    <n v="27"/>
    <n v="0"/>
    <n v="72.23"/>
    <n v="223.72"/>
    <m/>
    <n v="102.01454208880898"/>
    <n v="221.35055346817671"/>
    <n v="0"/>
    <n v="2027.991456"/>
    <n v="0"/>
    <n v="2215.8528500023335"/>
    <x v="3"/>
  </r>
  <r>
    <s v="Regular"/>
    <x v="0"/>
    <x v="0"/>
    <x v="2"/>
    <x v="2"/>
    <x v="2"/>
    <x v="0"/>
    <x v="0"/>
    <x v="8"/>
    <n v="0"/>
    <n v="0"/>
    <n v="111.374"/>
    <n v="104.69156"/>
    <n v="111.374"/>
    <n v="104.69156"/>
    <n v="0"/>
    <s v="CATIVO"/>
    <n v="0"/>
    <n v="0"/>
    <n v="47"/>
    <n v="27"/>
    <n v="0"/>
    <n v="72.23"/>
    <n v="223.72"/>
    <m/>
    <n v="102.01454208880898"/>
    <n v="221.35055346817671"/>
    <n v="0"/>
    <n v="1977.668118"/>
    <n v="0"/>
    <n v="2160.8678491538235"/>
    <x v="3"/>
  </r>
  <r>
    <s v="Regular"/>
    <x v="0"/>
    <x v="0"/>
    <x v="2"/>
    <x v="2"/>
    <x v="2"/>
    <x v="0"/>
    <x v="0"/>
    <x v="9"/>
    <n v="0"/>
    <n v="0"/>
    <n v="117.708"/>
    <n v="110.64552"/>
    <n v="117.708"/>
    <n v="110.64552"/>
    <n v="0"/>
    <s v="CATIVO"/>
    <n v="0"/>
    <n v="0"/>
    <n v="47"/>
    <n v="27"/>
    <n v="0"/>
    <n v="72.23"/>
    <n v="223.72"/>
    <m/>
    <n v="102.01454208880898"/>
    <n v="221.35055346817671"/>
    <n v="0"/>
    <n v="2090.1409559999979"/>
    <n v="0"/>
    <n v="2283.7595200692981"/>
    <x v="3"/>
  </r>
  <r>
    <s v="Regular"/>
    <x v="0"/>
    <x v="0"/>
    <x v="2"/>
    <x v="2"/>
    <x v="2"/>
    <x v="0"/>
    <x v="0"/>
    <x v="10"/>
    <n v="0"/>
    <n v="0"/>
    <n v="132.66999999999999"/>
    <n v="124.7098"/>
    <n v="132.66999999999999"/>
    <n v="124.7098"/>
    <n v="0"/>
    <s v="CATIVO"/>
    <n v="0"/>
    <n v="0"/>
    <n v="47"/>
    <n v="27"/>
    <n v="0"/>
    <n v="72.23"/>
    <n v="223.72"/>
    <m/>
    <n v="102.01454208880898"/>
    <n v="221.35055346817671"/>
    <n v="0"/>
    <n v="2355.821189999996"/>
    <n v="0"/>
    <n v="2574.0508336527132"/>
    <x v="3"/>
  </r>
  <r>
    <s v="PROJETADO"/>
    <x v="0"/>
    <x v="0"/>
    <x v="2"/>
    <x v="2"/>
    <x v="2"/>
    <x v="0"/>
    <x v="0"/>
    <x v="11"/>
    <n v="0"/>
    <n v="0"/>
    <n v="132.66999999999999"/>
    <n v="124.7098"/>
    <n v="132.66999999999999"/>
    <n v="124.7098"/>
    <n v="0"/>
    <s v="CATIVO"/>
    <n v="0"/>
    <n v="0"/>
    <n v="47"/>
    <n v="27"/>
    <n v="0"/>
    <n v="72.23"/>
    <n v="223.72"/>
    <m/>
    <n v="102.01454208880898"/>
    <n v="221.35055346817671"/>
    <n v="0"/>
    <n v="2355.821189999996"/>
    <n v="0"/>
    <n v="2574.0508336527132"/>
    <x v="3"/>
  </r>
  <r>
    <s v="Regular"/>
    <x v="0"/>
    <x v="0"/>
    <x v="2"/>
    <x v="2"/>
    <x v="2"/>
    <x v="0"/>
    <x v="1"/>
    <x v="0"/>
    <n v="325"/>
    <n v="276.25"/>
    <n v="0"/>
    <n v="0"/>
    <n v="0"/>
    <n v="0"/>
    <n v="3"/>
    <s v="CATIVO"/>
    <n v="0"/>
    <n v="65"/>
    <n v="0"/>
    <n v="0"/>
    <n v="23.41"/>
    <n v="0"/>
    <n v="0"/>
    <n v="23.763428126815878"/>
    <m/>
    <m/>
    <n v="1141.2375"/>
    <n v="0"/>
    <n v="1158.467121182274"/>
    <n v="0"/>
    <x v="3"/>
  </r>
  <r>
    <s v="Regular"/>
    <x v="0"/>
    <x v="0"/>
    <x v="2"/>
    <x v="2"/>
    <x v="2"/>
    <x v="0"/>
    <x v="1"/>
    <x v="1"/>
    <n v="324"/>
    <n v="275.39999999999998"/>
    <n v="0"/>
    <n v="0"/>
    <n v="0"/>
    <n v="0"/>
    <n v="3"/>
    <s v="CATIVO"/>
    <n v="0"/>
    <n v="65"/>
    <n v="0"/>
    <n v="0"/>
    <n v="23.41"/>
    <n v="0"/>
    <n v="0"/>
    <n v="23.763428126815878"/>
    <m/>
    <m/>
    <n v="1137.7260000000006"/>
    <n v="0"/>
    <n v="1154.9026069632523"/>
    <n v="0"/>
    <x v="3"/>
  </r>
  <r>
    <s v="Regular"/>
    <x v="0"/>
    <x v="0"/>
    <x v="2"/>
    <x v="2"/>
    <x v="2"/>
    <x v="0"/>
    <x v="1"/>
    <x v="2"/>
    <n v="324"/>
    <n v="275.39999999999998"/>
    <n v="0"/>
    <n v="0"/>
    <n v="0"/>
    <n v="0"/>
    <n v="3"/>
    <s v="CATIVO"/>
    <n v="0"/>
    <n v="65"/>
    <n v="0"/>
    <n v="0"/>
    <n v="23.41"/>
    <n v="0"/>
    <n v="0"/>
    <n v="23.763428126815878"/>
    <m/>
    <m/>
    <n v="1137.7260000000006"/>
    <n v="0"/>
    <n v="1154.9026069632523"/>
    <n v="0"/>
    <x v="3"/>
  </r>
  <r>
    <s v="Regular"/>
    <x v="0"/>
    <x v="0"/>
    <x v="2"/>
    <x v="2"/>
    <x v="2"/>
    <x v="0"/>
    <x v="1"/>
    <x v="3"/>
    <n v="336"/>
    <n v="285.59999999999997"/>
    <n v="0"/>
    <n v="0"/>
    <n v="0"/>
    <n v="0"/>
    <n v="3"/>
    <s v="CATIVO"/>
    <n v="0"/>
    <n v="65"/>
    <n v="0"/>
    <n v="0"/>
    <n v="23.41"/>
    <n v="0"/>
    <n v="0"/>
    <n v="23.763428126815878"/>
    <m/>
    <m/>
    <n v="1179.8640000000007"/>
    <n v="0"/>
    <n v="1197.6767775915212"/>
    <n v="0"/>
    <x v="3"/>
  </r>
  <r>
    <s v="Regular"/>
    <x v="0"/>
    <x v="0"/>
    <x v="2"/>
    <x v="2"/>
    <x v="2"/>
    <x v="0"/>
    <x v="1"/>
    <x v="4"/>
    <n v="329"/>
    <n v="279.64999999999998"/>
    <n v="0"/>
    <n v="0"/>
    <n v="0"/>
    <n v="0"/>
    <n v="3"/>
    <s v="CATIVO"/>
    <n v="0"/>
    <n v="65"/>
    <n v="0"/>
    <n v="0"/>
    <n v="23.41"/>
    <n v="0"/>
    <n v="0"/>
    <n v="23.763428126815878"/>
    <m/>
    <m/>
    <n v="1155.2835000000005"/>
    <n v="0"/>
    <n v="1172.725178058364"/>
    <n v="0"/>
    <x v="3"/>
  </r>
  <r>
    <s v="Regular"/>
    <x v="0"/>
    <x v="0"/>
    <x v="2"/>
    <x v="2"/>
    <x v="2"/>
    <x v="0"/>
    <x v="1"/>
    <x v="5"/>
    <n v="313"/>
    <n v="266.05"/>
    <n v="0"/>
    <n v="0"/>
    <n v="0"/>
    <n v="0"/>
    <n v="3"/>
    <s v="CATIVO"/>
    <n v="0"/>
    <n v="65"/>
    <n v="0"/>
    <n v="0"/>
    <n v="23.41"/>
    <n v="0"/>
    <n v="0"/>
    <n v="23.763428126815878"/>
    <m/>
    <m/>
    <n v="1099.0994999999998"/>
    <n v="0"/>
    <n v="1115.6929505540052"/>
    <n v="0"/>
    <x v="3"/>
  </r>
  <r>
    <s v="Regular"/>
    <x v="0"/>
    <x v="0"/>
    <x v="2"/>
    <x v="2"/>
    <x v="2"/>
    <x v="0"/>
    <x v="1"/>
    <x v="6"/>
    <n v="313"/>
    <n v="266.05"/>
    <n v="0"/>
    <n v="0"/>
    <n v="0"/>
    <n v="0"/>
    <n v="3"/>
    <s v="CATIVO"/>
    <n v="0"/>
    <n v="65"/>
    <n v="0"/>
    <n v="0"/>
    <n v="23.41"/>
    <n v="0"/>
    <n v="0"/>
    <n v="23.763428126815878"/>
    <m/>
    <m/>
    <n v="1099.0994999999998"/>
    <n v="0"/>
    <n v="1115.6929505540052"/>
    <n v="0"/>
    <x v="3"/>
  </r>
  <r>
    <s v="Regular"/>
    <x v="0"/>
    <x v="0"/>
    <x v="2"/>
    <x v="2"/>
    <x v="2"/>
    <x v="0"/>
    <x v="1"/>
    <x v="7"/>
    <n v="321"/>
    <n v="272.84999999999997"/>
    <n v="0"/>
    <n v="0"/>
    <n v="0"/>
    <n v="0"/>
    <n v="3"/>
    <s v="CATIVO"/>
    <n v="0"/>
    <n v="65"/>
    <n v="0"/>
    <n v="0"/>
    <n v="23.41"/>
    <n v="0"/>
    <n v="0"/>
    <n v="23.763428126815878"/>
    <m/>
    <m/>
    <n v="1127.1915000000008"/>
    <n v="0"/>
    <n v="1144.2090643061854"/>
    <n v="0"/>
    <x v="3"/>
  </r>
  <r>
    <s v="Regular"/>
    <x v="0"/>
    <x v="0"/>
    <x v="2"/>
    <x v="2"/>
    <x v="2"/>
    <x v="0"/>
    <x v="1"/>
    <x v="8"/>
    <n v="323"/>
    <n v="274.55"/>
    <n v="0"/>
    <n v="0"/>
    <n v="0"/>
    <n v="0"/>
    <n v="3"/>
    <s v="CATIVO"/>
    <n v="0"/>
    <n v="65"/>
    <n v="0"/>
    <n v="0"/>
    <n v="23.41"/>
    <n v="0"/>
    <n v="0"/>
    <n v="23.763428126815878"/>
    <m/>
    <m/>
    <n v="1134.2144999999998"/>
    <n v="0"/>
    <n v="1151.338092744229"/>
    <n v="0"/>
    <x v="3"/>
  </r>
  <r>
    <s v="Regular"/>
    <x v="0"/>
    <x v="0"/>
    <x v="2"/>
    <x v="2"/>
    <x v="2"/>
    <x v="0"/>
    <x v="1"/>
    <x v="9"/>
    <n v="322"/>
    <n v="273.7"/>
    <n v="0"/>
    <n v="0"/>
    <n v="0"/>
    <n v="0"/>
    <n v="3"/>
    <s v="CATIVO"/>
    <n v="0"/>
    <n v="65"/>
    <n v="0"/>
    <n v="0"/>
    <n v="23.41"/>
    <n v="0"/>
    <n v="0"/>
    <n v="23.763428126815878"/>
    <m/>
    <m/>
    <n v="1130.7030000000002"/>
    <n v="0"/>
    <n v="1147.7735785252071"/>
    <n v="0"/>
    <x v="3"/>
  </r>
  <r>
    <s v="Regular"/>
    <x v="0"/>
    <x v="0"/>
    <x v="2"/>
    <x v="2"/>
    <x v="2"/>
    <x v="0"/>
    <x v="1"/>
    <x v="10"/>
    <n v="313"/>
    <n v="266.05"/>
    <n v="0"/>
    <n v="0"/>
    <n v="0"/>
    <n v="0"/>
    <n v="3"/>
    <s v="CATIVO"/>
    <n v="0"/>
    <n v="65"/>
    <n v="0"/>
    <n v="0"/>
    <n v="23.41"/>
    <n v="0"/>
    <n v="0"/>
    <n v="23.763428126815878"/>
    <m/>
    <m/>
    <n v="1099.0994999999998"/>
    <n v="0"/>
    <n v="1115.6929505540052"/>
    <n v="0"/>
    <x v="3"/>
  </r>
  <r>
    <s v="PROJETADO"/>
    <x v="0"/>
    <x v="0"/>
    <x v="2"/>
    <x v="2"/>
    <x v="2"/>
    <x v="0"/>
    <x v="1"/>
    <x v="11"/>
    <n v="313"/>
    <n v="266.05"/>
    <n v="0"/>
    <n v="0"/>
    <n v="0"/>
    <n v="0"/>
    <n v="3"/>
    <s v="CATIVO"/>
    <n v="0"/>
    <n v="65"/>
    <n v="0"/>
    <n v="0"/>
    <n v="23.41"/>
    <n v="0"/>
    <n v="0"/>
    <n v="23.763428126815878"/>
    <m/>
    <m/>
    <n v="1099.0994999999998"/>
    <n v="0"/>
    <n v="1115.6929505540052"/>
    <n v="0"/>
    <x v="3"/>
  </r>
  <r>
    <s v="Regular"/>
    <x v="0"/>
    <x v="0"/>
    <x v="2"/>
    <x v="2"/>
    <x v="2"/>
    <x v="0"/>
    <x v="2"/>
    <x v="0"/>
    <n v="0"/>
    <n v="0"/>
    <n v="14.055"/>
    <n v="13.211699999999999"/>
    <n v="14.055"/>
    <n v="13.211699999999999"/>
    <n v="0"/>
    <s v="CATIVO"/>
    <n v="0"/>
    <n v="0"/>
    <n v="66"/>
    <n v="6"/>
    <n v="0"/>
    <n v="2263.58"/>
    <n v="223.72"/>
    <m/>
    <n v="2325.9355132623718"/>
    <n v="221.35055346817671"/>
    <n v="0"/>
    <n v="2097.5400900000027"/>
    <n v="0"/>
    <n v="2148.1263400738744"/>
    <x v="3"/>
  </r>
  <r>
    <s v="Regular"/>
    <x v="0"/>
    <x v="0"/>
    <x v="2"/>
    <x v="2"/>
    <x v="2"/>
    <x v="0"/>
    <x v="2"/>
    <x v="1"/>
    <n v="0"/>
    <n v="0"/>
    <n v="14.256"/>
    <n v="13.357872"/>
    <n v="14.256"/>
    <n v="13.357872"/>
    <n v="0"/>
    <s v="CATIVO"/>
    <n v="0"/>
    <n v="0"/>
    <n v="66"/>
    <n v="6"/>
    <n v="0"/>
    <n v="2263.58"/>
    <n v="223.72"/>
    <m/>
    <n v="2325.9355132623718"/>
    <n v="221.35055346817671"/>
    <n v="0"/>
    <n v="2233.9137743999995"/>
    <n v="0"/>
    <n v="2287.7889405405735"/>
    <x v="3"/>
  </r>
  <r>
    <s v="Regular"/>
    <x v="0"/>
    <x v="0"/>
    <x v="2"/>
    <x v="2"/>
    <x v="2"/>
    <x v="0"/>
    <x v="2"/>
    <x v="2"/>
    <n v="0"/>
    <n v="0"/>
    <n v="12.856"/>
    <n v="12.08464"/>
    <n v="12.856"/>
    <n v="12.08464"/>
    <n v="0"/>
    <s v="CATIVO"/>
    <n v="0"/>
    <n v="0"/>
    <n v="66"/>
    <n v="6"/>
    <n v="0"/>
    <n v="2263.58"/>
    <n v="223.72"/>
    <m/>
    <n v="2325.9355132623718"/>
    <n v="221.35055346817671"/>
    <n v="0"/>
    <n v="1918.6037279999989"/>
    <n v="0"/>
    <n v="1964.874580433275"/>
    <x v="3"/>
  </r>
  <r>
    <s v="Regular"/>
    <x v="0"/>
    <x v="0"/>
    <x v="2"/>
    <x v="2"/>
    <x v="2"/>
    <x v="0"/>
    <x v="2"/>
    <x v="3"/>
    <n v="0"/>
    <n v="0"/>
    <n v="12.365"/>
    <n v="11.623100000000001"/>
    <n v="12.365"/>
    <n v="11.623100000000001"/>
    <n v="0"/>
    <s v="CATIVO"/>
    <n v="0"/>
    <n v="0"/>
    <n v="66"/>
    <n v="6"/>
    <n v="0"/>
    <n v="2263.58"/>
    <n v="223.72"/>
    <m/>
    <n v="2325.9355132623718"/>
    <n v="221.35055346817671"/>
    <n v="0"/>
    <n v="1845.3278699999985"/>
    <n v="0"/>
    <n v="1889.8315329073921"/>
    <x v="3"/>
  </r>
  <r>
    <s v="Regular"/>
    <x v="0"/>
    <x v="0"/>
    <x v="2"/>
    <x v="2"/>
    <x v="2"/>
    <x v="0"/>
    <x v="2"/>
    <x v="4"/>
    <n v="0"/>
    <n v="0"/>
    <n v="13.507999999999999"/>
    <n v="12.697520000000001"/>
    <n v="13.507999999999999"/>
    <n v="12.697520000000001"/>
    <n v="0"/>
    <s v="CATIVO"/>
    <n v="0"/>
    <n v="0"/>
    <n v="66"/>
    <n v="6"/>
    <n v="0"/>
    <n v="2263.58"/>
    <n v="223.72"/>
    <m/>
    <n v="2325.9355132623718"/>
    <n v="221.35055346817671"/>
    <n v="0"/>
    <n v="2015.9069039999958"/>
    <n v="0"/>
    <n v="2064.5244113637705"/>
    <x v="3"/>
  </r>
  <r>
    <s v="Regular"/>
    <x v="0"/>
    <x v="0"/>
    <x v="2"/>
    <x v="2"/>
    <x v="2"/>
    <x v="0"/>
    <x v="2"/>
    <x v="5"/>
    <n v="0"/>
    <n v="0"/>
    <n v="13.199"/>
    <n v="12.40706"/>
    <n v="13.199"/>
    <n v="12.40706"/>
    <n v="0"/>
    <s v="CATIVO"/>
    <n v="0"/>
    <n v="0"/>
    <n v="66"/>
    <n v="6"/>
    <n v="0"/>
    <n v="2263.58"/>
    <n v="223.72"/>
    <m/>
    <n v="2325.9355132623718"/>
    <n v="221.35055346817671"/>
    <n v="0"/>
    <n v="1969.7923620000006"/>
    <n v="0"/>
    <n v="2017.2977276865915"/>
    <x v="3"/>
  </r>
  <r>
    <s v="Regular"/>
    <x v="0"/>
    <x v="0"/>
    <x v="2"/>
    <x v="2"/>
    <x v="2"/>
    <x v="0"/>
    <x v="2"/>
    <x v="6"/>
    <n v="0"/>
    <n v="0"/>
    <n v="12.122999999999999"/>
    <n v="11.395619999999999"/>
    <n v="12.122999999999999"/>
    <n v="11.395619999999999"/>
    <n v="0"/>
    <s v="CATIVO"/>
    <n v="0"/>
    <n v="0"/>
    <n v="66"/>
    <n v="6"/>
    <n v="0"/>
    <n v="2263.58"/>
    <n v="223.72"/>
    <m/>
    <n v="2325.9355132623718"/>
    <n v="221.35055346817671"/>
    <n v="0"/>
    <n v="1809.2122740000002"/>
    <n v="0"/>
    <n v="1852.8449392184668"/>
    <x v="3"/>
  </r>
  <r>
    <s v="Regular"/>
    <x v="0"/>
    <x v="0"/>
    <x v="2"/>
    <x v="2"/>
    <x v="2"/>
    <x v="0"/>
    <x v="2"/>
    <x v="7"/>
    <n v="0"/>
    <n v="0"/>
    <n v="13.7"/>
    <n v="12.878"/>
    <n v="13.7"/>
    <n v="12.878"/>
    <n v="0"/>
    <s v="CATIVO"/>
    <n v="0"/>
    <n v="0"/>
    <n v="66"/>
    <n v="6"/>
    <n v="0"/>
    <n v="2263.58"/>
    <n v="223.72"/>
    <m/>
    <n v="2325.9355132623718"/>
    <n v="221.35055346817671"/>
    <n v="0"/>
    <n v="2044.560599999998"/>
    <n v="0"/>
    <n v="2093.8691468525089"/>
    <x v="3"/>
  </r>
  <r>
    <s v="Regular"/>
    <x v="0"/>
    <x v="0"/>
    <x v="2"/>
    <x v="2"/>
    <x v="2"/>
    <x v="0"/>
    <x v="2"/>
    <x v="8"/>
    <n v="0"/>
    <n v="0"/>
    <n v="14.138"/>
    <n v="13.289720000000001"/>
    <n v="14.138"/>
    <n v="13.289720000000001"/>
    <n v="0"/>
    <s v="CATIVO"/>
    <n v="0"/>
    <n v="0"/>
    <n v="66"/>
    <n v="6"/>
    <n v="0"/>
    <n v="2263.58"/>
    <n v="223.72"/>
    <m/>
    <n v="2325.9355132623718"/>
    <n v="221.35055346817671"/>
    <n v="0"/>
    <n v="2109.9268439999973"/>
    <n v="0"/>
    <n v="2160.8118246861873"/>
    <x v="3"/>
  </r>
  <r>
    <s v="Regular"/>
    <x v="0"/>
    <x v="0"/>
    <x v="2"/>
    <x v="2"/>
    <x v="2"/>
    <x v="0"/>
    <x v="2"/>
    <x v="9"/>
    <n v="0"/>
    <n v="0"/>
    <n v="13.545"/>
    <n v="12.7323"/>
    <n v="13.545"/>
    <n v="12.7323"/>
    <n v="0"/>
    <s v="CATIVO"/>
    <n v="0"/>
    <n v="0"/>
    <n v="66"/>
    <n v="6"/>
    <n v="0"/>
    <n v="2263.58"/>
    <n v="223.72"/>
    <m/>
    <n v="2325.9355132623718"/>
    <n v="221.35055346817671"/>
    <n v="0"/>
    <n v="2021.4287099999988"/>
    <n v="0"/>
    <n v="2070.1793864319156"/>
    <x v="3"/>
  </r>
  <r>
    <s v="Regular"/>
    <x v="0"/>
    <x v="0"/>
    <x v="2"/>
    <x v="2"/>
    <x v="2"/>
    <x v="0"/>
    <x v="2"/>
    <x v="10"/>
    <n v="0"/>
    <n v="0"/>
    <n v="16.222000000000001"/>
    <n v="15.24868"/>
    <n v="16.222000000000001"/>
    <n v="15.24868"/>
    <n v="0"/>
    <s v="CATIVO"/>
    <n v="0"/>
    <n v="0"/>
    <n v="66"/>
    <n v="6"/>
    <n v="0"/>
    <n v="2263.58"/>
    <n v="223.72"/>
    <m/>
    <n v="2325.9355132623718"/>
    <n v="221.35055346817671"/>
    <n v="0"/>
    <n v="2420.9388360000025"/>
    <n v="0"/>
    <n v="2479.3244744701801"/>
    <x v="3"/>
  </r>
  <r>
    <s v="PROJETADO"/>
    <x v="0"/>
    <x v="0"/>
    <x v="2"/>
    <x v="2"/>
    <x v="2"/>
    <x v="0"/>
    <x v="2"/>
    <x v="11"/>
    <n v="0"/>
    <n v="0"/>
    <n v="16.222000000000001"/>
    <n v="15.24868"/>
    <n v="16.222000000000001"/>
    <n v="15.24868"/>
    <n v="0"/>
    <s v="CATIVO"/>
    <n v="0"/>
    <n v="0"/>
    <n v="66"/>
    <n v="6"/>
    <n v="0"/>
    <n v="2263.58"/>
    <n v="223.72"/>
    <m/>
    <n v="2325.9355132623718"/>
    <n v="221.35055346817671"/>
    <n v="0"/>
    <n v="2420.9388360000025"/>
    <n v="0"/>
    <n v="2479.3244744701801"/>
    <x v="3"/>
  </r>
  <r>
    <s v="Regular"/>
    <x v="1"/>
    <x v="1"/>
    <x v="3"/>
    <x v="3"/>
    <x v="2"/>
    <x v="0"/>
    <x v="1"/>
    <x v="0"/>
    <n v="0"/>
    <n v="0"/>
    <n v="2193.27"/>
    <n v="2193.27"/>
    <n v="2193.27"/>
    <n v="2193.27"/>
    <n v="8530"/>
    <s v="CATIVO"/>
    <n v="0"/>
    <n v="0"/>
    <n v="53"/>
    <n v="9"/>
    <n v="0"/>
    <n v="440.1"/>
    <n v="223.72"/>
    <m/>
    <n v="485.19706717209556"/>
    <n v="221.35055346817671"/>
    <n v="0"/>
    <n v="0"/>
    <n v="0"/>
    <n v="0"/>
    <x v="4"/>
  </r>
  <r>
    <s v="Regular"/>
    <x v="1"/>
    <x v="1"/>
    <x v="3"/>
    <x v="4"/>
    <x v="2"/>
    <x v="0"/>
    <x v="1"/>
    <x v="0"/>
    <n v="0"/>
    <n v="0"/>
    <n v="1.32"/>
    <n v="1.32"/>
    <n v="1.32"/>
    <n v="1.32"/>
    <n v="0"/>
    <s v="CATIVO"/>
    <n v="0"/>
    <n v="0"/>
    <n v="69"/>
    <n v="10"/>
    <n v="0"/>
    <n v="131.74"/>
    <n v="78.3"/>
    <m/>
    <n v="136.16069505461499"/>
    <n v="77.472693713861844"/>
    <n v="0"/>
    <n v="514.91880000000003"/>
    <n v="0"/>
    <n v="523.70699303815184"/>
    <x v="5"/>
  </r>
  <r>
    <s v="Regular"/>
    <x v="1"/>
    <x v="1"/>
    <x v="3"/>
    <x v="4"/>
    <x v="2"/>
    <x v="0"/>
    <x v="1"/>
    <x v="1"/>
    <n v="0"/>
    <n v="0"/>
    <n v="1.35"/>
    <n v="1.35"/>
    <n v="1.35"/>
    <n v="1.35"/>
    <n v="0"/>
    <s v="CATIVO"/>
    <n v="0"/>
    <n v="0"/>
    <n v="69"/>
    <n v="10"/>
    <n v="0"/>
    <n v="131.74"/>
    <n v="78.3"/>
    <m/>
    <n v="136.16069505461499"/>
    <n v="77.472693713861844"/>
    <n v="0"/>
    <n v="526.62149999999997"/>
    <n v="0"/>
    <n v="535.60942469810993"/>
    <x v="5"/>
  </r>
  <r>
    <s v="Regular"/>
    <x v="1"/>
    <x v="1"/>
    <x v="3"/>
    <x v="4"/>
    <x v="2"/>
    <x v="0"/>
    <x v="1"/>
    <x v="2"/>
    <n v="0"/>
    <n v="0"/>
    <n v="1.38"/>
    <n v="1.38"/>
    <n v="1.38"/>
    <n v="1.38"/>
    <n v="0"/>
    <s v="CATIVO"/>
    <n v="0"/>
    <n v="0"/>
    <n v="69"/>
    <n v="10"/>
    <n v="0"/>
    <n v="131.74"/>
    <n v="78.3"/>
    <m/>
    <n v="136.16069505461499"/>
    <n v="77.472693713861844"/>
    <n v="0"/>
    <n v="538.32419999999991"/>
    <n v="0"/>
    <n v="547.5118563580678"/>
    <x v="5"/>
  </r>
  <r>
    <s v="Regular"/>
    <x v="1"/>
    <x v="1"/>
    <x v="3"/>
    <x v="4"/>
    <x v="2"/>
    <x v="0"/>
    <x v="1"/>
    <x v="3"/>
    <n v="0"/>
    <n v="0"/>
    <n v="1.38"/>
    <n v="1.38"/>
    <n v="1.38"/>
    <n v="1.38"/>
    <n v="0"/>
    <s v="CATIVO"/>
    <n v="0"/>
    <n v="0"/>
    <n v="69"/>
    <n v="10"/>
    <n v="0"/>
    <n v="131.74"/>
    <n v="78.3"/>
    <m/>
    <n v="136.16069505461499"/>
    <n v="77.472693713861844"/>
    <n v="0"/>
    <n v="538.32419999999991"/>
    <n v="0"/>
    <n v="547.5118563580678"/>
    <x v="5"/>
  </r>
  <r>
    <s v="Regular"/>
    <x v="1"/>
    <x v="1"/>
    <x v="3"/>
    <x v="4"/>
    <x v="2"/>
    <x v="0"/>
    <x v="1"/>
    <x v="4"/>
    <n v="0"/>
    <n v="0"/>
    <n v="1.47"/>
    <n v="1.47"/>
    <n v="1.47"/>
    <n v="1.47"/>
    <n v="0"/>
    <s v="CATIVO"/>
    <n v="0"/>
    <n v="0"/>
    <n v="69"/>
    <n v="10"/>
    <n v="0"/>
    <n v="131.74"/>
    <n v="78.3"/>
    <m/>
    <n v="136.16069505461499"/>
    <n v="77.472693713861844"/>
    <n v="0"/>
    <n v="573.43229999999994"/>
    <n v="0"/>
    <n v="583.21915133794187"/>
    <x v="5"/>
  </r>
  <r>
    <s v="Regular"/>
    <x v="1"/>
    <x v="1"/>
    <x v="3"/>
    <x v="4"/>
    <x v="2"/>
    <x v="0"/>
    <x v="1"/>
    <x v="5"/>
    <n v="0"/>
    <n v="0"/>
    <n v="1.44"/>
    <n v="1.44"/>
    <n v="1.44"/>
    <n v="1.44"/>
    <n v="0"/>
    <s v="CATIVO"/>
    <n v="0"/>
    <n v="0"/>
    <n v="69"/>
    <n v="10"/>
    <n v="0"/>
    <n v="131.74"/>
    <n v="78.3"/>
    <m/>
    <n v="136.16069505461499"/>
    <n v="77.472693713861844"/>
    <n v="0"/>
    <n v="561.72959999999989"/>
    <n v="0"/>
    <n v="571.31671967798388"/>
    <x v="5"/>
  </r>
  <r>
    <s v="Regular"/>
    <x v="1"/>
    <x v="1"/>
    <x v="3"/>
    <x v="4"/>
    <x v="2"/>
    <x v="0"/>
    <x v="1"/>
    <x v="6"/>
    <n v="0"/>
    <n v="0"/>
    <n v="1.44"/>
    <n v="1.44"/>
    <n v="1.44"/>
    <n v="1.44"/>
    <n v="0"/>
    <s v="CATIVO"/>
    <n v="0"/>
    <n v="0"/>
    <n v="69"/>
    <n v="10"/>
    <n v="0"/>
    <n v="131.74"/>
    <n v="78.3"/>
    <m/>
    <n v="136.16069505461499"/>
    <n v="77.472693713861844"/>
    <n v="0"/>
    <n v="561.72959999999989"/>
    <n v="0"/>
    <n v="571.31671967798388"/>
    <x v="5"/>
  </r>
  <r>
    <s v="Regular"/>
    <x v="1"/>
    <x v="1"/>
    <x v="3"/>
    <x v="4"/>
    <x v="2"/>
    <x v="0"/>
    <x v="1"/>
    <x v="7"/>
    <n v="0"/>
    <n v="0"/>
    <n v="1.47"/>
    <n v="1.47"/>
    <n v="1.47"/>
    <n v="1.47"/>
    <n v="0"/>
    <s v="CATIVO"/>
    <n v="0"/>
    <n v="0"/>
    <n v="69"/>
    <n v="10"/>
    <n v="0"/>
    <n v="131.74"/>
    <n v="78.3"/>
    <m/>
    <n v="136.16069505461499"/>
    <n v="77.472693713861844"/>
    <n v="0"/>
    <n v="573.43229999999994"/>
    <n v="0"/>
    <n v="583.21915133794187"/>
    <x v="5"/>
  </r>
  <r>
    <s v="Regular"/>
    <x v="1"/>
    <x v="1"/>
    <x v="3"/>
    <x v="4"/>
    <x v="2"/>
    <x v="0"/>
    <x v="1"/>
    <x v="8"/>
    <n v="0"/>
    <n v="0"/>
    <n v="1.47"/>
    <n v="1.47"/>
    <n v="1.47"/>
    <n v="1.47"/>
    <n v="0"/>
    <s v="CATIVO"/>
    <n v="0"/>
    <n v="0"/>
    <n v="69"/>
    <n v="10"/>
    <n v="0"/>
    <n v="131.74"/>
    <n v="78.3"/>
    <m/>
    <n v="136.16069505461499"/>
    <n v="77.472693713861844"/>
    <n v="0"/>
    <n v="573.43229999999994"/>
    <n v="0"/>
    <n v="583.21915133794187"/>
    <x v="5"/>
  </r>
  <r>
    <s v="Regular"/>
    <x v="1"/>
    <x v="1"/>
    <x v="3"/>
    <x v="4"/>
    <x v="2"/>
    <x v="0"/>
    <x v="1"/>
    <x v="9"/>
    <n v="0"/>
    <n v="0"/>
    <n v="1.44"/>
    <n v="1.44"/>
    <n v="1.44"/>
    <n v="1.44"/>
    <n v="0"/>
    <s v="CATIVO"/>
    <n v="0"/>
    <n v="0"/>
    <n v="69"/>
    <n v="10"/>
    <n v="0"/>
    <n v="131.74"/>
    <n v="78.3"/>
    <m/>
    <n v="136.16069505461499"/>
    <n v="77.472693713861844"/>
    <n v="0"/>
    <n v="561.72959999999989"/>
    <n v="0"/>
    <n v="571.31671967798388"/>
    <x v="5"/>
  </r>
  <r>
    <s v="Regular"/>
    <x v="1"/>
    <x v="1"/>
    <x v="3"/>
    <x v="4"/>
    <x v="2"/>
    <x v="0"/>
    <x v="1"/>
    <x v="10"/>
    <n v="0"/>
    <n v="0"/>
    <n v="1.44"/>
    <n v="1.44"/>
    <n v="1.44"/>
    <n v="1.44"/>
    <n v="0"/>
    <s v="CATIVO"/>
    <n v="0"/>
    <n v="0"/>
    <n v="69"/>
    <n v="10"/>
    <n v="0"/>
    <n v="131.74"/>
    <n v="78.3"/>
    <m/>
    <n v="136.16069505461499"/>
    <n v="77.472693713861844"/>
    <n v="0"/>
    <n v="561.72959999999989"/>
    <n v="0"/>
    <n v="571.31671967798388"/>
    <x v="5"/>
  </r>
  <r>
    <s v="PROJETADO"/>
    <x v="1"/>
    <x v="1"/>
    <x v="3"/>
    <x v="4"/>
    <x v="2"/>
    <x v="0"/>
    <x v="1"/>
    <x v="11"/>
    <n v="0"/>
    <n v="0"/>
    <n v="1.44"/>
    <n v="1.44"/>
    <n v="1.44"/>
    <n v="1.44"/>
    <n v="0"/>
    <s v="CATIVO"/>
    <n v="0"/>
    <n v="0"/>
    <n v="69"/>
    <n v="10"/>
    <n v="0"/>
    <n v="131.74"/>
    <n v="78.3"/>
    <m/>
    <n v="136.16069505461499"/>
    <n v="77.472693713861844"/>
    <n v="0"/>
    <n v="561.72959999999989"/>
    <n v="0"/>
    <n v="571.31671967798388"/>
    <x v="5"/>
  </r>
  <r>
    <s v="Regular"/>
    <x v="1"/>
    <x v="1"/>
    <x v="3"/>
    <x v="5"/>
    <x v="2"/>
    <x v="0"/>
    <x v="1"/>
    <x v="0"/>
    <n v="0"/>
    <n v="0"/>
    <n v="2.7629999999999999"/>
    <n v="2.7629999999999999"/>
    <n v="2.7629999999999999"/>
    <n v="2.7629999999999999"/>
    <n v="12"/>
    <s v="CATIVO"/>
    <n v="0"/>
    <n v="0"/>
    <n v="70"/>
    <n v="29"/>
    <n v="0"/>
    <n v="225.84"/>
    <n v="134.22999999999999"/>
    <m/>
    <n v="233.41833437934"/>
    <n v="132.81033208090602"/>
    <n v="0"/>
    <n v="663.28577999999993"/>
    <n v="0"/>
    <n v="674.59320361977336"/>
    <x v="5"/>
  </r>
  <r>
    <s v="Regular"/>
    <x v="1"/>
    <x v="1"/>
    <x v="3"/>
    <x v="5"/>
    <x v="2"/>
    <x v="0"/>
    <x v="1"/>
    <x v="1"/>
    <n v="0"/>
    <n v="0"/>
    <n v="2.8559999999999999"/>
    <n v="2.8559999999999999"/>
    <n v="2.8559999999999999"/>
    <n v="2.8559999999999999"/>
    <n v="12"/>
    <s v="CATIVO"/>
    <n v="0"/>
    <n v="0"/>
    <n v="70"/>
    <n v="29"/>
    <n v="0"/>
    <n v="225.84"/>
    <n v="134.22999999999999"/>
    <m/>
    <n v="233.41833437934"/>
    <n v="132.81033208090602"/>
    <n v="0"/>
    <n v="685.61135999999988"/>
    <n v="0"/>
    <n v="697.29938094030854"/>
    <x v="5"/>
  </r>
  <r>
    <s v="Regular"/>
    <x v="1"/>
    <x v="1"/>
    <x v="3"/>
    <x v="5"/>
    <x v="2"/>
    <x v="0"/>
    <x v="1"/>
    <x v="2"/>
    <n v="0"/>
    <n v="0"/>
    <n v="2.8679999999999999"/>
    <n v="2.8679999999999999"/>
    <n v="2.8679999999999999"/>
    <n v="2.8679999999999999"/>
    <n v="10"/>
    <s v="CATIVO"/>
    <n v="0"/>
    <n v="0"/>
    <n v="70"/>
    <n v="29"/>
    <n v="0"/>
    <n v="225.84"/>
    <n v="134.22999999999999"/>
    <m/>
    <n v="233.41833437934"/>
    <n v="132.81033208090602"/>
    <n v="0"/>
    <n v="688.49207999999987"/>
    <n v="0"/>
    <n v="700.2292102719905"/>
    <x v="5"/>
  </r>
  <r>
    <s v="Regular"/>
    <x v="1"/>
    <x v="1"/>
    <x v="3"/>
    <x v="5"/>
    <x v="2"/>
    <x v="0"/>
    <x v="1"/>
    <x v="3"/>
    <n v="0"/>
    <n v="0"/>
    <n v="2.835"/>
    <n v="2.835"/>
    <n v="2.835"/>
    <n v="2.835"/>
    <n v="14"/>
    <s v="CATIVO"/>
    <n v="0"/>
    <n v="0"/>
    <n v="70"/>
    <n v="29"/>
    <n v="0"/>
    <n v="225.84"/>
    <n v="134.22999999999999"/>
    <m/>
    <n v="233.41833437934"/>
    <n v="132.81033208090602"/>
    <n v="0"/>
    <n v="680.57009999999991"/>
    <n v="0"/>
    <n v="692.17217960986511"/>
    <x v="5"/>
  </r>
  <r>
    <s v="Regular"/>
    <x v="1"/>
    <x v="1"/>
    <x v="3"/>
    <x v="5"/>
    <x v="2"/>
    <x v="0"/>
    <x v="1"/>
    <x v="4"/>
    <n v="0"/>
    <n v="0"/>
    <n v="3.1"/>
    <n v="3.1"/>
    <n v="3.1"/>
    <n v="3.1"/>
    <n v="11"/>
    <s v="CATIVO"/>
    <n v="0"/>
    <n v="0"/>
    <n v="70"/>
    <n v="29"/>
    <n v="0"/>
    <n v="225.84"/>
    <n v="134.22999999999999"/>
    <m/>
    <n v="233.41833437934"/>
    <n v="132.81033208090602"/>
    <n v="0"/>
    <n v="744.18599999999992"/>
    <n v="0"/>
    <n v="756.87257735117532"/>
    <x v="5"/>
  </r>
  <r>
    <s v="Regular"/>
    <x v="1"/>
    <x v="1"/>
    <x v="3"/>
    <x v="5"/>
    <x v="2"/>
    <x v="0"/>
    <x v="1"/>
    <x v="5"/>
    <n v="0"/>
    <n v="0"/>
    <n v="3.0750000000000002"/>
    <n v="3.0750000000000002"/>
    <n v="3.0750000000000002"/>
    <n v="3.0750000000000002"/>
    <n v="12"/>
    <s v="CATIVO"/>
    <n v="0"/>
    <n v="0"/>
    <n v="70"/>
    <n v="29"/>
    <n v="0"/>
    <n v="225.84"/>
    <n v="134.22999999999999"/>
    <m/>
    <n v="233.41833437934"/>
    <n v="132.81033208090602"/>
    <n v="0"/>
    <n v="738.18449999999996"/>
    <n v="0"/>
    <n v="750.76876624350461"/>
    <x v="5"/>
  </r>
  <r>
    <s v="Regular"/>
    <x v="1"/>
    <x v="1"/>
    <x v="3"/>
    <x v="5"/>
    <x v="2"/>
    <x v="0"/>
    <x v="1"/>
    <x v="6"/>
    <n v="0"/>
    <n v="0"/>
    <n v="3.0350000000000001"/>
    <n v="3.0350000000000001"/>
    <n v="3.0350000000000001"/>
    <n v="3.0350000000000001"/>
    <n v="14"/>
    <s v="CATIVO"/>
    <n v="0"/>
    <n v="0"/>
    <n v="70"/>
    <n v="29"/>
    <n v="0"/>
    <n v="225.84"/>
    <n v="134.22999999999999"/>
    <m/>
    <n v="233.41833437934"/>
    <n v="132.81033208090602"/>
    <n v="0"/>
    <n v="728.58209999999997"/>
    <n v="0"/>
    <n v="741.00266847123135"/>
    <x v="5"/>
  </r>
  <r>
    <s v="Regular"/>
    <x v="1"/>
    <x v="1"/>
    <x v="3"/>
    <x v="5"/>
    <x v="2"/>
    <x v="0"/>
    <x v="1"/>
    <x v="7"/>
    <n v="0"/>
    <n v="0"/>
    <n v="3.1309999999999998"/>
    <n v="3.1309999999999998"/>
    <n v="3.1309999999999998"/>
    <n v="3.1309999999999998"/>
    <n v="11"/>
    <s v="CATIVO"/>
    <n v="0"/>
    <n v="0"/>
    <n v="70"/>
    <n v="29"/>
    <n v="0"/>
    <n v="225.84"/>
    <n v="134.22999999999999"/>
    <m/>
    <n v="233.41833437934"/>
    <n v="132.81033208090602"/>
    <n v="0"/>
    <n v="751.62785999999983"/>
    <n v="0"/>
    <n v="764.44130312468701"/>
    <x v="5"/>
  </r>
  <r>
    <s v="Regular"/>
    <x v="1"/>
    <x v="1"/>
    <x v="3"/>
    <x v="5"/>
    <x v="2"/>
    <x v="0"/>
    <x v="1"/>
    <x v="8"/>
    <n v="0"/>
    <n v="0"/>
    <n v="3.0840000000000001"/>
    <n v="3.0840000000000001"/>
    <n v="3.0840000000000001"/>
    <n v="3.0840000000000001"/>
    <n v="14"/>
    <s v="CATIVO"/>
    <n v="0"/>
    <n v="0"/>
    <n v="70"/>
    <n v="29"/>
    <n v="0"/>
    <n v="225.84"/>
    <n v="134.22999999999999"/>
    <m/>
    <n v="233.41833437934"/>
    <n v="132.81033208090602"/>
    <n v="0"/>
    <n v="740.34503999999993"/>
    <n v="0"/>
    <n v="752.96613824226608"/>
    <x v="5"/>
  </r>
  <r>
    <s v="Regular"/>
    <x v="1"/>
    <x v="1"/>
    <x v="3"/>
    <x v="5"/>
    <x v="2"/>
    <x v="0"/>
    <x v="1"/>
    <x v="9"/>
    <n v="0"/>
    <n v="0"/>
    <n v="3.0219999999999998"/>
    <n v="3.0219999999999998"/>
    <n v="3.0219999999999998"/>
    <n v="3.0219999999999998"/>
    <n v="12"/>
    <s v="CATIVO"/>
    <n v="0"/>
    <n v="0"/>
    <n v="70"/>
    <n v="29"/>
    <n v="0"/>
    <n v="225.84"/>
    <n v="134.22999999999999"/>
    <m/>
    <n v="233.41833437934"/>
    <n v="132.81033208090602"/>
    <n v="0"/>
    <n v="725.46131999999989"/>
    <n v="0"/>
    <n v="737.82868669524248"/>
    <x v="5"/>
  </r>
  <r>
    <s v="Regular"/>
    <x v="1"/>
    <x v="1"/>
    <x v="3"/>
    <x v="5"/>
    <x v="2"/>
    <x v="0"/>
    <x v="1"/>
    <x v="10"/>
    <n v="0"/>
    <n v="0"/>
    <n v="3.14"/>
    <n v="3.14"/>
    <n v="3.14"/>
    <n v="3.14"/>
    <n v="9"/>
    <s v="CATIVO"/>
    <n v="0"/>
    <n v="0"/>
    <n v="70"/>
    <n v="29"/>
    <n v="0"/>
    <n v="225.84"/>
    <n v="134.22999999999999"/>
    <m/>
    <n v="233.41833437934"/>
    <n v="132.81033208090602"/>
    <n v="0"/>
    <n v="753.78839999999991"/>
    <n v="0"/>
    <n v="766.63867512344859"/>
    <x v="5"/>
  </r>
  <r>
    <s v="PROJETADO"/>
    <x v="1"/>
    <x v="1"/>
    <x v="3"/>
    <x v="5"/>
    <x v="2"/>
    <x v="0"/>
    <x v="1"/>
    <x v="11"/>
    <n v="0"/>
    <n v="0"/>
    <n v="3.14"/>
    <n v="3.14"/>
    <n v="3.14"/>
    <n v="3.14"/>
    <n v="9"/>
    <s v="CATIVO"/>
    <n v="0"/>
    <n v="0"/>
    <n v="70"/>
    <n v="29"/>
    <n v="0"/>
    <n v="225.84"/>
    <n v="134.22999999999999"/>
    <m/>
    <n v="233.41833437934"/>
    <n v="132.81033208090602"/>
    <n v="0"/>
    <n v="753.78839999999991"/>
    <n v="0"/>
    <n v="766.63867512344859"/>
    <x v="5"/>
  </r>
  <r>
    <s v="Regular"/>
    <x v="1"/>
    <x v="1"/>
    <x v="3"/>
    <x v="6"/>
    <x v="2"/>
    <x v="0"/>
    <x v="1"/>
    <x v="0"/>
    <n v="0"/>
    <n v="0"/>
    <n v="2.3380000000000001"/>
    <n v="2.3380000000000001"/>
    <n v="2.3380000000000001"/>
    <n v="2.3380000000000001"/>
    <n v="22"/>
    <s v="CATIVO"/>
    <n v="0"/>
    <n v="0"/>
    <n v="54"/>
    <n v="30"/>
    <n v="0"/>
    <n v="338.77"/>
    <n v="201.35"/>
    <m/>
    <n v="350.12750156901001"/>
    <n v="199.21549812135905"/>
    <n v="0"/>
    <n v="140.30338000000006"/>
    <n v="0"/>
    <n v="142.70710369734255"/>
    <x v="5"/>
  </r>
  <r>
    <s v="Regular"/>
    <x v="1"/>
    <x v="1"/>
    <x v="3"/>
    <x v="6"/>
    <x v="2"/>
    <x v="0"/>
    <x v="1"/>
    <x v="1"/>
    <n v="0"/>
    <n v="0"/>
    <n v="2.4510000000000001"/>
    <n v="2.4510000000000001"/>
    <n v="2.4510000000000001"/>
    <n v="2.4510000000000001"/>
    <n v="24"/>
    <s v="CATIVO"/>
    <n v="0"/>
    <n v="0"/>
    <n v="54"/>
    <n v="30"/>
    <n v="0"/>
    <n v="338.77"/>
    <n v="201.35"/>
    <m/>
    <n v="350.12750156901001"/>
    <n v="199.21549812135905"/>
    <n v="0"/>
    <n v="147.08451000000005"/>
    <n v="0"/>
    <n v="149.60441024901053"/>
    <x v="5"/>
  </r>
  <r>
    <s v="Regular"/>
    <x v="1"/>
    <x v="1"/>
    <x v="3"/>
    <x v="6"/>
    <x v="2"/>
    <x v="0"/>
    <x v="1"/>
    <x v="2"/>
    <n v="0"/>
    <n v="0"/>
    <n v="2.5870000000000002"/>
    <n v="2.5870000000000002"/>
    <n v="2.5870000000000002"/>
    <n v="2.5870000000000002"/>
    <n v="26"/>
    <s v="CATIVO"/>
    <n v="0"/>
    <n v="0"/>
    <n v="54"/>
    <n v="30"/>
    <n v="0"/>
    <n v="338.77"/>
    <n v="201.35"/>
    <m/>
    <n v="350.12750156901001"/>
    <n v="199.21549812135905"/>
    <n v="0"/>
    <n v="155.24587000000005"/>
    <n v="0"/>
    <n v="157.90559335544279"/>
    <x v="5"/>
  </r>
  <r>
    <s v="Regular"/>
    <x v="1"/>
    <x v="1"/>
    <x v="3"/>
    <x v="6"/>
    <x v="2"/>
    <x v="0"/>
    <x v="1"/>
    <x v="3"/>
    <n v="0"/>
    <n v="0"/>
    <n v="2.5099999999999998"/>
    <n v="2.5099999999999998"/>
    <n v="2.5099999999999998"/>
    <n v="2.5099999999999998"/>
    <n v="23"/>
    <s v="CATIVO"/>
    <n v="0"/>
    <n v="0"/>
    <n v="54"/>
    <n v="30"/>
    <n v="0"/>
    <n v="338.77"/>
    <n v="201.35"/>
    <m/>
    <n v="350.12750156901001"/>
    <n v="199.21549812135905"/>
    <n v="0"/>
    <n v="150.62510000000003"/>
    <n v="0"/>
    <n v="153.20565880253625"/>
    <x v="5"/>
  </r>
  <r>
    <s v="Refaturamento - Regular"/>
    <x v="1"/>
    <x v="1"/>
    <x v="3"/>
    <x v="6"/>
    <x v="2"/>
    <x v="0"/>
    <x v="1"/>
    <x v="3"/>
    <n v="0"/>
    <n v="0"/>
    <n v="-1.0999999999999999E-2"/>
    <n v="-1.0999999999999999E-2"/>
    <n v="-1.0999999999999999E-2"/>
    <n v="-1.0999999999999999E-2"/>
    <n v="0"/>
    <s v="CATIVO"/>
    <n v="0"/>
    <n v="0"/>
    <n v="54"/>
    <n v="30"/>
    <n v="0"/>
    <n v="338.77"/>
    <n v="201.35"/>
    <m/>
    <n v="350.12750156901001"/>
    <n v="199.21549812135905"/>
    <n v="0"/>
    <n v="-0.6601100000000002"/>
    <n v="0"/>
    <n v="-0.67141922184378444"/>
    <x v="5"/>
  </r>
  <r>
    <s v="Regular"/>
    <x v="1"/>
    <x v="1"/>
    <x v="3"/>
    <x v="6"/>
    <x v="2"/>
    <x v="0"/>
    <x v="1"/>
    <x v="4"/>
    <n v="0"/>
    <n v="0"/>
    <n v="2.9670000000000001"/>
    <n v="2.9670000000000001"/>
    <n v="2.9670000000000001"/>
    <n v="2.9670000000000001"/>
    <n v="27"/>
    <s v="CATIVO"/>
    <n v="0"/>
    <n v="0"/>
    <n v="54"/>
    <n v="30"/>
    <n v="0"/>
    <n v="338.77"/>
    <n v="201.35"/>
    <m/>
    <n v="350.12750156901001"/>
    <n v="199.21549812135905"/>
    <n v="0"/>
    <n v="178.04967000000005"/>
    <n v="0"/>
    <n v="181.10007556459169"/>
    <x v="5"/>
  </r>
  <r>
    <s v="Regular"/>
    <x v="1"/>
    <x v="1"/>
    <x v="3"/>
    <x v="6"/>
    <x v="2"/>
    <x v="0"/>
    <x v="1"/>
    <x v="5"/>
    <n v="0"/>
    <n v="0"/>
    <n v="2.8450000000000002"/>
    <n v="2.8450000000000002"/>
    <n v="2.8450000000000002"/>
    <n v="2.8450000000000002"/>
    <n v="23"/>
    <s v="CATIVO"/>
    <n v="0"/>
    <n v="0"/>
    <n v="54"/>
    <n v="30"/>
    <n v="0"/>
    <n v="338.77"/>
    <n v="201.35"/>
    <m/>
    <n v="350.12750156901001"/>
    <n v="199.21549812135905"/>
    <n v="0"/>
    <n v="170.72845000000007"/>
    <n v="0"/>
    <n v="173.65342601323337"/>
    <x v="5"/>
  </r>
  <r>
    <s v="Regular"/>
    <x v="1"/>
    <x v="1"/>
    <x v="3"/>
    <x v="6"/>
    <x v="2"/>
    <x v="0"/>
    <x v="1"/>
    <x v="6"/>
    <n v="0"/>
    <n v="0"/>
    <n v="2.8010000000000002"/>
    <n v="2.8010000000000002"/>
    <n v="2.8010000000000002"/>
    <n v="2.8010000000000002"/>
    <n v="26"/>
    <s v="CATIVO"/>
    <n v="0"/>
    <n v="0"/>
    <n v="54"/>
    <n v="30"/>
    <n v="0"/>
    <n v="338.77"/>
    <n v="201.35"/>
    <m/>
    <n v="350.12750156901001"/>
    <n v="199.21549812135905"/>
    <n v="0"/>
    <n v="168.08801000000005"/>
    <n v="0"/>
    <n v="170.96774912585821"/>
    <x v="5"/>
  </r>
  <r>
    <s v="Regular"/>
    <x v="1"/>
    <x v="1"/>
    <x v="3"/>
    <x v="6"/>
    <x v="2"/>
    <x v="0"/>
    <x v="1"/>
    <x v="7"/>
    <n v="0"/>
    <n v="0"/>
    <n v="2.819"/>
    <n v="2.819"/>
    <n v="2.819"/>
    <n v="2.819"/>
    <n v="24"/>
    <s v="CATIVO"/>
    <n v="0"/>
    <n v="0"/>
    <n v="54"/>
    <n v="30"/>
    <n v="0"/>
    <n v="338.77"/>
    <n v="201.35"/>
    <m/>
    <n v="350.12750156901001"/>
    <n v="199.21549812135905"/>
    <n v="0"/>
    <n v="169.16819000000004"/>
    <n v="0"/>
    <n v="172.06643512523894"/>
    <x v="5"/>
  </r>
  <r>
    <s v="Regular"/>
    <x v="1"/>
    <x v="1"/>
    <x v="3"/>
    <x v="6"/>
    <x v="2"/>
    <x v="0"/>
    <x v="1"/>
    <x v="8"/>
    <n v="0"/>
    <n v="0"/>
    <n v="2.585"/>
    <n v="2.585"/>
    <n v="2.585"/>
    <n v="2.585"/>
    <n v="25"/>
    <s v="CATIVO"/>
    <n v="0"/>
    <n v="0"/>
    <n v="54"/>
    <n v="30"/>
    <n v="0"/>
    <n v="338.77"/>
    <n v="201.35"/>
    <m/>
    <n v="350.12750156901001"/>
    <n v="199.21549812135905"/>
    <n v="0"/>
    <n v="155.12585000000004"/>
    <n v="0"/>
    <n v="157.78351713328934"/>
    <x v="5"/>
  </r>
  <r>
    <s v="Regular"/>
    <x v="1"/>
    <x v="1"/>
    <x v="3"/>
    <x v="6"/>
    <x v="2"/>
    <x v="0"/>
    <x v="1"/>
    <x v="9"/>
    <n v="0"/>
    <n v="0"/>
    <n v="2.6150000000000002"/>
    <n v="2.6150000000000002"/>
    <n v="2.6150000000000002"/>
    <n v="2.6150000000000002"/>
    <n v="27"/>
    <s v="CATIVO"/>
    <n v="0"/>
    <n v="0"/>
    <n v="54"/>
    <n v="30"/>
    <n v="0"/>
    <n v="338.77"/>
    <n v="201.35"/>
    <m/>
    <n v="350.12750156901001"/>
    <n v="199.21549812135905"/>
    <n v="0"/>
    <n v="156.92615000000006"/>
    <n v="0"/>
    <n v="159.61466046559059"/>
    <x v="5"/>
  </r>
  <r>
    <s v="Regular"/>
    <x v="1"/>
    <x v="1"/>
    <x v="3"/>
    <x v="6"/>
    <x v="2"/>
    <x v="0"/>
    <x v="1"/>
    <x v="10"/>
    <n v="0"/>
    <n v="0"/>
    <n v="3.1640000000000001"/>
    <n v="3.1640000000000001"/>
    <n v="3.1640000000000001"/>
    <n v="3.1640000000000001"/>
    <n v="23"/>
    <s v="CATIVO"/>
    <n v="0"/>
    <n v="0"/>
    <n v="54"/>
    <n v="30"/>
    <n v="0"/>
    <n v="338.77"/>
    <n v="201.35"/>
    <m/>
    <n v="350.12750156901001"/>
    <n v="199.21549812135905"/>
    <n v="0"/>
    <n v="189.87164000000007"/>
    <n v="0"/>
    <n v="193.1245834467031"/>
    <x v="5"/>
  </r>
  <r>
    <s v="PROJETADO"/>
    <x v="1"/>
    <x v="1"/>
    <x v="3"/>
    <x v="6"/>
    <x v="2"/>
    <x v="0"/>
    <x v="1"/>
    <x v="11"/>
    <n v="0"/>
    <n v="0"/>
    <n v="3.1640000000000001"/>
    <n v="3.1640000000000001"/>
    <n v="3.1640000000000001"/>
    <n v="3.1640000000000001"/>
    <n v="23"/>
    <s v="CATIVO"/>
    <n v="0"/>
    <n v="0"/>
    <n v="54"/>
    <n v="30"/>
    <n v="0"/>
    <n v="338.77"/>
    <n v="201.35"/>
    <m/>
    <n v="350.12750156901001"/>
    <n v="199.21549812135905"/>
    <n v="0"/>
    <n v="189.87164000000007"/>
    <n v="0"/>
    <n v="193.1245834467031"/>
    <x v="5"/>
  </r>
  <r>
    <s v="Regular"/>
    <x v="1"/>
    <x v="1"/>
    <x v="3"/>
    <x v="7"/>
    <x v="2"/>
    <x v="0"/>
    <x v="1"/>
    <x v="0"/>
    <n v="0"/>
    <n v="0"/>
    <n v="0.67500000000000004"/>
    <n v="0.67500000000000004"/>
    <n v="0.67500000000000004"/>
    <n v="0.67500000000000004"/>
    <n v="10"/>
    <s v="CATIVO"/>
    <n v="0"/>
    <n v="0"/>
    <n v="55"/>
    <n v="31"/>
    <n v="0"/>
    <n v="376.41"/>
    <n v="223.72"/>
    <m/>
    <n v="389.03055729890002"/>
    <n v="221.35055346817671"/>
    <n v="0"/>
    <n v="-1.9184653865522706E-14"/>
    <n v="0"/>
    <n v="0"/>
    <x v="5"/>
  </r>
  <r>
    <s v="Regular"/>
    <x v="1"/>
    <x v="1"/>
    <x v="3"/>
    <x v="7"/>
    <x v="2"/>
    <x v="0"/>
    <x v="1"/>
    <x v="1"/>
    <n v="0"/>
    <n v="0"/>
    <n v="0.72299999999999998"/>
    <n v="0.72299999999999998"/>
    <n v="0.72299999999999998"/>
    <n v="0.72299999999999998"/>
    <n v="9"/>
    <s v="CATIVO"/>
    <n v="0"/>
    <n v="0"/>
    <n v="55"/>
    <n v="31"/>
    <n v="0"/>
    <n v="376.41"/>
    <n v="223.72"/>
    <m/>
    <n v="389.03055729890002"/>
    <n v="221.35055346817671"/>
    <n v="0"/>
    <n v="-2.0548895918182097E-14"/>
    <n v="0"/>
    <n v="0"/>
    <x v="5"/>
  </r>
  <r>
    <s v="Regular"/>
    <x v="1"/>
    <x v="1"/>
    <x v="3"/>
    <x v="7"/>
    <x v="2"/>
    <x v="0"/>
    <x v="1"/>
    <x v="2"/>
    <n v="0"/>
    <n v="0"/>
    <n v="1.0489999999999999"/>
    <n v="1.0489999999999999"/>
    <n v="1.0489999999999999"/>
    <n v="1.0489999999999999"/>
    <n v="10"/>
    <s v="CATIVO"/>
    <n v="0"/>
    <n v="0"/>
    <n v="55"/>
    <n v="31"/>
    <n v="0"/>
    <n v="376.41"/>
    <n v="223.72"/>
    <m/>
    <n v="389.03055729890002"/>
    <n v="221.35055346817671"/>
    <n v="0"/>
    <n v="-2.9814373192493802E-14"/>
    <n v="0"/>
    <n v="0"/>
    <x v="5"/>
  </r>
  <r>
    <s v="Regular"/>
    <x v="1"/>
    <x v="1"/>
    <x v="3"/>
    <x v="7"/>
    <x v="2"/>
    <x v="0"/>
    <x v="1"/>
    <x v="3"/>
    <n v="0"/>
    <n v="0"/>
    <n v="0.41299999999999998"/>
    <n v="0.41299999999999998"/>
    <n v="0.41299999999999998"/>
    <n v="0.41299999999999998"/>
    <n v="9"/>
    <s v="CATIVO"/>
    <n v="0"/>
    <n v="0"/>
    <n v="55"/>
    <n v="31"/>
    <n v="0"/>
    <n v="376.41"/>
    <n v="223.72"/>
    <m/>
    <n v="389.03055729890002"/>
    <n v="221.35055346817671"/>
    <n v="0"/>
    <n v="-1.1738165994756854E-14"/>
    <n v="0"/>
    <n v="0"/>
    <x v="5"/>
  </r>
  <r>
    <s v="Refaturamento - Regular"/>
    <x v="1"/>
    <x v="1"/>
    <x v="3"/>
    <x v="7"/>
    <x v="2"/>
    <x v="0"/>
    <x v="1"/>
    <x v="3"/>
    <n v="0"/>
    <n v="0"/>
    <n v="-0.29499999999999998"/>
    <n v="-0.29499999999999998"/>
    <n v="-0.29499999999999998"/>
    <n v="-0.29499999999999998"/>
    <n v="0"/>
    <s v="CATIVO"/>
    <n v="0"/>
    <n v="0"/>
    <n v="55"/>
    <n v="31"/>
    <n v="0"/>
    <n v="376.41"/>
    <n v="223.72"/>
    <m/>
    <n v="389.03055729890002"/>
    <n v="221.35055346817671"/>
    <n v="0"/>
    <n v="8.3844042819691818E-15"/>
    <n v="0"/>
    <n v="0"/>
    <x v="5"/>
  </r>
  <r>
    <s v="Regular"/>
    <x v="1"/>
    <x v="1"/>
    <x v="3"/>
    <x v="7"/>
    <x v="2"/>
    <x v="0"/>
    <x v="1"/>
    <x v="4"/>
    <n v="0"/>
    <n v="0"/>
    <n v="0.92400000000000004"/>
    <n v="0.92400000000000004"/>
    <n v="0.92400000000000004"/>
    <n v="0.92400000000000004"/>
    <n v="11"/>
    <s v="CATIVO"/>
    <n v="0"/>
    <n v="0"/>
    <n v="55"/>
    <n v="31"/>
    <n v="0"/>
    <n v="376.41"/>
    <n v="223.72"/>
    <m/>
    <n v="389.03055729890002"/>
    <n v="221.35055346817671"/>
    <n v="0"/>
    <n v="-2.6261659513693304E-14"/>
    <n v="0"/>
    <n v="0"/>
    <x v="5"/>
  </r>
  <r>
    <s v="Regular"/>
    <x v="1"/>
    <x v="1"/>
    <x v="3"/>
    <x v="7"/>
    <x v="2"/>
    <x v="0"/>
    <x v="1"/>
    <x v="5"/>
    <n v="0"/>
    <n v="0"/>
    <n v="0.90300000000000002"/>
    <n v="0.90300000000000002"/>
    <n v="0.90300000000000002"/>
    <n v="0.90300000000000002"/>
    <n v="13"/>
    <s v="CATIVO"/>
    <n v="0"/>
    <n v="0"/>
    <n v="55"/>
    <n v="31"/>
    <n v="0"/>
    <n v="376.41"/>
    <n v="223.72"/>
    <m/>
    <n v="389.03055729890002"/>
    <n v="221.35055346817671"/>
    <n v="0"/>
    <n v="-2.5664803615654819E-14"/>
    <n v="0"/>
    <n v="0"/>
    <x v="5"/>
  </r>
  <r>
    <s v="Regular"/>
    <x v="1"/>
    <x v="1"/>
    <x v="3"/>
    <x v="7"/>
    <x v="2"/>
    <x v="0"/>
    <x v="1"/>
    <x v="6"/>
    <n v="0"/>
    <n v="0"/>
    <n v="0.79"/>
    <n v="0.79"/>
    <n v="0.79"/>
    <n v="0.79"/>
    <n v="8"/>
    <s v="CATIVO"/>
    <n v="0"/>
    <n v="0"/>
    <n v="55"/>
    <n v="31"/>
    <n v="0"/>
    <n v="376.41"/>
    <n v="223.72"/>
    <m/>
    <n v="389.03055729890002"/>
    <n v="221.35055346817671"/>
    <n v="0"/>
    <n v="-2.2453150450019167E-14"/>
    <n v="0"/>
    <n v="0"/>
    <x v="5"/>
  </r>
  <r>
    <s v="Regular"/>
    <x v="1"/>
    <x v="1"/>
    <x v="3"/>
    <x v="7"/>
    <x v="2"/>
    <x v="0"/>
    <x v="1"/>
    <x v="7"/>
    <n v="0"/>
    <n v="0"/>
    <n v="1.0900000000000001"/>
    <n v="1.0900000000000001"/>
    <n v="1.0900000000000001"/>
    <n v="1.0900000000000001"/>
    <n v="14"/>
    <s v="CATIVO"/>
    <n v="0"/>
    <n v="0"/>
    <n v="55"/>
    <n v="31"/>
    <n v="0"/>
    <n v="376.41"/>
    <n v="223.72"/>
    <m/>
    <n v="389.03055729890002"/>
    <n v="221.35055346817671"/>
    <n v="0"/>
    <n v="-3.097966327914037E-14"/>
    <n v="0"/>
    <n v="0"/>
    <x v="5"/>
  </r>
  <r>
    <s v="Regular"/>
    <x v="1"/>
    <x v="1"/>
    <x v="3"/>
    <x v="7"/>
    <x v="2"/>
    <x v="0"/>
    <x v="1"/>
    <x v="8"/>
    <n v="0"/>
    <n v="0"/>
    <n v="0.83899999999999997"/>
    <n v="0.83899999999999997"/>
    <n v="0.83899999999999997"/>
    <n v="0.83899999999999997"/>
    <n v="10"/>
    <s v="CATIVO"/>
    <n v="0"/>
    <n v="0"/>
    <n v="55"/>
    <n v="31"/>
    <n v="0"/>
    <n v="376.41"/>
    <n v="223.72"/>
    <m/>
    <n v="389.03055729890002"/>
    <n v="221.35055346817671"/>
    <n v="0"/>
    <n v="-2.3845814212108961E-14"/>
    <n v="0"/>
    <n v="0"/>
    <x v="5"/>
  </r>
  <r>
    <s v="Regular"/>
    <x v="1"/>
    <x v="1"/>
    <x v="3"/>
    <x v="7"/>
    <x v="2"/>
    <x v="0"/>
    <x v="1"/>
    <x v="9"/>
    <n v="0"/>
    <n v="0"/>
    <n v="0.78500000000000003"/>
    <n v="0.78500000000000003"/>
    <n v="0.78500000000000003"/>
    <n v="0.78500000000000003"/>
    <n v="9"/>
    <s v="CATIVO"/>
    <n v="0"/>
    <n v="0"/>
    <n v="55"/>
    <n v="31"/>
    <n v="0"/>
    <n v="376.41"/>
    <n v="223.72"/>
    <m/>
    <n v="389.03055729890002"/>
    <n v="221.35055346817671"/>
    <n v="0"/>
    <n v="-2.2311041902867147E-14"/>
    <n v="0"/>
    <n v="0"/>
    <x v="5"/>
  </r>
  <r>
    <s v="Regular"/>
    <x v="1"/>
    <x v="1"/>
    <x v="3"/>
    <x v="7"/>
    <x v="2"/>
    <x v="0"/>
    <x v="1"/>
    <x v="10"/>
    <n v="0"/>
    <n v="0"/>
    <n v="1.3360000000000001"/>
    <n v="1.3360000000000001"/>
    <n v="1.3360000000000001"/>
    <n v="1.3360000000000001"/>
    <n v="16"/>
    <s v="CATIVO"/>
    <n v="0"/>
    <n v="0"/>
    <n v="55"/>
    <n v="31"/>
    <n v="0"/>
    <n v="376.41"/>
    <n v="223.72"/>
    <m/>
    <n v="389.03055729890002"/>
    <n v="221.35055346817671"/>
    <n v="0"/>
    <n v="-3.7971403799019756E-14"/>
    <n v="0"/>
    <n v="0"/>
    <x v="5"/>
  </r>
  <r>
    <s v="PROJETADO"/>
    <x v="1"/>
    <x v="1"/>
    <x v="3"/>
    <x v="7"/>
    <x v="2"/>
    <x v="0"/>
    <x v="1"/>
    <x v="11"/>
    <n v="0"/>
    <n v="0"/>
    <n v="1.3360000000000001"/>
    <n v="1.3360000000000001"/>
    <n v="1.3360000000000001"/>
    <n v="1.3360000000000001"/>
    <n v="16"/>
    <s v="CATIVO"/>
    <n v="0"/>
    <n v="0"/>
    <n v="55"/>
    <n v="31"/>
    <n v="0"/>
    <n v="376.41"/>
    <n v="223.72"/>
    <m/>
    <n v="389.03055729890002"/>
    <n v="221.35055346817671"/>
    <n v="0"/>
    <n v="-3.7971403799019756E-14"/>
    <n v="0"/>
    <n v="0"/>
    <x v="5"/>
  </r>
  <r>
    <s v="Regular"/>
    <x v="2"/>
    <x v="1"/>
    <x v="1"/>
    <x v="1"/>
    <x v="3"/>
    <x v="0"/>
    <x v="1"/>
    <x v="0"/>
    <n v="0"/>
    <n v="0"/>
    <n v="1925.53"/>
    <n v="1925.53"/>
    <n v="1925.53"/>
    <n v="1925.53"/>
    <n v="0"/>
    <s v="CATIVO"/>
    <n v="0"/>
    <n v="0"/>
    <n v="60"/>
    <n v="16"/>
    <n v="0"/>
    <n v="387.29"/>
    <n v="196.87"/>
    <m/>
    <n v="456.08524314176981"/>
    <n v="208.06952026008611"/>
    <n v="0"/>
    <n v="153387.71980000005"/>
    <n v="0"/>
    <n v="81628.718398287849"/>
    <x v="2"/>
  </r>
  <r>
    <s v="Sistema de Compensação"/>
    <x v="2"/>
    <x v="1"/>
    <x v="1"/>
    <x v="1"/>
    <x v="3"/>
    <x v="0"/>
    <x v="1"/>
    <x v="0"/>
    <n v="0"/>
    <n v="0"/>
    <n v="0.1"/>
    <n v="0.1"/>
    <n v="0.1"/>
    <n v="0.1"/>
    <n v="0"/>
    <s v="CATIVO"/>
    <n v="0"/>
    <n v="0"/>
    <n v="60"/>
    <n v="16"/>
    <n v="0"/>
    <n v="387.29"/>
    <n v="196.87"/>
    <m/>
    <n v="456.08524314176981"/>
    <n v="208.06952026008611"/>
    <n v="0"/>
    <n v="7.9660000000000029"/>
    <n v="0"/>
    <n v="4.2392857238416353"/>
    <x v="2"/>
  </r>
  <r>
    <s v="Regular"/>
    <x v="2"/>
    <x v="1"/>
    <x v="1"/>
    <x v="1"/>
    <x v="3"/>
    <x v="0"/>
    <x v="1"/>
    <x v="1"/>
    <n v="0"/>
    <n v="0"/>
    <n v="2103.8020000000001"/>
    <n v="2103.8020000000001"/>
    <n v="2103.8020000000001"/>
    <n v="2103.8020000000001"/>
    <n v="0"/>
    <s v="CATIVO"/>
    <n v="0"/>
    <n v="0"/>
    <n v="60"/>
    <n v="16"/>
    <n v="0"/>
    <n v="387.29"/>
    <n v="196.87"/>
    <m/>
    <n v="456.08524314176981"/>
    <n v="208.06952026008611"/>
    <n v="0"/>
    <n v="167588.86732000008"/>
    <n v="0"/>
    <n v="89186.177843894809"/>
    <x v="2"/>
  </r>
  <r>
    <s v="Sistema de Compensação"/>
    <x v="2"/>
    <x v="1"/>
    <x v="1"/>
    <x v="1"/>
    <x v="3"/>
    <x v="0"/>
    <x v="1"/>
    <x v="1"/>
    <n v="0"/>
    <n v="0"/>
    <n v="18.318000000000001"/>
    <n v="18.318000000000001"/>
    <n v="18.318000000000001"/>
    <n v="18.318000000000001"/>
    <n v="0"/>
    <s v="CATIVO"/>
    <n v="0"/>
    <n v="0"/>
    <n v="60"/>
    <n v="16"/>
    <n v="0"/>
    <n v="387.29"/>
    <n v="196.87"/>
    <m/>
    <n v="456.08524314176981"/>
    <n v="208.06952026008611"/>
    <n v="0"/>
    <n v="1459.2118800000005"/>
    <n v="0"/>
    <n v="776.55235889331084"/>
    <x v="2"/>
  </r>
  <r>
    <s v="Regular"/>
    <x v="2"/>
    <x v="1"/>
    <x v="1"/>
    <x v="1"/>
    <x v="3"/>
    <x v="0"/>
    <x v="1"/>
    <x v="2"/>
    <n v="0"/>
    <n v="0"/>
    <n v="712.08299999999997"/>
    <n v="712.08299999999997"/>
    <n v="712.08299999999997"/>
    <n v="712.08299999999997"/>
    <n v="0"/>
    <s v="CATIVO"/>
    <n v="0"/>
    <n v="0"/>
    <n v="60"/>
    <n v="16"/>
    <n v="0"/>
    <n v="387.29"/>
    <n v="196.87"/>
    <m/>
    <n v="456.08524314176981"/>
    <n v="208.06952026008611"/>
    <n v="0"/>
    <n v="56724.531780000012"/>
    <n v="0"/>
    <n v="30187.232960903231"/>
    <x v="2"/>
  </r>
  <r>
    <s v="Sistema de Compensação"/>
    <x v="2"/>
    <x v="1"/>
    <x v="1"/>
    <x v="1"/>
    <x v="3"/>
    <x v="0"/>
    <x v="1"/>
    <x v="2"/>
    <n v="0"/>
    <n v="0"/>
    <n v="0.1"/>
    <n v="0.1"/>
    <n v="0.1"/>
    <n v="0.1"/>
    <n v="0"/>
    <s v="CATIVO"/>
    <n v="0"/>
    <n v="0"/>
    <n v="60"/>
    <n v="16"/>
    <n v="0"/>
    <n v="387.29"/>
    <n v="196.87"/>
    <m/>
    <n v="456.08524314176981"/>
    <n v="208.06952026008611"/>
    <n v="0"/>
    <n v="7.9660000000000029"/>
    <n v="0"/>
    <n v="4.2392857238416353"/>
    <x v="2"/>
  </r>
  <r>
    <s v="Regular"/>
    <x v="2"/>
    <x v="1"/>
    <x v="1"/>
    <x v="1"/>
    <x v="3"/>
    <x v="0"/>
    <x v="1"/>
    <x v="3"/>
    <n v="0"/>
    <n v="0"/>
    <n v="5156.4939999999997"/>
    <n v="5156.4939999999997"/>
    <n v="5156.4939999999997"/>
    <n v="5156.4939999999997"/>
    <n v="0"/>
    <s v="CATIVO"/>
    <n v="0"/>
    <n v="0"/>
    <n v="60"/>
    <n v="16"/>
    <n v="0"/>
    <n v="387.29"/>
    <n v="196.87"/>
    <m/>
    <n v="456.08524314176981"/>
    <n v="208.06952026008611"/>
    <n v="0"/>
    <n v="410766.31204000011"/>
    <n v="0"/>
    <n v="218598.51399275049"/>
    <x v="2"/>
  </r>
  <r>
    <s v="Refaturamento - Regular"/>
    <x v="2"/>
    <x v="1"/>
    <x v="1"/>
    <x v="1"/>
    <x v="3"/>
    <x v="0"/>
    <x v="1"/>
    <x v="3"/>
    <n v="0"/>
    <n v="0"/>
    <n v="-3.8"/>
    <n v="-3.8"/>
    <n v="-3.8"/>
    <n v="-3.8"/>
    <n v="0"/>
    <s v="CATIVO"/>
    <n v="0"/>
    <n v="0"/>
    <n v="60"/>
    <n v="16"/>
    <n v="0"/>
    <n v="387.29"/>
    <n v="196.87"/>
    <m/>
    <n v="456.08524314176981"/>
    <n v="208.06952026008611"/>
    <n v="0"/>
    <n v="-302.70800000000008"/>
    <n v="0"/>
    <n v="-161.09285750598215"/>
    <x v="2"/>
  </r>
  <r>
    <s v="Sistema de Compensação"/>
    <x v="2"/>
    <x v="1"/>
    <x v="1"/>
    <x v="1"/>
    <x v="3"/>
    <x v="0"/>
    <x v="1"/>
    <x v="3"/>
    <n v="0"/>
    <n v="0"/>
    <n v="0.2"/>
    <n v="0.2"/>
    <n v="0.2"/>
    <n v="0.2"/>
    <n v="0"/>
    <s v="CATIVO"/>
    <n v="0"/>
    <n v="0"/>
    <n v="60"/>
    <n v="16"/>
    <n v="0"/>
    <n v="387.29"/>
    <n v="196.87"/>
    <m/>
    <n v="456.08524314176981"/>
    <n v="208.06952026008611"/>
    <n v="0"/>
    <n v="15.932000000000006"/>
    <n v="0"/>
    <n v="8.4785714476832705"/>
    <x v="2"/>
  </r>
  <r>
    <s v="Regular"/>
    <x v="2"/>
    <x v="1"/>
    <x v="1"/>
    <x v="1"/>
    <x v="3"/>
    <x v="0"/>
    <x v="1"/>
    <x v="4"/>
    <n v="0"/>
    <n v="0"/>
    <n v="1334.6210000000001"/>
    <n v="1334.6210000000001"/>
    <n v="1334.6210000000001"/>
    <n v="1334.6210000000001"/>
    <n v="0"/>
    <s v="CATIVO"/>
    <n v="0"/>
    <n v="0"/>
    <n v="60"/>
    <n v="16"/>
    <n v="0"/>
    <n v="387.29"/>
    <n v="196.87"/>
    <m/>
    <n v="456.08524314176981"/>
    <n v="208.06952026008611"/>
    <n v="0"/>
    <n v="106315.90886000004"/>
    <n v="0"/>
    <n v="56578.397520392478"/>
    <x v="2"/>
  </r>
  <r>
    <s v="Refaturamento - Regular"/>
    <x v="2"/>
    <x v="1"/>
    <x v="1"/>
    <x v="1"/>
    <x v="3"/>
    <x v="0"/>
    <x v="1"/>
    <x v="4"/>
    <n v="0"/>
    <n v="0"/>
    <n v="-4000.4"/>
    <n v="-4000.4"/>
    <n v="-4000.4"/>
    <n v="-4000.4"/>
    <n v="0"/>
    <s v="CATIVO"/>
    <n v="0"/>
    <n v="0"/>
    <n v="60"/>
    <n v="16"/>
    <n v="0"/>
    <n v="387.29"/>
    <n v="196.87"/>
    <m/>
    <n v="456.08524314176981"/>
    <n v="208.06952026008611"/>
    <n v="0"/>
    <n v="-318671.86400000012"/>
    <n v="0"/>
    <n v="-169588.38609656077"/>
    <x v="2"/>
  </r>
  <r>
    <s v="Sistema de Compensação"/>
    <x v="2"/>
    <x v="1"/>
    <x v="1"/>
    <x v="1"/>
    <x v="3"/>
    <x v="0"/>
    <x v="1"/>
    <x v="4"/>
    <n v="0"/>
    <n v="0"/>
    <n v="1.9319999999999999"/>
    <n v="1.9319999999999999"/>
    <n v="1.9319999999999999"/>
    <n v="1.9319999999999999"/>
    <n v="0"/>
    <s v="CATIVO"/>
    <n v="0"/>
    <n v="0"/>
    <n v="60"/>
    <n v="16"/>
    <n v="0"/>
    <n v="387.29"/>
    <n v="196.87"/>
    <m/>
    <n v="456.08524314176981"/>
    <n v="208.06952026008611"/>
    <n v="0"/>
    <n v="153.90312000000003"/>
    <n v="0"/>
    <n v="81.903000184620396"/>
    <x v="2"/>
  </r>
  <r>
    <s v="Regular"/>
    <x v="2"/>
    <x v="1"/>
    <x v="1"/>
    <x v="1"/>
    <x v="3"/>
    <x v="0"/>
    <x v="1"/>
    <x v="5"/>
    <n v="0"/>
    <n v="0"/>
    <n v="1521.9469999999999"/>
    <n v="1521.9469999999999"/>
    <n v="1521.9469999999999"/>
    <n v="1521.9469999999999"/>
    <n v="0"/>
    <s v="CATIVO"/>
    <n v="0"/>
    <n v="0"/>
    <n v="60"/>
    <n v="16"/>
    <n v="0"/>
    <n v="387.29"/>
    <n v="196.87"/>
    <m/>
    <n v="456.08524314176981"/>
    <n v="208.06952026008611"/>
    <n v="0"/>
    <n v="121238.29802000003"/>
    <n v="0"/>
    <n v="64519.68189543605"/>
    <x v="2"/>
  </r>
  <r>
    <s v="Sistema de Compensação"/>
    <x v="2"/>
    <x v="1"/>
    <x v="1"/>
    <x v="1"/>
    <x v="3"/>
    <x v="0"/>
    <x v="1"/>
    <x v="5"/>
    <n v="0"/>
    <n v="0"/>
    <n v="0.1"/>
    <n v="0.1"/>
    <n v="0.1"/>
    <n v="0.1"/>
    <n v="0"/>
    <s v="CATIVO"/>
    <n v="0"/>
    <n v="0"/>
    <n v="60"/>
    <n v="16"/>
    <n v="0"/>
    <n v="387.29"/>
    <n v="196.87"/>
    <m/>
    <n v="456.08524314176981"/>
    <n v="208.06952026008611"/>
    <n v="0"/>
    <n v="7.9660000000000029"/>
    <n v="0"/>
    <n v="4.2392857238416353"/>
    <x v="2"/>
  </r>
  <r>
    <s v="Regular"/>
    <x v="2"/>
    <x v="1"/>
    <x v="1"/>
    <x v="1"/>
    <x v="3"/>
    <x v="0"/>
    <x v="1"/>
    <x v="6"/>
    <n v="0"/>
    <n v="0"/>
    <n v="1443.8409999999999"/>
    <n v="1443.8409999999999"/>
    <n v="1443.8409999999999"/>
    <n v="1443.8409999999999"/>
    <n v="0"/>
    <s v="CATIVO"/>
    <n v="0"/>
    <n v="0"/>
    <n v="60"/>
    <n v="16"/>
    <n v="0"/>
    <n v="387.29"/>
    <n v="196.87"/>
    <m/>
    <n v="456.08524314176981"/>
    <n v="208.06952026008611"/>
    <n v="0"/>
    <n v="115016.37406000003"/>
    <n v="0"/>
    <n v="61208.545387972306"/>
    <x v="2"/>
  </r>
  <r>
    <s v="Sistema de Compensação"/>
    <x v="2"/>
    <x v="1"/>
    <x v="1"/>
    <x v="1"/>
    <x v="3"/>
    <x v="0"/>
    <x v="1"/>
    <x v="6"/>
    <n v="0"/>
    <n v="0"/>
    <n v="7.3"/>
    <n v="7.3"/>
    <n v="7.3"/>
    <n v="7.3"/>
    <n v="0"/>
    <s v="CATIVO"/>
    <n v="0"/>
    <n v="0"/>
    <n v="60"/>
    <n v="16"/>
    <n v="0"/>
    <n v="387.29"/>
    <n v="196.87"/>
    <m/>
    <n v="456.08524314176981"/>
    <n v="208.06952026008611"/>
    <n v="0"/>
    <n v="581.51800000000014"/>
    <n v="0"/>
    <n v="309.46785784043936"/>
    <x v="2"/>
  </r>
  <r>
    <s v="Regular"/>
    <x v="2"/>
    <x v="1"/>
    <x v="1"/>
    <x v="1"/>
    <x v="3"/>
    <x v="0"/>
    <x v="1"/>
    <x v="7"/>
    <n v="0"/>
    <n v="0"/>
    <n v="1907.675"/>
    <n v="1907.675"/>
    <n v="1907.675"/>
    <n v="1907.675"/>
    <n v="0"/>
    <s v="CATIVO"/>
    <n v="0"/>
    <n v="0"/>
    <n v="60"/>
    <n v="16"/>
    <n v="0"/>
    <n v="387.29"/>
    <n v="196.87"/>
    <m/>
    <n v="456.08524314176981"/>
    <n v="208.06952026008611"/>
    <n v="0"/>
    <n v="151965.39050000004"/>
    <n v="0"/>
    <n v="80871.793932295914"/>
    <x v="2"/>
  </r>
  <r>
    <s v="Sistema de Compensação"/>
    <x v="2"/>
    <x v="1"/>
    <x v="1"/>
    <x v="1"/>
    <x v="3"/>
    <x v="0"/>
    <x v="1"/>
    <x v="7"/>
    <n v="0"/>
    <n v="0"/>
    <n v="25.234000000000002"/>
    <n v="25.234000000000002"/>
    <n v="25.234000000000002"/>
    <n v="25.234000000000002"/>
    <n v="0"/>
    <s v="CATIVO"/>
    <n v="0"/>
    <n v="0"/>
    <n v="60"/>
    <n v="16"/>
    <n v="0"/>
    <n v="387.29"/>
    <n v="196.87"/>
    <m/>
    <n v="456.08524314176981"/>
    <n v="208.06952026008611"/>
    <n v="0"/>
    <n v="2010.1404400000008"/>
    <n v="0"/>
    <n v="1069.7413595541984"/>
    <x v="2"/>
  </r>
  <r>
    <s v="Regular"/>
    <x v="2"/>
    <x v="1"/>
    <x v="1"/>
    <x v="1"/>
    <x v="3"/>
    <x v="0"/>
    <x v="1"/>
    <x v="8"/>
    <n v="0"/>
    <n v="0"/>
    <n v="1652.027"/>
    <n v="1652.027"/>
    <n v="1652.027"/>
    <n v="1652.027"/>
    <n v="0"/>
    <s v="CATIVO"/>
    <n v="0"/>
    <n v="0"/>
    <n v="60"/>
    <n v="16"/>
    <n v="0"/>
    <n v="387.29"/>
    <n v="196.87"/>
    <m/>
    <n v="456.08524314176981"/>
    <n v="208.06952026008611"/>
    <n v="0"/>
    <n v="131600.47082000005"/>
    <n v="0"/>
    <n v="70034.14476500926"/>
    <x v="2"/>
  </r>
  <r>
    <s v="Refaturamento - Regular"/>
    <x v="2"/>
    <x v="1"/>
    <x v="1"/>
    <x v="1"/>
    <x v="3"/>
    <x v="0"/>
    <x v="1"/>
    <x v="8"/>
    <n v="0"/>
    <n v="0"/>
    <n v="120.685"/>
    <n v="120.685"/>
    <n v="120.685"/>
    <n v="120.685"/>
    <n v="0"/>
    <s v="CATIVO"/>
    <n v="0"/>
    <n v="0"/>
    <n v="60"/>
    <n v="16"/>
    <n v="0"/>
    <n v="387.29"/>
    <n v="196.87"/>
    <m/>
    <n v="456.08524314176981"/>
    <n v="208.06952026008611"/>
    <n v="0"/>
    <n v="9613.7671000000028"/>
    <n v="0"/>
    <n v="5116.1819758182783"/>
    <x v="2"/>
  </r>
  <r>
    <s v="Sistema de Compensação"/>
    <x v="2"/>
    <x v="1"/>
    <x v="1"/>
    <x v="1"/>
    <x v="3"/>
    <x v="0"/>
    <x v="1"/>
    <x v="8"/>
    <n v="0"/>
    <n v="0"/>
    <n v="24.227"/>
    <n v="24.227"/>
    <n v="24.227"/>
    <n v="24.227"/>
    <n v="0"/>
    <s v="CATIVO"/>
    <n v="0"/>
    <n v="0"/>
    <n v="60"/>
    <n v="16"/>
    <n v="0"/>
    <n v="387.29"/>
    <n v="196.87"/>
    <m/>
    <n v="456.08524314176981"/>
    <n v="208.06952026008611"/>
    <n v="0"/>
    <n v="1929.9228200000007"/>
    <n v="0"/>
    <n v="1027.0517523151129"/>
    <x v="2"/>
  </r>
  <r>
    <s v="Regular"/>
    <x v="2"/>
    <x v="1"/>
    <x v="1"/>
    <x v="1"/>
    <x v="3"/>
    <x v="0"/>
    <x v="1"/>
    <x v="9"/>
    <n v="0"/>
    <n v="0"/>
    <n v="1415.28"/>
    <n v="1415.28"/>
    <n v="1415.28"/>
    <n v="1415.28"/>
    <n v="0"/>
    <s v="CATIVO"/>
    <n v="0"/>
    <n v="0"/>
    <n v="60"/>
    <n v="16"/>
    <n v="0"/>
    <n v="387.29"/>
    <n v="196.87"/>
    <m/>
    <n v="456.08524314176981"/>
    <n v="208.06952026008611"/>
    <n v="0"/>
    <n v="112741.20480000004"/>
    <n v="0"/>
    <n v="59997.762992385899"/>
    <x v="2"/>
  </r>
  <r>
    <s v="Sistema de Compensação"/>
    <x v="2"/>
    <x v="1"/>
    <x v="1"/>
    <x v="1"/>
    <x v="3"/>
    <x v="0"/>
    <x v="1"/>
    <x v="9"/>
    <n v="0"/>
    <n v="0"/>
    <n v="10.531000000000001"/>
    <n v="10.531000000000001"/>
    <n v="10.531000000000001"/>
    <n v="10.531000000000001"/>
    <n v="0"/>
    <s v="CATIVO"/>
    <n v="0"/>
    <n v="0"/>
    <n v="60"/>
    <n v="16"/>
    <n v="0"/>
    <n v="387.29"/>
    <n v="196.87"/>
    <m/>
    <n v="456.08524314176981"/>
    <n v="208.06952026008611"/>
    <n v="0"/>
    <n v="838.89946000000032"/>
    <n v="0"/>
    <n v="446.43917957776267"/>
    <x v="2"/>
  </r>
  <r>
    <s v="Regular"/>
    <x v="2"/>
    <x v="1"/>
    <x v="1"/>
    <x v="1"/>
    <x v="3"/>
    <x v="0"/>
    <x v="1"/>
    <x v="10"/>
    <n v="0"/>
    <n v="0"/>
    <n v="1298.3779999999999"/>
    <n v="1298.3779999999999"/>
    <n v="1298.3779999999999"/>
    <n v="1298.3779999999999"/>
    <n v="0"/>
    <s v="CATIVO"/>
    <n v="0"/>
    <n v="0"/>
    <n v="60"/>
    <n v="16"/>
    <n v="0"/>
    <n v="387.29"/>
    <n v="196.87"/>
    <m/>
    <n v="456.08524314176981"/>
    <n v="208.06952026008611"/>
    <n v="0"/>
    <n v="103428.79148000003"/>
    <n v="0"/>
    <n v="55041.953195500544"/>
    <x v="2"/>
  </r>
  <r>
    <s v="Sistema de Compensação"/>
    <x v="2"/>
    <x v="1"/>
    <x v="1"/>
    <x v="1"/>
    <x v="3"/>
    <x v="0"/>
    <x v="1"/>
    <x v="10"/>
    <n v="0"/>
    <n v="0"/>
    <n v="17.302"/>
    <n v="17.302"/>
    <n v="17.302"/>
    <n v="17.302"/>
    <n v="0"/>
    <s v="CATIVO"/>
    <n v="0"/>
    <n v="0"/>
    <n v="60"/>
    <n v="16"/>
    <n v="0"/>
    <n v="387.29"/>
    <n v="196.87"/>
    <m/>
    <n v="456.08524314176981"/>
    <n v="208.06952026008611"/>
    <n v="0"/>
    <n v="1378.2773200000004"/>
    <n v="0"/>
    <n v="733.48121593907979"/>
    <x v="2"/>
  </r>
  <r>
    <s v="PROJETADO"/>
    <x v="2"/>
    <x v="1"/>
    <x v="1"/>
    <x v="1"/>
    <x v="3"/>
    <x v="0"/>
    <x v="1"/>
    <x v="11"/>
    <n v="0"/>
    <n v="0"/>
    <n v="1298.3779999999999"/>
    <n v="1298.3779999999999"/>
    <n v="1298.3779999999999"/>
    <n v="1298.3779999999999"/>
    <n v="0"/>
    <s v="CATIVO"/>
    <n v="0"/>
    <n v="0"/>
    <n v="60"/>
    <n v="16"/>
    <n v="0"/>
    <n v="387.29"/>
    <n v="196.87"/>
    <m/>
    <n v="456.08524314176981"/>
    <n v="208.06952026008611"/>
    <n v="0"/>
    <n v="103428.79148000003"/>
    <n v="0"/>
    <n v="55041.953195500544"/>
    <x v="2"/>
  </r>
  <r>
    <s v="PROJETADO"/>
    <x v="2"/>
    <x v="1"/>
    <x v="1"/>
    <x v="1"/>
    <x v="3"/>
    <x v="0"/>
    <x v="1"/>
    <x v="11"/>
    <n v="0"/>
    <n v="0"/>
    <n v="17.302"/>
    <n v="17.302"/>
    <n v="17.302"/>
    <n v="17.302"/>
    <n v="0"/>
    <s v="CATIVO"/>
    <n v="0"/>
    <n v="0"/>
    <n v="60"/>
    <n v="16"/>
    <n v="0"/>
    <n v="387.29"/>
    <n v="196.87"/>
    <m/>
    <n v="456.08524314176981"/>
    <n v="208.06952026008611"/>
    <n v="0"/>
    <n v="1378.2773200000004"/>
    <n v="0"/>
    <n v="733.48121593907979"/>
    <x v="2"/>
  </r>
  <r>
    <s v="Regular"/>
    <x v="2"/>
    <x v="1"/>
    <x v="1"/>
    <x v="1"/>
    <x v="1"/>
    <x v="0"/>
    <x v="1"/>
    <x v="0"/>
    <n v="0"/>
    <n v="0"/>
    <n v="1064.1079999999999"/>
    <n v="425.64319999999998"/>
    <n v="1064.1079999999999"/>
    <n v="425.64319999999998"/>
    <n v="0"/>
    <s v="CATIVO"/>
    <n v="0"/>
    <n v="0"/>
    <n v="60"/>
    <n v="16"/>
    <n v="0"/>
    <n v="387.29"/>
    <n v="196.87"/>
    <m/>
    <n v="456.08524314176981"/>
    <n v="208.06952026008611"/>
    <n v="0"/>
    <n v="457732.44084800006"/>
    <n v="0"/>
    <n v="469150.01671467"/>
    <x v="1"/>
  </r>
  <r>
    <s v="Regular"/>
    <x v="2"/>
    <x v="1"/>
    <x v="1"/>
    <x v="1"/>
    <x v="1"/>
    <x v="0"/>
    <x v="1"/>
    <x v="1"/>
    <n v="0"/>
    <n v="0"/>
    <n v="1083.645"/>
    <n v="433.45800000000003"/>
    <n v="1083.645"/>
    <n v="433.45800000000003"/>
    <n v="0"/>
    <s v="CATIVO"/>
    <n v="0"/>
    <n v="0"/>
    <n v="60"/>
    <n v="16"/>
    <n v="0"/>
    <n v="387.29"/>
    <n v="196.87"/>
    <m/>
    <n v="456.08524314176981"/>
    <n v="208.06952026008611"/>
    <n v="0"/>
    <n v="466136.39861999999"/>
    <n v="0"/>
    <n v="477763.60093408608"/>
    <x v="1"/>
  </r>
  <r>
    <s v="Sistema de Compensação"/>
    <x v="2"/>
    <x v="1"/>
    <x v="1"/>
    <x v="1"/>
    <x v="1"/>
    <x v="0"/>
    <x v="1"/>
    <x v="1"/>
    <n v="0"/>
    <n v="0"/>
    <n v="10.56"/>
    <n v="10.56"/>
    <n v="10.56"/>
    <n v="10.56"/>
    <n v="0"/>
    <s v="CATIVO"/>
    <n v="0"/>
    <n v="0"/>
    <n v="60"/>
    <n v="16"/>
    <n v="0"/>
    <n v="387.29"/>
    <n v="196.87"/>
    <m/>
    <n v="456.08524314176981"/>
    <n v="208.06952026008611"/>
    <n v="0"/>
    <n v="841.20960000000025"/>
    <n v="0"/>
    <n v="447.66857243767674"/>
    <x v="2"/>
  </r>
  <r>
    <s v="Regular"/>
    <x v="2"/>
    <x v="1"/>
    <x v="1"/>
    <x v="1"/>
    <x v="1"/>
    <x v="0"/>
    <x v="1"/>
    <x v="2"/>
    <n v="0"/>
    <n v="0"/>
    <n v="398.53300000000002"/>
    <n v="159.41319999999999"/>
    <n v="398.53300000000002"/>
    <n v="159.41319999999999"/>
    <n v="0"/>
    <s v="CATIVO"/>
    <n v="0"/>
    <n v="0"/>
    <n v="60"/>
    <n v="16"/>
    <n v="0"/>
    <n v="387.29"/>
    <n v="196.87"/>
    <m/>
    <n v="456.08524314176981"/>
    <n v="208.06952026008611"/>
    <n v="0"/>
    <n v="171431.36114800005"/>
    <n v="0"/>
    <n v="175707.5067674969"/>
    <x v="1"/>
  </r>
  <r>
    <s v="Regular"/>
    <x v="2"/>
    <x v="1"/>
    <x v="1"/>
    <x v="1"/>
    <x v="1"/>
    <x v="0"/>
    <x v="1"/>
    <x v="3"/>
    <n v="0"/>
    <n v="0"/>
    <n v="710.33799999999997"/>
    <n v="284.1352"/>
    <n v="710.33799999999997"/>
    <n v="284.1352"/>
    <n v="0"/>
    <s v="CATIVO"/>
    <n v="0"/>
    <n v="0"/>
    <n v="60"/>
    <n v="16"/>
    <n v="0"/>
    <n v="387.29"/>
    <n v="196.87"/>
    <m/>
    <n v="456.08524314176981"/>
    <n v="208.06952026008611"/>
    <n v="0"/>
    <n v="305556.15272800002"/>
    <n v="0"/>
    <n v="313177.8772202307"/>
    <x v="1"/>
  </r>
  <r>
    <s v="Refaturamento - Regular"/>
    <x v="2"/>
    <x v="1"/>
    <x v="1"/>
    <x v="1"/>
    <x v="1"/>
    <x v="0"/>
    <x v="1"/>
    <x v="3"/>
    <n v="0"/>
    <n v="0"/>
    <n v="-1.8"/>
    <n v="-0.72"/>
    <n v="-1.8"/>
    <n v="-0.72"/>
    <n v="0"/>
    <s v="CATIVO"/>
    <n v="0"/>
    <n v="0"/>
    <n v="60"/>
    <n v="16"/>
    <n v="0"/>
    <n v="387.29"/>
    <n v="196.87"/>
    <m/>
    <n v="456.08524314176981"/>
    <n v="208.06952026008611"/>
    <n v="0"/>
    <n v="-774.28080000000011"/>
    <n v="0"/>
    <n v="-793.59428750315385"/>
    <x v="1"/>
  </r>
  <r>
    <s v="Regular"/>
    <x v="2"/>
    <x v="1"/>
    <x v="1"/>
    <x v="1"/>
    <x v="1"/>
    <x v="0"/>
    <x v="1"/>
    <x v="4"/>
    <n v="0"/>
    <n v="0"/>
    <n v="788.05499999999995"/>
    <n v="315.22199999999998"/>
    <n v="788.05499999999995"/>
    <n v="315.22199999999998"/>
    <n v="0"/>
    <s v="CATIVO"/>
    <n v="0"/>
    <n v="0"/>
    <n v="60"/>
    <n v="16"/>
    <n v="0"/>
    <n v="387.29"/>
    <n v="196.87"/>
    <m/>
    <n v="456.08524314176981"/>
    <n v="208.06952026008611"/>
    <n v="0"/>
    <n v="338986.58658000006"/>
    <n v="0"/>
    <n v="347442.19235460996"/>
    <x v="1"/>
  </r>
  <r>
    <s v="Sistema de Compensação"/>
    <x v="2"/>
    <x v="1"/>
    <x v="1"/>
    <x v="1"/>
    <x v="1"/>
    <x v="0"/>
    <x v="1"/>
    <x v="4"/>
    <n v="0"/>
    <n v="0"/>
    <n v="4.92"/>
    <n v="4.92"/>
    <n v="4.92"/>
    <n v="4.92"/>
    <n v="0"/>
    <s v="CATIVO"/>
    <n v="0"/>
    <n v="0"/>
    <n v="60"/>
    <n v="16"/>
    <n v="0"/>
    <n v="387.29"/>
    <n v="196.87"/>
    <m/>
    <n v="456.08524314176981"/>
    <n v="208.06952026008611"/>
    <n v="0"/>
    <n v="391.92720000000014"/>
    <n v="0"/>
    <n v="208.57285761300847"/>
    <x v="2"/>
  </r>
  <r>
    <s v="Regular"/>
    <x v="2"/>
    <x v="1"/>
    <x v="1"/>
    <x v="1"/>
    <x v="1"/>
    <x v="0"/>
    <x v="1"/>
    <x v="5"/>
    <n v="0"/>
    <n v="0"/>
    <n v="785.18899999999996"/>
    <n v="314.07560000000001"/>
    <n v="785.18899999999996"/>
    <n v="314.07560000000001"/>
    <n v="0"/>
    <s v="CATIVO"/>
    <n v="0"/>
    <n v="0"/>
    <n v="60"/>
    <n v="16"/>
    <n v="0"/>
    <n v="387.29"/>
    <n v="196.87"/>
    <m/>
    <n v="456.08524314176981"/>
    <n v="208.06952026008611"/>
    <n v="0"/>
    <n v="337753.75948400004"/>
    <n v="0"/>
    <n v="346178.61389461876"/>
    <x v="1"/>
  </r>
  <r>
    <s v="Sistema de Compensação"/>
    <x v="2"/>
    <x v="1"/>
    <x v="1"/>
    <x v="1"/>
    <x v="1"/>
    <x v="0"/>
    <x v="1"/>
    <x v="5"/>
    <n v="0"/>
    <n v="0"/>
    <n v="4.2850000000000001"/>
    <n v="4.2850000000000001"/>
    <n v="4.2850000000000001"/>
    <n v="4.2850000000000001"/>
    <n v="0"/>
    <s v="CATIVO"/>
    <n v="0"/>
    <n v="0"/>
    <n v="60"/>
    <n v="16"/>
    <n v="0"/>
    <n v="387.29"/>
    <n v="196.87"/>
    <m/>
    <n v="456.08524314176981"/>
    <n v="208.06952026008611"/>
    <n v="0"/>
    <n v="341.34310000000011"/>
    <n v="0"/>
    <n v="181.65339326661407"/>
    <x v="2"/>
  </r>
  <r>
    <s v="Regular"/>
    <x v="2"/>
    <x v="1"/>
    <x v="1"/>
    <x v="1"/>
    <x v="1"/>
    <x v="0"/>
    <x v="1"/>
    <x v="6"/>
    <n v="0"/>
    <n v="0"/>
    <n v="760.04100000000005"/>
    <n v="304.01639999999998"/>
    <n v="760.04100000000005"/>
    <n v="304.01639999999998"/>
    <n v="0"/>
    <s v="CATIVO"/>
    <n v="0"/>
    <n v="0"/>
    <n v="60"/>
    <n v="16"/>
    <n v="0"/>
    <n v="387.29"/>
    <n v="196.87"/>
    <m/>
    <n v="456.08524314176981"/>
    <n v="208.06952026008611"/>
    <n v="0"/>
    <n v="326936.1963960001"/>
    <n v="0"/>
    <n v="335091.21992676926"/>
    <x v="1"/>
  </r>
  <r>
    <s v="Sistema de Compensação"/>
    <x v="2"/>
    <x v="1"/>
    <x v="1"/>
    <x v="1"/>
    <x v="1"/>
    <x v="0"/>
    <x v="1"/>
    <x v="6"/>
    <n v="0"/>
    <n v="0"/>
    <n v="3.92"/>
    <n v="3.92"/>
    <n v="3.92"/>
    <n v="3.92"/>
    <n v="0"/>
    <s v="CATIVO"/>
    <n v="0"/>
    <n v="0"/>
    <n v="60"/>
    <n v="16"/>
    <n v="0"/>
    <n v="387.29"/>
    <n v="196.87"/>
    <m/>
    <n v="456.08524314176981"/>
    <n v="208.06952026008611"/>
    <n v="0"/>
    <n v="312.26720000000012"/>
    <n v="0"/>
    <n v="166.18000037459211"/>
    <x v="2"/>
  </r>
  <r>
    <s v="Regular"/>
    <x v="2"/>
    <x v="1"/>
    <x v="1"/>
    <x v="1"/>
    <x v="1"/>
    <x v="0"/>
    <x v="1"/>
    <x v="7"/>
    <n v="0"/>
    <n v="0"/>
    <n v="1215.9490000000001"/>
    <n v="486.37959999999998"/>
    <n v="1215.9490000000001"/>
    <n v="486.37959999999998"/>
    <n v="0"/>
    <s v="CATIVO"/>
    <n v="0"/>
    <n v="0"/>
    <n v="60"/>
    <n v="16"/>
    <n v="0"/>
    <n v="387.29"/>
    <n v="196.87"/>
    <m/>
    <n v="456.08524314176981"/>
    <n v="208.06952026008611"/>
    <n v="0"/>
    <n v="523047.75804400013"/>
    <n v="0"/>
    <n v="536094.54460842919"/>
    <x v="1"/>
  </r>
  <r>
    <s v="Sistema de Compensação"/>
    <x v="2"/>
    <x v="1"/>
    <x v="1"/>
    <x v="1"/>
    <x v="1"/>
    <x v="0"/>
    <x v="1"/>
    <x v="7"/>
    <n v="0"/>
    <n v="0"/>
    <n v="17.940000000000001"/>
    <n v="17.940000000000001"/>
    <n v="17.940000000000001"/>
    <n v="17.940000000000001"/>
    <n v="0"/>
    <s v="CATIVO"/>
    <n v="0"/>
    <n v="0"/>
    <n v="60"/>
    <n v="16"/>
    <n v="0"/>
    <n v="387.29"/>
    <n v="196.87"/>
    <m/>
    <n v="456.08524314176981"/>
    <n v="208.06952026008611"/>
    <n v="0"/>
    <n v="1429.1004000000005"/>
    <n v="0"/>
    <n v="760.52785885718947"/>
    <x v="2"/>
  </r>
  <r>
    <s v="Regular"/>
    <x v="2"/>
    <x v="1"/>
    <x v="1"/>
    <x v="1"/>
    <x v="1"/>
    <x v="0"/>
    <x v="1"/>
    <x v="8"/>
    <n v="0"/>
    <n v="0"/>
    <n v="890.36900000000003"/>
    <n v="356.14760000000001"/>
    <n v="890.36900000000003"/>
    <n v="356.14760000000001"/>
    <n v="0"/>
    <s v="CATIVO"/>
    <n v="0"/>
    <n v="0"/>
    <n v="60"/>
    <n v="16"/>
    <n v="0"/>
    <n v="387.29"/>
    <n v="196.87"/>
    <m/>
    <n v="456.08524314176981"/>
    <n v="208.06952026008611"/>
    <n v="0"/>
    <n v="382997.56756400008"/>
    <n v="0"/>
    <n v="392550.97342771979"/>
    <x v="1"/>
  </r>
  <r>
    <s v="Refaturamento - Regular"/>
    <x v="2"/>
    <x v="1"/>
    <x v="1"/>
    <x v="1"/>
    <x v="1"/>
    <x v="0"/>
    <x v="1"/>
    <x v="8"/>
    <n v="0"/>
    <n v="0"/>
    <n v="-125.2"/>
    <n v="-50.08"/>
    <n v="-125.2"/>
    <n v="-50.08"/>
    <n v="0"/>
    <s v="CATIVO"/>
    <n v="0"/>
    <n v="0"/>
    <n v="60"/>
    <n v="16"/>
    <n v="0"/>
    <n v="387.29"/>
    <n v="196.87"/>
    <m/>
    <n v="456.08524314176981"/>
    <n v="208.06952026008611"/>
    <n v="0"/>
    <n v="-53855.531200000012"/>
    <n v="0"/>
    <n v="-55198.891552997149"/>
    <x v="1"/>
  </r>
  <r>
    <s v="Sistema de Compensação"/>
    <x v="2"/>
    <x v="1"/>
    <x v="1"/>
    <x v="1"/>
    <x v="1"/>
    <x v="0"/>
    <x v="1"/>
    <x v="8"/>
    <n v="0"/>
    <n v="0"/>
    <n v="15.58"/>
    <n v="15.58"/>
    <n v="15.58"/>
    <n v="15.58"/>
    <n v="0"/>
    <s v="CATIVO"/>
    <n v="0"/>
    <n v="0"/>
    <n v="60"/>
    <n v="16"/>
    <n v="0"/>
    <n v="387.29"/>
    <n v="196.87"/>
    <m/>
    <n v="456.08524314176981"/>
    <n v="208.06952026008611"/>
    <n v="0"/>
    <n v="1241.1028000000003"/>
    <n v="0"/>
    <n v="660.48071577452686"/>
    <x v="2"/>
  </r>
  <r>
    <s v="Regular"/>
    <x v="2"/>
    <x v="1"/>
    <x v="1"/>
    <x v="1"/>
    <x v="1"/>
    <x v="0"/>
    <x v="1"/>
    <x v="9"/>
    <n v="0"/>
    <n v="0"/>
    <n v="716.78800000000001"/>
    <n v="286.71519999999998"/>
    <n v="716.78800000000001"/>
    <n v="286.71519999999998"/>
    <n v="0"/>
    <s v="CATIVO"/>
    <n v="0"/>
    <n v="0"/>
    <n v="60"/>
    <n v="16"/>
    <n v="0"/>
    <n v="387.29"/>
    <n v="196.87"/>
    <m/>
    <n v="456.08524314176981"/>
    <n v="208.06952026008611"/>
    <n v="0"/>
    <n v="308330.65892800008"/>
    <n v="0"/>
    <n v="316021.59008378367"/>
    <x v="1"/>
  </r>
  <r>
    <s v="Sistema de Compensação"/>
    <x v="2"/>
    <x v="1"/>
    <x v="1"/>
    <x v="1"/>
    <x v="1"/>
    <x v="0"/>
    <x v="1"/>
    <x v="9"/>
    <n v="0"/>
    <n v="0"/>
    <n v="16.577000000000002"/>
    <n v="16.577000000000002"/>
    <n v="16.577000000000002"/>
    <n v="16.577000000000002"/>
    <n v="0"/>
    <s v="CATIVO"/>
    <n v="0"/>
    <n v="0"/>
    <n v="60"/>
    <n v="16"/>
    <n v="0"/>
    <n v="387.29"/>
    <n v="196.87"/>
    <m/>
    <n v="456.08524314176981"/>
    <n v="208.06952026008611"/>
    <n v="0"/>
    <n v="1320.5238200000006"/>
    <n v="0"/>
    <n v="702.74639444122795"/>
    <x v="2"/>
  </r>
  <r>
    <s v="Regular"/>
    <x v="2"/>
    <x v="1"/>
    <x v="1"/>
    <x v="1"/>
    <x v="1"/>
    <x v="0"/>
    <x v="1"/>
    <x v="10"/>
    <n v="0"/>
    <n v="0"/>
    <n v="715.678"/>
    <n v="286.27120000000002"/>
    <n v="715.678"/>
    <n v="286.27120000000002"/>
    <n v="0"/>
    <s v="CATIVO"/>
    <n v="0"/>
    <n v="0"/>
    <n v="60"/>
    <n v="16"/>
    <n v="0"/>
    <n v="387.29"/>
    <n v="196.87"/>
    <m/>
    <n v="456.08524314176981"/>
    <n v="208.06952026008611"/>
    <n v="0"/>
    <n v="307853.18576800002"/>
    <n v="0"/>
    <n v="315532.2069398234"/>
    <x v="1"/>
  </r>
  <r>
    <s v="Sistema de Compensação"/>
    <x v="2"/>
    <x v="1"/>
    <x v="1"/>
    <x v="1"/>
    <x v="1"/>
    <x v="0"/>
    <x v="1"/>
    <x v="10"/>
    <n v="0"/>
    <n v="0"/>
    <n v="15.84"/>
    <n v="15.84"/>
    <n v="15.84"/>
    <n v="15.84"/>
    <n v="0"/>
    <s v="CATIVO"/>
    <n v="0"/>
    <n v="0"/>
    <n v="60"/>
    <n v="16"/>
    <n v="0"/>
    <n v="387.29"/>
    <n v="196.87"/>
    <m/>
    <n v="456.08524314176981"/>
    <n v="208.06952026008611"/>
    <n v="0"/>
    <n v="1261.8144000000004"/>
    <n v="0"/>
    <n v="671.50285865651506"/>
    <x v="2"/>
  </r>
  <r>
    <s v="PROJETADO"/>
    <x v="2"/>
    <x v="1"/>
    <x v="1"/>
    <x v="1"/>
    <x v="1"/>
    <x v="0"/>
    <x v="1"/>
    <x v="11"/>
    <n v="0"/>
    <n v="0"/>
    <n v="715.678"/>
    <n v="286.27120000000002"/>
    <n v="715.678"/>
    <n v="286.27120000000002"/>
    <n v="0"/>
    <s v="CATIVO"/>
    <n v="0"/>
    <n v="0"/>
    <n v="60"/>
    <n v="16"/>
    <n v="0"/>
    <n v="387.29"/>
    <n v="196.87"/>
    <m/>
    <n v="456.08524314176981"/>
    <n v="208.06952026008611"/>
    <n v="0"/>
    <n v="307853.18576800002"/>
    <n v="0"/>
    <n v="315532.2069398234"/>
    <x v="1"/>
  </r>
  <r>
    <s v="PROJETADO"/>
    <x v="2"/>
    <x v="1"/>
    <x v="1"/>
    <x v="1"/>
    <x v="1"/>
    <x v="0"/>
    <x v="1"/>
    <x v="11"/>
    <n v="0"/>
    <n v="0"/>
    <n v="15.84"/>
    <n v="15.84"/>
    <n v="15.84"/>
    <n v="15.84"/>
    <n v="0"/>
    <s v="CATIVO"/>
    <n v="0"/>
    <n v="0"/>
    <n v="60"/>
    <n v="16"/>
    <n v="0"/>
    <n v="387.29"/>
    <n v="196.87"/>
    <m/>
    <n v="456.08524314176981"/>
    <n v="208.06952026008611"/>
    <n v="0"/>
    <n v="1261.8144000000004"/>
    <n v="0"/>
    <n v="671.50285865651506"/>
    <x v="2"/>
  </r>
  <r>
    <s v="Regular"/>
    <x v="2"/>
    <x v="1"/>
    <x v="1"/>
    <x v="8"/>
    <x v="3"/>
    <x v="0"/>
    <x v="1"/>
    <x v="0"/>
    <n v="0"/>
    <n v="0"/>
    <n v="1.92"/>
    <n v="1.92"/>
    <n v="1.92"/>
    <n v="1.92"/>
    <n v="0"/>
    <s v="CATIVO"/>
    <n v="0"/>
    <n v="0"/>
    <n v="60"/>
    <n v="16"/>
    <n v="0"/>
    <n v="387.29"/>
    <n v="196.87"/>
    <m/>
    <n v="456.08524314176981"/>
    <n v="208.06952026008611"/>
    <n v="0"/>
    <n v="152.94720000000004"/>
    <n v="0"/>
    <n v="81.394285897759403"/>
    <x v="2"/>
  </r>
  <r>
    <s v="Regular"/>
    <x v="2"/>
    <x v="1"/>
    <x v="1"/>
    <x v="8"/>
    <x v="3"/>
    <x v="0"/>
    <x v="1"/>
    <x v="1"/>
    <n v="0"/>
    <n v="0"/>
    <n v="1.86"/>
    <n v="1.86"/>
    <n v="1.86"/>
    <n v="1.86"/>
    <n v="0"/>
    <s v="CATIVO"/>
    <n v="0"/>
    <n v="0"/>
    <n v="60"/>
    <n v="16"/>
    <n v="0"/>
    <n v="387.29"/>
    <n v="196.87"/>
    <m/>
    <n v="456.08524314176981"/>
    <n v="208.06952026008611"/>
    <n v="0"/>
    <n v="148.16760000000005"/>
    <n v="0"/>
    <n v="78.850714463454423"/>
    <x v="2"/>
  </r>
  <r>
    <s v="Regular"/>
    <x v="2"/>
    <x v="1"/>
    <x v="1"/>
    <x v="8"/>
    <x v="3"/>
    <x v="0"/>
    <x v="1"/>
    <x v="2"/>
    <n v="0"/>
    <n v="0"/>
    <n v="1.46"/>
    <n v="1.46"/>
    <n v="1.46"/>
    <n v="1.46"/>
    <n v="0"/>
    <s v="CATIVO"/>
    <n v="0"/>
    <n v="0"/>
    <n v="60"/>
    <n v="16"/>
    <n v="0"/>
    <n v="387.29"/>
    <n v="196.87"/>
    <m/>
    <n v="456.08524314176981"/>
    <n v="208.06952026008611"/>
    <n v="0"/>
    <n v="116.30360000000003"/>
    <n v="0"/>
    <n v="61.893571568087879"/>
    <x v="2"/>
  </r>
  <r>
    <s v="Regular"/>
    <x v="2"/>
    <x v="1"/>
    <x v="1"/>
    <x v="8"/>
    <x v="3"/>
    <x v="0"/>
    <x v="1"/>
    <x v="3"/>
    <n v="0"/>
    <n v="0"/>
    <n v="1.58"/>
    <n v="1.58"/>
    <n v="1.58"/>
    <n v="1.58"/>
    <n v="0"/>
    <s v="CATIVO"/>
    <n v="0"/>
    <n v="0"/>
    <n v="60"/>
    <n v="16"/>
    <n v="0"/>
    <n v="387.29"/>
    <n v="196.87"/>
    <m/>
    <n v="456.08524314176981"/>
    <n v="208.06952026008611"/>
    <n v="0"/>
    <n v="125.86280000000005"/>
    <n v="0"/>
    <n v="66.980714436697838"/>
    <x v="2"/>
  </r>
  <r>
    <s v="Regular"/>
    <x v="2"/>
    <x v="1"/>
    <x v="1"/>
    <x v="8"/>
    <x v="3"/>
    <x v="0"/>
    <x v="1"/>
    <x v="4"/>
    <n v="0"/>
    <n v="0"/>
    <n v="1.82"/>
    <n v="1.82"/>
    <n v="1.82"/>
    <n v="1.82"/>
    <n v="0"/>
    <s v="CATIVO"/>
    <n v="0"/>
    <n v="0"/>
    <n v="60"/>
    <n v="16"/>
    <n v="0"/>
    <n v="387.29"/>
    <n v="196.87"/>
    <m/>
    <n v="456.08524314176981"/>
    <n v="208.06952026008611"/>
    <n v="0"/>
    <n v="144.98120000000006"/>
    <n v="0"/>
    <n v="77.15500017391777"/>
    <x v="2"/>
  </r>
  <r>
    <s v="Regular"/>
    <x v="2"/>
    <x v="1"/>
    <x v="1"/>
    <x v="8"/>
    <x v="3"/>
    <x v="0"/>
    <x v="1"/>
    <x v="5"/>
    <n v="0"/>
    <n v="0"/>
    <n v="1.72"/>
    <n v="1.72"/>
    <n v="1.72"/>
    <n v="1.72"/>
    <n v="0"/>
    <s v="CATIVO"/>
    <n v="0"/>
    <n v="0"/>
    <n v="60"/>
    <n v="16"/>
    <n v="0"/>
    <n v="387.29"/>
    <n v="196.87"/>
    <m/>
    <n v="456.08524314176981"/>
    <n v="208.06952026008611"/>
    <n v="0"/>
    <n v="137.01520000000005"/>
    <n v="0"/>
    <n v="72.915714450076123"/>
    <x v="2"/>
  </r>
  <r>
    <s v="Regular"/>
    <x v="2"/>
    <x v="1"/>
    <x v="1"/>
    <x v="8"/>
    <x v="3"/>
    <x v="0"/>
    <x v="1"/>
    <x v="6"/>
    <n v="0"/>
    <n v="0"/>
    <n v="0.06"/>
    <n v="0.06"/>
    <n v="0.06"/>
    <n v="0.06"/>
    <n v="0"/>
    <s v="CATIVO"/>
    <n v="0"/>
    <n v="0"/>
    <n v="60"/>
    <n v="16"/>
    <n v="0"/>
    <n v="387.29"/>
    <n v="196.87"/>
    <m/>
    <n v="456.08524314176981"/>
    <n v="208.06952026008611"/>
    <n v="0"/>
    <n v="4.7796000000000012"/>
    <n v="0"/>
    <n v="2.5435714343049813"/>
    <x v="2"/>
  </r>
  <r>
    <s v="Regular"/>
    <x v="2"/>
    <x v="1"/>
    <x v="1"/>
    <x v="8"/>
    <x v="3"/>
    <x v="0"/>
    <x v="1"/>
    <x v="7"/>
    <n v="0"/>
    <n v="0"/>
    <n v="0.06"/>
    <n v="0.06"/>
    <n v="0.06"/>
    <n v="0.06"/>
    <n v="0"/>
    <s v="CATIVO"/>
    <n v="0"/>
    <n v="0"/>
    <n v="60"/>
    <n v="16"/>
    <n v="0"/>
    <n v="387.29"/>
    <n v="196.87"/>
    <m/>
    <n v="456.08524314176981"/>
    <n v="208.06952026008611"/>
    <n v="0"/>
    <n v="4.7796000000000012"/>
    <n v="0"/>
    <n v="2.5435714343049813"/>
    <x v="2"/>
  </r>
  <r>
    <s v="Regular"/>
    <x v="2"/>
    <x v="1"/>
    <x v="1"/>
    <x v="8"/>
    <x v="3"/>
    <x v="0"/>
    <x v="1"/>
    <x v="8"/>
    <n v="0"/>
    <n v="0"/>
    <n v="0.12"/>
    <n v="0.12"/>
    <n v="0.12"/>
    <n v="0.12"/>
    <n v="0"/>
    <s v="CATIVO"/>
    <n v="0"/>
    <n v="0"/>
    <n v="60"/>
    <n v="16"/>
    <n v="0"/>
    <n v="387.29"/>
    <n v="196.87"/>
    <m/>
    <n v="456.08524314176981"/>
    <n v="208.06952026008611"/>
    <n v="0"/>
    <n v="9.5592000000000024"/>
    <n v="0"/>
    <n v="5.0871428686099627"/>
    <x v="2"/>
  </r>
  <r>
    <s v="Regular"/>
    <x v="2"/>
    <x v="1"/>
    <x v="1"/>
    <x v="8"/>
    <x v="3"/>
    <x v="0"/>
    <x v="1"/>
    <x v="9"/>
    <n v="0"/>
    <n v="0"/>
    <n v="0.16"/>
    <n v="0.16"/>
    <n v="0.16"/>
    <n v="0.16"/>
    <n v="0"/>
    <s v="CATIVO"/>
    <n v="0"/>
    <n v="0"/>
    <n v="60"/>
    <n v="16"/>
    <n v="0"/>
    <n v="387.29"/>
    <n v="196.87"/>
    <m/>
    <n v="456.08524314176981"/>
    <n v="208.06952026008611"/>
    <n v="0"/>
    <n v="12.745600000000005"/>
    <n v="0"/>
    <n v="6.7828571581466166"/>
    <x v="2"/>
  </r>
  <r>
    <s v="Regular"/>
    <x v="2"/>
    <x v="1"/>
    <x v="1"/>
    <x v="8"/>
    <x v="3"/>
    <x v="0"/>
    <x v="1"/>
    <x v="10"/>
    <n v="0"/>
    <n v="0"/>
    <n v="0.14000000000000001"/>
    <n v="0.14000000000000001"/>
    <n v="0.14000000000000001"/>
    <n v="0.14000000000000001"/>
    <n v="0"/>
    <s v="CATIVO"/>
    <n v="0"/>
    <n v="0"/>
    <n v="60"/>
    <n v="16"/>
    <n v="0"/>
    <n v="387.29"/>
    <n v="196.87"/>
    <m/>
    <n v="456.08524314176981"/>
    <n v="208.06952026008611"/>
    <n v="0"/>
    <n v="11.152400000000005"/>
    <n v="0"/>
    <n v="5.9350000133782901"/>
    <x v="2"/>
  </r>
  <r>
    <s v="PROJETADO"/>
    <x v="2"/>
    <x v="1"/>
    <x v="1"/>
    <x v="8"/>
    <x v="3"/>
    <x v="0"/>
    <x v="1"/>
    <x v="11"/>
    <n v="0"/>
    <n v="0"/>
    <n v="0.14000000000000001"/>
    <n v="0.14000000000000001"/>
    <n v="0.14000000000000001"/>
    <n v="0.14000000000000001"/>
    <n v="0"/>
    <s v="CATIVO"/>
    <n v="0"/>
    <n v="0"/>
    <n v="60"/>
    <n v="16"/>
    <n v="0"/>
    <n v="387.29"/>
    <n v="196.87"/>
    <m/>
    <n v="456.08524314176981"/>
    <n v="208.06952026008611"/>
    <n v="0"/>
    <n v="11.152400000000005"/>
    <n v="0"/>
    <n v="5.9350000133782901"/>
    <x v="2"/>
  </r>
  <r>
    <s v="Regular"/>
    <x v="2"/>
    <x v="1"/>
    <x v="1"/>
    <x v="8"/>
    <x v="1"/>
    <x v="0"/>
    <x v="1"/>
    <x v="0"/>
    <n v="0"/>
    <n v="0"/>
    <n v="1.08"/>
    <n v="0.432"/>
    <n v="1.08"/>
    <n v="0.432"/>
    <n v="0"/>
    <s v="CATIVO"/>
    <n v="0"/>
    <n v="0"/>
    <n v="60"/>
    <n v="16"/>
    <n v="0"/>
    <n v="387.29"/>
    <n v="196.87"/>
    <m/>
    <n v="456.08524314176981"/>
    <n v="208.06952026008611"/>
    <n v="0"/>
    <n v="464.56848000000014"/>
    <n v="0"/>
    <n v="476.15657250189236"/>
    <x v="1"/>
  </r>
  <r>
    <s v="Regular"/>
    <x v="2"/>
    <x v="1"/>
    <x v="1"/>
    <x v="8"/>
    <x v="1"/>
    <x v="0"/>
    <x v="1"/>
    <x v="1"/>
    <n v="0"/>
    <n v="0"/>
    <n v="1.02"/>
    <n v="0.40799999999999997"/>
    <n v="1.02"/>
    <n v="0.40799999999999997"/>
    <n v="0"/>
    <s v="CATIVO"/>
    <n v="0"/>
    <n v="0"/>
    <n v="60"/>
    <n v="16"/>
    <n v="0"/>
    <n v="387.29"/>
    <n v="196.87"/>
    <m/>
    <n v="456.08524314176981"/>
    <n v="208.06952026008611"/>
    <n v="0"/>
    <n v="438.75912000000017"/>
    <n v="0"/>
    <n v="449.7034295851206"/>
    <x v="1"/>
  </r>
  <r>
    <s v="Regular"/>
    <x v="2"/>
    <x v="1"/>
    <x v="1"/>
    <x v="8"/>
    <x v="1"/>
    <x v="0"/>
    <x v="1"/>
    <x v="2"/>
    <n v="0"/>
    <n v="0"/>
    <n v="0.82"/>
    <n v="0.32800000000000001"/>
    <n v="0.82"/>
    <n v="0.32800000000000001"/>
    <n v="0"/>
    <s v="CATIVO"/>
    <n v="0"/>
    <n v="0"/>
    <n v="60"/>
    <n v="16"/>
    <n v="0"/>
    <n v="387.29"/>
    <n v="196.87"/>
    <m/>
    <n v="456.08524314176981"/>
    <n v="208.06952026008611"/>
    <n v="0"/>
    <n v="352.72792000000004"/>
    <n v="0"/>
    <n v="361.52628652921447"/>
    <x v="1"/>
  </r>
  <r>
    <s v="Regular"/>
    <x v="2"/>
    <x v="1"/>
    <x v="1"/>
    <x v="8"/>
    <x v="1"/>
    <x v="0"/>
    <x v="1"/>
    <x v="3"/>
    <n v="0"/>
    <n v="0"/>
    <n v="0.86"/>
    <n v="0.34399999999999997"/>
    <n v="0.86"/>
    <n v="0.34399999999999997"/>
    <n v="0"/>
    <s v="CATIVO"/>
    <n v="0"/>
    <n v="0"/>
    <n v="60"/>
    <n v="16"/>
    <n v="0"/>
    <n v="387.29"/>
    <n v="196.87"/>
    <m/>
    <n v="456.08524314176981"/>
    <n v="208.06952026008611"/>
    <n v="0"/>
    <n v="369.93416000000008"/>
    <n v="0"/>
    <n v="379.16171514039576"/>
    <x v="1"/>
  </r>
  <r>
    <s v="Regular"/>
    <x v="2"/>
    <x v="1"/>
    <x v="1"/>
    <x v="8"/>
    <x v="1"/>
    <x v="0"/>
    <x v="1"/>
    <x v="4"/>
    <n v="0"/>
    <n v="0"/>
    <n v="1.02"/>
    <n v="0.40799999999999997"/>
    <n v="1.02"/>
    <n v="0.40799999999999997"/>
    <n v="0"/>
    <s v="CATIVO"/>
    <n v="0"/>
    <n v="0"/>
    <n v="60"/>
    <n v="16"/>
    <n v="0"/>
    <n v="387.29"/>
    <n v="196.87"/>
    <m/>
    <n v="456.08524314176981"/>
    <n v="208.06952026008611"/>
    <n v="0"/>
    <n v="438.75912000000017"/>
    <n v="0"/>
    <n v="449.7034295851206"/>
    <x v="1"/>
  </r>
  <r>
    <s v="Regular"/>
    <x v="2"/>
    <x v="1"/>
    <x v="1"/>
    <x v="8"/>
    <x v="1"/>
    <x v="0"/>
    <x v="1"/>
    <x v="5"/>
    <n v="0"/>
    <n v="0"/>
    <n v="0.92"/>
    <n v="0.36799999999999999"/>
    <n v="0.92"/>
    <n v="0.36799999999999999"/>
    <n v="0"/>
    <s v="CATIVO"/>
    <n v="0"/>
    <n v="0"/>
    <n v="60"/>
    <n v="16"/>
    <n v="0"/>
    <n v="387.29"/>
    <n v="196.87"/>
    <m/>
    <n v="456.08524314176981"/>
    <n v="208.06952026008611"/>
    <n v="0"/>
    <n v="395.7435200000001"/>
    <n v="0"/>
    <n v="405.61485805716757"/>
    <x v="1"/>
  </r>
  <r>
    <s v="Regular"/>
    <x v="2"/>
    <x v="1"/>
    <x v="1"/>
    <x v="8"/>
    <x v="1"/>
    <x v="0"/>
    <x v="1"/>
    <x v="6"/>
    <n v="0"/>
    <n v="0"/>
    <n v="0.04"/>
    <n v="1.6E-2"/>
    <n v="0.04"/>
    <n v="1.6E-2"/>
    <n v="0"/>
    <s v="CATIVO"/>
    <n v="0"/>
    <n v="0"/>
    <n v="60"/>
    <n v="16"/>
    <n v="0"/>
    <n v="387.29"/>
    <n v="196.87"/>
    <m/>
    <n v="456.08524314176981"/>
    <n v="208.06952026008611"/>
    <n v="0"/>
    <n v="17.206240000000005"/>
    <n v="0"/>
    <n v="17.635428611181197"/>
    <x v="1"/>
  </r>
  <r>
    <s v="Regular"/>
    <x v="2"/>
    <x v="1"/>
    <x v="1"/>
    <x v="8"/>
    <x v="1"/>
    <x v="0"/>
    <x v="1"/>
    <x v="7"/>
    <n v="0"/>
    <n v="0"/>
    <n v="0.04"/>
    <n v="1.6E-2"/>
    <n v="0.04"/>
    <n v="1.6E-2"/>
    <n v="0"/>
    <s v="CATIVO"/>
    <n v="0"/>
    <n v="0"/>
    <n v="60"/>
    <n v="16"/>
    <n v="0"/>
    <n v="387.29"/>
    <n v="196.87"/>
    <m/>
    <n v="456.08524314176981"/>
    <n v="208.06952026008611"/>
    <n v="0"/>
    <n v="17.206240000000005"/>
    <n v="0"/>
    <n v="17.635428611181197"/>
    <x v="1"/>
  </r>
  <r>
    <s v="Regular"/>
    <x v="2"/>
    <x v="1"/>
    <x v="1"/>
    <x v="8"/>
    <x v="1"/>
    <x v="0"/>
    <x v="1"/>
    <x v="9"/>
    <n v="0"/>
    <n v="0"/>
    <n v="0.08"/>
    <n v="3.2000000000000001E-2"/>
    <n v="0.08"/>
    <n v="3.2000000000000001E-2"/>
    <n v="0"/>
    <s v="CATIVO"/>
    <n v="0"/>
    <n v="0"/>
    <n v="60"/>
    <n v="16"/>
    <n v="0"/>
    <n v="387.29"/>
    <n v="196.87"/>
    <m/>
    <n v="456.08524314176981"/>
    <n v="208.06952026008611"/>
    <n v="0"/>
    <n v="34.412480000000009"/>
    <n v="0"/>
    <n v="35.270857222362395"/>
    <x v="1"/>
  </r>
  <r>
    <s v="Regular"/>
    <x v="2"/>
    <x v="1"/>
    <x v="1"/>
    <x v="8"/>
    <x v="1"/>
    <x v="0"/>
    <x v="1"/>
    <x v="10"/>
    <n v="0"/>
    <n v="0"/>
    <n v="0.06"/>
    <n v="2.4E-2"/>
    <n v="0.06"/>
    <n v="2.4E-2"/>
    <n v="0"/>
    <s v="CATIVO"/>
    <n v="0"/>
    <n v="0"/>
    <n v="60"/>
    <n v="16"/>
    <n v="0"/>
    <n v="387.29"/>
    <n v="196.87"/>
    <m/>
    <n v="456.08524314176981"/>
    <n v="208.06952026008611"/>
    <n v="0"/>
    <n v="25.809360000000005"/>
    <n v="0"/>
    <n v="26.453142916771796"/>
    <x v="1"/>
  </r>
  <r>
    <s v="PROJETADO"/>
    <x v="2"/>
    <x v="1"/>
    <x v="1"/>
    <x v="8"/>
    <x v="1"/>
    <x v="0"/>
    <x v="1"/>
    <x v="11"/>
    <n v="0"/>
    <n v="0"/>
    <n v="0.06"/>
    <n v="2.4E-2"/>
    <n v="0.06"/>
    <n v="2.4E-2"/>
    <n v="0"/>
    <s v="CATIVO"/>
    <n v="0"/>
    <n v="0"/>
    <n v="60"/>
    <n v="16"/>
    <n v="0"/>
    <n v="387.29"/>
    <n v="196.87"/>
    <m/>
    <n v="456.08524314176981"/>
    <n v="208.06952026008611"/>
    <n v="0"/>
    <n v="25.809360000000005"/>
    <n v="0"/>
    <n v="26.453142916771796"/>
    <x v="1"/>
  </r>
  <r>
    <s v="Regular"/>
    <x v="2"/>
    <x v="1"/>
    <x v="1"/>
    <x v="0"/>
    <x v="2"/>
    <x v="0"/>
    <x v="1"/>
    <x v="0"/>
    <n v="0"/>
    <n v="0"/>
    <n v="2546.63"/>
    <n v="2546.63"/>
    <n v="2546.63"/>
    <n v="2546.63"/>
    <n v="2087"/>
    <s v="CATIVO"/>
    <n v="0"/>
    <n v="0"/>
    <n v="60"/>
    <n v="16"/>
    <n v="0"/>
    <n v="387.29"/>
    <n v="196.87"/>
    <m/>
    <n v="456.08524314176981"/>
    <n v="208.06952026008611"/>
    <n v="0"/>
    <n v="202864.54580000008"/>
    <n v="0"/>
    <n v="107958.92202906824"/>
    <x v="2"/>
  </r>
  <r>
    <s v="Refaturamento - Regular"/>
    <x v="2"/>
    <x v="1"/>
    <x v="1"/>
    <x v="0"/>
    <x v="2"/>
    <x v="0"/>
    <x v="1"/>
    <x v="0"/>
    <n v="0"/>
    <n v="0"/>
    <n v="-2.2999999999999998"/>
    <n v="-2.2999999999999998"/>
    <n v="-2.2999999999999998"/>
    <n v="-2.2999999999999998"/>
    <n v="0"/>
    <s v="CATIVO"/>
    <n v="0"/>
    <n v="0"/>
    <n v="60"/>
    <n v="16"/>
    <n v="0"/>
    <n v="387.29"/>
    <n v="196.87"/>
    <m/>
    <n v="456.08524314176981"/>
    <n v="208.06952026008611"/>
    <n v="0"/>
    <n v="-183.21800000000005"/>
    <n v="0"/>
    <n v="-97.503571648357607"/>
    <x v="2"/>
  </r>
  <r>
    <s v="Sistema de Compensação"/>
    <x v="2"/>
    <x v="1"/>
    <x v="1"/>
    <x v="0"/>
    <x v="2"/>
    <x v="0"/>
    <x v="1"/>
    <x v="0"/>
    <n v="0"/>
    <n v="0"/>
    <n v="13.353999999999999"/>
    <n v="13.353999999999999"/>
    <n v="13.353999999999999"/>
    <n v="13.353999999999999"/>
    <n v="9"/>
    <s v="CATIVO"/>
    <n v="0"/>
    <n v="0"/>
    <n v="60"/>
    <n v="16"/>
    <n v="0"/>
    <n v="387.29"/>
    <n v="196.87"/>
    <m/>
    <n v="456.08524314176981"/>
    <n v="208.06952026008611"/>
    <n v="0"/>
    <n v="1063.7796400000002"/>
    <n v="0"/>
    <n v="566.11421556181199"/>
    <x v="2"/>
  </r>
  <r>
    <s v="Regular"/>
    <x v="2"/>
    <x v="1"/>
    <x v="1"/>
    <x v="0"/>
    <x v="2"/>
    <x v="0"/>
    <x v="1"/>
    <x v="1"/>
    <n v="0"/>
    <n v="0"/>
    <n v="2487.31"/>
    <n v="2487.31"/>
    <n v="2487.31"/>
    <n v="2487.31"/>
    <n v="2089"/>
    <s v="CATIVO"/>
    <n v="0"/>
    <n v="0"/>
    <n v="60"/>
    <n v="16"/>
    <n v="0"/>
    <n v="387.29"/>
    <n v="196.87"/>
    <m/>
    <n v="456.08524314176981"/>
    <n v="208.06952026008611"/>
    <n v="0"/>
    <n v="198139.11460000006"/>
    <n v="0"/>
    <n v="105444.17773768539"/>
    <x v="2"/>
  </r>
  <r>
    <s v="Refaturamento - Regular"/>
    <x v="2"/>
    <x v="1"/>
    <x v="1"/>
    <x v="0"/>
    <x v="2"/>
    <x v="0"/>
    <x v="1"/>
    <x v="1"/>
    <n v="0"/>
    <n v="0"/>
    <n v="-24.905000000000001"/>
    <n v="-24.905000000000001"/>
    <n v="-24.905000000000001"/>
    <n v="-24.905000000000001"/>
    <n v="0"/>
    <s v="CATIVO"/>
    <n v="0"/>
    <n v="0"/>
    <n v="60"/>
    <n v="16"/>
    <n v="0"/>
    <n v="387.29"/>
    <n v="196.87"/>
    <m/>
    <n v="456.08524314176981"/>
    <n v="208.06952026008611"/>
    <n v="0"/>
    <n v="-1983.9323000000006"/>
    <n v="0"/>
    <n v="-1055.7941095227593"/>
    <x v="2"/>
  </r>
  <r>
    <s v="Sistema de Compensação"/>
    <x v="2"/>
    <x v="1"/>
    <x v="1"/>
    <x v="0"/>
    <x v="2"/>
    <x v="0"/>
    <x v="1"/>
    <x v="1"/>
    <n v="0"/>
    <n v="0"/>
    <n v="9.4559999999999995"/>
    <n v="9.4559999999999995"/>
    <n v="9.4559999999999995"/>
    <n v="9.4559999999999995"/>
    <n v="9"/>
    <s v="CATIVO"/>
    <n v="0"/>
    <n v="0"/>
    <n v="60"/>
    <n v="16"/>
    <n v="0"/>
    <n v="387.29"/>
    <n v="196.87"/>
    <m/>
    <n v="456.08524314176981"/>
    <n v="208.06952026008611"/>
    <n v="0"/>
    <n v="753.2649600000002"/>
    <n v="0"/>
    <n v="400.86685804646504"/>
    <x v="2"/>
  </r>
  <r>
    <s v="Regular"/>
    <x v="2"/>
    <x v="1"/>
    <x v="1"/>
    <x v="0"/>
    <x v="2"/>
    <x v="0"/>
    <x v="1"/>
    <x v="2"/>
    <n v="0"/>
    <n v="0"/>
    <n v="1958.875"/>
    <n v="1958.875"/>
    <n v="1958.875"/>
    <n v="1958.875"/>
    <n v="2088"/>
    <s v="CATIVO"/>
    <n v="0"/>
    <n v="0"/>
    <n v="60"/>
    <n v="16"/>
    <n v="0"/>
    <n v="387.29"/>
    <n v="196.87"/>
    <m/>
    <n v="456.08524314176981"/>
    <n v="208.06952026008611"/>
    <n v="0"/>
    <n v="156043.98250000004"/>
    <n v="0"/>
    <n v="83042.308222902837"/>
    <x v="2"/>
  </r>
  <r>
    <s v="Sistema de Compensação"/>
    <x v="2"/>
    <x v="1"/>
    <x v="1"/>
    <x v="0"/>
    <x v="2"/>
    <x v="0"/>
    <x v="1"/>
    <x v="2"/>
    <n v="0"/>
    <n v="0"/>
    <n v="17.687000000000001"/>
    <n v="17.687000000000001"/>
    <n v="17.687000000000001"/>
    <n v="17.687000000000001"/>
    <n v="10"/>
    <s v="CATIVO"/>
    <n v="0"/>
    <n v="0"/>
    <n v="60"/>
    <n v="16"/>
    <n v="0"/>
    <n v="387.29"/>
    <n v="196.87"/>
    <m/>
    <n v="456.08524314176981"/>
    <n v="208.06952026008611"/>
    <n v="0"/>
    <n v="1408.9464200000004"/>
    <n v="0"/>
    <n v="749.80246597587006"/>
    <x v="2"/>
  </r>
  <r>
    <s v="Sistema de Compensação"/>
    <x v="2"/>
    <x v="1"/>
    <x v="1"/>
    <x v="0"/>
    <x v="2"/>
    <x v="0"/>
    <x v="1"/>
    <x v="2"/>
    <n v="0"/>
    <n v="0"/>
    <n v="-2.0859999999999999"/>
    <n v="-2.0859999999999999"/>
    <n v="-2.0859999999999999"/>
    <n v="-2.0859999999999999"/>
    <n v="1"/>
    <s v="CATIVO"/>
    <n v="0"/>
    <n v="0"/>
    <n v="60"/>
    <n v="16"/>
    <n v="0"/>
    <n v="387.29"/>
    <n v="196.87"/>
    <m/>
    <n v="456.08524314176981"/>
    <n v="208.06952026008611"/>
    <n v="0"/>
    <n v="-166.17076000000003"/>
    <n v="0"/>
    <n v="-88.431500199336512"/>
    <x v="2"/>
  </r>
  <r>
    <s v="Regular"/>
    <x v="2"/>
    <x v="1"/>
    <x v="1"/>
    <x v="0"/>
    <x v="2"/>
    <x v="0"/>
    <x v="1"/>
    <x v="3"/>
    <n v="0"/>
    <n v="0"/>
    <n v="2007.154"/>
    <n v="2007.154"/>
    <n v="2007.154"/>
    <n v="2007.154"/>
    <n v="2083"/>
    <s v="CATIVO"/>
    <n v="0"/>
    <n v="0"/>
    <n v="60"/>
    <n v="16"/>
    <n v="0"/>
    <n v="387.29"/>
    <n v="196.87"/>
    <m/>
    <n v="456.08524314176981"/>
    <n v="208.06952026008611"/>
    <n v="0"/>
    <n v="159889.88764000006"/>
    <n v="0"/>
    <n v="85088.992977516333"/>
    <x v="2"/>
  </r>
  <r>
    <s v="Refaturamento - Regular"/>
    <x v="2"/>
    <x v="1"/>
    <x v="1"/>
    <x v="0"/>
    <x v="2"/>
    <x v="0"/>
    <x v="1"/>
    <x v="3"/>
    <n v="0"/>
    <n v="0"/>
    <n v="-9.42"/>
    <n v="-9.42"/>
    <n v="-9.42"/>
    <n v="-9.42"/>
    <n v="0"/>
    <s v="CATIVO"/>
    <n v="0"/>
    <n v="0"/>
    <n v="60"/>
    <n v="16"/>
    <n v="0"/>
    <n v="387.29"/>
    <n v="196.87"/>
    <m/>
    <n v="456.08524314176981"/>
    <n v="208.06952026008611"/>
    <n v="0"/>
    <n v="-750.39720000000023"/>
    <n v="0"/>
    <n v="-399.34071518588206"/>
    <x v="2"/>
  </r>
  <r>
    <s v="Sistema de Compensação"/>
    <x v="2"/>
    <x v="1"/>
    <x v="1"/>
    <x v="0"/>
    <x v="2"/>
    <x v="0"/>
    <x v="1"/>
    <x v="3"/>
    <n v="0"/>
    <n v="0"/>
    <n v="18.791"/>
    <n v="18.791"/>
    <n v="18.791"/>
    <n v="18.791"/>
    <n v="14"/>
    <s v="CATIVO"/>
    <n v="0"/>
    <n v="0"/>
    <n v="60"/>
    <n v="16"/>
    <n v="0"/>
    <n v="387.29"/>
    <n v="196.87"/>
    <m/>
    <n v="456.08524314176981"/>
    <n v="208.06952026008611"/>
    <n v="0"/>
    <n v="1496.8910600000006"/>
    <n v="0"/>
    <n v="796.60418036708177"/>
    <x v="2"/>
  </r>
  <r>
    <s v="Sistema de Compensação"/>
    <x v="2"/>
    <x v="1"/>
    <x v="1"/>
    <x v="0"/>
    <x v="2"/>
    <x v="0"/>
    <x v="1"/>
    <x v="3"/>
    <n v="0"/>
    <n v="0"/>
    <n v="1.9E-2"/>
    <n v="1.9E-2"/>
    <n v="1.9E-2"/>
    <n v="1.9E-2"/>
    <n v="2"/>
    <s v="CATIVO"/>
    <n v="0"/>
    <n v="0"/>
    <n v="60"/>
    <n v="16"/>
    <n v="0"/>
    <n v="387.29"/>
    <n v="196.87"/>
    <m/>
    <n v="456.08524314176981"/>
    <n v="208.06952026008611"/>
    <n v="0"/>
    <n v="1.5135400000000003"/>
    <n v="0"/>
    <n v="0.80546428752991073"/>
    <x v="2"/>
  </r>
  <r>
    <s v="Regular"/>
    <x v="2"/>
    <x v="1"/>
    <x v="1"/>
    <x v="0"/>
    <x v="2"/>
    <x v="0"/>
    <x v="1"/>
    <x v="4"/>
    <n v="0"/>
    <n v="0"/>
    <n v="2340.4430000000002"/>
    <n v="2340.4430000000002"/>
    <n v="2340.4430000000002"/>
    <n v="2340.4430000000002"/>
    <n v="2096"/>
    <s v="CATIVO"/>
    <n v="0"/>
    <n v="0"/>
    <n v="60"/>
    <n v="16"/>
    <n v="0"/>
    <n v="387.29"/>
    <n v="196.87"/>
    <m/>
    <n v="456.08524314176981"/>
    <n v="208.06952026008611"/>
    <n v="0"/>
    <n v="186439.68938000008"/>
    <n v="0"/>
    <n v="99218.065973650897"/>
    <x v="2"/>
  </r>
  <r>
    <s v="Refaturamento - Regular"/>
    <x v="2"/>
    <x v="1"/>
    <x v="1"/>
    <x v="0"/>
    <x v="2"/>
    <x v="0"/>
    <x v="1"/>
    <x v="4"/>
    <n v="0"/>
    <n v="0"/>
    <n v="5.26"/>
    <n v="5.26"/>
    <n v="5.26"/>
    <n v="5.26"/>
    <n v="0"/>
    <s v="CATIVO"/>
    <n v="0"/>
    <n v="0"/>
    <n v="60"/>
    <n v="16"/>
    <n v="0"/>
    <n v="387.29"/>
    <n v="196.87"/>
    <m/>
    <n v="456.08524314176981"/>
    <n v="208.06952026008611"/>
    <n v="0"/>
    <n v="419.0116000000001"/>
    <n v="0"/>
    <n v="222.98642907407"/>
    <x v="2"/>
  </r>
  <r>
    <s v="Sistema de Compensação"/>
    <x v="2"/>
    <x v="1"/>
    <x v="1"/>
    <x v="0"/>
    <x v="2"/>
    <x v="0"/>
    <x v="1"/>
    <x v="4"/>
    <n v="0"/>
    <n v="0"/>
    <n v="14.803000000000001"/>
    <n v="14.803000000000001"/>
    <n v="14.803000000000001"/>
    <n v="14.803000000000001"/>
    <n v="12"/>
    <s v="CATIVO"/>
    <n v="0"/>
    <n v="0"/>
    <n v="60"/>
    <n v="16"/>
    <n v="0"/>
    <n v="387.29"/>
    <n v="196.87"/>
    <m/>
    <n v="456.08524314176981"/>
    <n v="208.06952026008611"/>
    <n v="0"/>
    <n v="1179.2069800000004"/>
    <n v="0"/>
    <n v="627.54146570027729"/>
    <x v="2"/>
  </r>
  <r>
    <s v="Regular"/>
    <x v="2"/>
    <x v="1"/>
    <x v="1"/>
    <x v="0"/>
    <x v="2"/>
    <x v="0"/>
    <x v="1"/>
    <x v="5"/>
    <n v="0"/>
    <n v="0"/>
    <n v="2510.3119999999999"/>
    <n v="2510.3119999999999"/>
    <n v="2510.3119999999999"/>
    <n v="2510.3119999999999"/>
    <n v="2094"/>
    <s v="CATIVO"/>
    <n v="0"/>
    <n v="0"/>
    <n v="60"/>
    <n v="16"/>
    <n v="0"/>
    <n v="387.29"/>
    <n v="196.87"/>
    <m/>
    <n v="456.08524314176981"/>
    <n v="208.06952026008611"/>
    <n v="0"/>
    <n v="199971.45392000006"/>
    <n v="0"/>
    <n v="106419.29823988343"/>
    <x v="2"/>
  </r>
  <r>
    <s v="Refaturamento - Regular"/>
    <x v="2"/>
    <x v="1"/>
    <x v="1"/>
    <x v="0"/>
    <x v="2"/>
    <x v="0"/>
    <x v="1"/>
    <x v="5"/>
    <n v="0"/>
    <n v="0"/>
    <n v="-0.152"/>
    <n v="-0.152"/>
    <n v="-0.152"/>
    <n v="-0.152"/>
    <n v="0"/>
    <s v="CATIVO"/>
    <n v="0"/>
    <n v="0"/>
    <n v="60"/>
    <n v="16"/>
    <n v="0"/>
    <n v="387.29"/>
    <n v="196.87"/>
    <m/>
    <n v="456.08524314176981"/>
    <n v="208.06952026008611"/>
    <n v="0"/>
    <n v="-12.108320000000003"/>
    <n v="0"/>
    <n v="-6.4437143002392858"/>
    <x v="2"/>
  </r>
  <r>
    <s v="Sistema de Compensação"/>
    <x v="2"/>
    <x v="1"/>
    <x v="1"/>
    <x v="0"/>
    <x v="2"/>
    <x v="0"/>
    <x v="1"/>
    <x v="5"/>
    <n v="0"/>
    <n v="0"/>
    <n v="54.148000000000003"/>
    <n v="54.148000000000003"/>
    <n v="54.148000000000003"/>
    <n v="54.148000000000003"/>
    <n v="16"/>
    <s v="CATIVO"/>
    <n v="0"/>
    <n v="0"/>
    <n v="60"/>
    <n v="16"/>
    <n v="0"/>
    <n v="387.29"/>
    <n v="196.87"/>
    <m/>
    <n v="456.08524314176981"/>
    <n v="208.06952026008611"/>
    <n v="0"/>
    <n v="4313.429680000002"/>
    <n v="0"/>
    <n v="2295.4884337457688"/>
    <x v="2"/>
  </r>
  <r>
    <s v="Regular"/>
    <x v="2"/>
    <x v="1"/>
    <x v="1"/>
    <x v="0"/>
    <x v="2"/>
    <x v="0"/>
    <x v="1"/>
    <x v="6"/>
    <n v="0"/>
    <n v="0"/>
    <n v="2154.7689999999998"/>
    <n v="2154.7689999999998"/>
    <n v="2154.7689999999998"/>
    <n v="2154.7689999999998"/>
    <n v="2095"/>
    <s v="CATIVO"/>
    <n v="0"/>
    <n v="0"/>
    <n v="60"/>
    <n v="16"/>
    <n v="0"/>
    <n v="387.29"/>
    <n v="196.87"/>
    <m/>
    <n v="456.08524314176981"/>
    <n v="208.06952026008611"/>
    <n v="0"/>
    <n v="171648.89854000002"/>
    <n v="0"/>
    <n v="91346.814598765166"/>
    <x v="2"/>
  </r>
  <r>
    <s v="Refaturamento - Regular"/>
    <x v="2"/>
    <x v="1"/>
    <x v="1"/>
    <x v="0"/>
    <x v="2"/>
    <x v="0"/>
    <x v="1"/>
    <x v="6"/>
    <n v="0"/>
    <n v="0"/>
    <n v="-9.8490000000000002"/>
    <n v="-9.8490000000000002"/>
    <n v="-9.8490000000000002"/>
    <n v="-9.8490000000000002"/>
    <n v="0"/>
    <s v="CATIVO"/>
    <n v="0"/>
    <n v="0"/>
    <n v="60"/>
    <n v="16"/>
    <n v="0"/>
    <n v="387.29"/>
    <n v="196.87"/>
    <m/>
    <n v="456.08524314176981"/>
    <n v="208.06952026008611"/>
    <n v="0"/>
    <n v="-784.5713400000003"/>
    <n v="0"/>
    <n v="-417.52725094116266"/>
    <x v="2"/>
  </r>
  <r>
    <s v="Sistema de Compensação"/>
    <x v="2"/>
    <x v="1"/>
    <x v="1"/>
    <x v="0"/>
    <x v="2"/>
    <x v="0"/>
    <x v="1"/>
    <x v="6"/>
    <n v="0"/>
    <n v="0"/>
    <n v="89.162000000000006"/>
    <n v="89.162000000000006"/>
    <n v="89.162000000000006"/>
    <n v="89.162000000000006"/>
    <n v="20"/>
    <s v="CATIVO"/>
    <n v="0"/>
    <n v="0"/>
    <n v="60"/>
    <n v="16"/>
    <n v="0"/>
    <n v="387.29"/>
    <n v="196.87"/>
    <m/>
    <n v="456.08524314176981"/>
    <n v="208.06952026008611"/>
    <n v="0"/>
    <n v="7102.6449200000025"/>
    <n v="0"/>
    <n v="3779.8319370916793"/>
    <x v="2"/>
  </r>
  <r>
    <s v="Regular"/>
    <x v="2"/>
    <x v="1"/>
    <x v="1"/>
    <x v="0"/>
    <x v="2"/>
    <x v="0"/>
    <x v="1"/>
    <x v="7"/>
    <n v="0"/>
    <n v="0"/>
    <n v="2489.1129999999998"/>
    <n v="2489.1129999999998"/>
    <n v="2489.1129999999998"/>
    <n v="2489.1129999999998"/>
    <n v="2092"/>
    <s v="CATIVO"/>
    <n v="0"/>
    <n v="0"/>
    <n v="60"/>
    <n v="16"/>
    <n v="0"/>
    <n v="387.29"/>
    <n v="196.87"/>
    <m/>
    <n v="456.08524314176981"/>
    <n v="208.06952026008611"/>
    <n v="0"/>
    <n v="198282.74158000006"/>
    <n v="0"/>
    <n v="105520.61205928624"/>
    <x v="2"/>
  </r>
  <r>
    <s v="Refaturamento - Regular"/>
    <x v="2"/>
    <x v="1"/>
    <x v="1"/>
    <x v="0"/>
    <x v="2"/>
    <x v="0"/>
    <x v="1"/>
    <x v="7"/>
    <n v="0"/>
    <n v="0"/>
    <n v="-0.70099999999999996"/>
    <n v="-0.70099999999999996"/>
    <n v="-0.70099999999999996"/>
    <n v="-0.70099999999999996"/>
    <n v="0"/>
    <s v="CATIVO"/>
    <n v="0"/>
    <n v="0"/>
    <n v="60"/>
    <n v="16"/>
    <n v="0"/>
    <n v="387.29"/>
    <n v="196.87"/>
    <m/>
    <n v="456.08524314176981"/>
    <n v="208.06952026008611"/>
    <n v="0"/>
    <n v="-55.841660000000012"/>
    <n v="0"/>
    <n v="-29.717392924129861"/>
    <x v="2"/>
  </r>
  <r>
    <s v="Sistema de Compensação"/>
    <x v="2"/>
    <x v="1"/>
    <x v="1"/>
    <x v="0"/>
    <x v="2"/>
    <x v="0"/>
    <x v="1"/>
    <x v="7"/>
    <n v="0"/>
    <n v="0"/>
    <n v="67.254999999999995"/>
    <n v="67.254999999999995"/>
    <n v="67.254999999999995"/>
    <n v="67.254999999999995"/>
    <n v="21"/>
    <s v="CATIVO"/>
    <n v="0"/>
    <n v="0"/>
    <n v="60"/>
    <n v="16"/>
    <n v="0"/>
    <n v="387.29"/>
    <n v="196.87"/>
    <m/>
    <n v="456.08524314176981"/>
    <n v="208.06952026008611"/>
    <n v="0"/>
    <n v="5357.533300000001"/>
    <n v="0"/>
    <n v="2851.1316135696916"/>
    <x v="2"/>
  </r>
  <r>
    <s v="Regular"/>
    <x v="2"/>
    <x v="1"/>
    <x v="1"/>
    <x v="0"/>
    <x v="2"/>
    <x v="0"/>
    <x v="1"/>
    <x v="8"/>
    <n v="0"/>
    <n v="0"/>
    <n v="2225.7460000000001"/>
    <n v="2225.7460000000001"/>
    <n v="2225.7460000000001"/>
    <n v="2225.7460000000001"/>
    <n v="2098"/>
    <s v="CATIVO"/>
    <n v="0"/>
    <n v="0"/>
    <n v="60"/>
    <n v="16"/>
    <n v="0"/>
    <n v="387.29"/>
    <n v="196.87"/>
    <m/>
    <n v="456.08524314176981"/>
    <n v="208.06952026008611"/>
    <n v="0"/>
    <n v="177302.92636000007"/>
    <n v="0"/>
    <n v="94355.732426976247"/>
    <x v="2"/>
  </r>
  <r>
    <s v="Refaturamento - Regular"/>
    <x v="2"/>
    <x v="1"/>
    <x v="1"/>
    <x v="0"/>
    <x v="2"/>
    <x v="0"/>
    <x v="1"/>
    <x v="8"/>
    <n v="0"/>
    <n v="0"/>
    <n v="-1.4530000000000001"/>
    <n v="-1.4530000000000001"/>
    <n v="-1.4530000000000001"/>
    <n v="-1.4530000000000001"/>
    <n v="0"/>
    <s v="CATIVO"/>
    <n v="0"/>
    <n v="0"/>
    <n v="60"/>
    <n v="16"/>
    <n v="0"/>
    <n v="387.29"/>
    <n v="196.87"/>
    <m/>
    <n v="456.08524314176981"/>
    <n v="208.06952026008611"/>
    <n v="0"/>
    <n v="-115.74598000000005"/>
    <n v="0"/>
    <n v="-61.596821567418964"/>
    <x v="2"/>
  </r>
  <r>
    <s v="Sistema de Compensação"/>
    <x v="2"/>
    <x v="1"/>
    <x v="1"/>
    <x v="0"/>
    <x v="2"/>
    <x v="0"/>
    <x v="1"/>
    <x v="8"/>
    <n v="0"/>
    <n v="0"/>
    <n v="76.545000000000002"/>
    <n v="76.545000000000002"/>
    <n v="76.545000000000002"/>
    <n v="76.545000000000002"/>
    <n v="24"/>
    <s v="CATIVO"/>
    <n v="0"/>
    <n v="0"/>
    <n v="60"/>
    <n v="16"/>
    <n v="0"/>
    <n v="387.29"/>
    <n v="196.87"/>
    <m/>
    <n v="456.08524314176981"/>
    <n v="208.06952026008611"/>
    <n v="0"/>
    <n v="6097.5747000000019"/>
    <n v="0"/>
    <n v="3244.9612573145801"/>
    <x v="2"/>
  </r>
  <r>
    <s v="Regular"/>
    <x v="2"/>
    <x v="1"/>
    <x v="1"/>
    <x v="0"/>
    <x v="2"/>
    <x v="0"/>
    <x v="1"/>
    <x v="9"/>
    <n v="0"/>
    <n v="0"/>
    <n v="2174.2919999999999"/>
    <n v="2174.2919999999999"/>
    <n v="2174.2919999999999"/>
    <n v="2174.2919999999999"/>
    <n v="2096"/>
    <s v="CATIVO"/>
    <n v="0"/>
    <n v="0"/>
    <n v="60"/>
    <n v="16"/>
    <n v="0"/>
    <n v="387.29"/>
    <n v="196.87"/>
    <m/>
    <n v="456.08524314176981"/>
    <n v="208.06952026008611"/>
    <n v="0"/>
    <n v="173204.10072000005"/>
    <n v="0"/>
    <n v="92174.450350630766"/>
    <x v="2"/>
  </r>
  <r>
    <s v="Refaturamento - Regular"/>
    <x v="2"/>
    <x v="1"/>
    <x v="1"/>
    <x v="0"/>
    <x v="2"/>
    <x v="0"/>
    <x v="1"/>
    <x v="9"/>
    <n v="0"/>
    <n v="0"/>
    <n v="-4.2690000000000001"/>
    <n v="-4.2690000000000001"/>
    <n v="-4.2690000000000001"/>
    <n v="-4.2690000000000001"/>
    <n v="0"/>
    <s v="CATIVO"/>
    <n v="0"/>
    <n v="0"/>
    <n v="60"/>
    <n v="16"/>
    <n v="0"/>
    <n v="387.29"/>
    <n v="196.87"/>
    <m/>
    <n v="456.08524314176981"/>
    <n v="208.06952026008611"/>
    <n v="0"/>
    <n v="-340.0685400000001"/>
    <n v="0"/>
    <n v="-180.97510755079944"/>
    <x v="2"/>
  </r>
  <r>
    <s v="Sistema de Compensação"/>
    <x v="2"/>
    <x v="1"/>
    <x v="1"/>
    <x v="0"/>
    <x v="2"/>
    <x v="0"/>
    <x v="1"/>
    <x v="9"/>
    <n v="0"/>
    <n v="0"/>
    <n v="78.852000000000004"/>
    <n v="78.852000000000004"/>
    <n v="78.852000000000004"/>
    <n v="78.852000000000004"/>
    <n v="24"/>
    <s v="CATIVO"/>
    <n v="0"/>
    <n v="0"/>
    <n v="60"/>
    <n v="16"/>
    <n v="0"/>
    <n v="387.29"/>
    <n v="196.87"/>
    <m/>
    <n v="456.08524314176981"/>
    <n v="208.06952026008611"/>
    <n v="0"/>
    <n v="6281.3503200000023"/>
    <n v="0"/>
    <n v="3342.7615789636066"/>
    <x v="2"/>
  </r>
  <r>
    <s v="Regular"/>
    <x v="2"/>
    <x v="1"/>
    <x v="1"/>
    <x v="0"/>
    <x v="2"/>
    <x v="0"/>
    <x v="1"/>
    <x v="10"/>
    <n v="0"/>
    <n v="0"/>
    <n v="2301.3029999999999"/>
    <n v="2301.3029999999999"/>
    <n v="2301.3029999999999"/>
    <n v="2301.3029999999999"/>
    <n v="2085"/>
    <s v="CATIVO"/>
    <n v="0"/>
    <n v="0"/>
    <n v="60"/>
    <n v="16"/>
    <n v="0"/>
    <n v="387.29"/>
    <n v="196.87"/>
    <m/>
    <n v="456.08524314176981"/>
    <n v="208.06952026008611"/>
    <n v="0"/>
    <n v="183321.79698000004"/>
    <n v="0"/>
    <n v="97558.809541339273"/>
    <x v="2"/>
  </r>
  <r>
    <s v="Refaturamento - Regular"/>
    <x v="2"/>
    <x v="1"/>
    <x v="1"/>
    <x v="0"/>
    <x v="2"/>
    <x v="0"/>
    <x v="1"/>
    <x v="10"/>
    <n v="0"/>
    <n v="0"/>
    <n v="-0.88700000000000001"/>
    <n v="-0.88700000000000001"/>
    <n v="-0.88700000000000001"/>
    <n v="-0.88700000000000001"/>
    <n v="0"/>
    <s v="CATIVO"/>
    <n v="0"/>
    <n v="0"/>
    <n v="60"/>
    <n v="16"/>
    <n v="0"/>
    <n v="387.29"/>
    <n v="196.87"/>
    <m/>
    <n v="456.08524314176981"/>
    <n v="208.06952026008611"/>
    <n v="0"/>
    <n v="-70.658420000000021"/>
    <n v="0"/>
    <n v="-37.60246437047531"/>
    <x v="2"/>
  </r>
  <r>
    <s v="Sistema de Compensação"/>
    <x v="2"/>
    <x v="1"/>
    <x v="1"/>
    <x v="0"/>
    <x v="2"/>
    <x v="0"/>
    <x v="1"/>
    <x v="10"/>
    <n v="0"/>
    <n v="0"/>
    <n v="86.263999999999996"/>
    <n v="86.263999999999996"/>
    <n v="86.263999999999996"/>
    <n v="86.263999999999996"/>
    <n v="29"/>
    <s v="CATIVO"/>
    <n v="0"/>
    <n v="0"/>
    <n v="60"/>
    <n v="16"/>
    <n v="0"/>
    <n v="387.29"/>
    <n v="196.87"/>
    <m/>
    <n v="456.08524314176981"/>
    <n v="208.06952026008611"/>
    <n v="0"/>
    <n v="6871.7902400000021"/>
    <n v="0"/>
    <n v="3656.9774368147482"/>
    <x v="2"/>
  </r>
  <r>
    <s v="PROJETADO"/>
    <x v="2"/>
    <x v="1"/>
    <x v="1"/>
    <x v="0"/>
    <x v="2"/>
    <x v="0"/>
    <x v="1"/>
    <x v="11"/>
    <n v="0"/>
    <n v="0"/>
    <n v="2301.3029999999999"/>
    <n v="2301.3029999999999"/>
    <n v="2301.3029999999999"/>
    <n v="2301.3029999999999"/>
    <n v="2085"/>
    <s v="CATIVO"/>
    <n v="0"/>
    <n v="0"/>
    <n v="60"/>
    <n v="16"/>
    <n v="0"/>
    <n v="387.29"/>
    <n v="196.87"/>
    <m/>
    <n v="456.08524314176981"/>
    <n v="208.06952026008611"/>
    <n v="0"/>
    <n v="183321.79698000004"/>
    <n v="0"/>
    <n v="97558.809541339273"/>
    <x v="2"/>
  </r>
  <r>
    <s v="PROJETADO"/>
    <x v="2"/>
    <x v="1"/>
    <x v="1"/>
    <x v="0"/>
    <x v="2"/>
    <x v="0"/>
    <x v="1"/>
    <x v="11"/>
    <n v="0"/>
    <n v="0"/>
    <n v="-0.88700000000000001"/>
    <n v="-0.88700000000000001"/>
    <n v="-0.88700000000000001"/>
    <n v="-0.88700000000000001"/>
    <n v="0"/>
    <s v="CATIVO"/>
    <n v="0"/>
    <n v="0"/>
    <n v="60"/>
    <n v="16"/>
    <n v="0"/>
    <n v="387.29"/>
    <n v="196.87"/>
    <m/>
    <n v="456.08524314176981"/>
    <n v="208.06952026008611"/>
    <n v="0"/>
    <n v="-70.658420000000021"/>
    <n v="0"/>
    <n v="-37.60246437047531"/>
    <x v="2"/>
  </r>
  <r>
    <s v="PROJETADO"/>
    <x v="2"/>
    <x v="1"/>
    <x v="1"/>
    <x v="0"/>
    <x v="2"/>
    <x v="0"/>
    <x v="1"/>
    <x v="11"/>
    <n v="0"/>
    <n v="0"/>
    <n v="86.263999999999996"/>
    <n v="86.263999999999996"/>
    <n v="86.263999999999996"/>
    <n v="86.263999999999996"/>
    <n v="29"/>
    <s v="CATIVO"/>
    <n v="0"/>
    <n v="0"/>
    <n v="60"/>
    <n v="16"/>
    <n v="0"/>
    <n v="387.29"/>
    <n v="196.87"/>
    <m/>
    <n v="456.08524314176981"/>
    <n v="208.06952026008611"/>
    <n v="0"/>
    <n v="6871.7902400000021"/>
    <n v="0"/>
    <n v="3656.9774368147482"/>
    <x v="2"/>
  </r>
  <r>
    <s v="Regular"/>
    <x v="3"/>
    <x v="1"/>
    <x v="2"/>
    <x v="2"/>
    <x v="2"/>
    <x v="0"/>
    <x v="1"/>
    <x v="0"/>
    <n v="0"/>
    <n v="0"/>
    <n v="43.765999999999998"/>
    <n v="41.140039999999999"/>
    <n v="43.765999999999998"/>
    <n v="41.140039999999999"/>
    <n v="17"/>
    <s v="CATIVO"/>
    <n v="0"/>
    <n v="0"/>
    <n v="2"/>
    <n v="26"/>
    <n v="0"/>
    <n v="440.1"/>
    <n v="223.72"/>
    <m/>
    <n v="485.19706717209556"/>
    <n v="221.35055346817671"/>
    <n v="0"/>
    <n v="1743.1647671999995"/>
    <n v="0"/>
    <n v="1855.3657898965287"/>
    <x v="3"/>
  </r>
  <r>
    <s v="Regular"/>
    <x v="3"/>
    <x v="1"/>
    <x v="2"/>
    <x v="2"/>
    <x v="2"/>
    <x v="0"/>
    <x v="1"/>
    <x v="1"/>
    <n v="0"/>
    <n v="0"/>
    <n v="44.619"/>
    <n v="41.941859999999998"/>
    <n v="44.619"/>
    <n v="41.941859999999998"/>
    <n v="17"/>
    <s v="CATIVO"/>
    <n v="0"/>
    <n v="0"/>
    <n v="2"/>
    <n v="26"/>
    <n v="0"/>
    <n v="440.1"/>
    <n v="223.72"/>
    <m/>
    <n v="485.19706717209556"/>
    <n v="221.35055346817671"/>
    <n v="0"/>
    <n v="1777.1390748000008"/>
    <n v="0"/>
    <n v="1891.5268971208995"/>
    <x v="3"/>
  </r>
  <r>
    <s v="Regular"/>
    <x v="3"/>
    <x v="1"/>
    <x v="2"/>
    <x v="2"/>
    <x v="2"/>
    <x v="0"/>
    <x v="1"/>
    <x v="2"/>
    <n v="0"/>
    <n v="0"/>
    <n v="47.972000000000001"/>
    <n v="45.093679999999999"/>
    <n v="47.972000000000001"/>
    <n v="45.093679999999999"/>
    <n v="17"/>
    <s v="CATIVO"/>
    <n v="0"/>
    <n v="0"/>
    <n v="2"/>
    <n v="26"/>
    <n v="0"/>
    <n v="440.1"/>
    <n v="223.72"/>
    <m/>
    <n v="485.19706717209556"/>
    <n v="221.35055346817671"/>
    <n v="0"/>
    <n v="1910.6863824000015"/>
    <n v="0"/>
    <n v="2033.6701474413101"/>
    <x v="3"/>
  </r>
  <r>
    <s v="Regular"/>
    <x v="3"/>
    <x v="1"/>
    <x v="2"/>
    <x v="2"/>
    <x v="2"/>
    <x v="0"/>
    <x v="1"/>
    <x v="3"/>
    <n v="0"/>
    <n v="0"/>
    <n v="36.499000000000002"/>
    <n v="34.309060000000002"/>
    <n v="36.499000000000002"/>
    <n v="34.309060000000002"/>
    <n v="17"/>
    <s v="CATIVO"/>
    <n v="0"/>
    <n v="0"/>
    <n v="2"/>
    <n v="26"/>
    <n v="0"/>
    <n v="440.1"/>
    <n v="223.72"/>
    <m/>
    <n v="485.19706717209556"/>
    <n v="221.35055346817671"/>
    <n v="0"/>
    <n v="1453.7259708000001"/>
    <n v="0"/>
    <n v="1547.296896344958"/>
    <x v="3"/>
  </r>
  <r>
    <s v="Regular"/>
    <x v="3"/>
    <x v="1"/>
    <x v="2"/>
    <x v="2"/>
    <x v="2"/>
    <x v="0"/>
    <x v="1"/>
    <x v="4"/>
    <n v="0"/>
    <n v="0"/>
    <n v="41.853999999999999"/>
    <n v="39.342759999999998"/>
    <n v="41.853999999999999"/>
    <n v="39.342759999999998"/>
    <n v="18"/>
    <s v="CATIVO"/>
    <n v="0"/>
    <n v="0"/>
    <n v="2"/>
    <n v="26"/>
    <n v="0"/>
    <n v="440.1"/>
    <n v="223.72"/>
    <m/>
    <n v="485.19706717209556"/>
    <n v="221.35055346817671"/>
    <n v="0"/>
    <n v="1667.0113368000007"/>
    <n v="0"/>
    <n v="1774.310646856678"/>
    <x v="3"/>
  </r>
  <r>
    <s v="Regular"/>
    <x v="3"/>
    <x v="1"/>
    <x v="2"/>
    <x v="2"/>
    <x v="2"/>
    <x v="0"/>
    <x v="1"/>
    <x v="5"/>
    <n v="0"/>
    <n v="0"/>
    <n v="44.115000000000002"/>
    <n v="41.4681"/>
    <n v="44.115000000000002"/>
    <n v="41.4681"/>
    <n v="18"/>
    <s v="CATIVO"/>
    <n v="0"/>
    <n v="0"/>
    <n v="2"/>
    <n v="26"/>
    <n v="0"/>
    <n v="440.1"/>
    <n v="223.72"/>
    <m/>
    <n v="485.19706717209556"/>
    <n v="221.35055346817671"/>
    <n v="0"/>
    <n v="1757.0651580000017"/>
    <n v="0"/>
    <n v="1870.1608970727382"/>
    <x v="3"/>
  </r>
  <r>
    <s v="Regular"/>
    <x v="3"/>
    <x v="1"/>
    <x v="2"/>
    <x v="2"/>
    <x v="2"/>
    <x v="0"/>
    <x v="1"/>
    <x v="6"/>
    <n v="0"/>
    <n v="0"/>
    <n v="40.51"/>
    <n v="38.0794"/>
    <n v="40.51"/>
    <n v="38.0794"/>
    <n v="18"/>
    <s v="CATIVO"/>
    <n v="0"/>
    <n v="0"/>
    <n v="2"/>
    <n v="26"/>
    <n v="0"/>
    <n v="440.1"/>
    <n v="223.72"/>
    <m/>
    <n v="485.19706717209556"/>
    <n v="221.35055346817671"/>
    <n v="0"/>
    <n v="1613.4808919999989"/>
    <n v="0"/>
    <n v="1717.3346467282445"/>
    <x v="3"/>
  </r>
  <r>
    <s v="Regular"/>
    <x v="3"/>
    <x v="1"/>
    <x v="2"/>
    <x v="2"/>
    <x v="2"/>
    <x v="0"/>
    <x v="1"/>
    <x v="7"/>
    <n v="0"/>
    <n v="0"/>
    <n v="65.736999999999995"/>
    <n v="61.79278"/>
    <n v="65.736999999999995"/>
    <n v="61.79278"/>
    <n v="18"/>
    <s v="CATIVO"/>
    <n v="0"/>
    <n v="0"/>
    <n v="2"/>
    <n v="26"/>
    <n v="0"/>
    <n v="440.1"/>
    <n v="223.72"/>
    <m/>
    <n v="485.19706717209556"/>
    <n v="221.35055346817671"/>
    <n v="0"/>
    <n v="2618.2521203999963"/>
    <n v="0"/>
    <n v="2786.7792562817708"/>
    <x v="3"/>
  </r>
  <r>
    <s v="Regular"/>
    <x v="3"/>
    <x v="1"/>
    <x v="2"/>
    <x v="2"/>
    <x v="2"/>
    <x v="0"/>
    <x v="1"/>
    <x v="8"/>
    <n v="0"/>
    <n v="0"/>
    <n v="51.005000000000003"/>
    <n v="47.944699999999997"/>
    <n v="51.005000000000003"/>
    <n v="47.944699999999997"/>
    <n v="18"/>
    <s v="CATIVO"/>
    <n v="0"/>
    <n v="0"/>
    <n v="2"/>
    <n v="26"/>
    <n v="0"/>
    <n v="440.1"/>
    <n v="223.72"/>
    <m/>
    <n v="485.19706717209556"/>
    <n v="221.35055346817671"/>
    <n v="0"/>
    <n v="2031.4883460000035"/>
    <n v="0"/>
    <n v="2162.2476834454287"/>
    <x v="3"/>
  </r>
  <r>
    <s v="Regular"/>
    <x v="3"/>
    <x v="1"/>
    <x v="2"/>
    <x v="2"/>
    <x v="2"/>
    <x v="0"/>
    <x v="1"/>
    <x v="9"/>
    <n v="0"/>
    <n v="0"/>
    <n v="55.319000000000003"/>
    <n v="51.999859999999998"/>
    <n v="55.319000000000003"/>
    <n v="51.999859999999998"/>
    <n v="18"/>
    <s v="CATIVO"/>
    <n v="0"/>
    <n v="0"/>
    <n v="2"/>
    <n v="26"/>
    <n v="0"/>
    <n v="440.1"/>
    <n v="223.72"/>
    <m/>
    <n v="485.19706717209556"/>
    <n v="221.35055346817671"/>
    <n v="0"/>
    <n v="2203.3115148000029"/>
    <n v="0"/>
    <n v="2345.1304695719564"/>
    <x v="3"/>
  </r>
  <r>
    <s v="Regular"/>
    <x v="3"/>
    <x v="1"/>
    <x v="2"/>
    <x v="2"/>
    <x v="2"/>
    <x v="0"/>
    <x v="1"/>
    <x v="10"/>
    <n v="0"/>
    <n v="0"/>
    <n v="61.372999999999998"/>
    <n v="57.690620000000003"/>
    <n v="61.372999999999998"/>
    <n v="57.690620000000003"/>
    <n v="18"/>
    <s v="CATIVO"/>
    <n v="0"/>
    <n v="0"/>
    <n v="2"/>
    <n v="26"/>
    <n v="0"/>
    <n v="440.1"/>
    <n v="223.72"/>
    <m/>
    <n v="485.19706717209556"/>
    <n v="221.35055346817671"/>
    <n v="0"/>
    <n v="2444.4374915999965"/>
    <n v="0"/>
    <n v="2601.7768272933222"/>
    <x v="3"/>
  </r>
  <r>
    <s v="PROJETADO"/>
    <x v="3"/>
    <x v="1"/>
    <x v="2"/>
    <x v="2"/>
    <x v="2"/>
    <x v="0"/>
    <x v="1"/>
    <x v="11"/>
    <n v="0"/>
    <n v="0"/>
    <n v="61.372999999999998"/>
    <n v="57.690620000000003"/>
    <n v="61.372999999999998"/>
    <n v="57.690620000000003"/>
    <n v="18"/>
    <s v="CATIVO"/>
    <n v="0"/>
    <n v="0"/>
    <n v="2"/>
    <n v="26"/>
    <n v="0"/>
    <n v="440.1"/>
    <n v="223.72"/>
    <m/>
    <n v="485.19706717209556"/>
    <n v="221.35055346817671"/>
    <n v="0"/>
    <n v="2444.4374915999965"/>
    <n v="0"/>
    <n v="2601.776827293322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98119-57AB-4877-91D0-E9FCD5153AE1}" name="Efeito Resumo" cacheId="25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J664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showAll="0">
      <items count="8">
        <item x="1"/>
        <item x="6"/>
        <item x="2"/>
        <item x="0"/>
        <item x="3"/>
        <item x="4"/>
        <item x="5"/>
        <item t="default"/>
      </items>
    </pivotField>
    <pivotField axis="axisRow" showAll="0">
      <items count="12">
        <item x="2"/>
        <item x="3"/>
        <item x="8"/>
        <item x="9"/>
        <item x="10"/>
        <item x="0"/>
        <item x="1"/>
        <item x="4"/>
        <item x="5"/>
        <item x="6"/>
        <item x="7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3">
        <item x="0"/>
        <item x="1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663">
    <i>
      <x/>
    </i>
    <i r="1">
      <x/>
    </i>
    <i r="2">
      <x/>
    </i>
    <i r="3">
      <x v="3"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2"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6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6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1"/>
    </i>
    <i r="3">
      <x v="4"/>
    </i>
    <i r="4">
      <x v="6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10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5"/>
    </i>
    <i r="4">
      <x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9"/>
    </i>
    <i r="8">
      <x v="10"/>
    </i>
    <i r="8">
      <x v="11"/>
    </i>
    <i r="4">
      <x v="5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/>
    </i>
    <i r="4">
      <x v="5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2"/>
    </i>
    <i r="4">
      <x v="5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5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6"/>
    </i>
    <i r="4">
      <x v="1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1"/>
    </i>
    <i r="4">
      <x v="3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2"/>
    </i>
    <i r="3">
      <x v="2"/>
    </i>
    <i r="4">
      <x v="5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310">
    <format dxfId="678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67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76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675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674">
      <pivotArea type="all" dataOnly="0" outline="0" fieldPosition="0"/>
    </format>
    <format dxfId="673">
      <pivotArea outline="0" collapsedLevelsAreSubtotals="1" fieldPosition="0"/>
    </format>
    <format dxfId="672">
      <pivotArea field="16" type="button" dataOnly="0" labelOnly="1" outline="0" axis="axisRow" fieldPosition="0"/>
    </format>
    <format dxfId="671">
      <pivotArea dataOnly="0" labelOnly="1" fieldPosition="0">
        <references count="1">
          <reference field="16" count="0"/>
        </references>
      </pivotArea>
    </format>
    <format dxfId="670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669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668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2"/>
          </reference>
          <reference field="16" count="1" selected="0">
            <x v="0"/>
          </reference>
        </references>
      </pivotArea>
    </format>
    <format dxfId="667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666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663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1"/>
          </reference>
        </references>
      </pivotArea>
    </format>
    <format dxfId="66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6">
            <x v="0"/>
            <x v="2"/>
            <x v="3"/>
            <x v="4"/>
            <x v="5"/>
            <x v="6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4"/>
          </reference>
          <reference field="16" count="1" selected="0">
            <x v="0"/>
          </reference>
        </references>
      </pivotArea>
    </format>
    <format dxfId="659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658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4">
            <x v="0"/>
            <x v="2"/>
            <x v="3"/>
            <x v="6"/>
          </reference>
          <reference field="16" count="1" selected="0">
            <x v="0"/>
          </reference>
        </references>
      </pivotArea>
    </format>
    <format dxfId="657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1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1"/>
          </reference>
        </references>
      </pivotArea>
    </format>
    <format dxfId="65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6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2">
            <x v="0"/>
            <x v="5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5"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3">
            <x v="0"/>
            <x v="2"/>
            <x v="5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2">
            <x v="3"/>
            <x v="4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5"/>
          </reference>
          <reference field="16" count="1" selected="0">
            <x v="1"/>
          </reference>
        </references>
      </pivotArea>
    </format>
    <format dxfId="64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8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0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2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4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19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18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61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1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1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1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13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12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611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10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0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0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0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0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0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9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0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0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0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0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60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0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59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9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9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9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9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94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93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92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59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59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0"/>
          <reference field="16" count="1" selected="0">
            <x v="0"/>
          </reference>
        </references>
      </pivotArea>
    </format>
    <format dxfId="58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0"/>
          <reference field="16" count="1" selected="0">
            <x v="0"/>
          </reference>
        </references>
      </pivotArea>
    </format>
    <format dxfId="58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0"/>
          <reference field="16" count="1" selected="0">
            <x v="0"/>
          </reference>
        </references>
      </pivotArea>
    </format>
    <format dxfId="58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0"/>
          <reference field="16" count="1" selected="0">
            <x v="0"/>
          </reference>
        </references>
      </pivotArea>
    </format>
    <format dxfId="58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0"/>
          <reference field="16" count="1" selected="0">
            <x v="0"/>
          </reference>
        </references>
      </pivotArea>
    </format>
    <format dxfId="58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0"/>
          <reference field="16" count="1" selected="0">
            <x v="0"/>
          </reference>
        </references>
      </pivotArea>
    </format>
    <format dxfId="58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0"/>
          <reference field="16" count="1" selected="0">
            <x v="0"/>
          </reference>
        </references>
      </pivotArea>
    </format>
    <format dxfId="58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0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7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7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7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7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7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7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7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6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68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67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56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0"/>
          <reference field="16" count="1" selected="0">
            <x v="1"/>
          </reference>
        </references>
      </pivotArea>
    </format>
    <format dxfId="56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6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4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4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4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3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3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3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0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3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3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3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3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2"/>
            <x v="3"/>
            <x v="4"/>
            <x v="5"/>
            <x v="6"/>
            <x v="7"/>
            <x v="9"/>
            <x v="10"/>
            <x v="11"/>
          </reference>
          <reference field="16" count="1" selected="0">
            <x v="0"/>
          </reference>
        </references>
      </pivotArea>
    </format>
    <format dxfId="53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3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3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2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2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2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2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2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52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52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2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21">
      <pivotArea type="all" dataOnly="0" outline="0" fieldPosition="0"/>
    </format>
    <format dxfId="520">
      <pivotArea outline="0" collapsedLevelsAreSubtotals="1" fieldPosition="0"/>
    </format>
    <format dxfId="519">
      <pivotArea field="16" type="button" dataOnly="0" labelOnly="1" outline="0" axis="axisRow" fieldPosition="0"/>
    </format>
    <format dxfId="518">
      <pivotArea dataOnly="0" labelOnly="1" fieldPosition="0">
        <references count="1">
          <reference field="16" count="0"/>
        </references>
      </pivotArea>
    </format>
    <format dxfId="517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516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515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2"/>
          </reference>
          <reference field="16" count="1" selected="0">
            <x v="0"/>
          </reference>
        </references>
      </pivotArea>
    </format>
    <format dxfId="514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13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12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11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10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1"/>
          </reference>
        </references>
      </pivotArea>
    </format>
    <format dxfId="50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6">
            <x v="0"/>
            <x v="2"/>
            <x v="3"/>
            <x v="4"/>
            <x v="5"/>
            <x v="6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4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4">
            <x v="0"/>
            <x v="2"/>
            <x v="3"/>
            <x v="6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1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1"/>
          </reference>
        </references>
      </pivotArea>
    </format>
    <format dxfId="50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6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2">
            <x v="0"/>
            <x v="5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495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5"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494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3">
            <x v="0"/>
            <x v="2"/>
            <x v="5"/>
          </reference>
          <reference field="16" count="1" selected="0">
            <x v="0"/>
          </reference>
        </references>
      </pivotArea>
    </format>
    <format dxfId="49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49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49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49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489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2">
            <x v="3"/>
            <x v="4"/>
          </reference>
          <reference field="16" count="1" selected="0">
            <x v="0"/>
          </reference>
        </references>
      </pivotArea>
    </format>
    <format dxfId="488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5"/>
          </reference>
          <reference field="16" count="1" selected="0">
            <x v="1"/>
          </reference>
        </references>
      </pivotArea>
    </format>
    <format dxfId="48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5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481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0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0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47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47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6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6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67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66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65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46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63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62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61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60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458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7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9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0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5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4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44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4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44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4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4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4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4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4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4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3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43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43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0"/>
          <reference field="16" count="1" selected="0">
            <x v="0"/>
          </reference>
        </references>
      </pivotArea>
    </format>
    <format dxfId="43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0"/>
          <reference field="16" count="1" selected="0">
            <x v="0"/>
          </reference>
        </references>
      </pivotArea>
    </format>
    <format dxfId="43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0"/>
          <reference field="16" count="1" selected="0">
            <x v="0"/>
          </reference>
        </references>
      </pivotArea>
    </format>
    <format dxfId="43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0"/>
          <reference field="16" count="1" selected="0">
            <x v="0"/>
          </reference>
        </references>
      </pivotArea>
    </format>
    <format dxfId="43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16" count="1" selected="0">
            <x v="0"/>
          </reference>
        </references>
      </pivotArea>
    </format>
    <format dxfId="43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0"/>
          <reference field="16" count="1" selected="0">
            <x v="0"/>
          </reference>
        </references>
      </pivotArea>
    </format>
    <format dxfId="43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0"/>
          <reference field="16" count="1" selected="0">
            <x v="0"/>
          </reference>
        </references>
      </pivotArea>
    </format>
    <format dxfId="43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0"/>
          <reference field="16" count="1" selected="0">
            <x v="0"/>
          </reference>
        </references>
      </pivotArea>
    </format>
    <format dxfId="42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2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2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2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2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0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2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2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2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2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2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1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1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1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1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1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14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16" count="1" selected="0">
            <x v="0"/>
          </reference>
        </references>
      </pivotArea>
    </format>
    <format dxfId="41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0"/>
          <reference field="16" count="1" selected="0">
            <x v="1"/>
          </reference>
        </references>
      </pivotArea>
    </format>
    <format dxfId="41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0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2"/>
            <x v="3"/>
            <x v="4"/>
            <x v="5"/>
            <x v="6"/>
            <x v="7"/>
            <x v="9"/>
            <x v="10"/>
            <x v="11"/>
          </reference>
          <reference field="16" count="1" selected="0">
            <x v="0"/>
          </reference>
        </references>
      </pivotArea>
    </format>
    <format dxfId="37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7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7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7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7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7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7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7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37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37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69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DF8F6-5316-4C62-9877-030D4B9CFE3E}" name="Subsidio Resumo" cacheId="26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G394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10">
        <item x="1"/>
        <item x="2"/>
        <item x="8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7">
        <item x="3"/>
        <item x="5"/>
        <item x="0"/>
        <item x="1"/>
        <item x="2"/>
        <item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393">
    <i>
      <x/>
    </i>
    <i r="1">
      <x/>
    </i>
    <i r="2">
      <x v="1"/>
    </i>
    <i r="3">
      <x v="3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/>
    </i>
    <i r="3">
      <x v="3"/>
    </i>
    <i r="4">
      <x v="1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/>
    </i>
    <i r="3">
      <x v="1"/>
    </i>
    <i r="4">
      <x v="5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1"/>
    </i>
    <i r="3">
      <x/>
    </i>
    <i r="4">
      <x v="3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1"/>
    </i>
    <i r="3">
      <x v="2"/>
    </i>
    <i r="4">
      <x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2"/>
    </i>
    <i r="4">
      <x/>
    </i>
    <i r="5">
      <x v="2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9"/>
    </i>
    <i r="8">
      <x v="10"/>
    </i>
    <i r="8">
      <x v="11"/>
    </i>
    <i>
      <x v="4"/>
    </i>
    <i r="1">
      <x/>
    </i>
    <i r="2">
      <x v="1"/>
    </i>
    <i r="3">
      <x v="2"/>
    </i>
    <i r="4">
      <x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2"/>
    </i>
    <i r="4">
      <x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1"/>
    </i>
    <i r="8">
      <x v="1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1"/>
    </i>
    <i r="2">
      <x/>
    </i>
    <i r="3">
      <x v="1"/>
    </i>
    <i r="4">
      <x v="4"/>
    </i>
    <i r="5">
      <x v="3"/>
    </i>
    <i r="6">
      <x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28">
    <format dxfId="368">
      <pivotArea outline="0" collapsedLevelsAreSubtotals="1" fieldPosition="0"/>
    </format>
    <format dxfId="36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66">
      <pivotArea type="all" dataOnly="0" outline="0" fieldPosition="0"/>
    </format>
    <format dxfId="365">
      <pivotArea outline="0" collapsedLevelsAreSubtotals="1" fieldPosition="0"/>
    </format>
    <format dxfId="364">
      <pivotArea field="31" type="button" dataOnly="0" labelOnly="1" outline="0" axis="axisRow" fieldPosition="0"/>
    </format>
    <format dxfId="363">
      <pivotArea dataOnly="0" labelOnly="1" fieldPosition="0">
        <references count="1">
          <reference field="31" count="0"/>
        </references>
      </pivotArea>
    </format>
    <format dxfId="362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361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60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59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358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357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356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355">
      <pivotArea dataOnly="0" labelOnly="1" fieldPosition="0">
        <references count="3">
          <reference field="1" count="1" selected="0">
            <x v="3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354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1"/>
          </reference>
        </references>
      </pivotArea>
    </format>
    <format dxfId="353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2"/>
          </reference>
        </references>
      </pivotArea>
    </format>
    <format dxfId="352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351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31" count="1" selected="0">
            <x v="3"/>
          </reference>
        </references>
      </pivotArea>
    </format>
    <format dxfId="350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49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31" count="1" selected="0">
            <x v="4"/>
          </reference>
        </references>
      </pivotArea>
    </format>
    <format dxfId="348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5"/>
          </reference>
        </references>
      </pivotArea>
    </format>
    <format dxfId="347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46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4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344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43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42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41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40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3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338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37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3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335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34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333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332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0"/>
            <x v="3"/>
          </reference>
          <reference field="31" count="1" selected="0">
            <x v="4"/>
          </reference>
        </references>
      </pivotArea>
    </format>
    <format dxfId="331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33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>
            <x v="4"/>
          </reference>
          <reference field="31" count="1" selected="0">
            <x v="5"/>
          </reference>
        </references>
      </pivotArea>
    </format>
    <format dxfId="329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28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2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3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22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21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20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19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18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17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2">
            <x v="1"/>
            <x v="2"/>
          </reference>
          <reference field="31" count="1" selected="0">
            <x v="4"/>
          </reference>
        </references>
      </pivotArea>
    </format>
    <format dxfId="316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315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1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13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312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31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1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0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0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07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306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05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04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03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302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301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300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4"/>
          </reference>
        </references>
      </pivotArea>
    </format>
    <format dxfId="299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298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29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31" count="1" selected="0">
            <x v="5"/>
          </reference>
        </references>
      </pivotArea>
    </format>
    <format dxfId="296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0"/>
          <reference field="31" count="1" selected="0">
            <x v="0"/>
          </reference>
        </references>
      </pivotArea>
    </format>
    <format dxfId="295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0"/>
          </reference>
        </references>
      </pivotArea>
    </format>
    <format dxfId="29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9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9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9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90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289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31" count="1" selected="0">
            <x v="3"/>
          </reference>
        </references>
      </pivotArea>
    </format>
    <format dxfId="288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287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286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0"/>
          <reference field="31" count="1" selected="0">
            <x v="4"/>
          </reference>
        </references>
      </pivotArea>
    </format>
    <format dxfId="285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0"/>
          <reference field="31" count="1" selected="0">
            <x v="4"/>
          </reference>
        </references>
      </pivotArea>
    </format>
    <format dxfId="284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283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282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281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28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5"/>
          </reference>
        </references>
      </pivotArea>
    </format>
    <format dxfId="279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78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77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7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7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7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7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7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71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70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69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68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26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6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2"/>
            <x v="3"/>
            <x v="4"/>
            <x v="5"/>
            <x v="6"/>
            <x v="7"/>
            <x v="9"/>
            <x v="10"/>
            <x v="11"/>
          </reference>
          <reference field="31" count="1" selected="0">
            <x v="3"/>
          </reference>
        </references>
      </pivotArea>
    </format>
    <format dxfId="265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64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63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62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61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60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5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5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9">
            <x v="1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4"/>
          </reference>
        </references>
      </pivotArea>
    </format>
    <format dxfId="25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5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5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25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53">
      <pivotArea type="all" dataOnly="0" outline="0" fieldPosition="0"/>
    </format>
    <format dxfId="252">
      <pivotArea outline="0" collapsedLevelsAreSubtotals="1" fieldPosition="0"/>
    </format>
    <format dxfId="251">
      <pivotArea field="31" type="button" dataOnly="0" labelOnly="1" outline="0" axis="axisRow" fieldPosition="0"/>
    </format>
    <format dxfId="250">
      <pivotArea dataOnly="0" labelOnly="1" fieldPosition="0">
        <references count="1">
          <reference field="31" count="0"/>
        </references>
      </pivotArea>
    </format>
    <format dxfId="249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248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247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246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245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244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243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242">
      <pivotArea dataOnly="0" labelOnly="1" fieldPosition="0">
        <references count="3">
          <reference field="1" count="1" selected="0">
            <x v="3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241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1"/>
          </reference>
        </references>
      </pivotArea>
    </format>
    <format dxfId="240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2"/>
          </reference>
        </references>
      </pivotArea>
    </format>
    <format dxfId="239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238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31" count="1" selected="0">
            <x v="3"/>
          </reference>
        </references>
      </pivotArea>
    </format>
    <format dxfId="237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236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31" count="1" selected="0">
            <x v="4"/>
          </reference>
        </references>
      </pivotArea>
    </format>
    <format dxfId="235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5"/>
          </reference>
        </references>
      </pivotArea>
    </format>
    <format dxfId="234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233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232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231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30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229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228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227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22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225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24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2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222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221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220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219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0"/>
            <x v="3"/>
          </reference>
          <reference field="31" count="1" selected="0">
            <x v="4"/>
          </reference>
        </references>
      </pivotArea>
    </format>
    <format dxfId="218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21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>
            <x v="4"/>
          </reference>
          <reference field="31" count="1" selected="0">
            <x v="5"/>
          </reference>
        </references>
      </pivotArea>
    </format>
    <format dxfId="216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15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1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0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09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208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207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206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05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04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2">
            <x v="1"/>
            <x v="2"/>
          </reference>
          <reference field="31" count="1" selected="0">
            <x v="4"/>
          </reference>
        </references>
      </pivotArea>
    </format>
    <format dxfId="203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202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0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00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199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19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9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9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9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94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193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92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91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90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89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88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187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4"/>
          </reference>
        </references>
      </pivotArea>
    </format>
    <format dxfId="186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185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8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31" count="1" selected="0">
            <x v="5"/>
          </reference>
        </references>
      </pivotArea>
    </format>
    <format dxfId="183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0"/>
          <reference field="31" count="1" selected="0">
            <x v="0"/>
          </reference>
        </references>
      </pivotArea>
    </format>
    <format dxfId="182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0"/>
          </reference>
        </references>
      </pivotArea>
    </format>
    <format dxfId="18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18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17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17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177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176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31" count="1" selected="0">
            <x v="3"/>
          </reference>
        </references>
      </pivotArea>
    </format>
    <format dxfId="175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174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173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0"/>
          <reference field="31" count="1" selected="0">
            <x v="4"/>
          </reference>
        </references>
      </pivotArea>
    </format>
    <format dxfId="172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0"/>
          <reference field="31" count="1" selected="0">
            <x v="4"/>
          </reference>
        </references>
      </pivotArea>
    </format>
    <format dxfId="171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170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169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168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16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5"/>
          </reference>
        </references>
      </pivotArea>
    </format>
    <format dxfId="166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65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64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63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6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8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57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56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55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15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2"/>
            <x v="3"/>
            <x v="4"/>
            <x v="5"/>
            <x v="6"/>
            <x v="7"/>
            <x v="9"/>
            <x v="10"/>
            <x v="11"/>
          </reference>
          <reference field="31" count="1" selected="0">
            <x v="3"/>
          </reference>
        </references>
      </pivotArea>
    </format>
    <format dxfId="152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51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50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49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48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47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4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4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9">
            <x v="1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4"/>
          </reference>
        </references>
      </pivotArea>
    </format>
    <format dxfId="14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4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4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14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E759C8BF-9CD4-44B3-A320-FBCE7BB179BF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 TUSD" tableColumnId="51"/>
      <queryTableField id="10" name="Total TE" tableColumnId="52"/>
      <queryTableField id="11" name="TUSD_CDE_COVID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 Subsidio" tableColumnId="69"/>
      <queryTableField id="28" name="TUSD Outros" tableColumnId="70"/>
      <queryTableField id="29" name="TUSD_PT" tableColumnId="71"/>
      <queryTableField id="30" name="TUSD_Per_RB_D" tableColumnId="72"/>
      <queryTableField id="31" name="TUSD_PNT" tableColumnId="73"/>
      <queryTableField id="32" name="TUSD_RI" tableColumnId="74"/>
      <queryTableField id="33" name="TE_CDE_COVID" tableColumnId="75"/>
      <queryTableField id="34" name="TE_PeD" tableColumnId="76"/>
      <queryTableField id="35" name="TE_ESSERR" tableColumnId="77"/>
      <queryTableField id="36" name="TE_CFURH" tableColumnId="78"/>
      <queryTableField id="37" name="TE_ENERGIA" tableColumnId="79"/>
      <queryTableField id="38" name="TE_TRANSPORTE_ITAIPU" tableColumnId="80"/>
      <queryTableField id="39" name="TE_TUST_ITAIPU" tableColumnId="81"/>
      <queryTableField id="40" name="TE_TUST_CI" tableColumnId="82"/>
      <queryTableField id="41" name="TE Subsidio" tableColumnId="83"/>
      <queryTableField id="42" name="TE_Per_RB" tableColumnId="8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A7B55424-1DCA-463D-A41B-8C91B664D22B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 TUSD" tableColumnId="51"/>
      <queryTableField id="10" name="Total TE" tableColumnId="52"/>
      <queryTableField id="11" name="TUSD_CDE_COVID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 Subsidio" tableColumnId="69"/>
      <queryTableField id="28" name="TUSD Outros" tableColumnId="70"/>
      <queryTableField id="29" name="TUSD_PT" tableColumnId="71"/>
      <queryTableField id="30" name="TUSD_Per_RB_D" tableColumnId="72"/>
      <queryTableField id="31" name="TUSD_PNT" tableColumnId="73"/>
      <queryTableField id="32" name="TUSD_RI" tableColumnId="74"/>
      <queryTableField id="33" name="TE_CDE_COVID" tableColumnId="75"/>
      <queryTableField id="34" name="TE_PeD" tableColumnId="76"/>
      <queryTableField id="35" name="TE_ESSERR" tableColumnId="77"/>
      <queryTableField id="36" name="TE_CFURH" tableColumnId="78"/>
      <queryTableField id="37" name="TE_ENERGIA" tableColumnId="79"/>
      <queryTableField id="38" name="TE_TRANSPORTE_ITAIPU" tableColumnId="80"/>
      <queryTableField id="39" name="TE_TUST_ITAIPU" tableColumnId="81"/>
      <queryTableField id="40" name="TE_TUST_CI" tableColumnId="82"/>
      <queryTableField id="41" name="TE Subsidio" tableColumnId="83"/>
      <queryTableField id="42" name="TE_Per_RB" tableColumnId="8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D8182912-1037-43E8-AA50-22642E1BD1DF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 TUSD" tableColumnId="51"/>
      <queryTableField id="10" name="Total TE" tableColumnId="52"/>
      <queryTableField id="11" name="TUSD_CDE_COVID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 Subsidio" tableColumnId="69"/>
      <queryTableField id="28" name="TUSD Outros" tableColumnId="70"/>
      <queryTableField id="29" name="TUSD_PT" tableColumnId="71"/>
      <queryTableField id="30" name="TUSD_Per_RB_D" tableColumnId="72"/>
      <queryTableField id="31" name="TUSD_PNT" tableColumnId="73"/>
      <queryTableField id="32" name="TUSD_RI" tableColumnId="74"/>
      <queryTableField id="33" name="TE_CDE_COVID" tableColumnId="75"/>
      <queryTableField id="34" name="TE_PeD" tableColumnId="76"/>
      <queryTableField id="35" name="TE_ESSERR" tableColumnId="77"/>
      <queryTableField id="36" name="TE_CFURH" tableColumnId="78"/>
      <queryTableField id="37" name="TE_ENERGIA" tableColumnId="79"/>
      <queryTableField id="38" name="TE_TRANSPORTE_ITAIPU" tableColumnId="80"/>
      <queryTableField id="39" name="TE_TUST_ITAIPU" tableColumnId="81"/>
      <queryTableField id="40" name="TE_TUST_CI" tableColumnId="82"/>
      <queryTableField id="41" name="TE Subsidio" tableColumnId="83"/>
      <queryTableField id="42" name="TE_Per_RB" tableColumnId="8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4199AB-B927-4964-85B8-69317CE392D0}" name="Efeito" displayName="Efeito" ref="A1:AG693" totalsRowShown="0" headerRowDxfId="747" dataDxfId="746">
  <autoFilter ref="A1:AG693" xr:uid="{A04199AB-B927-4964-85B8-69317CE392D0}"/>
  <tableColumns count="33">
    <tableColumn id="1" xr3:uid="{C2928F32-8D9D-4FE4-A9F1-9B4D91162D11}" name="TipoMercado" dataDxfId="745"/>
    <tableColumn id="2" xr3:uid="{1A0843F5-CB42-4961-AC07-3563E881F4B5}" name="Subgrupo" dataDxfId="744"/>
    <tableColumn id="3" xr3:uid="{7E2D2C6E-D52E-43B1-9065-D759C7473006}" name="Modalidade" dataDxfId="743"/>
    <tableColumn id="4" xr3:uid="{B1C1EB55-FFFF-492B-B74A-108E39162803}" name="Classe" dataDxfId="742"/>
    <tableColumn id="5" xr3:uid="{42719E29-B571-4C8A-91DF-DCF6E2FDEA36}" name="Subclasse" dataDxfId="741"/>
    <tableColumn id="6" xr3:uid="{2C2873D4-B7DC-45D1-98B1-7EF42D7557D7}" name="Detalhe" dataDxfId="740"/>
    <tableColumn id="7" xr3:uid="{E24E4D3B-79D2-4FCF-B2C1-65C8108FDDE1}" name="Agente" dataDxfId="739"/>
    <tableColumn id="8" xr3:uid="{8431C3CE-F516-47D8-99F3-BC6177EEC286}" name="Posto" dataDxfId="738"/>
    <tableColumn id="9" xr3:uid="{BB9F0D39-6989-42C9-85CF-B8E94BAEFF1A}" name="AnoMes" dataDxfId="737"/>
    <tableColumn id="10" xr3:uid="{142662AB-EE8A-4B6F-9FD1-89B70009276A}" name="D" dataDxfId="736"/>
    <tableColumn id="11" xr3:uid="{7CE96549-6B2F-4305-BD76-9D359C1A7AC2}" name="Daj" dataDxfId="735"/>
    <tableColumn id="12" xr3:uid="{FD696AC7-98C2-4D28-899D-583FA8CB62CD}" name="TUSD_E" dataDxfId="734"/>
    <tableColumn id="13" xr3:uid="{BD699F08-4B65-4F4F-B63E-346925FCC3BC}" name="TUSD_Eaj" dataDxfId="733"/>
    <tableColumn id="14" xr3:uid="{71904499-D145-49FC-9A00-31A929FB44CF}" name="TE_E" dataDxfId="732"/>
    <tableColumn id="15" xr3:uid="{BD73E4CD-ADCF-4444-AC91-9B0B8857AD59}" name="TE_Eaj" dataDxfId="731"/>
    <tableColumn id="16" xr3:uid="{A2C59188-B812-4094-B657-DAABEC0F3CA8}" name="UC" dataDxfId="730"/>
    <tableColumn id="17" xr3:uid="{94D88A5A-8CFB-4DB9-84AE-A2C6F3B87694}" name="OPÇÃO" dataDxfId="729"/>
    <tableColumn id="18" xr3:uid="{6F5C9DC4-4BC8-4A67-AF7B-F6D911E7073A}" name="CóD. AUX." dataDxfId="728"/>
    <tableColumn id="19" xr3:uid="{5DC84A15-843B-4567-B330-B31B4B8B2ED4}" name="CóD. AUX. TUSD R$/kW" dataDxfId="727"/>
    <tableColumn id="20" xr3:uid="{C6E3944E-3B6F-4B6C-A6B5-C52EA5FA7D0E}" name="CóD. AUX. TUSD R$/MWh" dataDxfId="726"/>
    <tableColumn id="21" xr3:uid="{E0A06D23-477F-432E-BD57-44F76F5EFD7E}" name="CóD. AUX. TE R$/MWh" dataDxfId="725"/>
    <tableColumn id="22" xr3:uid="{D9EEF39E-CD61-452C-AA9F-AE1A4A0B8C2E}" name="TUSD (R$/kW)" dataDxfId="724"/>
    <tableColumn id="23" xr3:uid="{F692BA96-855D-445C-B6DB-D654854D8854}" name="TUSD (R$/MWh)" dataDxfId="723"/>
    <tableColumn id="24" xr3:uid="{BDFC2776-C0D8-42A8-B808-B223621A4EFF}" name="TE (R$/MWh)" dataDxfId="722"/>
    <tableColumn id="25" xr3:uid="{323E0180-AC31-4EAB-A69E-0A1EE7213C48}" name="TUSD (R$/kW) NOVA" dataDxfId="721"/>
    <tableColumn id="26" xr3:uid="{E1794DE6-9618-46CF-B312-46183D932B82}" name="TUSD (R$/MWh) NOVA" dataDxfId="720">
      <calculatedColumnFormula>('TUSD BE'!$AM$51+'TUSD BF'!$AM$51+'TUSD CVA'!$AM$51)*1</calculatedColumnFormula>
    </tableColumn>
    <tableColumn id="27" xr3:uid="{D9E41FC1-5C32-47E3-8D98-260C81521232}" name="TE (R$/MWh) NOVA" dataDxfId="719">
      <calculatedColumnFormula>('TE BE'!$AA$41+'TE BF'!$AA$41+'TE CVA'!$AA$41)*1</calculatedColumnFormula>
    </tableColumn>
    <tableColumn id="28" xr3:uid="{A85A6858-E07B-4E19-9D50-F9F52AFA13CA}" name="RA0 ou RV - TUSD (kW)" dataDxfId="718"/>
    <tableColumn id="29" xr3:uid="{AFDC6A13-63E5-4F51-8220-43347C4F5F86}" name="RA0 ou RV - TUSD (MWh)" dataDxfId="717"/>
    <tableColumn id="30" xr3:uid="{29E44622-3C25-4BEE-AFF9-2731530A49A3}" name="RA0 ou RV - TE (MWh)" dataDxfId="716"/>
    <tableColumn id="31" xr3:uid="{46E7780D-4203-4D9F-939A-572F047A1811}" name="RA1 ou RRD - TUSD (kW)" dataDxfId="715"/>
    <tableColumn id="32" xr3:uid="{7596019A-3963-4687-A641-7BDBCFFE4239}" name="RA1 ou RRD - TUSD (MWh)" dataDxfId="714"/>
    <tableColumn id="33" xr3:uid="{2AC7BBFA-552F-4475-87EE-E1521AFE29DA}" name="RA1 ou RRD - TE (MWh)" dataDxfId="7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6AC8FC-F77D-43E9-8306-B6DDEAE3A28B}" name="Subsidio" displayName="Subsidio" ref="A1:AF356" totalsRowShown="0" headerRowDxfId="712" dataDxfId="711">
  <autoFilter ref="A1:AF356" xr:uid="{946AC8FC-F77D-43E9-8306-B6DDEAE3A28B}"/>
  <tableColumns count="32">
    <tableColumn id="1" xr3:uid="{07A7262B-1F15-43F4-976E-1531ABF9DFC6}" name="TipoMercado" dataDxfId="710"/>
    <tableColumn id="2" xr3:uid="{8BE80D2D-D472-4568-8744-14C8A1FBB58A}" name="Subgrupo" dataDxfId="709"/>
    <tableColumn id="3" xr3:uid="{D815AE17-A07B-4138-A15D-EDAFF7F7BEB4}" name="Modalidade" dataDxfId="708"/>
    <tableColumn id="4" xr3:uid="{3617562D-07B7-4536-8E5F-013181CA1231}" name="Classe" dataDxfId="707"/>
    <tableColumn id="5" xr3:uid="{B2D117E2-6482-40AD-8477-B11791CBE9E7}" name="Subclasse" dataDxfId="706"/>
    <tableColumn id="6" xr3:uid="{0497EC93-49D4-4493-BE1B-34D896D49FCD}" name="Detalhe" dataDxfId="705"/>
    <tableColumn id="7" xr3:uid="{DBBB55E9-0FA2-498C-B8B6-DC678E0D04D1}" name="Agente" dataDxfId="704"/>
    <tableColumn id="8" xr3:uid="{606E89C5-E396-4C1B-87AA-836B58DBD2B3}" name="Posto" dataDxfId="703"/>
    <tableColumn id="9" xr3:uid="{D85DC1B8-FBE3-4866-9132-92706E0046D5}" name="AnoMes" dataDxfId="702"/>
    <tableColumn id="10" xr3:uid="{E48DDC86-E2D4-4C89-A0F8-35E2472852FB}" name="D" dataDxfId="701"/>
    <tableColumn id="11" xr3:uid="{2CC63220-3B8A-4A9C-9910-7AC923067DED}" name="Daj" dataDxfId="700"/>
    <tableColumn id="12" xr3:uid="{F955AF24-051B-487F-AEA1-40D7938D0636}" name="TUSD_E" dataDxfId="699"/>
    <tableColumn id="13" xr3:uid="{9358C37F-1607-45A9-A843-D2568EABCA10}" name="TUSD_Eaj" dataDxfId="698"/>
    <tableColumn id="14" xr3:uid="{2D8DB7EC-44BA-41FA-A3DE-5007C1C68A41}" name="TE_E" dataDxfId="697"/>
    <tableColumn id="15" xr3:uid="{B4FD1091-FFB6-4D2A-BFF6-67B4692F318F}" name="TE_Eaj" dataDxfId="696"/>
    <tableColumn id="16" xr3:uid="{088AFA69-CC05-4180-8CBB-25D457B661E4}" name="UC" dataDxfId="695"/>
    <tableColumn id="17" xr3:uid="{98A740A7-BE5B-4B31-A8A9-0ED111A00B7B}" name="OPÇÃO" dataDxfId="694"/>
    <tableColumn id="18" xr3:uid="{D38175D1-B196-4A8B-A499-0C9BE64617D5}" name="CóD. AUX." dataDxfId="693"/>
    <tableColumn id="19" xr3:uid="{2103EBC9-2DAC-4741-B2E3-D7457E0C5C0A}" name="CóD. AUX. TUSD R$/kW" dataDxfId="692"/>
    <tableColumn id="20" xr3:uid="{BE414AE7-12BD-4FDC-8AB3-7850823A5813}" name="CóD. AUX. TUSD R$/MWh" dataDxfId="691"/>
    <tableColumn id="21" xr3:uid="{46AFDB00-8779-41E7-9DD9-42B755E34CF7}" name="CóD. AUX. TE R$/MWh" dataDxfId="690"/>
    <tableColumn id="22" xr3:uid="{5E246434-1523-4D39-B794-93D8B7E481C3}" name="TUSD (R$/kW)" dataDxfId="689"/>
    <tableColumn id="23" xr3:uid="{1F2F5252-DE11-4A43-A3D7-5F2D3CA80DFB}" name="TUSD (R$/MWh)" dataDxfId="688"/>
    <tableColumn id="24" xr3:uid="{1A51F953-66C2-4E67-89E3-E962F90F5F8A}" name="TE (R$/MWh)" dataDxfId="687"/>
    <tableColumn id="25" xr3:uid="{E9A19A98-5219-419A-8E5E-A1FF4367E2F9}" name="TUSD (R$/kW) NOVA" dataDxfId="686"/>
    <tableColumn id="26" xr3:uid="{14C7D9D7-CE74-4798-BAD3-F45F03DDB1E2}" name="TUSD (R$/MWh) NOVA" dataDxfId="685">
      <calculatedColumnFormula>('TUSD BE'!$AM$48+'TUSD BF'!$AM$48+'TUSD CVA'!$AM$48)*1</calculatedColumnFormula>
    </tableColumn>
    <tableColumn id="27" xr3:uid="{C077F133-6517-46F3-AFCB-E8A901E3736A}" name="TE (R$/MWh) NOVA" dataDxfId="684">
      <calculatedColumnFormula>('TE BE'!$AA$38+'TE BF'!$AA$38+'TE CVA'!$AA$38)*1</calculatedColumnFormula>
    </tableColumn>
    <tableColumn id="28" xr3:uid="{0DBDCE41-A733-40A1-800B-75755D7B0453}" name="SUBSIDIO kW - TV" dataDxfId="683">
      <calculatedColumnFormula>(J2-K2)*V2</calculatedColumnFormula>
    </tableColumn>
    <tableColumn id="29" xr3:uid="{3609B6B4-66A3-4012-95E4-41DB781501BE}" name="SUBSIDIO MWh - TV" dataDxfId="682">
      <calculatedColumnFormula>(L2-M2)*W2+(N2-O2)*X2</calculatedColumnFormula>
    </tableColumn>
    <tableColumn id="30" xr3:uid="{1227F5B0-C544-48BD-8628-4D55BE6FC956}" name="SUBSIDIO kW - TN" dataDxfId="681">
      <calculatedColumnFormula>(J2-K2)*Y2</calculatedColumnFormula>
    </tableColumn>
    <tableColumn id="31" xr3:uid="{4CE4D3D9-68A5-452F-8DF4-A4B547DED0CE}" name="SUBSIDIO MWh - TN" dataDxfId="680">
      <calculatedColumnFormula>(L2-M2)*Z2+(N2-O2)*AA2</calculatedColumnFormula>
    </tableColumn>
    <tableColumn id="32" xr3:uid="{5420DB40-1B56-4499-9173-B0D9FADC7B79}" name="TIPO" dataDxfId="67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FC83EB-AA2A-4ECB-A2A0-1AF5AA8E2669}" name="TabelaFin" displayName="TabelaFin" ref="B3:AQ49" tableType="queryTable" totalsRowShown="0" headerRowDxfId="95" dataDxfId="94" headerRowBorderDxfId="139" tableBorderDxfId="140" totalsRowBorderDxfId="138">
  <autoFilter ref="B3:AQ49" xr:uid="{81FC83EB-AA2A-4ECB-A2A0-1AF5AA8E2669}"/>
  <sortState xmlns:xlrd2="http://schemas.microsoft.com/office/spreadsheetml/2017/richdata2" ref="B4:AQ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2">
    <tableColumn id="43" xr3:uid="{D9F07CD5-A926-4D6E-A079-DCBC1D526D9A}" uniqueName="43" name="SUBGRUPO" queryTableFieldId="1" dataDxfId="137"/>
    <tableColumn id="44" xr3:uid="{8BA16A8E-6AEB-423B-8C4F-E147DD86EAB9}" uniqueName="44" name="MODALIDADE" queryTableFieldId="2" dataDxfId="136"/>
    <tableColumn id="45" xr3:uid="{E17CD2DC-B161-4AC8-AB98-C9DB589BD735}" uniqueName="45" name="CLASSE" queryTableFieldId="3" dataDxfId="135"/>
    <tableColumn id="46" xr3:uid="{4B5039AF-54DA-4E5C-BBD8-4369F248BEAB}" uniqueName="46" name="SUBCLASSE" queryTableFieldId="4" dataDxfId="134"/>
    <tableColumn id="47" xr3:uid="{57401801-0EB8-4A32-A4C2-3DA9C4DC6A2E}" uniqueName="47" name="DETALHE" queryTableFieldId="5" dataDxfId="133"/>
    <tableColumn id="48" xr3:uid="{1528D50F-4A23-47BF-BBC0-A015BAD66C8A}" uniqueName="48" name="POSTO" queryTableFieldId="6" dataDxfId="132"/>
    <tableColumn id="49" xr3:uid="{C86F750C-4349-4CB7-9DFE-F98BB34016FA}" uniqueName="49" name="UNIDADE" queryTableFieldId="7" dataDxfId="131"/>
    <tableColumn id="50" xr3:uid="{65D39692-6602-451E-8DEA-454A17B16806}" uniqueName="50" name="ACESSANTE" queryTableFieldId="8" dataDxfId="130"/>
    <tableColumn id="51" xr3:uid="{8E9D9C1F-259C-4719-92BB-C6385CB94EBB}" uniqueName="51" name="Total TUSD" queryTableFieldId="9" dataDxfId="129"/>
    <tableColumn id="52" xr3:uid="{F41D1770-797C-4E51-9F75-5334F9612927}" uniqueName="52" name="Total TE" queryTableFieldId="10" dataDxfId="128"/>
    <tableColumn id="53" xr3:uid="{7C46A37A-80F4-4619-A4A8-BE2AB086CB3A}" uniqueName="53" name="TUSD_CDE_COVID" queryTableFieldId="11" dataDxfId="127"/>
    <tableColumn id="54" xr3:uid="{71735674-3601-4E9E-8A29-68BA1A768B5C}" uniqueName="54" name="TUSD_TFSEE" queryTableFieldId="12" dataDxfId="126"/>
    <tableColumn id="55" xr3:uid="{ADD5D516-658A-46F2-ACCA-5D7FBCF97C45}" uniqueName="55" name="TUSD_PeD" queryTableFieldId="13" dataDxfId="125"/>
    <tableColumn id="56" xr3:uid="{BEE6AF9C-EBF1-477A-B790-0E2FB616F561}" uniqueName="56" name="TUSD_ONS" queryTableFieldId="14" dataDxfId="124"/>
    <tableColumn id="57" xr3:uid="{262D944B-BF90-4596-BFF1-59394E567E45}" uniqueName="57" name="TUSD_CCC" queryTableFieldId="15" dataDxfId="123"/>
    <tableColumn id="58" xr3:uid="{23F8A1EA-D550-4C93-AB8B-19FBCEC5429B}" uniqueName="58" name="TUSD_CDE" queryTableFieldId="16" dataDxfId="122"/>
    <tableColumn id="59" xr3:uid="{D1BDAB84-3E17-4361-AC8F-37B49433595C}" uniqueName="59" name="TUSD_PROINFA" queryTableFieldId="17" dataDxfId="121"/>
    <tableColumn id="60" xr3:uid="{1EFD9F9F-82DA-4033-AF56-C9870884CDA9}" uniqueName="60" name="Liminar1" queryTableFieldId="18" dataDxfId="120"/>
    <tableColumn id="61" xr3:uid="{33E6852B-6ECA-45C6-9CDB-47047537EDED}" uniqueName="61" name="TUSD_RB" queryTableFieldId="19" dataDxfId="119"/>
    <tableColumn id="62" xr3:uid="{FC3B9FF1-429F-4768-95CB-D2C4F3287DFF}" uniqueName="62" name="TUSD_FR" queryTableFieldId="20" dataDxfId="118"/>
    <tableColumn id="63" xr3:uid="{89833630-2BA8-4392-A384-C9C952147487}" uniqueName="63" name="TUSD_CCT" queryTableFieldId="21" dataDxfId="117"/>
    <tableColumn id="64" xr3:uid="{3E8FEF83-93F4-4BB0-B0BE-0F4761455C42}" uniqueName="64" name="TUSD_CCD" queryTableFieldId="22" dataDxfId="116"/>
    <tableColumn id="65" xr3:uid="{B10E4771-4956-4CE8-8A66-DA863DD21083}" uniqueName="65" name="TUSD_CUSD" queryTableFieldId="23" dataDxfId="115"/>
    <tableColumn id="66" xr3:uid="{5D0B8396-DC28-4993-A63D-A11742441EAE}" uniqueName="66" name="TUSDG_T" queryTableFieldId="24" dataDxfId="114"/>
    <tableColumn id="67" xr3:uid="{799B1FEF-0F70-438B-B463-C1B0275F9FFA}" uniqueName="67" name="TUSDG_ONS" queryTableFieldId="25" dataDxfId="113"/>
    <tableColumn id="68" xr3:uid="{C86EB314-9F9A-4279-802D-13AC24CBF6D1}" uniqueName="68" name="TUSD_FioB" queryTableFieldId="26" dataDxfId="112"/>
    <tableColumn id="69" xr3:uid="{CDE94C10-8D23-4A99-AE70-08567CD66BC9}" uniqueName="69" name="TUSD Subsidio" queryTableFieldId="27" dataDxfId="111"/>
    <tableColumn id="70" xr3:uid="{9ACA9235-1390-4EB6-AC20-D38D0DAB3E54}" uniqueName="70" name="TUSD Outros" queryTableFieldId="28" dataDxfId="110"/>
    <tableColumn id="71" xr3:uid="{BD000E14-E769-42AA-9670-822E5B0D1E84}" uniqueName="71" name="TUSD_PT" queryTableFieldId="29" dataDxfId="109"/>
    <tableColumn id="72" xr3:uid="{9614B10B-5597-4CE7-8707-49E89EB73B97}" uniqueName="72" name="TUSD_Per_RB_D" queryTableFieldId="30" dataDxfId="108"/>
    <tableColumn id="73" xr3:uid="{DCEBE9C3-A3E9-4B0F-8521-B8F7A2DD8B05}" uniqueName="73" name="TUSD_PNT" queryTableFieldId="31" dataDxfId="107"/>
    <tableColumn id="74" xr3:uid="{CFB40575-F418-4F8F-9681-B216ADB0A9A5}" uniqueName="74" name="TUSD_RI" queryTableFieldId="32" dataDxfId="106"/>
    <tableColumn id="75" xr3:uid="{1D4EB23E-6010-4232-8478-55D292CDD3A6}" uniqueName="75" name="TE_CDE_COVID" queryTableFieldId="33" dataDxfId="105"/>
    <tableColumn id="76" xr3:uid="{7F65860B-CE63-42D5-9C1F-E51B6A6FB4B4}" uniqueName="76" name="TE_PeD" queryTableFieldId="34" dataDxfId="104"/>
    <tableColumn id="77" xr3:uid="{0CD96435-0F7D-4681-9004-3B6C1E183E31}" uniqueName="77" name="TE_ESSERR" queryTableFieldId="35" dataDxfId="103"/>
    <tableColumn id="78" xr3:uid="{FCF9C394-B9BB-4D00-94EC-475AC604E698}" uniqueName="78" name="TE_CFURH" queryTableFieldId="36" dataDxfId="102"/>
    <tableColumn id="79" xr3:uid="{FF14430F-4973-480D-9366-9C539B72A8FA}" uniqueName="79" name="TE_ENERGIA" queryTableFieldId="37" dataDxfId="101"/>
    <tableColumn id="80" xr3:uid="{7DC345FD-6EA7-48E5-8EB8-C0AEA798FF74}" uniqueName="80" name="TE_TRANSPORTE_ITAIPU" queryTableFieldId="38" dataDxfId="100"/>
    <tableColumn id="81" xr3:uid="{3F1CEDBA-C1EB-4AD5-A350-E9CB21A9CC52}" uniqueName="81" name="TE_TUST_ITAIPU" queryTableFieldId="39" dataDxfId="99"/>
    <tableColumn id="82" xr3:uid="{7A2D901D-636E-4F38-B392-2F0E5951BCCD}" uniqueName="82" name="TE_TUST_CI" queryTableFieldId="40" dataDxfId="98"/>
    <tableColumn id="83" xr3:uid="{33D9A9E7-5B0F-4E52-876F-6DB6FEB01E3B}" uniqueName="83" name="TE Subsidio" queryTableFieldId="41" dataDxfId="97"/>
    <tableColumn id="84" xr3:uid="{5D54C402-72AF-4EFA-94C7-D83EB05F455A}" uniqueName="84" name="TE_Per_RB" queryTableFieldId="42" dataDxfId="9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C73F347-0B3A-41C5-BE23-483AE5AB0082}" name="TabelaEc" displayName="TabelaEc" ref="B3:AQ49" tableType="queryTable" totalsRowShown="0" headerRowDxfId="48" dataDxfId="47" headerRowBorderDxfId="92" tableBorderDxfId="93" totalsRowBorderDxfId="91">
  <autoFilter ref="B3:AQ49" xr:uid="{DC73F347-0B3A-41C5-BE23-483AE5AB0082}"/>
  <sortState xmlns:xlrd2="http://schemas.microsoft.com/office/spreadsheetml/2017/richdata2" ref="B4:AQ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2">
    <tableColumn id="43" xr3:uid="{CBB7145A-1DA8-4350-BC44-8D3E53ADDDA1}" uniqueName="43" name="SUBGRUPO" queryTableFieldId="1" dataDxfId="90"/>
    <tableColumn id="44" xr3:uid="{3D6C80A4-4E3F-48E9-9EA3-26C53ED31E44}" uniqueName="44" name="MODALIDADE" queryTableFieldId="2" dataDxfId="89"/>
    <tableColumn id="45" xr3:uid="{DFB62B1C-E0CE-4076-A571-EE7DA9AFF157}" uniqueName="45" name="CLASSE" queryTableFieldId="3" dataDxfId="88"/>
    <tableColumn id="46" xr3:uid="{3CDC05F5-D367-439B-B6D2-4F00977AEB52}" uniqueName="46" name="SUBCLASSE" queryTableFieldId="4" dataDxfId="87"/>
    <tableColumn id="47" xr3:uid="{871B6E46-8CA5-4220-844F-CDF2A3EF5AB8}" uniqueName="47" name="DETALHE" queryTableFieldId="5" dataDxfId="86"/>
    <tableColumn id="48" xr3:uid="{ED8C8D82-5B9D-4501-A46B-CE0AE879AE0B}" uniqueName="48" name="POSTO" queryTableFieldId="6" dataDxfId="85"/>
    <tableColumn id="49" xr3:uid="{523B5829-E148-4FD6-A38D-6D03A8C8DC39}" uniqueName="49" name="UNIDADE" queryTableFieldId="7" dataDxfId="84"/>
    <tableColumn id="50" xr3:uid="{3A67E905-1D97-4121-B016-81B16F3FD447}" uniqueName="50" name="ACESSANTE" queryTableFieldId="8" dataDxfId="83"/>
    <tableColumn id="51" xr3:uid="{397AF4C3-C847-4E32-9909-13B56583728C}" uniqueName="51" name="Total TUSD" queryTableFieldId="9" dataDxfId="82"/>
    <tableColumn id="52" xr3:uid="{03445B2C-D247-471A-8A62-0A59AC4DD97B}" uniqueName="52" name="Total TE" queryTableFieldId="10" dataDxfId="81"/>
    <tableColumn id="53" xr3:uid="{751C1720-FFF5-4EC1-8D91-6BA8AC138B09}" uniqueName="53" name="TUSD_CDE_COVID" queryTableFieldId="11" dataDxfId="80"/>
    <tableColumn id="54" xr3:uid="{AEC207EF-5197-4D07-8BCC-790269CCC451}" uniqueName="54" name="TUSD_TFSEE" queryTableFieldId="12" dataDxfId="79"/>
    <tableColumn id="55" xr3:uid="{95C3F4CB-8EE2-411E-B519-A63CA6A1AF48}" uniqueName="55" name="TUSD_PeD" queryTableFieldId="13" dataDxfId="78"/>
    <tableColumn id="56" xr3:uid="{64183C9E-2F6D-48FB-84E2-C00C3D038F9E}" uniqueName="56" name="TUSD_ONS" queryTableFieldId="14" dataDxfId="77"/>
    <tableColumn id="57" xr3:uid="{65A56C6C-7A10-4AB3-A2BB-3DE40630E31E}" uniqueName="57" name="TUSD_CCC" queryTableFieldId="15" dataDxfId="76"/>
    <tableColumn id="58" xr3:uid="{9B39B5EF-F743-48B2-90CB-B885964CD9E7}" uniqueName="58" name="TUSD_CDE" queryTableFieldId="16" dataDxfId="75"/>
    <tableColumn id="59" xr3:uid="{3EDC6801-152D-40D3-B924-9E491C27F124}" uniqueName="59" name="TUSD_PROINFA" queryTableFieldId="17" dataDxfId="74"/>
    <tableColumn id="60" xr3:uid="{76A28793-50F3-4EAC-B734-03E5BD6D258C}" uniqueName="60" name="Liminar1" queryTableFieldId="18" dataDxfId="73"/>
    <tableColumn id="61" xr3:uid="{AD2A686F-F436-4845-81E8-2E88595BAA5B}" uniqueName="61" name="TUSD_RB" queryTableFieldId="19" dataDxfId="72"/>
    <tableColumn id="62" xr3:uid="{66C28969-E082-4A07-9531-313EFEF9EF85}" uniqueName="62" name="TUSD_FR" queryTableFieldId="20" dataDxfId="71"/>
    <tableColumn id="63" xr3:uid="{F71422A2-02C7-440D-BF01-949CFBF5CCB7}" uniqueName="63" name="TUSD_CCT" queryTableFieldId="21" dataDxfId="70"/>
    <tableColumn id="64" xr3:uid="{FB333944-D5CD-4C8A-B508-F145E2C04206}" uniqueName="64" name="TUSD_CCD" queryTableFieldId="22" dataDxfId="69"/>
    <tableColumn id="65" xr3:uid="{0986648C-40B8-4C13-B3CB-F920C07ED2AD}" uniqueName="65" name="TUSD_CUSD" queryTableFieldId="23" dataDxfId="68"/>
    <tableColumn id="66" xr3:uid="{746F098B-80F0-4DF3-AD63-8D6894E4503B}" uniqueName="66" name="TUSDG_T" queryTableFieldId="24" dataDxfId="67"/>
    <tableColumn id="67" xr3:uid="{6E9A361C-49EA-4AB2-A5A1-6DC37BC18F1F}" uniqueName="67" name="TUSDG_ONS" queryTableFieldId="25" dataDxfId="66"/>
    <tableColumn id="68" xr3:uid="{44977D16-1A81-48FD-920C-A0150812B2D4}" uniqueName="68" name="TUSD_FioB" queryTableFieldId="26" dataDxfId="65"/>
    <tableColumn id="69" xr3:uid="{8282286D-FC88-4CD0-ABC1-EABB208524AF}" uniqueName="69" name="TUSD Subsidio" queryTableFieldId="27" dataDxfId="64"/>
    <tableColumn id="70" xr3:uid="{D03C2126-0E24-4E01-BADB-9CD35546044E}" uniqueName="70" name="TUSD Outros" queryTableFieldId="28" dataDxfId="63"/>
    <tableColumn id="71" xr3:uid="{797BC461-64DD-4FA8-B5FB-9BC4DAD04BB7}" uniqueName="71" name="TUSD_PT" queryTableFieldId="29" dataDxfId="62"/>
    <tableColumn id="72" xr3:uid="{94B28A30-85EA-407C-83B7-B93080530D05}" uniqueName="72" name="TUSD_Per_RB_D" queryTableFieldId="30" dataDxfId="61"/>
    <tableColumn id="73" xr3:uid="{90C1C8C2-B42A-4B67-A943-FAAE8555E273}" uniqueName="73" name="TUSD_PNT" queryTableFieldId="31" dataDxfId="60"/>
    <tableColumn id="74" xr3:uid="{BD9CC397-9248-4C9D-92B2-D2EDB58B552A}" uniqueName="74" name="TUSD_RI" queryTableFieldId="32" dataDxfId="59"/>
    <tableColumn id="75" xr3:uid="{2DACD1C8-CC4E-426C-A8DC-7AFA85F07845}" uniqueName="75" name="TE_CDE_COVID" queryTableFieldId="33" dataDxfId="58"/>
    <tableColumn id="76" xr3:uid="{C8DE3AD7-C364-4271-A671-33CA0803A02E}" uniqueName="76" name="TE_PeD" queryTableFieldId="34" dataDxfId="57"/>
    <tableColumn id="77" xr3:uid="{A0E4B281-7767-4C09-B4D9-E4D7252CC208}" uniqueName="77" name="TE_ESSERR" queryTableFieldId="35" dataDxfId="56"/>
    <tableColumn id="78" xr3:uid="{655BE8DF-03A1-4D4B-9F3A-C5B5020A3CA6}" uniqueName="78" name="TE_CFURH" queryTableFieldId="36" dataDxfId="55"/>
    <tableColumn id="79" xr3:uid="{4AB32B77-8115-4086-AD77-D36172494FB2}" uniqueName="79" name="TE_ENERGIA" queryTableFieldId="37" dataDxfId="54"/>
    <tableColumn id="80" xr3:uid="{A048E614-56C1-4938-9D10-4B84525ED6B7}" uniqueName="80" name="TE_TRANSPORTE_ITAIPU" queryTableFieldId="38" dataDxfId="53"/>
    <tableColumn id="81" xr3:uid="{564EC007-6593-4347-9683-658B23C78BA9}" uniqueName="81" name="TE_TUST_ITAIPU" queryTableFieldId="39" dataDxfId="52"/>
    <tableColumn id="82" xr3:uid="{1856F72D-8D2F-4A75-9E3D-3B087F9656D8}" uniqueName="82" name="TE_TUST_CI" queryTableFieldId="40" dataDxfId="51"/>
    <tableColumn id="83" xr3:uid="{B087F516-6E8C-466D-82FC-3B7303649667}" uniqueName="83" name="TE Subsidio" queryTableFieldId="41" dataDxfId="50"/>
    <tableColumn id="84" xr3:uid="{9DEFD382-9236-4483-95C2-9E3CA2041517}" uniqueName="84" name="TE_Per_RB" queryTableFieldId="42" dataDxfId="4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7E66D2B-CA4B-42A5-A31F-EC7D583BBB45}" name="TabelaCVA" displayName="TabelaCVA" ref="B3:AQ49" tableType="queryTable" totalsRowShown="0" headerRowDxfId="1" dataDxfId="0" headerRowBorderDxfId="45" tableBorderDxfId="46" totalsRowBorderDxfId="44">
  <autoFilter ref="B3:AQ49" xr:uid="{F7E66D2B-CA4B-42A5-A31F-EC7D583BBB45}"/>
  <sortState xmlns:xlrd2="http://schemas.microsoft.com/office/spreadsheetml/2017/richdata2" ref="B4:AQ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2">
    <tableColumn id="43" xr3:uid="{04BF2BB8-1385-428A-8174-6FB0C8C630CD}" uniqueName="43" name="SUBGRUPO" queryTableFieldId="1" dataDxfId="43"/>
    <tableColumn id="44" xr3:uid="{68F97144-F2E9-4C7A-9244-0E1D67113156}" uniqueName="44" name="MODALIDADE" queryTableFieldId="2" dataDxfId="42"/>
    <tableColumn id="45" xr3:uid="{64CF9DBD-FDAB-48FB-858F-7862FB03FC2B}" uniqueName="45" name="CLASSE" queryTableFieldId="3" dataDxfId="41"/>
    <tableColumn id="46" xr3:uid="{F3D2E062-7628-4616-BF65-C5BFA140C235}" uniqueName="46" name="SUBCLASSE" queryTableFieldId="4" dataDxfId="40"/>
    <tableColumn id="47" xr3:uid="{AFDA92AB-E181-4334-B3B1-F4A26E979F37}" uniqueName="47" name="DETALHE" queryTableFieldId="5" dataDxfId="39"/>
    <tableColumn id="48" xr3:uid="{27F8505D-8783-4B35-83E1-90369CCB3D6A}" uniqueName="48" name="POSTO" queryTableFieldId="6" dataDxfId="38"/>
    <tableColumn id="49" xr3:uid="{DF7A9B43-70B1-44E4-8913-75A34EEFBBFE}" uniqueName="49" name="UNIDADE" queryTableFieldId="7" dataDxfId="37"/>
    <tableColumn id="50" xr3:uid="{2DA5B856-FBC0-416C-9A8F-BE9B18F00FE7}" uniqueName="50" name="ACESSANTE" queryTableFieldId="8" dataDxfId="36"/>
    <tableColumn id="51" xr3:uid="{84B02A40-630A-453B-86B2-42F191F144DD}" uniqueName="51" name="Total TUSD" queryTableFieldId="9" dataDxfId="35"/>
    <tableColumn id="52" xr3:uid="{0B2482F6-5888-4355-A653-CA438122732C}" uniqueName="52" name="Total TE" queryTableFieldId="10" dataDxfId="34"/>
    <tableColumn id="53" xr3:uid="{AA18D210-D56E-44C9-B880-EA9DDE6D799A}" uniqueName="53" name="TUSD_CDE_COVID" queryTableFieldId="11" dataDxfId="33"/>
    <tableColumn id="54" xr3:uid="{59B2F0F0-7B8F-4E41-BB05-263E633C2170}" uniqueName="54" name="TUSD_TFSEE" queryTableFieldId="12" dataDxfId="32"/>
    <tableColumn id="55" xr3:uid="{1628173C-F771-4223-9B71-9918197734F3}" uniqueName="55" name="TUSD_PeD" queryTableFieldId="13" dataDxfId="31"/>
    <tableColumn id="56" xr3:uid="{4D8805EF-926F-4CC3-A84D-FB70378B4357}" uniqueName="56" name="TUSD_ONS" queryTableFieldId="14" dataDxfId="30"/>
    <tableColumn id="57" xr3:uid="{7EBE27DA-A883-4A20-91EA-94728D7F089D}" uniqueName="57" name="TUSD_CCC" queryTableFieldId="15" dataDxfId="29"/>
    <tableColumn id="58" xr3:uid="{93322F1B-4078-4C8F-8EFF-23E07293733D}" uniqueName="58" name="TUSD_CDE" queryTableFieldId="16" dataDxfId="28"/>
    <tableColumn id="59" xr3:uid="{4BE86875-514D-4F70-85C2-A1F3582FBF7B}" uniqueName="59" name="TUSD_PROINFA" queryTableFieldId="17" dataDxfId="27"/>
    <tableColumn id="60" xr3:uid="{56638CB1-062E-4959-BAA9-8680C3E5E7B4}" uniqueName="60" name="Liminar1" queryTableFieldId="18" dataDxfId="26"/>
    <tableColumn id="61" xr3:uid="{98651F9A-81F3-40E2-BAE1-3C9B3EE7134C}" uniqueName="61" name="TUSD_RB" queryTableFieldId="19" dataDxfId="25"/>
    <tableColumn id="62" xr3:uid="{74772FD2-9B8F-4C44-8E9C-991D634628C4}" uniqueName="62" name="TUSD_FR" queryTableFieldId="20" dataDxfId="24"/>
    <tableColumn id="63" xr3:uid="{E72885F1-9DC6-40A0-B40E-6103F90D6AAF}" uniqueName="63" name="TUSD_CCT" queryTableFieldId="21" dataDxfId="23"/>
    <tableColumn id="64" xr3:uid="{A0764BC6-76B1-4C4D-93BD-22CF9299F196}" uniqueName="64" name="TUSD_CCD" queryTableFieldId="22" dataDxfId="22"/>
    <tableColumn id="65" xr3:uid="{67BE3464-6B4B-4089-A8AC-3EB7D6C83561}" uniqueName="65" name="TUSD_CUSD" queryTableFieldId="23" dataDxfId="21"/>
    <tableColumn id="66" xr3:uid="{1F6E9E2D-FBC6-4B1C-9141-7EE832EE532B}" uniqueName="66" name="TUSDG_T" queryTableFieldId="24" dataDxfId="20"/>
    <tableColumn id="67" xr3:uid="{1652C4C3-5881-40DD-A97E-F38002DF6A66}" uniqueName="67" name="TUSDG_ONS" queryTableFieldId="25" dataDxfId="19"/>
    <tableColumn id="68" xr3:uid="{98BCBDC0-6194-4461-A20B-0A72D2A6E477}" uniqueName="68" name="TUSD_FioB" queryTableFieldId="26" dataDxfId="18"/>
    <tableColumn id="69" xr3:uid="{079A2C0E-5E96-4436-ABD7-2C0E3134C4C1}" uniqueName="69" name="TUSD Subsidio" queryTableFieldId="27" dataDxfId="17"/>
    <tableColumn id="70" xr3:uid="{A5B76342-BEE5-4098-AAA0-3A4ECA9AAAA8}" uniqueName="70" name="TUSD Outros" queryTableFieldId="28" dataDxfId="16"/>
    <tableColumn id="71" xr3:uid="{1704E50D-E4CA-4CFD-A15F-C72CA8F4EB40}" uniqueName="71" name="TUSD_PT" queryTableFieldId="29" dataDxfId="15"/>
    <tableColumn id="72" xr3:uid="{539FFD07-660C-44BC-B7A0-31DFF25E509A}" uniqueName="72" name="TUSD_Per_RB_D" queryTableFieldId="30" dataDxfId="14"/>
    <tableColumn id="73" xr3:uid="{ACE27B0B-2A2C-4250-97F8-9AF705EA47B8}" uniqueName="73" name="TUSD_PNT" queryTableFieldId="31" dataDxfId="13"/>
    <tableColumn id="74" xr3:uid="{57F3CF86-9912-4282-806D-1FC7C0CBA475}" uniqueName="74" name="TUSD_RI" queryTableFieldId="32" dataDxfId="12"/>
    <tableColumn id="75" xr3:uid="{323435EB-C965-4F7C-8F10-5ABE67C9A226}" uniqueName="75" name="TE_CDE_COVID" queryTableFieldId="33" dataDxfId="11"/>
    <tableColumn id="76" xr3:uid="{E2A9C189-F57E-4CD9-A33E-3D8210CE4179}" uniqueName="76" name="TE_PeD" queryTableFieldId="34" dataDxfId="10"/>
    <tableColumn id="77" xr3:uid="{DF0F12EE-3A47-4DD1-8386-6CCA4FC663C3}" uniqueName="77" name="TE_ESSERR" queryTableFieldId="35" dataDxfId="9"/>
    <tableColumn id="78" xr3:uid="{366B8DBC-86B1-4AB3-9B48-D035706AAB37}" uniqueName="78" name="TE_CFURH" queryTableFieldId="36" dataDxfId="8"/>
    <tableColumn id="79" xr3:uid="{AAA36A37-F36A-4F41-8B8B-1616FB3758DB}" uniqueName="79" name="TE_ENERGIA" queryTableFieldId="37" dataDxfId="7"/>
    <tableColumn id="80" xr3:uid="{BCFC1E52-34C7-4091-8DAE-B5048052A04E}" uniqueName="80" name="TE_TRANSPORTE_ITAIPU" queryTableFieldId="38" dataDxfId="6"/>
    <tableColumn id="81" xr3:uid="{8B0FD783-ED4C-4445-B9A8-FDB9D150E906}" uniqueName="81" name="TE_TUST_ITAIPU" queryTableFieldId="39" dataDxfId="5"/>
    <tableColumn id="82" xr3:uid="{72CF2450-3890-4F0A-8356-A637869CF706}" uniqueName="82" name="TE_TUST_CI" queryTableFieldId="40" dataDxfId="4"/>
    <tableColumn id="83" xr3:uid="{51C69FE1-95C7-4EBC-9292-9C7F025081F7}" uniqueName="83" name="TE Subsidio" queryTableFieldId="41" dataDxfId="3"/>
    <tableColumn id="84" xr3:uid="{92720801-390B-4054-A0DD-ECA85B725C29}" uniqueName="84" name="TE_Per_RB" queryTableFieldId="42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FAEDC-1C7B-4FFE-8CDB-18BAB9369A61}">
  <sheetPr codeName="Planilha1"/>
  <dimension ref="A1:W693"/>
  <sheetViews>
    <sheetView showGridLines="0" topLeftCell="H673" workbookViewId="0">
      <selection activeCell="T694" sqref="T694"/>
    </sheetView>
  </sheetViews>
  <sheetFormatPr defaultColWidth="9.140625"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1" width="7.85546875" style="6" bestFit="1" customWidth="1"/>
    <col min="12" max="12" width="7.5703125" style="6" bestFit="1" customWidth="1"/>
    <col min="13" max="13" width="8" style="6" bestFit="1" customWidth="1"/>
    <col min="14" max="15" width="7.5703125" style="6" bestFit="1" customWidth="1"/>
    <col min="16" max="16" width="7" style="6" bestFit="1" customWidth="1"/>
    <col min="17" max="17" width="6.57031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92</v>
      </c>
      <c r="T1" s="1" t="s">
        <v>261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33</v>
      </c>
      <c r="C2" s="4" t="s">
        <v>43</v>
      </c>
      <c r="D2" s="4" t="s">
        <v>42</v>
      </c>
      <c r="E2" s="4" t="s">
        <v>25</v>
      </c>
      <c r="F2" s="4" t="s">
        <v>25</v>
      </c>
      <c r="G2" s="4" t="s">
        <v>25</v>
      </c>
      <c r="H2" s="4" t="s">
        <v>36</v>
      </c>
      <c r="I2" s="5">
        <v>44287</v>
      </c>
      <c r="J2" s="6">
        <v>144</v>
      </c>
      <c r="K2" s="6">
        <v>144</v>
      </c>
      <c r="L2" s="6">
        <v>49.137999999999998</v>
      </c>
      <c r="M2" s="6">
        <v>49.137999999999998</v>
      </c>
      <c r="N2" s="6">
        <v>49.137999999999998</v>
      </c>
      <c r="O2" s="6">
        <v>49.137999999999998</v>
      </c>
      <c r="P2" s="6">
        <v>0</v>
      </c>
      <c r="Q2" s="4" t="s">
        <v>26</v>
      </c>
      <c r="R2" s="4">
        <v>0</v>
      </c>
      <c r="S2" s="4" t="s">
        <v>93</v>
      </c>
      <c r="T2" s="4" t="s">
        <v>262</v>
      </c>
      <c r="U2" s="4">
        <v>43</v>
      </c>
      <c r="V2" s="4">
        <v>44</v>
      </c>
      <c r="W2" s="4">
        <v>27</v>
      </c>
    </row>
    <row r="3" spans="1:23" ht="11.25" customHeight="1" x14ac:dyDescent="0.25">
      <c r="A3" s="4" t="s">
        <v>21</v>
      </c>
      <c r="B3" s="4" t="s">
        <v>33</v>
      </c>
      <c r="C3" s="4" t="s">
        <v>43</v>
      </c>
      <c r="D3" s="4" t="s">
        <v>42</v>
      </c>
      <c r="E3" s="4" t="s">
        <v>25</v>
      </c>
      <c r="F3" s="4" t="s">
        <v>25</v>
      </c>
      <c r="G3" s="4" t="s">
        <v>25</v>
      </c>
      <c r="H3" s="4" t="s">
        <v>36</v>
      </c>
      <c r="I3" s="5">
        <v>44317</v>
      </c>
      <c r="J3" s="6">
        <v>141</v>
      </c>
      <c r="K3" s="6">
        <v>141</v>
      </c>
      <c r="L3" s="6">
        <v>46.371000000000002</v>
      </c>
      <c r="M3" s="6">
        <v>46.371000000000002</v>
      </c>
      <c r="N3" s="6">
        <v>46.371000000000002</v>
      </c>
      <c r="O3" s="6">
        <v>46.371000000000002</v>
      </c>
      <c r="P3" s="6">
        <v>0</v>
      </c>
      <c r="Q3" s="4" t="s">
        <v>26</v>
      </c>
      <c r="R3" s="4">
        <v>0</v>
      </c>
      <c r="S3" s="4" t="s">
        <v>94</v>
      </c>
      <c r="T3" s="4" t="s">
        <v>263</v>
      </c>
      <c r="U3" s="4">
        <v>43</v>
      </c>
      <c r="V3" s="4">
        <v>44</v>
      </c>
      <c r="W3" s="4">
        <v>27</v>
      </c>
    </row>
    <row r="4" spans="1:23" ht="11.25" customHeight="1" x14ac:dyDescent="0.25">
      <c r="A4" s="4" t="s">
        <v>21</v>
      </c>
      <c r="B4" s="4" t="s">
        <v>33</v>
      </c>
      <c r="C4" s="4" t="s">
        <v>43</v>
      </c>
      <c r="D4" s="4" t="s">
        <v>42</v>
      </c>
      <c r="E4" s="4" t="s">
        <v>25</v>
      </c>
      <c r="F4" s="4" t="s">
        <v>25</v>
      </c>
      <c r="G4" s="4" t="s">
        <v>25</v>
      </c>
      <c r="H4" s="4" t="s">
        <v>36</v>
      </c>
      <c r="I4" s="5">
        <v>44348</v>
      </c>
      <c r="J4" s="6">
        <v>133</v>
      </c>
      <c r="K4" s="6">
        <v>133</v>
      </c>
      <c r="L4" s="6">
        <v>47.781999999999996</v>
      </c>
      <c r="M4" s="6">
        <v>47.781999999999996</v>
      </c>
      <c r="N4" s="6">
        <v>47.781999999999996</v>
      </c>
      <c r="O4" s="6">
        <v>47.781999999999996</v>
      </c>
      <c r="P4" s="6">
        <v>0</v>
      </c>
      <c r="Q4" s="4" t="s">
        <v>26</v>
      </c>
      <c r="R4" s="4">
        <v>0</v>
      </c>
      <c r="S4" s="4" t="s">
        <v>95</v>
      </c>
      <c r="T4" s="4" t="s">
        <v>264</v>
      </c>
      <c r="U4" s="4">
        <v>43</v>
      </c>
      <c r="V4" s="4">
        <v>44</v>
      </c>
      <c r="W4" s="4">
        <v>27</v>
      </c>
    </row>
    <row r="5" spans="1:23" ht="11.25" customHeight="1" x14ac:dyDescent="0.25">
      <c r="A5" s="4" t="s">
        <v>21</v>
      </c>
      <c r="B5" s="4" t="s">
        <v>33</v>
      </c>
      <c r="C5" s="4" t="s">
        <v>43</v>
      </c>
      <c r="D5" s="4" t="s">
        <v>42</v>
      </c>
      <c r="E5" s="4" t="s">
        <v>25</v>
      </c>
      <c r="F5" s="4" t="s">
        <v>25</v>
      </c>
      <c r="G5" s="4" t="s">
        <v>25</v>
      </c>
      <c r="H5" s="4" t="s">
        <v>36</v>
      </c>
      <c r="I5" s="5">
        <v>44378</v>
      </c>
      <c r="J5" s="6">
        <v>130</v>
      </c>
      <c r="K5" s="6">
        <v>130</v>
      </c>
      <c r="L5" s="6">
        <v>44.892000000000003</v>
      </c>
      <c r="M5" s="6">
        <v>44.892000000000003</v>
      </c>
      <c r="N5" s="6">
        <v>44.892000000000003</v>
      </c>
      <c r="O5" s="6">
        <v>44.892000000000003</v>
      </c>
      <c r="P5" s="6">
        <v>0</v>
      </c>
      <c r="Q5" s="4" t="s">
        <v>26</v>
      </c>
      <c r="R5" s="4">
        <v>0</v>
      </c>
      <c r="S5" s="4" t="s">
        <v>96</v>
      </c>
      <c r="T5" s="4" t="s">
        <v>265</v>
      </c>
      <c r="U5" s="4">
        <v>43</v>
      </c>
      <c r="V5" s="4">
        <v>44</v>
      </c>
      <c r="W5" s="4">
        <v>27</v>
      </c>
    </row>
    <row r="6" spans="1:23" ht="11.25" customHeight="1" x14ac:dyDescent="0.25">
      <c r="A6" s="4" t="s">
        <v>21</v>
      </c>
      <c r="B6" s="4" t="s">
        <v>33</v>
      </c>
      <c r="C6" s="4" t="s">
        <v>43</v>
      </c>
      <c r="D6" s="4" t="s">
        <v>42</v>
      </c>
      <c r="E6" s="4" t="s">
        <v>25</v>
      </c>
      <c r="F6" s="4" t="s">
        <v>25</v>
      </c>
      <c r="G6" s="4" t="s">
        <v>25</v>
      </c>
      <c r="H6" s="4" t="s">
        <v>36</v>
      </c>
      <c r="I6" s="5">
        <v>44409</v>
      </c>
      <c r="J6" s="6">
        <v>134</v>
      </c>
      <c r="K6" s="6">
        <v>134</v>
      </c>
      <c r="L6" s="6">
        <v>49.273000000000003</v>
      </c>
      <c r="M6" s="6">
        <v>49.273000000000003</v>
      </c>
      <c r="N6" s="6">
        <v>49.273000000000003</v>
      </c>
      <c r="O6" s="6">
        <v>49.273000000000003</v>
      </c>
      <c r="P6" s="6">
        <v>0</v>
      </c>
      <c r="Q6" s="4" t="s">
        <v>26</v>
      </c>
      <c r="R6" s="4">
        <v>0</v>
      </c>
      <c r="S6" s="4" t="s">
        <v>97</v>
      </c>
      <c r="T6" s="4" t="s">
        <v>266</v>
      </c>
      <c r="U6" s="4">
        <v>43</v>
      </c>
      <c r="V6" s="4">
        <v>44</v>
      </c>
      <c r="W6" s="4">
        <v>27</v>
      </c>
    </row>
    <row r="7" spans="1:23" ht="11.25" customHeight="1" x14ac:dyDescent="0.25">
      <c r="A7" s="4" t="s">
        <v>21</v>
      </c>
      <c r="B7" s="4" t="s">
        <v>33</v>
      </c>
      <c r="C7" s="4" t="s">
        <v>43</v>
      </c>
      <c r="D7" s="4" t="s">
        <v>42</v>
      </c>
      <c r="E7" s="4" t="s">
        <v>25</v>
      </c>
      <c r="F7" s="4" t="s">
        <v>25</v>
      </c>
      <c r="G7" s="4" t="s">
        <v>25</v>
      </c>
      <c r="H7" s="4" t="s">
        <v>36</v>
      </c>
      <c r="I7" s="5">
        <v>44440</v>
      </c>
      <c r="J7" s="6">
        <v>144</v>
      </c>
      <c r="K7" s="6">
        <v>144</v>
      </c>
      <c r="L7" s="6">
        <v>48.862000000000002</v>
      </c>
      <c r="M7" s="6">
        <v>48.862000000000002</v>
      </c>
      <c r="N7" s="6">
        <v>48.862000000000002</v>
      </c>
      <c r="O7" s="6">
        <v>48.862000000000002</v>
      </c>
      <c r="P7" s="6">
        <v>0</v>
      </c>
      <c r="Q7" s="4" t="s">
        <v>26</v>
      </c>
      <c r="R7" s="4">
        <v>0</v>
      </c>
      <c r="S7" s="4" t="s">
        <v>98</v>
      </c>
      <c r="T7" s="4" t="s">
        <v>267</v>
      </c>
      <c r="U7" s="4">
        <v>43</v>
      </c>
      <c r="V7" s="4">
        <v>44</v>
      </c>
      <c r="W7" s="4">
        <v>27</v>
      </c>
    </row>
    <row r="8" spans="1:23" ht="11.25" customHeight="1" x14ac:dyDescent="0.25">
      <c r="A8" s="4" t="s">
        <v>21</v>
      </c>
      <c r="B8" s="4" t="s">
        <v>33</v>
      </c>
      <c r="C8" s="4" t="s">
        <v>43</v>
      </c>
      <c r="D8" s="4" t="s">
        <v>42</v>
      </c>
      <c r="E8" s="4" t="s">
        <v>25</v>
      </c>
      <c r="F8" s="4" t="s">
        <v>25</v>
      </c>
      <c r="G8" s="4" t="s">
        <v>25</v>
      </c>
      <c r="H8" s="4" t="s">
        <v>36</v>
      </c>
      <c r="I8" s="5">
        <v>44470</v>
      </c>
      <c r="J8" s="6">
        <v>146</v>
      </c>
      <c r="K8" s="6">
        <v>146</v>
      </c>
      <c r="L8" s="6">
        <v>47.463999999999999</v>
      </c>
      <c r="M8" s="6">
        <v>47.463999999999999</v>
      </c>
      <c r="N8" s="6">
        <v>47.463999999999999</v>
      </c>
      <c r="O8" s="6">
        <v>47.463999999999999</v>
      </c>
      <c r="P8" s="6">
        <v>0</v>
      </c>
      <c r="Q8" s="4" t="s">
        <v>26</v>
      </c>
      <c r="R8" s="4">
        <v>0</v>
      </c>
      <c r="S8" s="4" t="s">
        <v>99</v>
      </c>
      <c r="T8" s="4" t="s">
        <v>268</v>
      </c>
      <c r="U8" s="4">
        <v>43</v>
      </c>
      <c r="V8" s="4">
        <v>44</v>
      </c>
      <c r="W8" s="4">
        <v>27</v>
      </c>
    </row>
    <row r="9" spans="1:23" ht="11.25" customHeight="1" x14ac:dyDescent="0.25">
      <c r="A9" s="4" t="s">
        <v>21</v>
      </c>
      <c r="B9" s="4" t="s">
        <v>33</v>
      </c>
      <c r="C9" s="4" t="s">
        <v>43</v>
      </c>
      <c r="D9" s="4" t="s">
        <v>42</v>
      </c>
      <c r="E9" s="4" t="s">
        <v>25</v>
      </c>
      <c r="F9" s="4" t="s">
        <v>25</v>
      </c>
      <c r="G9" s="4" t="s">
        <v>25</v>
      </c>
      <c r="H9" s="4" t="s">
        <v>36</v>
      </c>
      <c r="I9" s="5">
        <v>44501</v>
      </c>
      <c r="J9" s="6">
        <v>136</v>
      </c>
      <c r="K9" s="6">
        <v>136</v>
      </c>
      <c r="L9" s="6">
        <v>48.194000000000003</v>
      </c>
      <c r="M9" s="6">
        <v>48.194000000000003</v>
      </c>
      <c r="N9" s="6">
        <v>48.194000000000003</v>
      </c>
      <c r="O9" s="6">
        <v>48.194000000000003</v>
      </c>
      <c r="P9" s="6">
        <v>0</v>
      </c>
      <c r="Q9" s="4" t="s">
        <v>26</v>
      </c>
      <c r="R9" s="4">
        <v>0</v>
      </c>
      <c r="S9" s="4" t="s">
        <v>100</v>
      </c>
      <c r="T9" s="4" t="s">
        <v>269</v>
      </c>
      <c r="U9" s="4">
        <v>43</v>
      </c>
      <c r="V9" s="4">
        <v>44</v>
      </c>
      <c r="W9" s="4">
        <v>27</v>
      </c>
    </row>
    <row r="10" spans="1:23" ht="11.25" customHeight="1" x14ac:dyDescent="0.25">
      <c r="A10" s="4" t="s">
        <v>21</v>
      </c>
      <c r="B10" s="4" t="s">
        <v>33</v>
      </c>
      <c r="C10" s="4" t="s">
        <v>43</v>
      </c>
      <c r="D10" s="4" t="s">
        <v>42</v>
      </c>
      <c r="E10" s="4" t="s">
        <v>25</v>
      </c>
      <c r="F10" s="4" t="s">
        <v>25</v>
      </c>
      <c r="G10" s="4" t="s">
        <v>25</v>
      </c>
      <c r="H10" s="4" t="s">
        <v>36</v>
      </c>
      <c r="I10" s="5">
        <v>44531</v>
      </c>
      <c r="J10" s="6">
        <v>145</v>
      </c>
      <c r="K10" s="6">
        <v>145</v>
      </c>
      <c r="L10" s="6">
        <v>47.460999999999999</v>
      </c>
      <c r="M10" s="6">
        <v>47.460999999999999</v>
      </c>
      <c r="N10" s="6">
        <v>47.460999999999999</v>
      </c>
      <c r="O10" s="6">
        <v>47.460999999999999</v>
      </c>
      <c r="P10" s="6">
        <v>0</v>
      </c>
      <c r="Q10" s="4" t="s">
        <v>26</v>
      </c>
      <c r="R10" s="4">
        <v>0</v>
      </c>
      <c r="S10" s="4" t="s">
        <v>101</v>
      </c>
      <c r="T10" s="4" t="s">
        <v>270</v>
      </c>
      <c r="U10" s="4">
        <v>43</v>
      </c>
      <c r="V10" s="4">
        <v>44</v>
      </c>
      <c r="W10" s="4">
        <v>27</v>
      </c>
    </row>
    <row r="11" spans="1:23" ht="11.25" customHeight="1" x14ac:dyDescent="0.25">
      <c r="A11" s="4" t="s">
        <v>21</v>
      </c>
      <c r="B11" s="4" t="s">
        <v>33</v>
      </c>
      <c r="C11" s="4" t="s">
        <v>43</v>
      </c>
      <c r="D11" s="4" t="s">
        <v>42</v>
      </c>
      <c r="E11" s="4" t="s">
        <v>25</v>
      </c>
      <c r="F11" s="4" t="s">
        <v>25</v>
      </c>
      <c r="G11" s="4" t="s">
        <v>25</v>
      </c>
      <c r="H11" s="4" t="s">
        <v>36</v>
      </c>
      <c r="I11" s="5">
        <v>44562</v>
      </c>
      <c r="J11" s="6">
        <v>138</v>
      </c>
      <c r="K11" s="6">
        <v>138</v>
      </c>
      <c r="L11" s="6">
        <v>49.167000000000002</v>
      </c>
      <c r="M11" s="6">
        <v>49.167000000000002</v>
      </c>
      <c r="N11" s="6">
        <v>49.167000000000002</v>
      </c>
      <c r="O11" s="6">
        <v>49.167000000000002</v>
      </c>
      <c r="P11" s="6">
        <v>0</v>
      </c>
      <c r="Q11" s="4" t="s">
        <v>26</v>
      </c>
      <c r="R11" s="4">
        <v>0</v>
      </c>
      <c r="S11" s="4" t="s">
        <v>102</v>
      </c>
      <c r="T11" s="4" t="s">
        <v>271</v>
      </c>
      <c r="U11" s="4">
        <v>43</v>
      </c>
      <c r="V11" s="4">
        <v>44</v>
      </c>
      <c r="W11" s="4">
        <v>27</v>
      </c>
    </row>
    <row r="12" spans="1:23" ht="11.25" customHeight="1" x14ac:dyDescent="0.25">
      <c r="A12" s="4" t="s">
        <v>21</v>
      </c>
      <c r="B12" s="4" t="s">
        <v>33</v>
      </c>
      <c r="C12" s="4" t="s">
        <v>43</v>
      </c>
      <c r="D12" s="4" t="s">
        <v>42</v>
      </c>
      <c r="E12" s="4" t="s">
        <v>25</v>
      </c>
      <c r="F12" s="4" t="s">
        <v>25</v>
      </c>
      <c r="G12" s="4" t="s">
        <v>25</v>
      </c>
      <c r="H12" s="4" t="s">
        <v>36</v>
      </c>
      <c r="I12" s="5">
        <v>44593</v>
      </c>
      <c r="J12" s="6">
        <v>146</v>
      </c>
      <c r="K12" s="6">
        <v>146</v>
      </c>
      <c r="L12" s="6">
        <v>49.627000000000002</v>
      </c>
      <c r="M12" s="6">
        <v>49.627000000000002</v>
      </c>
      <c r="N12" s="6">
        <v>49.627000000000002</v>
      </c>
      <c r="O12" s="6">
        <v>49.627000000000002</v>
      </c>
      <c r="P12" s="6">
        <v>0</v>
      </c>
      <c r="Q12" s="4" t="s">
        <v>26</v>
      </c>
      <c r="R12" s="4">
        <v>0</v>
      </c>
      <c r="S12" s="4" t="s">
        <v>103</v>
      </c>
      <c r="T12" s="4" t="s">
        <v>272</v>
      </c>
      <c r="U12" s="4">
        <v>43</v>
      </c>
      <c r="V12" s="4">
        <v>44</v>
      </c>
      <c r="W12" s="4">
        <v>27</v>
      </c>
    </row>
    <row r="13" spans="1:23" ht="11.25" customHeight="1" x14ac:dyDescent="0.25">
      <c r="A13" s="4" t="s">
        <v>54</v>
      </c>
      <c r="B13" s="4" t="s">
        <v>33</v>
      </c>
      <c r="C13" s="4" t="s">
        <v>43</v>
      </c>
      <c r="D13" s="4" t="s">
        <v>42</v>
      </c>
      <c r="E13" s="4" t="s">
        <v>25</v>
      </c>
      <c r="F13" s="4" t="s">
        <v>25</v>
      </c>
      <c r="G13" s="4" t="s">
        <v>25</v>
      </c>
      <c r="H13" s="4" t="s">
        <v>36</v>
      </c>
      <c r="I13" s="5">
        <v>44621</v>
      </c>
      <c r="J13" s="6">
        <v>146</v>
      </c>
      <c r="K13" s="6">
        <v>146</v>
      </c>
      <c r="L13" s="6">
        <v>49.627000000000002</v>
      </c>
      <c r="M13" s="6">
        <v>49.627000000000002</v>
      </c>
      <c r="N13" s="6">
        <v>49.627000000000002</v>
      </c>
      <c r="O13" s="6">
        <v>49.627000000000002</v>
      </c>
      <c r="P13" s="6">
        <v>0</v>
      </c>
      <c r="Q13" s="4" t="s">
        <v>26</v>
      </c>
      <c r="R13" s="4">
        <v>0</v>
      </c>
      <c r="S13" s="4" t="s">
        <v>104</v>
      </c>
      <c r="T13" s="4" t="s">
        <v>273</v>
      </c>
      <c r="U13" s="4">
        <v>43</v>
      </c>
      <c r="V13" s="4">
        <v>44</v>
      </c>
      <c r="W13" s="4">
        <v>27</v>
      </c>
    </row>
    <row r="14" spans="1:23" ht="11.25" customHeight="1" x14ac:dyDescent="0.25">
      <c r="A14" s="4" t="s">
        <v>21</v>
      </c>
      <c r="B14" s="4" t="s">
        <v>33</v>
      </c>
      <c r="C14" s="4" t="s">
        <v>43</v>
      </c>
      <c r="D14" s="4" t="s">
        <v>42</v>
      </c>
      <c r="E14" s="4" t="s">
        <v>25</v>
      </c>
      <c r="F14" s="4" t="s">
        <v>25</v>
      </c>
      <c r="G14" s="4" t="s">
        <v>25</v>
      </c>
      <c r="H14" s="4" t="s">
        <v>35</v>
      </c>
      <c r="I14" s="5">
        <v>44287</v>
      </c>
      <c r="J14" s="6">
        <v>141</v>
      </c>
      <c r="K14" s="6">
        <v>141</v>
      </c>
      <c r="L14" s="6">
        <v>5.5830000000000002</v>
      </c>
      <c r="M14" s="6">
        <v>5.5830000000000002</v>
      </c>
      <c r="N14" s="6">
        <v>5.5830000000000002</v>
      </c>
      <c r="O14" s="6">
        <v>5.5830000000000002</v>
      </c>
      <c r="P14" s="6">
        <v>0</v>
      </c>
      <c r="Q14" s="4" t="s">
        <v>26</v>
      </c>
      <c r="R14" s="4">
        <v>0</v>
      </c>
      <c r="S14" s="4" t="s">
        <v>105</v>
      </c>
      <c r="T14" s="4" t="s">
        <v>274</v>
      </c>
      <c r="U14" s="4">
        <v>64</v>
      </c>
      <c r="V14" s="4">
        <v>44</v>
      </c>
      <c r="W14" s="4">
        <v>6</v>
      </c>
    </row>
    <row r="15" spans="1:23" ht="11.25" customHeight="1" x14ac:dyDescent="0.25">
      <c r="A15" s="4" t="s">
        <v>21</v>
      </c>
      <c r="B15" s="4" t="s">
        <v>33</v>
      </c>
      <c r="C15" s="4" t="s">
        <v>43</v>
      </c>
      <c r="D15" s="4" t="s">
        <v>42</v>
      </c>
      <c r="E15" s="4" t="s">
        <v>25</v>
      </c>
      <c r="F15" s="4" t="s">
        <v>25</v>
      </c>
      <c r="G15" s="4" t="s">
        <v>25</v>
      </c>
      <c r="H15" s="4" t="s">
        <v>35</v>
      </c>
      <c r="I15" s="5">
        <v>44317</v>
      </c>
      <c r="J15" s="6">
        <v>130</v>
      </c>
      <c r="K15" s="6">
        <v>130</v>
      </c>
      <c r="L15" s="6">
        <v>5.7889999999999997</v>
      </c>
      <c r="M15" s="6">
        <v>5.7889999999999997</v>
      </c>
      <c r="N15" s="6">
        <v>5.7889999999999997</v>
      </c>
      <c r="O15" s="6">
        <v>5.7889999999999997</v>
      </c>
      <c r="P15" s="6">
        <v>0</v>
      </c>
      <c r="Q15" s="4" t="s">
        <v>26</v>
      </c>
      <c r="R15" s="4">
        <v>0</v>
      </c>
      <c r="S15" s="4" t="s">
        <v>106</v>
      </c>
      <c r="T15" s="4" t="s">
        <v>275</v>
      </c>
      <c r="U15" s="4">
        <v>64</v>
      </c>
      <c r="V15" s="4">
        <v>44</v>
      </c>
      <c r="W15" s="4">
        <v>6</v>
      </c>
    </row>
    <row r="16" spans="1:23" ht="11.25" customHeight="1" x14ac:dyDescent="0.25">
      <c r="A16" s="4" t="s">
        <v>21</v>
      </c>
      <c r="B16" s="4" t="s">
        <v>33</v>
      </c>
      <c r="C16" s="4" t="s">
        <v>43</v>
      </c>
      <c r="D16" s="4" t="s">
        <v>42</v>
      </c>
      <c r="E16" s="4" t="s">
        <v>25</v>
      </c>
      <c r="F16" s="4" t="s">
        <v>25</v>
      </c>
      <c r="G16" s="4" t="s">
        <v>25</v>
      </c>
      <c r="H16" s="4" t="s">
        <v>35</v>
      </c>
      <c r="I16" s="5">
        <v>44348</v>
      </c>
      <c r="J16" s="6">
        <v>131</v>
      </c>
      <c r="K16" s="6">
        <v>131</v>
      </c>
      <c r="L16" s="6">
        <v>5.8019999999999996</v>
      </c>
      <c r="M16" s="6">
        <v>5.8019999999999996</v>
      </c>
      <c r="N16" s="6">
        <v>5.8019999999999996</v>
      </c>
      <c r="O16" s="6">
        <v>5.8019999999999996</v>
      </c>
      <c r="P16" s="6">
        <v>0</v>
      </c>
      <c r="Q16" s="4" t="s">
        <v>26</v>
      </c>
      <c r="R16" s="4">
        <v>0</v>
      </c>
      <c r="S16" s="4" t="s">
        <v>107</v>
      </c>
      <c r="T16" s="4" t="s">
        <v>276</v>
      </c>
      <c r="U16" s="4">
        <v>64</v>
      </c>
      <c r="V16" s="4">
        <v>44</v>
      </c>
      <c r="W16" s="4">
        <v>6</v>
      </c>
    </row>
    <row r="17" spans="1:23" ht="11.25" customHeight="1" x14ac:dyDescent="0.25">
      <c r="A17" s="4" t="s">
        <v>21</v>
      </c>
      <c r="B17" s="4" t="s">
        <v>33</v>
      </c>
      <c r="C17" s="4" t="s">
        <v>43</v>
      </c>
      <c r="D17" s="4" t="s">
        <v>42</v>
      </c>
      <c r="E17" s="4" t="s">
        <v>25</v>
      </c>
      <c r="F17" s="4" t="s">
        <v>25</v>
      </c>
      <c r="G17" s="4" t="s">
        <v>25</v>
      </c>
      <c r="H17" s="4" t="s">
        <v>35</v>
      </c>
      <c r="I17" s="5">
        <v>44378</v>
      </c>
      <c r="J17" s="6">
        <v>138</v>
      </c>
      <c r="K17" s="6">
        <v>138</v>
      </c>
      <c r="L17" s="6">
        <v>5.3609999999999998</v>
      </c>
      <c r="M17" s="6">
        <v>5.3609999999999998</v>
      </c>
      <c r="N17" s="6">
        <v>5.3609999999999998</v>
      </c>
      <c r="O17" s="6">
        <v>5.3609999999999998</v>
      </c>
      <c r="P17" s="6">
        <v>0</v>
      </c>
      <c r="Q17" s="4" t="s">
        <v>26</v>
      </c>
      <c r="R17" s="4">
        <v>0</v>
      </c>
      <c r="S17" s="4" t="s">
        <v>108</v>
      </c>
      <c r="T17" s="4" t="s">
        <v>277</v>
      </c>
      <c r="U17" s="4">
        <v>64</v>
      </c>
      <c r="V17" s="4">
        <v>44</v>
      </c>
      <c r="W17" s="4">
        <v>6</v>
      </c>
    </row>
    <row r="18" spans="1:23" ht="11.25" customHeight="1" x14ac:dyDescent="0.25">
      <c r="A18" s="4" t="s">
        <v>21</v>
      </c>
      <c r="B18" s="4" t="s">
        <v>33</v>
      </c>
      <c r="C18" s="4" t="s">
        <v>43</v>
      </c>
      <c r="D18" s="4" t="s">
        <v>42</v>
      </c>
      <c r="E18" s="4" t="s">
        <v>25</v>
      </c>
      <c r="F18" s="4" t="s">
        <v>25</v>
      </c>
      <c r="G18" s="4" t="s">
        <v>25</v>
      </c>
      <c r="H18" s="4" t="s">
        <v>35</v>
      </c>
      <c r="I18" s="5">
        <v>44409</v>
      </c>
      <c r="J18" s="6">
        <v>147</v>
      </c>
      <c r="K18" s="6">
        <v>147</v>
      </c>
      <c r="L18" s="6">
        <v>5.9880000000000004</v>
      </c>
      <c r="M18" s="6">
        <v>5.9880000000000004</v>
      </c>
      <c r="N18" s="6">
        <v>5.9880000000000004</v>
      </c>
      <c r="O18" s="6">
        <v>5.9880000000000004</v>
      </c>
      <c r="P18" s="6">
        <v>0</v>
      </c>
      <c r="Q18" s="4" t="s">
        <v>26</v>
      </c>
      <c r="R18" s="4">
        <v>0</v>
      </c>
      <c r="S18" s="4" t="s">
        <v>109</v>
      </c>
      <c r="T18" s="4" t="s">
        <v>278</v>
      </c>
      <c r="U18" s="4">
        <v>64</v>
      </c>
      <c r="V18" s="4">
        <v>44</v>
      </c>
      <c r="W18" s="4">
        <v>6</v>
      </c>
    </row>
    <row r="19" spans="1:23" ht="11.25" customHeight="1" x14ac:dyDescent="0.25">
      <c r="A19" s="4" t="s">
        <v>21</v>
      </c>
      <c r="B19" s="4" t="s">
        <v>33</v>
      </c>
      <c r="C19" s="4" t="s">
        <v>43</v>
      </c>
      <c r="D19" s="4" t="s">
        <v>42</v>
      </c>
      <c r="E19" s="4" t="s">
        <v>25</v>
      </c>
      <c r="F19" s="4" t="s">
        <v>25</v>
      </c>
      <c r="G19" s="4" t="s">
        <v>25</v>
      </c>
      <c r="H19" s="4" t="s">
        <v>35</v>
      </c>
      <c r="I19" s="5">
        <v>44440</v>
      </c>
      <c r="J19" s="6">
        <v>140</v>
      </c>
      <c r="K19" s="6">
        <v>140</v>
      </c>
      <c r="L19" s="6">
        <v>5.9980000000000002</v>
      </c>
      <c r="M19" s="6">
        <v>5.9980000000000002</v>
      </c>
      <c r="N19" s="6">
        <v>5.9980000000000002</v>
      </c>
      <c r="O19" s="6">
        <v>5.9980000000000002</v>
      </c>
      <c r="P19" s="6">
        <v>0</v>
      </c>
      <c r="Q19" s="4" t="s">
        <v>26</v>
      </c>
      <c r="R19" s="4">
        <v>0</v>
      </c>
      <c r="S19" s="4" t="s">
        <v>110</v>
      </c>
      <c r="T19" s="4" t="s">
        <v>279</v>
      </c>
      <c r="U19" s="4">
        <v>64</v>
      </c>
      <c r="V19" s="4">
        <v>44</v>
      </c>
      <c r="W19" s="4">
        <v>6</v>
      </c>
    </row>
    <row r="20" spans="1:23" ht="11.25" customHeight="1" x14ac:dyDescent="0.25">
      <c r="A20" s="4" t="s">
        <v>21</v>
      </c>
      <c r="B20" s="4" t="s">
        <v>33</v>
      </c>
      <c r="C20" s="4" t="s">
        <v>43</v>
      </c>
      <c r="D20" s="4" t="s">
        <v>42</v>
      </c>
      <c r="E20" s="4" t="s">
        <v>25</v>
      </c>
      <c r="F20" s="4" t="s">
        <v>25</v>
      </c>
      <c r="G20" s="4" t="s">
        <v>25</v>
      </c>
      <c r="H20" s="4" t="s">
        <v>35</v>
      </c>
      <c r="I20" s="5">
        <v>44470</v>
      </c>
      <c r="J20" s="6">
        <v>146</v>
      </c>
      <c r="K20" s="6">
        <v>146</v>
      </c>
      <c r="L20" s="6">
        <v>5.1360000000000001</v>
      </c>
      <c r="M20" s="6">
        <v>5.1360000000000001</v>
      </c>
      <c r="N20" s="6">
        <v>5.1360000000000001</v>
      </c>
      <c r="O20" s="6">
        <v>5.1360000000000001</v>
      </c>
      <c r="P20" s="6">
        <v>0</v>
      </c>
      <c r="Q20" s="4" t="s">
        <v>26</v>
      </c>
      <c r="R20" s="4">
        <v>0</v>
      </c>
      <c r="S20" s="4" t="s">
        <v>111</v>
      </c>
      <c r="T20" s="4" t="s">
        <v>280</v>
      </c>
      <c r="U20" s="4">
        <v>64</v>
      </c>
      <c r="V20" s="4">
        <v>44</v>
      </c>
      <c r="W20" s="4">
        <v>6</v>
      </c>
    </row>
    <row r="21" spans="1:23" ht="11.25" customHeight="1" x14ac:dyDescent="0.25">
      <c r="A21" s="4" t="s">
        <v>21</v>
      </c>
      <c r="B21" s="4" t="s">
        <v>33</v>
      </c>
      <c r="C21" s="4" t="s">
        <v>43</v>
      </c>
      <c r="D21" s="4" t="s">
        <v>42</v>
      </c>
      <c r="E21" s="4" t="s">
        <v>25</v>
      </c>
      <c r="F21" s="4" t="s">
        <v>25</v>
      </c>
      <c r="G21" s="4" t="s">
        <v>25</v>
      </c>
      <c r="H21" s="4" t="s">
        <v>35</v>
      </c>
      <c r="I21" s="5">
        <v>44501</v>
      </c>
      <c r="J21" s="6">
        <v>135</v>
      </c>
      <c r="K21" s="6">
        <v>135</v>
      </c>
      <c r="L21" s="6">
        <v>5.3890000000000002</v>
      </c>
      <c r="M21" s="6">
        <v>5.3890000000000002</v>
      </c>
      <c r="N21" s="6">
        <v>5.3890000000000002</v>
      </c>
      <c r="O21" s="6">
        <v>5.3890000000000002</v>
      </c>
      <c r="P21" s="6">
        <v>0</v>
      </c>
      <c r="Q21" s="4" t="s">
        <v>26</v>
      </c>
      <c r="R21" s="4">
        <v>0</v>
      </c>
      <c r="S21" s="4" t="s">
        <v>112</v>
      </c>
      <c r="T21" s="4" t="s">
        <v>281</v>
      </c>
      <c r="U21" s="4">
        <v>64</v>
      </c>
      <c r="V21" s="4">
        <v>44</v>
      </c>
      <c r="W21" s="4">
        <v>6</v>
      </c>
    </row>
    <row r="22" spans="1:23" ht="11.25" customHeight="1" x14ac:dyDescent="0.25">
      <c r="A22" s="4" t="s">
        <v>21</v>
      </c>
      <c r="B22" s="4" t="s">
        <v>33</v>
      </c>
      <c r="C22" s="4" t="s">
        <v>43</v>
      </c>
      <c r="D22" s="4" t="s">
        <v>42</v>
      </c>
      <c r="E22" s="4" t="s">
        <v>25</v>
      </c>
      <c r="F22" s="4" t="s">
        <v>25</v>
      </c>
      <c r="G22" s="4" t="s">
        <v>25</v>
      </c>
      <c r="H22" s="4" t="s">
        <v>35</v>
      </c>
      <c r="I22" s="5">
        <v>44531</v>
      </c>
      <c r="J22" s="6">
        <v>149</v>
      </c>
      <c r="K22" s="6">
        <v>149</v>
      </c>
      <c r="L22" s="6">
        <v>5.649</v>
      </c>
      <c r="M22" s="6">
        <v>5.649</v>
      </c>
      <c r="N22" s="6">
        <v>5.649</v>
      </c>
      <c r="O22" s="6">
        <v>5.649</v>
      </c>
      <c r="P22" s="6">
        <v>0</v>
      </c>
      <c r="Q22" s="4" t="s">
        <v>26</v>
      </c>
      <c r="R22" s="4">
        <v>0</v>
      </c>
      <c r="S22" s="4" t="s">
        <v>113</v>
      </c>
      <c r="T22" s="4" t="s">
        <v>282</v>
      </c>
      <c r="U22" s="4">
        <v>64</v>
      </c>
      <c r="V22" s="4">
        <v>44</v>
      </c>
      <c r="W22" s="4">
        <v>6</v>
      </c>
    </row>
    <row r="23" spans="1:23" ht="11.25" customHeight="1" x14ac:dyDescent="0.25">
      <c r="A23" s="4" t="s">
        <v>21</v>
      </c>
      <c r="B23" s="4" t="s">
        <v>33</v>
      </c>
      <c r="C23" s="4" t="s">
        <v>43</v>
      </c>
      <c r="D23" s="4" t="s">
        <v>42</v>
      </c>
      <c r="E23" s="4" t="s">
        <v>25</v>
      </c>
      <c r="F23" s="4" t="s">
        <v>25</v>
      </c>
      <c r="G23" s="4" t="s">
        <v>25</v>
      </c>
      <c r="H23" s="4" t="s">
        <v>35</v>
      </c>
      <c r="I23" s="5">
        <v>44562</v>
      </c>
      <c r="J23" s="6">
        <v>140</v>
      </c>
      <c r="K23" s="6">
        <v>140</v>
      </c>
      <c r="L23" s="6">
        <v>5.13</v>
      </c>
      <c r="M23" s="6">
        <v>5.13</v>
      </c>
      <c r="N23" s="6">
        <v>5.13</v>
      </c>
      <c r="O23" s="6">
        <v>5.13</v>
      </c>
      <c r="P23" s="6">
        <v>0</v>
      </c>
      <c r="Q23" s="4" t="s">
        <v>26</v>
      </c>
      <c r="R23" s="4">
        <v>0</v>
      </c>
      <c r="S23" s="4" t="s">
        <v>114</v>
      </c>
      <c r="T23" s="4" t="s">
        <v>283</v>
      </c>
      <c r="U23" s="4">
        <v>64</v>
      </c>
      <c r="V23" s="4">
        <v>44</v>
      </c>
      <c r="W23" s="4">
        <v>6</v>
      </c>
    </row>
    <row r="24" spans="1:23" ht="11.25" customHeight="1" x14ac:dyDescent="0.25">
      <c r="A24" s="4" t="s">
        <v>21</v>
      </c>
      <c r="B24" s="4" t="s">
        <v>33</v>
      </c>
      <c r="C24" s="4" t="s">
        <v>43</v>
      </c>
      <c r="D24" s="4" t="s">
        <v>42</v>
      </c>
      <c r="E24" s="4" t="s">
        <v>25</v>
      </c>
      <c r="F24" s="4" t="s">
        <v>25</v>
      </c>
      <c r="G24" s="4" t="s">
        <v>25</v>
      </c>
      <c r="H24" s="4" t="s">
        <v>35</v>
      </c>
      <c r="I24" s="5">
        <v>44593</v>
      </c>
      <c r="J24" s="6">
        <v>141</v>
      </c>
      <c r="K24" s="6">
        <v>141</v>
      </c>
      <c r="L24" s="6">
        <v>5.7220000000000004</v>
      </c>
      <c r="M24" s="6">
        <v>5.7220000000000004</v>
      </c>
      <c r="N24" s="6">
        <v>5.7220000000000004</v>
      </c>
      <c r="O24" s="6">
        <v>5.7220000000000004</v>
      </c>
      <c r="P24" s="6">
        <v>0</v>
      </c>
      <c r="Q24" s="4" t="s">
        <v>26</v>
      </c>
      <c r="R24" s="4">
        <v>0</v>
      </c>
      <c r="S24" s="4" t="s">
        <v>115</v>
      </c>
      <c r="T24" s="4" t="s">
        <v>284</v>
      </c>
      <c r="U24" s="4">
        <v>64</v>
      </c>
      <c r="V24" s="4">
        <v>44</v>
      </c>
      <c r="W24" s="4">
        <v>6</v>
      </c>
    </row>
    <row r="25" spans="1:23" ht="11.25" customHeight="1" x14ac:dyDescent="0.25">
      <c r="A25" s="4" t="s">
        <v>54</v>
      </c>
      <c r="B25" s="4" t="s">
        <v>33</v>
      </c>
      <c r="C25" s="4" t="s">
        <v>43</v>
      </c>
      <c r="D25" s="4" t="s">
        <v>42</v>
      </c>
      <c r="E25" s="4" t="s">
        <v>25</v>
      </c>
      <c r="F25" s="4" t="s">
        <v>25</v>
      </c>
      <c r="G25" s="4" t="s">
        <v>25</v>
      </c>
      <c r="H25" s="4" t="s">
        <v>35</v>
      </c>
      <c r="I25" s="5">
        <v>44621</v>
      </c>
      <c r="J25" s="6">
        <v>141</v>
      </c>
      <c r="K25" s="6">
        <v>141</v>
      </c>
      <c r="L25" s="6">
        <v>5.7220000000000004</v>
      </c>
      <c r="M25" s="6">
        <v>5.7220000000000004</v>
      </c>
      <c r="N25" s="6">
        <v>5.7220000000000004</v>
      </c>
      <c r="O25" s="6">
        <v>5.7220000000000004</v>
      </c>
      <c r="P25" s="6">
        <v>0</v>
      </c>
      <c r="Q25" s="4" t="s">
        <v>26</v>
      </c>
      <c r="R25" s="4">
        <v>0</v>
      </c>
      <c r="S25" s="4" t="s">
        <v>116</v>
      </c>
      <c r="T25" s="4" t="s">
        <v>285</v>
      </c>
      <c r="U25" s="4">
        <v>64</v>
      </c>
      <c r="V25" s="4">
        <v>44</v>
      </c>
      <c r="W25" s="4">
        <v>6</v>
      </c>
    </row>
    <row r="26" spans="1:23" ht="11.25" customHeight="1" x14ac:dyDescent="0.25">
      <c r="A26" s="4" t="s">
        <v>21</v>
      </c>
      <c r="B26" s="4" t="s">
        <v>33</v>
      </c>
      <c r="C26" s="4" t="s">
        <v>34</v>
      </c>
      <c r="D26" s="4" t="s">
        <v>39</v>
      </c>
      <c r="E26" s="4" t="s">
        <v>25</v>
      </c>
      <c r="F26" s="4" t="s">
        <v>25</v>
      </c>
      <c r="G26" s="4" t="s">
        <v>25</v>
      </c>
      <c r="H26" s="4" t="s">
        <v>36</v>
      </c>
      <c r="I26" s="5">
        <v>44287</v>
      </c>
      <c r="J26" s="6">
        <v>0</v>
      </c>
      <c r="K26" s="6">
        <v>0</v>
      </c>
      <c r="L26" s="6">
        <v>296.86</v>
      </c>
      <c r="M26" s="6">
        <v>296.86</v>
      </c>
      <c r="N26" s="6">
        <v>296.86</v>
      </c>
      <c r="O26" s="6">
        <v>296.86</v>
      </c>
      <c r="P26" s="6">
        <v>0</v>
      </c>
      <c r="Q26" s="4" t="s">
        <v>26</v>
      </c>
      <c r="R26" s="4">
        <v>0</v>
      </c>
      <c r="S26" s="4" t="s">
        <v>117</v>
      </c>
      <c r="T26" s="4" t="s">
        <v>262</v>
      </c>
      <c r="U26" s="4">
        <v>0</v>
      </c>
      <c r="V26" s="4">
        <v>47</v>
      </c>
      <c r="W26" s="4">
        <v>27</v>
      </c>
    </row>
    <row r="27" spans="1:23" ht="11.25" customHeight="1" x14ac:dyDescent="0.25">
      <c r="A27" s="4" t="s">
        <v>28</v>
      </c>
      <c r="B27" s="4" t="s">
        <v>33</v>
      </c>
      <c r="C27" s="4" t="s">
        <v>34</v>
      </c>
      <c r="D27" s="4" t="s">
        <v>39</v>
      </c>
      <c r="E27" s="4" t="s">
        <v>25</v>
      </c>
      <c r="F27" s="4" t="s">
        <v>25</v>
      </c>
      <c r="G27" s="4" t="s">
        <v>25</v>
      </c>
      <c r="H27" s="4" t="s">
        <v>36</v>
      </c>
      <c r="I27" s="5">
        <v>44287</v>
      </c>
      <c r="J27" s="6">
        <v>0</v>
      </c>
      <c r="K27" s="6">
        <v>0</v>
      </c>
      <c r="L27" s="6">
        <v>2.214</v>
      </c>
      <c r="M27" s="6">
        <v>2.214</v>
      </c>
      <c r="N27" s="6">
        <v>2.214</v>
      </c>
      <c r="O27" s="6">
        <v>2.214</v>
      </c>
      <c r="P27" s="6">
        <v>0</v>
      </c>
      <c r="Q27" s="4" t="s">
        <v>26</v>
      </c>
      <c r="R27" s="4">
        <v>0</v>
      </c>
      <c r="S27" s="4" t="s">
        <v>117</v>
      </c>
      <c r="T27" s="4" t="s">
        <v>262</v>
      </c>
      <c r="U27" s="4">
        <v>0</v>
      </c>
      <c r="V27" s="4">
        <v>47</v>
      </c>
      <c r="W27" s="4">
        <v>27</v>
      </c>
    </row>
    <row r="28" spans="1:23" ht="11.25" customHeight="1" x14ac:dyDescent="0.25">
      <c r="A28" s="4" t="s">
        <v>21</v>
      </c>
      <c r="B28" s="4" t="s">
        <v>33</v>
      </c>
      <c r="C28" s="4" t="s">
        <v>34</v>
      </c>
      <c r="D28" s="4" t="s">
        <v>39</v>
      </c>
      <c r="E28" s="4" t="s">
        <v>25</v>
      </c>
      <c r="F28" s="4" t="s">
        <v>25</v>
      </c>
      <c r="G28" s="4" t="s">
        <v>25</v>
      </c>
      <c r="H28" s="4" t="s">
        <v>36</v>
      </c>
      <c r="I28" s="5">
        <v>44317</v>
      </c>
      <c r="J28" s="6">
        <v>0</v>
      </c>
      <c r="K28" s="6">
        <v>0</v>
      </c>
      <c r="L28" s="6">
        <v>198.17699999999999</v>
      </c>
      <c r="M28" s="6">
        <v>198.17699999999999</v>
      </c>
      <c r="N28" s="6">
        <v>198.17699999999999</v>
      </c>
      <c r="O28" s="6">
        <v>198.17699999999999</v>
      </c>
      <c r="P28" s="6">
        <v>0</v>
      </c>
      <c r="Q28" s="4" t="s">
        <v>26</v>
      </c>
      <c r="R28" s="4">
        <v>0</v>
      </c>
      <c r="S28" s="4" t="s">
        <v>118</v>
      </c>
      <c r="T28" s="4" t="s">
        <v>263</v>
      </c>
      <c r="U28" s="4">
        <v>0</v>
      </c>
      <c r="V28" s="4">
        <v>47</v>
      </c>
      <c r="W28" s="4">
        <v>27</v>
      </c>
    </row>
    <row r="29" spans="1:23" ht="11.25" customHeight="1" x14ac:dyDescent="0.25">
      <c r="A29" s="4" t="s">
        <v>21</v>
      </c>
      <c r="B29" s="4" t="s">
        <v>33</v>
      </c>
      <c r="C29" s="4" t="s">
        <v>34</v>
      </c>
      <c r="D29" s="4" t="s">
        <v>39</v>
      </c>
      <c r="E29" s="4" t="s">
        <v>25</v>
      </c>
      <c r="F29" s="4" t="s">
        <v>25</v>
      </c>
      <c r="G29" s="4" t="s">
        <v>25</v>
      </c>
      <c r="H29" s="4" t="s">
        <v>36</v>
      </c>
      <c r="I29" s="5">
        <v>44348</v>
      </c>
      <c r="J29" s="6">
        <v>0</v>
      </c>
      <c r="K29" s="6">
        <v>0</v>
      </c>
      <c r="L29" s="6">
        <v>179.04400000000001</v>
      </c>
      <c r="M29" s="6">
        <v>179.04400000000001</v>
      </c>
      <c r="N29" s="6">
        <v>179.04400000000001</v>
      </c>
      <c r="O29" s="6">
        <v>179.04400000000001</v>
      </c>
      <c r="P29" s="6">
        <v>0</v>
      </c>
      <c r="Q29" s="4" t="s">
        <v>26</v>
      </c>
      <c r="R29" s="4">
        <v>0</v>
      </c>
      <c r="S29" s="4" t="s">
        <v>119</v>
      </c>
      <c r="T29" s="4" t="s">
        <v>264</v>
      </c>
      <c r="U29" s="4">
        <v>0</v>
      </c>
      <c r="V29" s="4">
        <v>47</v>
      </c>
      <c r="W29" s="4">
        <v>27</v>
      </c>
    </row>
    <row r="30" spans="1:23" ht="11.25" customHeight="1" x14ac:dyDescent="0.25">
      <c r="A30" s="4" t="s">
        <v>28</v>
      </c>
      <c r="B30" s="4" t="s">
        <v>33</v>
      </c>
      <c r="C30" s="4" t="s">
        <v>34</v>
      </c>
      <c r="D30" s="4" t="s">
        <v>39</v>
      </c>
      <c r="E30" s="4" t="s">
        <v>25</v>
      </c>
      <c r="F30" s="4" t="s">
        <v>25</v>
      </c>
      <c r="G30" s="4" t="s">
        <v>25</v>
      </c>
      <c r="H30" s="4" t="s">
        <v>36</v>
      </c>
      <c r="I30" s="5">
        <v>44348</v>
      </c>
      <c r="J30" s="6">
        <v>0</v>
      </c>
      <c r="K30" s="6">
        <v>0</v>
      </c>
      <c r="L30" s="6">
        <v>7.2919999999999998</v>
      </c>
      <c r="M30" s="6">
        <v>7.2919999999999998</v>
      </c>
      <c r="N30" s="6">
        <v>7.2919999999999998</v>
      </c>
      <c r="O30" s="6">
        <v>7.2919999999999998</v>
      </c>
      <c r="P30" s="6">
        <v>0</v>
      </c>
      <c r="Q30" s="4" t="s">
        <v>26</v>
      </c>
      <c r="R30" s="4">
        <v>0</v>
      </c>
      <c r="S30" s="4" t="s">
        <v>119</v>
      </c>
      <c r="T30" s="4" t="s">
        <v>264</v>
      </c>
      <c r="U30" s="4">
        <v>0</v>
      </c>
      <c r="V30" s="4">
        <v>47</v>
      </c>
      <c r="W30" s="4">
        <v>27</v>
      </c>
    </row>
    <row r="31" spans="1:23" ht="11.25" customHeight="1" x14ac:dyDescent="0.25">
      <c r="A31" s="4" t="s">
        <v>21</v>
      </c>
      <c r="B31" s="4" t="s">
        <v>33</v>
      </c>
      <c r="C31" s="4" t="s">
        <v>34</v>
      </c>
      <c r="D31" s="4" t="s">
        <v>39</v>
      </c>
      <c r="E31" s="4" t="s">
        <v>25</v>
      </c>
      <c r="F31" s="4" t="s">
        <v>25</v>
      </c>
      <c r="G31" s="4" t="s">
        <v>25</v>
      </c>
      <c r="H31" s="4" t="s">
        <v>36</v>
      </c>
      <c r="I31" s="5">
        <v>44378</v>
      </c>
      <c r="J31" s="6">
        <v>0</v>
      </c>
      <c r="K31" s="6">
        <v>0</v>
      </c>
      <c r="L31" s="6">
        <v>235.37799999999999</v>
      </c>
      <c r="M31" s="6">
        <v>235.37799999999999</v>
      </c>
      <c r="N31" s="6">
        <v>235.37799999999999</v>
      </c>
      <c r="O31" s="6">
        <v>235.37799999999999</v>
      </c>
      <c r="P31" s="6">
        <v>0</v>
      </c>
      <c r="Q31" s="4" t="s">
        <v>26</v>
      </c>
      <c r="R31" s="4">
        <v>0</v>
      </c>
      <c r="S31" s="4" t="s">
        <v>120</v>
      </c>
      <c r="T31" s="4" t="s">
        <v>265</v>
      </c>
      <c r="U31" s="4">
        <v>0</v>
      </c>
      <c r="V31" s="4">
        <v>47</v>
      </c>
      <c r="W31" s="4">
        <v>27</v>
      </c>
    </row>
    <row r="32" spans="1:23" ht="11.25" customHeight="1" x14ac:dyDescent="0.25">
      <c r="A32" s="4" t="s">
        <v>28</v>
      </c>
      <c r="B32" s="4" t="s">
        <v>33</v>
      </c>
      <c r="C32" s="4" t="s">
        <v>34</v>
      </c>
      <c r="D32" s="4" t="s">
        <v>39</v>
      </c>
      <c r="E32" s="4" t="s">
        <v>25</v>
      </c>
      <c r="F32" s="4" t="s">
        <v>25</v>
      </c>
      <c r="G32" s="4" t="s">
        <v>25</v>
      </c>
      <c r="H32" s="4" t="s">
        <v>36</v>
      </c>
      <c r="I32" s="5">
        <v>44378</v>
      </c>
      <c r="J32" s="6">
        <v>0</v>
      </c>
      <c r="K32" s="6">
        <v>0</v>
      </c>
      <c r="L32" s="6">
        <v>0.127</v>
      </c>
      <c r="M32" s="6">
        <v>0.127</v>
      </c>
      <c r="N32" s="6">
        <v>0.127</v>
      </c>
      <c r="O32" s="6">
        <v>0.127</v>
      </c>
      <c r="P32" s="6">
        <v>0</v>
      </c>
      <c r="Q32" s="4" t="s">
        <v>26</v>
      </c>
      <c r="R32" s="4">
        <v>0</v>
      </c>
      <c r="S32" s="4" t="s">
        <v>120</v>
      </c>
      <c r="T32" s="4" t="s">
        <v>265</v>
      </c>
      <c r="U32" s="4">
        <v>0</v>
      </c>
      <c r="V32" s="4">
        <v>47</v>
      </c>
      <c r="W32" s="4">
        <v>27</v>
      </c>
    </row>
    <row r="33" spans="1:23" ht="11.25" customHeight="1" x14ac:dyDescent="0.25">
      <c r="A33" s="4" t="s">
        <v>21</v>
      </c>
      <c r="B33" s="4" t="s">
        <v>33</v>
      </c>
      <c r="C33" s="4" t="s">
        <v>34</v>
      </c>
      <c r="D33" s="4" t="s">
        <v>39</v>
      </c>
      <c r="E33" s="4" t="s">
        <v>25</v>
      </c>
      <c r="F33" s="4" t="s">
        <v>25</v>
      </c>
      <c r="G33" s="4" t="s">
        <v>25</v>
      </c>
      <c r="H33" s="4" t="s">
        <v>36</v>
      </c>
      <c r="I33" s="5">
        <v>44409</v>
      </c>
      <c r="J33" s="6">
        <v>0</v>
      </c>
      <c r="K33" s="6">
        <v>0</v>
      </c>
      <c r="L33" s="6">
        <v>273.22199999999998</v>
      </c>
      <c r="M33" s="6">
        <v>273.22199999999998</v>
      </c>
      <c r="N33" s="6">
        <v>273.22199999999998</v>
      </c>
      <c r="O33" s="6">
        <v>273.22199999999998</v>
      </c>
      <c r="P33" s="6">
        <v>0</v>
      </c>
      <c r="Q33" s="4" t="s">
        <v>26</v>
      </c>
      <c r="R33" s="4">
        <v>0</v>
      </c>
      <c r="S33" s="4" t="s">
        <v>121</v>
      </c>
      <c r="T33" s="4" t="s">
        <v>266</v>
      </c>
      <c r="U33" s="4">
        <v>0</v>
      </c>
      <c r="V33" s="4">
        <v>47</v>
      </c>
      <c r="W33" s="4">
        <v>27</v>
      </c>
    </row>
    <row r="34" spans="1:23" ht="11.25" customHeight="1" x14ac:dyDescent="0.25">
      <c r="A34" s="4" t="s">
        <v>28</v>
      </c>
      <c r="B34" s="4" t="s">
        <v>33</v>
      </c>
      <c r="C34" s="4" t="s">
        <v>34</v>
      </c>
      <c r="D34" s="4" t="s">
        <v>39</v>
      </c>
      <c r="E34" s="4" t="s">
        <v>25</v>
      </c>
      <c r="F34" s="4" t="s">
        <v>25</v>
      </c>
      <c r="G34" s="4" t="s">
        <v>25</v>
      </c>
      <c r="H34" s="4" t="s">
        <v>36</v>
      </c>
      <c r="I34" s="5">
        <v>44409</v>
      </c>
      <c r="J34" s="6">
        <v>0</v>
      </c>
      <c r="K34" s="6">
        <v>0</v>
      </c>
      <c r="L34" s="6">
        <v>24.135999999999999</v>
      </c>
      <c r="M34" s="6">
        <v>24.135999999999999</v>
      </c>
      <c r="N34" s="6">
        <v>24.135999999999999</v>
      </c>
      <c r="O34" s="6">
        <v>24.135999999999999</v>
      </c>
      <c r="P34" s="6">
        <v>0</v>
      </c>
      <c r="Q34" s="4" t="s">
        <v>26</v>
      </c>
      <c r="R34" s="4">
        <v>0</v>
      </c>
      <c r="S34" s="4" t="s">
        <v>121</v>
      </c>
      <c r="T34" s="4" t="s">
        <v>266</v>
      </c>
      <c r="U34" s="4">
        <v>0</v>
      </c>
      <c r="V34" s="4">
        <v>47</v>
      </c>
      <c r="W34" s="4">
        <v>27</v>
      </c>
    </row>
    <row r="35" spans="1:23" ht="11.25" customHeight="1" x14ac:dyDescent="0.25">
      <c r="A35" s="4" t="s">
        <v>21</v>
      </c>
      <c r="B35" s="4" t="s">
        <v>33</v>
      </c>
      <c r="C35" s="4" t="s">
        <v>34</v>
      </c>
      <c r="D35" s="4" t="s">
        <v>39</v>
      </c>
      <c r="E35" s="4" t="s">
        <v>25</v>
      </c>
      <c r="F35" s="4" t="s">
        <v>25</v>
      </c>
      <c r="G35" s="4" t="s">
        <v>25</v>
      </c>
      <c r="H35" s="4" t="s">
        <v>36</v>
      </c>
      <c r="I35" s="5">
        <v>44440</v>
      </c>
      <c r="J35" s="6">
        <v>0</v>
      </c>
      <c r="K35" s="6">
        <v>0</v>
      </c>
      <c r="L35" s="6">
        <v>222.143</v>
      </c>
      <c r="M35" s="6">
        <v>222.143</v>
      </c>
      <c r="N35" s="6">
        <v>222.143</v>
      </c>
      <c r="O35" s="6">
        <v>222.143</v>
      </c>
      <c r="P35" s="6">
        <v>0</v>
      </c>
      <c r="Q35" s="4" t="s">
        <v>26</v>
      </c>
      <c r="R35" s="4">
        <v>0</v>
      </c>
      <c r="S35" s="4" t="s">
        <v>122</v>
      </c>
      <c r="T35" s="4" t="s">
        <v>267</v>
      </c>
      <c r="U35" s="4">
        <v>0</v>
      </c>
      <c r="V35" s="4">
        <v>47</v>
      </c>
      <c r="W35" s="4">
        <v>27</v>
      </c>
    </row>
    <row r="36" spans="1:23" ht="11.25" customHeight="1" x14ac:dyDescent="0.25">
      <c r="A36" s="4" t="s">
        <v>28</v>
      </c>
      <c r="B36" s="4" t="s">
        <v>33</v>
      </c>
      <c r="C36" s="4" t="s">
        <v>34</v>
      </c>
      <c r="D36" s="4" t="s">
        <v>39</v>
      </c>
      <c r="E36" s="4" t="s">
        <v>25</v>
      </c>
      <c r="F36" s="4" t="s">
        <v>25</v>
      </c>
      <c r="G36" s="4" t="s">
        <v>25</v>
      </c>
      <c r="H36" s="4" t="s">
        <v>36</v>
      </c>
      <c r="I36" s="5">
        <v>44440</v>
      </c>
      <c r="J36" s="6">
        <v>0</v>
      </c>
      <c r="K36" s="6">
        <v>0</v>
      </c>
      <c r="L36" s="6">
        <v>16.643000000000001</v>
      </c>
      <c r="M36" s="6">
        <v>16.643000000000001</v>
      </c>
      <c r="N36" s="6">
        <v>16.643000000000001</v>
      </c>
      <c r="O36" s="6">
        <v>16.643000000000001</v>
      </c>
      <c r="P36" s="6">
        <v>0</v>
      </c>
      <c r="Q36" s="4" t="s">
        <v>26</v>
      </c>
      <c r="R36" s="4">
        <v>0</v>
      </c>
      <c r="S36" s="4" t="s">
        <v>122</v>
      </c>
      <c r="T36" s="4" t="s">
        <v>267</v>
      </c>
      <c r="U36" s="4">
        <v>0</v>
      </c>
      <c r="V36" s="4">
        <v>47</v>
      </c>
      <c r="W36" s="4">
        <v>27</v>
      </c>
    </row>
    <row r="37" spans="1:23" ht="11.25" customHeight="1" x14ac:dyDescent="0.25">
      <c r="A37" s="4" t="s">
        <v>21</v>
      </c>
      <c r="B37" s="4" t="s">
        <v>33</v>
      </c>
      <c r="C37" s="4" t="s">
        <v>34</v>
      </c>
      <c r="D37" s="4" t="s">
        <v>39</v>
      </c>
      <c r="E37" s="4" t="s">
        <v>25</v>
      </c>
      <c r="F37" s="4" t="s">
        <v>25</v>
      </c>
      <c r="G37" s="4" t="s">
        <v>25</v>
      </c>
      <c r="H37" s="4" t="s">
        <v>36</v>
      </c>
      <c r="I37" s="5">
        <v>44470</v>
      </c>
      <c r="J37" s="6">
        <v>0</v>
      </c>
      <c r="K37" s="6">
        <v>0</v>
      </c>
      <c r="L37" s="6">
        <v>219.99100000000001</v>
      </c>
      <c r="M37" s="6">
        <v>219.99100000000001</v>
      </c>
      <c r="N37" s="6">
        <v>219.99100000000001</v>
      </c>
      <c r="O37" s="6">
        <v>219.99100000000001</v>
      </c>
      <c r="P37" s="6">
        <v>0</v>
      </c>
      <c r="Q37" s="4" t="s">
        <v>26</v>
      </c>
      <c r="R37" s="4">
        <v>0</v>
      </c>
      <c r="S37" s="4" t="s">
        <v>123</v>
      </c>
      <c r="T37" s="4" t="s">
        <v>268</v>
      </c>
      <c r="U37" s="4">
        <v>0</v>
      </c>
      <c r="V37" s="4">
        <v>47</v>
      </c>
      <c r="W37" s="4">
        <v>27</v>
      </c>
    </row>
    <row r="38" spans="1:23" ht="11.25" customHeight="1" x14ac:dyDescent="0.25">
      <c r="A38" s="4" t="s">
        <v>28</v>
      </c>
      <c r="B38" s="4" t="s">
        <v>33</v>
      </c>
      <c r="C38" s="4" t="s">
        <v>34</v>
      </c>
      <c r="D38" s="4" t="s">
        <v>39</v>
      </c>
      <c r="E38" s="4" t="s">
        <v>25</v>
      </c>
      <c r="F38" s="4" t="s">
        <v>25</v>
      </c>
      <c r="G38" s="4" t="s">
        <v>25</v>
      </c>
      <c r="H38" s="4" t="s">
        <v>36</v>
      </c>
      <c r="I38" s="5">
        <v>44470</v>
      </c>
      <c r="J38" s="6">
        <v>0</v>
      </c>
      <c r="K38" s="6">
        <v>0</v>
      </c>
      <c r="L38" s="6">
        <v>5.1479999999999997</v>
      </c>
      <c r="M38" s="6">
        <v>5.1479999999999997</v>
      </c>
      <c r="N38" s="6">
        <v>5.1479999999999997</v>
      </c>
      <c r="O38" s="6">
        <v>5.1479999999999997</v>
      </c>
      <c r="P38" s="6">
        <v>0</v>
      </c>
      <c r="Q38" s="4" t="s">
        <v>26</v>
      </c>
      <c r="R38" s="4">
        <v>0</v>
      </c>
      <c r="S38" s="4" t="s">
        <v>123</v>
      </c>
      <c r="T38" s="4" t="s">
        <v>268</v>
      </c>
      <c r="U38" s="4">
        <v>0</v>
      </c>
      <c r="V38" s="4">
        <v>47</v>
      </c>
      <c r="W38" s="4">
        <v>27</v>
      </c>
    </row>
    <row r="39" spans="1:23" ht="11.25" customHeight="1" x14ac:dyDescent="0.25">
      <c r="A39" s="4" t="s">
        <v>21</v>
      </c>
      <c r="B39" s="4" t="s">
        <v>33</v>
      </c>
      <c r="C39" s="4" t="s">
        <v>34</v>
      </c>
      <c r="D39" s="4" t="s">
        <v>39</v>
      </c>
      <c r="E39" s="4" t="s">
        <v>25</v>
      </c>
      <c r="F39" s="4" t="s">
        <v>25</v>
      </c>
      <c r="G39" s="4" t="s">
        <v>25</v>
      </c>
      <c r="H39" s="4" t="s">
        <v>36</v>
      </c>
      <c r="I39" s="5">
        <v>44501</v>
      </c>
      <c r="J39" s="6">
        <v>0</v>
      </c>
      <c r="K39" s="6">
        <v>0</v>
      </c>
      <c r="L39" s="6">
        <v>285.875</v>
      </c>
      <c r="M39" s="6">
        <v>285.875</v>
      </c>
      <c r="N39" s="6">
        <v>285.875</v>
      </c>
      <c r="O39" s="6">
        <v>285.875</v>
      </c>
      <c r="P39" s="6">
        <v>0</v>
      </c>
      <c r="Q39" s="4" t="s">
        <v>26</v>
      </c>
      <c r="R39" s="4">
        <v>0</v>
      </c>
      <c r="S39" s="4" t="s">
        <v>124</v>
      </c>
      <c r="T39" s="4" t="s">
        <v>269</v>
      </c>
      <c r="U39" s="4">
        <v>0</v>
      </c>
      <c r="V39" s="4">
        <v>47</v>
      </c>
      <c r="W39" s="4">
        <v>27</v>
      </c>
    </row>
    <row r="40" spans="1:23" ht="11.25" customHeight="1" x14ac:dyDescent="0.25">
      <c r="A40" s="4" t="s">
        <v>21</v>
      </c>
      <c r="B40" s="4" t="s">
        <v>33</v>
      </c>
      <c r="C40" s="4" t="s">
        <v>34</v>
      </c>
      <c r="D40" s="4" t="s">
        <v>39</v>
      </c>
      <c r="E40" s="4" t="s">
        <v>25</v>
      </c>
      <c r="F40" s="4" t="s">
        <v>25</v>
      </c>
      <c r="G40" s="4" t="s">
        <v>25</v>
      </c>
      <c r="H40" s="4" t="s">
        <v>36</v>
      </c>
      <c r="I40" s="5">
        <v>44531</v>
      </c>
      <c r="J40" s="6">
        <v>0</v>
      </c>
      <c r="K40" s="6">
        <v>0</v>
      </c>
      <c r="L40" s="6">
        <v>293.13</v>
      </c>
      <c r="M40" s="6">
        <v>293.13</v>
      </c>
      <c r="N40" s="6">
        <v>293.13</v>
      </c>
      <c r="O40" s="6">
        <v>293.13</v>
      </c>
      <c r="P40" s="6">
        <v>0</v>
      </c>
      <c r="Q40" s="4" t="s">
        <v>26</v>
      </c>
      <c r="R40" s="4">
        <v>0</v>
      </c>
      <c r="S40" s="4" t="s">
        <v>125</v>
      </c>
      <c r="T40" s="4" t="s">
        <v>270</v>
      </c>
      <c r="U40" s="4">
        <v>0</v>
      </c>
      <c r="V40" s="4">
        <v>47</v>
      </c>
      <c r="W40" s="4">
        <v>27</v>
      </c>
    </row>
    <row r="41" spans="1:23" ht="11.25" customHeight="1" x14ac:dyDescent="0.25">
      <c r="A41" s="4" t="s">
        <v>21</v>
      </c>
      <c r="B41" s="4" t="s">
        <v>33</v>
      </c>
      <c r="C41" s="4" t="s">
        <v>34</v>
      </c>
      <c r="D41" s="4" t="s">
        <v>39</v>
      </c>
      <c r="E41" s="4" t="s">
        <v>25</v>
      </c>
      <c r="F41" s="4" t="s">
        <v>25</v>
      </c>
      <c r="G41" s="4" t="s">
        <v>25</v>
      </c>
      <c r="H41" s="4" t="s">
        <v>36</v>
      </c>
      <c r="I41" s="5">
        <v>44562</v>
      </c>
      <c r="J41" s="6">
        <v>0</v>
      </c>
      <c r="K41" s="6">
        <v>0</v>
      </c>
      <c r="L41" s="6">
        <v>302.39600000000002</v>
      </c>
      <c r="M41" s="6">
        <v>302.39600000000002</v>
      </c>
      <c r="N41" s="6">
        <v>302.39600000000002</v>
      </c>
      <c r="O41" s="6">
        <v>302.39600000000002</v>
      </c>
      <c r="P41" s="6">
        <v>0</v>
      </c>
      <c r="Q41" s="4" t="s">
        <v>26</v>
      </c>
      <c r="R41" s="4">
        <v>0</v>
      </c>
      <c r="S41" s="4" t="s">
        <v>126</v>
      </c>
      <c r="T41" s="4" t="s">
        <v>271</v>
      </c>
      <c r="U41" s="4">
        <v>0</v>
      </c>
      <c r="V41" s="4">
        <v>47</v>
      </c>
      <c r="W41" s="4">
        <v>27</v>
      </c>
    </row>
    <row r="42" spans="1:23" ht="11.25" customHeight="1" x14ac:dyDescent="0.25">
      <c r="A42" s="4" t="s">
        <v>21</v>
      </c>
      <c r="B42" s="4" t="s">
        <v>33</v>
      </c>
      <c r="C42" s="4" t="s">
        <v>34</v>
      </c>
      <c r="D42" s="4" t="s">
        <v>39</v>
      </c>
      <c r="E42" s="4" t="s">
        <v>25</v>
      </c>
      <c r="F42" s="4" t="s">
        <v>25</v>
      </c>
      <c r="G42" s="4" t="s">
        <v>25</v>
      </c>
      <c r="H42" s="4" t="s">
        <v>36</v>
      </c>
      <c r="I42" s="5">
        <v>44593</v>
      </c>
      <c r="J42" s="6">
        <v>0</v>
      </c>
      <c r="K42" s="6">
        <v>0</v>
      </c>
      <c r="L42" s="6">
        <v>339.04399999999998</v>
      </c>
      <c r="M42" s="6">
        <v>339.04399999999998</v>
      </c>
      <c r="N42" s="6">
        <v>339.04399999999998</v>
      </c>
      <c r="O42" s="6">
        <v>339.04399999999998</v>
      </c>
      <c r="P42" s="6">
        <v>0</v>
      </c>
      <c r="Q42" s="4" t="s">
        <v>26</v>
      </c>
      <c r="R42" s="4">
        <v>0</v>
      </c>
      <c r="S42" s="4" t="s">
        <v>127</v>
      </c>
      <c r="T42" s="4" t="s">
        <v>272</v>
      </c>
      <c r="U42" s="4">
        <v>0</v>
      </c>
      <c r="V42" s="4">
        <v>47</v>
      </c>
      <c r="W42" s="4">
        <v>27</v>
      </c>
    </row>
    <row r="43" spans="1:23" ht="11.25" customHeight="1" x14ac:dyDescent="0.25">
      <c r="A43" s="4" t="s">
        <v>54</v>
      </c>
      <c r="B43" s="4" t="s">
        <v>33</v>
      </c>
      <c r="C43" s="4" t="s">
        <v>34</v>
      </c>
      <c r="D43" s="4" t="s">
        <v>39</v>
      </c>
      <c r="E43" s="4" t="s">
        <v>25</v>
      </c>
      <c r="F43" s="4" t="s">
        <v>25</v>
      </c>
      <c r="G43" s="4" t="s">
        <v>25</v>
      </c>
      <c r="H43" s="4" t="s">
        <v>36</v>
      </c>
      <c r="I43" s="5">
        <v>44621</v>
      </c>
      <c r="J43" s="6">
        <v>0</v>
      </c>
      <c r="K43" s="6">
        <v>0</v>
      </c>
      <c r="L43" s="6">
        <v>339.04399999999998</v>
      </c>
      <c r="M43" s="6">
        <v>339.04399999999998</v>
      </c>
      <c r="N43" s="6">
        <v>339.04399999999998</v>
      </c>
      <c r="O43" s="6">
        <v>339.04399999999998</v>
      </c>
      <c r="P43" s="6">
        <v>0</v>
      </c>
      <c r="Q43" s="4" t="s">
        <v>26</v>
      </c>
      <c r="R43" s="4">
        <v>0</v>
      </c>
      <c r="S43" s="4" t="s">
        <v>128</v>
      </c>
      <c r="T43" s="4" t="s">
        <v>273</v>
      </c>
      <c r="U43" s="4">
        <v>0</v>
      </c>
      <c r="V43" s="4">
        <v>47</v>
      </c>
      <c r="W43" s="4">
        <v>27</v>
      </c>
    </row>
    <row r="44" spans="1:23" ht="11.25" customHeight="1" x14ac:dyDescent="0.25">
      <c r="A44" s="4" t="s">
        <v>21</v>
      </c>
      <c r="B44" s="4" t="s">
        <v>33</v>
      </c>
      <c r="C44" s="4" t="s">
        <v>34</v>
      </c>
      <c r="D44" s="4" t="s">
        <v>39</v>
      </c>
      <c r="E44" s="4" t="s">
        <v>25</v>
      </c>
      <c r="F44" s="4" t="s">
        <v>25</v>
      </c>
      <c r="G44" s="4" t="s">
        <v>25</v>
      </c>
      <c r="H44" s="4" t="s">
        <v>25</v>
      </c>
      <c r="I44" s="5">
        <v>44287</v>
      </c>
      <c r="J44" s="6">
        <v>2379</v>
      </c>
      <c r="K44" s="6">
        <v>2379</v>
      </c>
      <c r="L44" s="6">
        <v>0</v>
      </c>
      <c r="M44" s="6">
        <v>0</v>
      </c>
      <c r="N44" s="6">
        <v>0</v>
      </c>
      <c r="O44" s="6">
        <v>0</v>
      </c>
      <c r="P44" s="6">
        <v>17</v>
      </c>
      <c r="Q44" s="4" t="s">
        <v>26</v>
      </c>
      <c r="R44" s="4">
        <v>0</v>
      </c>
      <c r="S44" s="4" t="s">
        <v>129</v>
      </c>
      <c r="U44" s="4">
        <v>65</v>
      </c>
      <c r="V44" s="4">
        <v>0</v>
      </c>
      <c r="W44" s="4">
        <v>0</v>
      </c>
    </row>
    <row r="45" spans="1:23" ht="11.25" customHeight="1" x14ac:dyDescent="0.25">
      <c r="A45" s="4" t="s">
        <v>28</v>
      </c>
      <c r="B45" s="4" t="s">
        <v>33</v>
      </c>
      <c r="C45" s="4" t="s">
        <v>34</v>
      </c>
      <c r="D45" s="4" t="s">
        <v>39</v>
      </c>
      <c r="E45" s="4" t="s">
        <v>25</v>
      </c>
      <c r="F45" s="4" t="s">
        <v>25</v>
      </c>
      <c r="G45" s="4" t="s">
        <v>25</v>
      </c>
      <c r="H45" s="4" t="s">
        <v>25</v>
      </c>
      <c r="I45" s="5">
        <v>44287</v>
      </c>
      <c r="J45" s="6">
        <v>330</v>
      </c>
      <c r="K45" s="6">
        <v>330</v>
      </c>
      <c r="L45" s="6">
        <v>0</v>
      </c>
      <c r="M45" s="6">
        <v>0</v>
      </c>
      <c r="N45" s="6">
        <v>0</v>
      </c>
      <c r="O45" s="6">
        <v>0</v>
      </c>
      <c r="P45" s="6">
        <v>1</v>
      </c>
      <c r="Q45" s="4" t="s">
        <v>26</v>
      </c>
      <c r="R45" s="4">
        <v>0</v>
      </c>
      <c r="S45" s="4" t="s">
        <v>129</v>
      </c>
      <c r="U45" s="4">
        <v>65</v>
      </c>
      <c r="V45" s="4">
        <v>0</v>
      </c>
      <c r="W45" s="4">
        <v>0</v>
      </c>
    </row>
    <row r="46" spans="1:23" ht="11.25" customHeight="1" x14ac:dyDescent="0.25">
      <c r="A46" s="4" t="s">
        <v>21</v>
      </c>
      <c r="B46" s="4" t="s">
        <v>33</v>
      </c>
      <c r="C46" s="4" t="s">
        <v>34</v>
      </c>
      <c r="D46" s="4" t="s">
        <v>39</v>
      </c>
      <c r="E46" s="4" t="s">
        <v>25</v>
      </c>
      <c r="F46" s="4" t="s">
        <v>25</v>
      </c>
      <c r="G46" s="4" t="s">
        <v>25</v>
      </c>
      <c r="H46" s="4" t="s">
        <v>25</v>
      </c>
      <c r="I46" s="5">
        <v>44317</v>
      </c>
      <c r="J46" s="6">
        <v>2071</v>
      </c>
      <c r="K46" s="6">
        <v>2071</v>
      </c>
      <c r="L46" s="6">
        <v>0</v>
      </c>
      <c r="M46" s="6">
        <v>0</v>
      </c>
      <c r="N46" s="6">
        <v>0</v>
      </c>
      <c r="O46" s="6">
        <v>0</v>
      </c>
      <c r="P46" s="6">
        <v>16</v>
      </c>
      <c r="Q46" s="4" t="s">
        <v>26</v>
      </c>
      <c r="R46" s="4">
        <v>0</v>
      </c>
      <c r="S46" s="4" t="s">
        <v>130</v>
      </c>
      <c r="U46" s="4">
        <v>65</v>
      </c>
      <c r="V46" s="4">
        <v>0</v>
      </c>
      <c r="W46" s="4">
        <v>0</v>
      </c>
    </row>
    <row r="47" spans="1:23" ht="11.25" customHeight="1" x14ac:dyDescent="0.25">
      <c r="A47" s="4" t="s">
        <v>28</v>
      </c>
      <c r="B47" s="4" t="s">
        <v>33</v>
      </c>
      <c r="C47" s="4" t="s">
        <v>34</v>
      </c>
      <c r="D47" s="4" t="s">
        <v>39</v>
      </c>
      <c r="E47" s="4" t="s">
        <v>25</v>
      </c>
      <c r="F47" s="4" t="s">
        <v>25</v>
      </c>
      <c r="G47" s="4" t="s">
        <v>25</v>
      </c>
      <c r="H47" s="4" t="s">
        <v>25</v>
      </c>
      <c r="I47" s="5">
        <v>44317</v>
      </c>
      <c r="J47" s="6">
        <v>330</v>
      </c>
      <c r="K47" s="6">
        <v>330</v>
      </c>
      <c r="L47" s="6">
        <v>0</v>
      </c>
      <c r="M47" s="6">
        <v>0</v>
      </c>
      <c r="N47" s="6">
        <v>0</v>
      </c>
      <c r="O47" s="6">
        <v>0</v>
      </c>
      <c r="P47" s="6">
        <v>1</v>
      </c>
      <c r="Q47" s="4" t="s">
        <v>26</v>
      </c>
      <c r="R47" s="4">
        <v>0</v>
      </c>
      <c r="S47" s="4" t="s">
        <v>130</v>
      </c>
      <c r="U47" s="4">
        <v>65</v>
      </c>
      <c r="V47" s="4">
        <v>0</v>
      </c>
      <c r="W47" s="4">
        <v>0</v>
      </c>
    </row>
    <row r="48" spans="1:23" ht="11.25" customHeight="1" x14ac:dyDescent="0.25">
      <c r="A48" s="4" t="s">
        <v>21</v>
      </c>
      <c r="B48" s="4" t="s">
        <v>33</v>
      </c>
      <c r="C48" s="4" t="s">
        <v>34</v>
      </c>
      <c r="D48" s="4" t="s">
        <v>39</v>
      </c>
      <c r="E48" s="4" t="s">
        <v>25</v>
      </c>
      <c r="F48" s="4" t="s">
        <v>25</v>
      </c>
      <c r="G48" s="4" t="s">
        <v>25</v>
      </c>
      <c r="H48" s="4" t="s">
        <v>25</v>
      </c>
      <c r="I48" s="5">
        <v>44348</v>
      </c>
      <c r="J48" s="6">
        <v>2040</v>
      </c>
      <c r="K48" s="6">
        <v>2040</v>
      </c>
      <c r="L48" s="6">
        <v>0</v>
      </c>
      <c r="M48" s="6">
        <v>0</v>
      </c>
      <c r="N48" s="6">
        <v>0</v>
      </c>
      <c r="O48" s="6">
        <v>0</v>
      </c>
      <c r="P48" s="6">
        <v>15</v>
      </c>
      <c r="Q48" s="4" t="s">
        <v>26</v>
      </c>
      <c r="R48" s="4">
        <v>0</v>
      </c>
      <c r="S48" s="4" t="s">
        <v>131</v>
      </c>
      <c r="U48" s="4">
        <v>65</v>
      </c>
      <c r="V48" s="4">
        <v>0</v>
      </c>
      <c r="W48" s="4">
        <v>0</v>
      </c>
    </row>
    <row r="49" spans="1:23" ht="11.25" customHeight="1" x14ac:dyDescent="0.25">
      <c r="A49" s="4" t="s">
        <v>28</v>
      </c>
      <c r="B49" s="4" t="s">
        <v>33</v>
      </c>
      <c r="C49" s="4" t="s">
        <v>34</v>
      </c>
      <c r="D49" s="4" t="s">
        <v>39</v>
      </c>
      <c r="E49" s="4" t="s">
        <v>25</v>
      </c>
      <c r="F49" s="4" t="s">
        <v>25</v>
      </c>
      <c r="G49" s="4" t="s">
        <v>25</v>
      </c>
      <c r="H49" s="4" t="s">
        <v>25</v>
      </c>
      <c r="I49" s="5">
        <v>44348</v>
      </c>
      <c r="J49" s="6">
        <v>330</v>
      </c>
      <c r="K49" s="6">
        <v>330</v>
      </c>
      <c r="L49" s="6">
        <v>0</v>
      </c>
      <c r="M49" s="6">
        <v>0</v>
      </c>
      <c r="N49" s="6">
        <v>0</v>
      </c>
      <c r="O49" s="6">
        <v>0</v>
      </c>
      <c r="P49" s="6">
        <v>1</v>
      </c>
      <c r="Q49" s="4" t="s">
        <v>26</v>
      </c>
      <c r="R49" s="4">
        <v>0</v>
      </c>
      <c r="S49" s="4" t="s">
        <v>131</v>
      </c>
      <c r="U49" s="4">
        <v>65</v>
      </c>
      <c r="V49" s="4">
        <v>0</v>
      </c>
      <c r="W49" s="4">
        <v>0</v>
      </c>
    </row>
    <row r="50" spans="1:23" ht="11.25" customHeight="1" x14ac:dyDescent="0.25">
      <c r="A50" s="4" t="s">
        <v>21</v>
      </c>
      <c r="B50" s="4" t="s">
        <v>33</v>
      </c>
      <c r="C50" s="4" t="s">
        <v>34</v>
      </c>
      <c r="D50" s="4" t="s">
        <v>39</v>
      </c>
      <c r="E50" s="4" t="s">
        <v>25</v>
      </c>
      <c r="F50" s="4" t="s">
        <v>25</v>
      </c>
      <c r="G50" s="4" t="s">
        <v>25</v>
      </c>
      <c r="H50" s="4" t="s">
        <v>25</v>
      </c>
      <c r="I50" s="5">
        <v>44378</v>
      </c>
      <c r="J50" s="6">
        <v>2061</v>
      </c>
      <c r="K50" s="6">
        <v>2061</v>
      </c>
      <c r="L50" s="6">
        <v>0</v>
      </c>
      <c r="M50" s="6">
        <v>0</v>
      </c>
      <c r="N50" s="6">
        <v>0</v>
      </c>
      <c r="O50" s="6">
        <v>0</v>
      </c>
      <c r="P50" s="6">
        <v>15</v>
      </c>
      <c r="Q50" s="4" t="s">
        <v>26</v>
      </c>
      <c r="R50" s="4">
        <v>0</v>
      </c>
      <c r="S50" s="4" t="s">
        <v>132</v>
      </c>
      <c r="U50" s="4">
        <v>65</v>
      </c>
      <c r="V50" s="4">
        <v>0</v>
      </c>
      <c r="W50" s="4">
        <v>0</v>
      </c>
    </row>
    <row r="51" spans="1:23" ht="11.25" customHeight="1" x14ac:dyDescent="0.25">
      <c r="A51" s="4" t="s">
        <v>28</v>
      </c>
      <c r="B51" s="4" t="s">
        <v>33</v>
      </c>
      <c r="C51" s="4" t="s">
        <v>34</v>
      </c>
      <c r="D51" s="4" t="s">
        <v>39</v>
      </c>
      <c r="E51" s="4" t="s">
        <v>25</v>
      </c>
      <c r="F51" s="4" t="s">
        <v>25</v>
      </c>
      <c r="G51" s="4" t="s">
        <v>25</v>
      </c>
      <c r="H51" s="4" t="s">
        <v>25</v>
      </c>
      <c r="I51" s="5">
        <v>44378</v>
      </c>
      <c r="J51" s="6">
        <v>330</v>
      </c>
      <c r="K51" s="6">
        <v>330</v>
      </c>
      <c r="L51" s="6">
        <v>0</v>
      </c>
      <c r="M51" s="6">
        <v>0</v>
      </c>
      <c r="N51" s="6">
        <v>0</v>
      </c>
      <c r="O51" s="6">
        <v>0</v>
      </c>
      <c r="P51" s="6">
        <v>1</v>
      </c>
      <c r="Q51" s="4" t="s">
        <v>26</v>
      </c>
      <c r="R51" s="4">
        <v>0</v>
      </c>
      <c r="S51" s="4" t="s">
        <v>132</v>
      </c>
      <c r="U51" s="4">
        <v>65</v>
      </c>
      <c r="V51" s="4">
        <v>0</v>
      </c>
      <c r="W51" s="4">
        <v>0</v>
      </c>
    </row>
    <row r="52" spans="1:23" ht="11.25" customHeight="1" x14ac:dyDescent="0.25">
      <c r="A52" s="4" t="s">
        <v>21</v>
      </c>
      <c r="B52" s="4" t="s">
        <v>33</v>
      </c>
      <c r="C52" s="4" t="s">
        <v>34</v>
      </c>
      <c r="D52" s="4" t="s">
        <v>39</v>
      </c>
      <c r="E52" s="4" t="s">
        <v>25</v>
      </c>
      <c r="F52" s="4" t="s">
        <v>25</v>
      </c>
      <c r="G52" s="4" t="s">
        <v>25</v>
      </c>
      <c r="H52" s="4" t="s">
        <v>25</v>
      </c>
      <c r="I52" s="5">
        <v>44409</v>
      </c>
      <c r="J52" s="6">
        <v>2146</v>
      </c>
      <c r="K52" s="6">
        <v>2146</v>
      </c>
      <c r="L52" s="6">
        <v>0</v>
      </c>
      <c r="M52" s="6">
        <v>0</v>
      </c>
      <c r="N52" s="6">
        <v>0</v>
      </c>
      <c r="O52" s="6">
        <v>0</v>
      </c>
      <c r="P52" s="6">
        <v>15</v>
      </c>
      <c r="Q52" s="4" t="s">
        <v>26</v>
      </c>
      <c r="R52" s="4">
        <v>0</v>
      </c>
      <c r="S52" s="4" t="s">
        <v>133</v>
      </c>
      <c r="U52" s="4">
        <v>65</v>
      </c>
      <c r="V52" s="4">
        <v>0</v>
      </c>
      <c r="W52" s="4">
        <v>0</v>
      </c>
    </row>
    <row r="53" spans="1:23" ht="11.25" customHeight="1" x14ac:dyDescent="0.25">
      <c r="A53" s="4" t="s">
        <v>28</v>
      </c>
      <c r="B53" s="4" t="s">
        <v>33</v>
      </c>
      <c r="C53" s="4" t="s">
        <v>34</v>
      </c>
      <c r="D53" s="4" t="s">
        <v>39</v>
      </c>
      <c r="E53" s="4" t="s">
        <v>25</v>
      </c>
      <c r="F53" s="4" t="s">
        <v>25</v>
      </c>
      <c r="G53" s="4" t="s">
        <v>25</v>
      </c>
      <c r="H53" s="4" t="s">
        <v>25</v>
      </c>
      <c r="I53" s="5">
        <v>44409</v>
      </c>
      <c r="J53" s="6">
        <v>330</v>
      </c>
      <c r="K53" s="6">
        <v>330</v>
      </c>
      <c r="L53" s="6">
        <v>0</v>
      </c>
      <c r="M53" s="6">
        <v>0</v>
      </c>
      <c r="N53" s="6">
        <v>0</v>
      </c>
      <c r="O53" s="6">
        <v>0</v>
      </c>
      <c r="P53" s="6">
        <v>1</v>
      </c>
      <c r="Q53" s="4" t="s">
        <v>26</v>
      </c>
      <c r="R53" s="4">
        <v>0</v>
      </c>
      <c r="S53" s="4" t="s">
        <v>133</v>
      </c>
      <c r="U53" s="4">
        <v>65</v>
      </c>
      <c r="V53" s="4">
        <v>0</v>
      </c>
      <c r="W53" s="4">
        <v>0</v>
      </c>
    </row>
    <row r="54" spans="1:23" ht="11.25" customHeight="1" x14ac:dyDescent="0.25">
      <c r="A54" s="4" t="s">
        <v>21</v>
      </c>
      <c r="B54" s="4" t="s">
        <v>33</v>
      </c>
      <c r="C54" s="4" t="s">
        <v>34</v>
      </c>
      <c r="D54" s="4" t="s">
        <v>39</v>
      </c>
      <c r="E54" s="4" t="s">
        <v>25</v>
      </c>
      <c r="F54" s="4" t="s">
        <v>25</v>
      </c>
      <c r="G54" s="4" t="s">
        <v>25</v>
      </c>
      <c r="H54" s="4" t="s">
        <v>25</v>
      </c>
      <c r="I54" s="5">
        <v>44440</v>
      </c>
      <c r="J54" s="6">
        <v>2044</v>
      </c>
      <c r="K54" s="6">
        <v>2044</v>
      </c>
      <c r="L54" s="6">
        <v>0</v>
      </c>
      <c r="M54" s="6">
        <v>0</v>
      </c>
      <c r="N54" s="6">
        <v>0</v>
      </c>
      <c r="O54" s="6">
        <v>0</v>
      </c>
      <c r="P54" s="6">
        <v>15</v>
      </c>
      <c r="Q54" s="4" t="s">
        <v>26</v>
      </c>
      <c r="R54" s="4">
        <v>0</v>
      </c>
      <c r="S54" s="4" t="s">
        <v>134</v>
      </c>
      <c r="U54" s="4">
        <v>65</v>
      </c>
      <c r="V54" s="4">
        <v>0</v>
      </c>
      <c r="W54" s="4">
        <v>0</v>
      </c>
    </row>
    <row r="55" spans="1:23" ht="11.25" customHeight="1" x14ac:dyDescent="0.25">
      <c r="A55" s="4" t="s">
        <v>28</v>
      </c>
      <c r="B55" s="4" t="s">
        <v>33</v>
      </c>
      <c r="C55" s="4" t="s">
        <v>34</v>
      </c>
      <c r="D55" s="4" t="s">
        <v>39</v>
      </c>
      <c r="E55" s="4" t="s">
        <v>25</v>
      </c>
      <c r="F55" s="4" t="s">
        <v>25</v>
      </c>
      <c r="G55" s="4" t="s">
        <v>25</v>
      </c>
      <c r="H55" s="4" t="s">
        <v>25</v>
      </c>
      <c r="I55" s="5">
        <v>44440</v>
      </c>
      <c r="J55" s="6">
        <v>330</v>
      </c>
      <c r="K55" s="6">
        <v>330</v>
      </c>
      <c r="L55" s="6">
        <v>0</v>
      </c>
      <c r="M55" s="6">
        <v>0</v>
      </c>
      <c r="N55" s="6">
        <v>0</v>
      </c>
      <c r="O55" s="6">
        <v>0</v>
      </c>
      <c r="P55" s="6">
        <v>1</v>
      </c>
      <c r="Q55" s="4" t="s">
        <v>26</v>
      </c>
      <c r="R55" s="4">
        <v>0</v>
      </c>
      <c r="S55" s="4" t="s">
        <v>134</v>
      </c>
      <c r="U55" s="4">
        <v>65</v>
      </c>
      <c r="V55" s="4">
        <v>0</v>
      </c>
      <c r="W55" s="4">
        <v>0</v>
      </c>
    </row>
    <row r="56" spans="1:23" ht="11.25" customHeight="1" x14ac:dyDescent="0.25">
      <c r="A56" s="4" t="s">
        <v>21</v>
      </c>
      <c r="B56" s="4" t="s">
        <v>33</v>
      </c>
      <c r="C56" s="4" t="s">
        <v>34</v>
      </c>
      <c r="D56" s="4" t="s">
        <v>39</v>
      </c>
      <c r="E56" s="4" t="s">
        <v>25</v>
      </c>
      <c r="F56" s="4" t="s">
        <v>25</v>
      </c>
      <c r="G56" s="4" t="s">
        <v>25</v>
      </c>
      <c r="H56" s="4" t="s">
        <v>25</v>
      </c>
      <c r="I56" s="5">
        <v>44470</v>
      </c>
      <c r="J56" s="6">
        <v>2011</v>
      </c>
      <c r="K56" s="6">
        <v>2011</v>
      </c>
      <c r="L56" s="6">
        <v>0</v>
      </c>
      <c r="M56" s="6">
        <v>0</v>
      </c>
      <c r="N56" s="6">
        <v>0</v>
      </c>
      <c r="O56" s="6">
        <v>0</v>
      </c>
      <c r="P56" s="6">
        <v>15</v>
      </c>
      <c r="Q56" s="4" t="s">
        <v>26</v>
      </c>
      <c r="R56" s="4">
        <v>0</v>
      </c>
      <c r="S56" s="4" t="s">
        <v>135</v>
      </c>
      <c r="U56" s="4">
        <v>65</v>
      </c>
      <c r="V56" s="4">
        <v>0</v>
      </c>
      <c r="W56" s="4">
        <v>0</v>
      </c>
    </row>
    <row r="57" spans="1:23" ht="11.25" customHeight="1" x14ac:dyDescent="0.25">
      <c r="A57" s="4" t="s">
        <v>28</v>
      </c>
      <c r="B57" s="4" t="s">
        <v>33</v>
      </c>
      <c r="C57" s="4" t="s">
        <v>34</v>
      </c>
      <c r="D57" s="4" t="s">
        <v>39</v>
      </c>
      <c r="E57" s="4" t="s">
        <v>25</v>
      </c>
      <c r="F57" s="4" t="s">
        <v>25</v>
      </c>
      <c r="G57" s="4" t="s">
        <v>25</v>
      </c>
      <c r="H57" s="4" t="s">
        <v>25</v>
      </c>
      <c r="I57" s="5">
        <v>44470</v>
      </c>
      <c r="J57" s="6">
        <v>330</v>
      </c>
      <c r="K57" s="6">
        <v>330</v>
      </c>
      <c r="L57" s="6">
        <v>0</v>
      </c>
      <c r="M57" s="6">
        <v>0</v>
      </c>
      <c r="N57" s="6">
        <v>0</v>
      </c>
      <c r="O57" s="6">
        <v>0</v>
      </c>
      <c r="P57" s="6">
        <v>1</v>
      </c>
      <c r="Q57" s="4" t="s">
        <v>26</v>
      </c>
      <c r="R57" s="4">
        <v>0</v>
      </c>
      <c r="S57" s="4" t="s">
        <v>135</v>
      </c>
      <c r="U57" s="4">
        <v>65</v>
      </c>
      <c r="V57" s="4">
        <v>0</v>
      </c>
      <c r="W57" s="4">
        <v>0</v>
      </c>
    </row>
    <row r="58" spans="1:23" ht="11.25" customHeight="1" x14ac:dyDescent="0.25">
      <c r="A58" s="4" t="s">
        <v>21</v>
      </c>
      <c r="B58" s="4" t="s">
        <v>33</v>
      </c>
      <c r="C58" s="4" t="s">
        <v>34</v>
      </c>
      <c r="D58" s="4" t="s">
        <v>39</v>
      </c>
      <c r="E58" s="4" t="s">
        <v>25</v>
      </c>
      <c r="F58" s="4" t="s">
        <v>25</v>
      </c>
      <c r="G58" s="4" t="s">
        <v>25</v>
      </c>
      <c r="H58" s="4" t="s">
        <v>25</v>
      </c>
      <c r="I58" s="5">
        <v>44501</v>
      </c>
      <c r="J58" s="6">
        <v>2100</v>
      </c>
      <c r="K58" s="6">
        <v>2100</v>
      </c>
      <c r="L58" s="6">
        <v>0</v>
      </c>
      <c r="M58" s="6">
        <v>0</v>
      </c>
      <c r="N58" s="6">
        <v>0</v>
      </c>
      <c r="O58" s="6">
        <v>0</v>
      </c>
      <c r="P58" s="6">
        <v>15</v>
      </c>
      <c r="Q58" s="4" t="s">
        <v>26</v>
      </c>
      <c r="R58" s="4">
        <v>0</v>
      </c>
      <c r="S58" s="4" t="s">
        <v>136</v>
      </c>
      <c r="U58" s="4">
        <v>65</v>
      </c>
      <c r="V58" s="4">
        <v>0</v>
      </c>
      <c r="W58" s="4">
        <v>0</v>
      </c>
    </row>
    <row r="59" spans="1:23" ht="11.25" customHeight="1" x14ac:dyDescent="0.25">
      <c r="A59" s="4" t="s">
        <v>28</v>
      </c>
      <c r="B59" s="4" t="s">
        <v>33</v>
      </c>
      <c r="C59" s="4" t="s">
        <v>34</v>
      </c>
      <c r="D59" s="4" t="s">
        <v>39</v>
      </c>
      <c r="E59" s="4" t="s">
        <v>25</v>
      </c>
      <c r="F59" s="4" t="s">
        <v>25</v>
      </c>
      <c r="G59" s="4" t="s">
        <v>25</v>
      </c>
      <c r="H59" s="4" t="s">
        <v>25</v>
      </c>
      <c r="I59" s="5">
        <v>44501</v>
      </c>
      <c r="J59" s="6">
        <v>330</v>
      </c>
      <c r="K59" s="6">
        <v>330</v>
      </c>
      <c r="L59" s="6">
        <v>0</v>
      </c>
      <c r="M59" s="6">
        <v>0</v>
      </c>
      <c r="N59" s="6">
        <v>0</v>
      </c>
      <c r="O59" s="6">
        <v>0</v>
      </c>
      <c r="P59" s="6">
        <v>1</v>
      </c>
      <c r="Q59" s="4" t="s">
        <v>26</v>
      </c>
      <c r="R59" s="4">
        <v>0</v>
      </c>
      <c r="S59" s="4" t="s">
        <v>136</v>
      </c>
      <c r="U59" s="4">
        <v>65</v>
      </c>
      <c r="V59" s="4">
        <v>0</v>
      </c>
      <c r="W59" s="4">
        <v>0</v>
      </c>
    </row>
    <row r="60" spans="1:23" ht="11.25" customHeight="1" x14ac:dyDescent="0.25">
      <c r="A60" s="4" t="s">
        <v>21</v>
      </c>
      <c r="B60" s="4" t="s">
        <v>33</v>
      </c>
      <c r="C60" s="4" t="s">
        <v>34</v>
      </c>
      <c r="D60" s="4" t="s">
        <v>39</v>
      </c>
      <c r="E60" s="4" t="s">
        <v>25</v>
      </c>
      <c r="F60" s="4" t="s">
        <v>25</v>
      </c>
      <c r="G60" s="4" t="s">
        <v>25</v>
      </c>
      <c r="H60" s="4" t="s">
        <v>25</v>
      </c>
      <c r="I60" s="5">
        <v>44531</v>
      </c>
      <c r="J60" s="6">
        <v>2082</v>
      </c>
      <c r="K60" s="6">
        <v>2082</v>
      </c>
      <c r="L60" s="6">
        <v>0</v>
      </c>
      <c r="M60" s="6">
        <v>0</v>
      </c>
      <c r="N60" s="6">
        <v>0</v>
      </c>
      <c r="O60" s="6">
        <v>0</v>
      </c>
      <c r="P60" s="6">
        <v>15</v>
      </c>
      <c r="Q60" s="4" t="s">
        <v>26</v>
      </c>
      <c r="R60" s="4">
        <v>0</v>
      </c>
      <c r="S60" s="4" t="s">
        <v>137</v>
      </c>
      <c r="U60" s="4">
        <v>65</v>
      </c>
      <c r="V60" s="4">
        <v>0</v>
      </c>
      <c r="W60" s="4">
        <v>0</v>
      </c>
    </row>
    <row r="61" spans="1:23" ht="11.25" customHeight="1" x14ac:dyDescent="0.25">
      <c r="A61" s="4" t="s">
        <v>28</v>
      </c>
      <c r="B61" s="4" t="s">
        <v>33</v>
      </c>
      <c r="C61" s="4" t="s">
        <v>34</v>
      </c>
      <c r="D61" s="4" t="s">
        <v>39</v>
      </c>
      <c r="E61" s="4" t="s">
        <v>25</v>
      </c>
      <c r="F61" s="4" t="s">
        <v>25</v>
      </c>
      <c r="G61" s="4" t="s">
        <v>25</v>
      </c>
      <c r="H61" s="4" t="s">
        <v>25</v>
      </c>
      <c r="I61" s="5">
        <v>44531</v>
      </c>
      <c r="J61" s="6">
        <v>330</v>
      </c>
      <c r="K61" s="6">
        <v>330</v>
      </c>
      <c r="L61" s="6">
        <v>0</v>
      </c>
      <c r="M61" s="6">
        <v>0</v>
      </c>
      <c r="N61" s="6">
        <v>0</v>
      </c>
      <c r="O61" s="6">
        <v>0</v>
      </c>
      <c r="P61" s="6">
        <v>1</v>
      </c>
      <c r="Q61" s="4" t="s">
        <v>26</v>
      </c>
      <c r="R61" s="4">
        <v>0</v>
      </c>
      <c r="S61" s="4" t="s">
        <v>137</v>
      </c>
      <c r="U61" s="4">
        <v>65</v>
      </c>
      <c r="V61" s="4">
        <v>0</v>
      </c>
      <c r="W61" s="4">
        <v>0</v>
      </c>
    </row>
    <row r="62" spans="1:23" ht="11.25" customHeight="1" x14ac:dyDescent="0.25">
      <c r="A62" s="4" t="s">
        <v>21</v>
      </c>
      <c r="B62" s="4" t="s">
        <v>33</v>
      </c>
      <c r="C62" s="4" t="s">
        <v>34</v>
      </c>
      <c r="D62" s="4" t="s">
        <v>39</v>
      </c>
      <c r="E62" s="4" t="s">
        <v>25</v>
      </c>
      <c r="F62" s="4" t="s">
        <v>25</v>
      </c>
      <c r="G62" s="4" t="s">
        <v>25</v>
      </c>
      <c r="H62" s="4" t="s">
        <v>25</v>
      </c>
      <c r="I62" s="5">
        <v>44562</v>
      </c>
      <c r="J62" s="6">
        <v>2105</v>
      </c>
      <c r="K62" s="6">
        <v>2105</v>
      </c>
      <c r="L62" s="6">
        <v>0</v>
      </c>
      <c r="M62" s="6">
        <v>0</v>
      </c>
      <c r="N62" s="6">
        <v>0</v>
      </c>
      <c r="O62" s="6">
        <v>0</v>
      </c>
      <c r="P62" s="6">
        <v>15</v>
      </c>
      <c r="Q62" s="4" t="s">
        <v>26</v>
      </c>
      <c r="R62" s="4">
        <v>0</v>
      </c>
      <c r="S62" s="4" t="s">
        <v>138</v>
      </c>
      <c r="U62" s="4">
        <v>65</v>
      </c>
      <c r="V62" s="4">
        <v>0</v>
      </c>
      <c r="W62" s="4">
        <v>0</v>
      </c>
    </row>
    <row r="63" spans="1:23" ht="11.25" customHeight="1" x14ac:dyDescent="0.25">
      <c r="A63" s="4" t="s">
        <v>28</v>
      </c>
      <c r="B63" s="4" t="s">
        <v>33</v>
      </c>
      <c r="C63" s="4" t="s">
        <v>34</v>
      </c>
      <c r="D63" s="4" t="s">
        <v>39</v>
      </c>
      <c r="E63" s="4" t="s">
        <v>25</v>
      </c>
      <c r="F63" s="4" t="s">
        <v>25</v>
      </c>
      <c r="G63" s="4" t="s">
        <v>25</v>
      </c>
      <c r="H63" s="4" t="s">
        <v>25</v>
      </c>
      <c r="I63" s="5">
        <v>44562</v>
      </c>
      <c r="J63" s="6">
        <v>330</v>
      </c>
      <c r="K63" s="6">
        <v>330</v>
      </c>
      <c r="L63" s="6">
        <v>0</v>
      </c>
      <c r="M63" s="6">
        <v>0</v>
      </c>
      <c r="N63" s="6">
        <v>0</v>
      </c>
      <c r="O63" s="6">
        <v>0</v>
      </c>
      <c r="P63" s="6">
        <v>1</v>
      </c>
      <c r="Q63" s="4" t="s">
        <v>26</v>
      </c>
      <c r="R63" s="4">
        <v>0</v>
      </c>
      <c r="S63" s="4" t="s">
        <v>138</v>
      </c>
      <c r="U63" s="4">
        <v>65</v>
      </c>
      <c r="V63" s="4">
        <v>0</v>
      </c>
      <c r="W63" s="4">
        <v>0</v>
      </c>
    </row>
    <row r="64" spans="1:23" ht="11.25" customHeight="1" x14ac:dyDescent="0.25">
      <c r="A64" s="4" t="s">
        <v>21</v>
      </c>
      <c r="B64" s="4" t="s">
        <v>33</v>
      </c>
      <c r="C64" s="4" t="s">
        <v>34</v>
      </c>
      <c r="D64" s="4" t="s">
        <v>39</v>
      </c>
      <c r="E64" s="4" t="s">
        <v>25</v>
      </c>
      <c r="F64" s="4" t="s">
        <v>25</v>
      </c>
      <c r="G64" s="4" t="s">
        <v>25</v>
      </c>
      <c r="H64" s="4" t="s">
        <v>25</v>
      </c>
      <c r="I64" s="5">
        <v>44593</v>
      </c>
      <c r="J64" s="6">
        <v>2176</v>
      </c>
      <c r="K64" s="6">
        <v>2176</v>
      </c>
      <c r="L64" s="6">
        <v>0</v>
      </c>
      <c r="M64" s="6">
        <v>0</v>
      </c>
      <c r="N64" s="6">
        <v>0</v>
      </c>
      <c r="O64" s="6">
        <v>0</v>
      </c>
      <c r="P64" s="6">
        <v>16</v>
      </c>
      <c r="Q64" s="4" t="s">
        <v>26</v>
      </c>
      <c r="R64" s="4">
        <v>0</v>
      </c>
      <c r="S64" s="4" t="s">
        <v>139</v>
      </c>
      <c r="U64" s="4">
        <v>65</v>
      </c>
      <c r="V64" s="4">
        <v>0</v>
      </c>
      <c r="W64" s="4">
        <v>0</v>
      </c>
    </row>
    <row r="65" spans="1:23" ht="11.25" customHeight="1" x14ac:dyDescent="0.25">
      <c r="A65" s="4" t="s">
        <v>28</v>
      </c>
      <c r="B65" s="4" t="s">
        <v>33</v>
      </c>
      <c r="C65" s="4" t="s">
        <v>34</v>
      </c>
      <c r="D65" s="4" t="s">
        <v>39</v>
      </c>
      <c r="E65" s="4" t="s">
        <v>25</v>
      </c>
      <c r="F65" s="4" t="s">
        <v>25</v>
      </c>
      <c r="G65" s="4" t="s">
        <v>25</v>
      </c>
      <c r="H65" s="4" t="s">
        <v>25</v>
      </c>
      <c r="I65" s="5">
        <v>44593</v>
      </c>
      <c r="J65" s="6">
        <v>330</v>
      </c>
      <c r="K65" s="6">
        <v>330</v>
      </c>
      <c r="L65" s="6">
        <v>0</v>
      </c>
      <c r="M65" s="6">
        <v>0</v>
      </c>
      <c r="N65" s="6">
        <v>0</v>
      </c>
      <c r="O65" s="6">
        <v>0</v>
      </c>
      <c r="P65" s="6">
        <v>1</v>
      </c>
      <c r="Q65" s="4" t="s">
        <v>26</v>
      </c>
      <c r="R65" s="4">
        <v>0</v>
      </c>
      <c r="S65" s="4" t="s">
        <v>139</v>
      </c>
      <c r="U65" s="4">
        <v>65</v>
      </c>
      <c r="V65" s="4">
        <v>0</v>
      </c>
      <c r="W65" s="4">
        <v>0</v>
      </c>
    </row>
    <row r="66" spans="1:23" ht="11.25" customHeight="1" x14ac:dyDescent="0.25">
      <c r="A66" s="4" t="s">
        <v>54</v>
      </c>
      <c r="B66" s="4" t="s">
        <v>33</v>
      </c>
      <c r="C66" s="4" t="s">
        <v>34</v>
      </c>
      <c r="D66" s="4" t="s">
        <v>39</v>
      </c>
      <c r="E66" s="4" t="s">
        <v>25</v>
      </c>
      <c r="F66" s="4" t="s">
        <v>25</v>
      </c>
      <c r="G66" s="4" t="s">
        <v>25</v>
      </c>
      <c r="H66" s="4" t="s">
        <v>25</v>
      </c>
      <c r="I66" s="5">
        <v>44621</v>
      </c>
      <c r="J66" s="6">
        <v>2176</v>
      </c>
      <c r="K66" s="6">
        <v>2176</v>
      </c>
      <c r="L66" s="6">
        <v>0</v>
      </c>
      <c r="M66" s="6">
        <v>0</v>
      </c>
      <c r="N66" s="6">
        <v>0</v>
      </c>
      <c r="O66" s="6">
        <v>0</v>
      </c>
      <c r="P66" s="6">
        <v>16</v>
      </c>
      <c r="Q66" s="4" t="s">
        <v>26</v>
      </c>
      <c r="R66" s="4">
        <v>0</v>
      </c>
      <c r="S66" s="4" t="s">
        <v>140</v>
      </c>
      <c r="U66" s="4">
        <v>65</v>
      </c>
      <c r="V66" s="4">
        <v>0</v>
      </c>
      <c r="W66" s="4">
        <v>0</v>
      </c>
    </row>
    <row r="67" spans="1:23" ht="11.25" customHeight="1" x14ac:dyDescent="0.25">
      <c r="A67" s="4" t="s">
        <v>54</v>
      </c>
      <c r="B67" s="4" t="s">
        <v>33</v>
      </c>
      <c r="C67" s="4" t="s">
        <v>34</v>
      </c>
      <c r="D67" s="4" t="s">
        <v>39</v>
      </c>
      <c r="E67" s="4" t="s">
        <v>25</v>
      </c>
      <c r="F67" s="4" t="s">
        <v>25</v>
      </c>
      <c r="G67" s="4" t="s">
        <v>25</v>
      </c>
      <c r="H67" s="4" t="s">
        <v>25</v>
      </c>
      <c r="I67" s="5">
        <v>44621</v>
      </c>
      <c r="J67" s="6">
        <v>330</v>
      </c>
      <c r="K67" s="6">
        <v>330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4" t="s">
        <v>26</v>
      </c>
      <c r="R67" s="4">
        <v>0</v>
      </c>
      <c r="S67" s="4" t="s">
        <v>140</v>
      </c>
      <c r="U67" s="4">
        <v>65</v>
      </c>
      <c r="V67" s="4">
        <v>0</v>
      </c>
      <c r="W67" s="4">
        <v>0</v>
      </c>
    </row>
    <row r="68" spans="1:23" ht="11.25" customHeight="1" x14ac:dyDescent="0.25">
      <c r="A68" s="4" t="s">
        <v>21</v>
      </c>
      <c r="B68" s="4" t="s">
        <v>33</v>
      </c>
      <c r="C68" s="4" t="s">
        <v>34</v>
      </c>
      <c r="D68" s="4" t="s">
        <v>39</v>
      </c>
      <c r="E68" s="4" t="s">
        <v>25</v>
      </c>
      <c r="F68" s="4" t="s">
        <v>25</v>
      </c>
      <c r="G68" s="4" t="s">
        <v>25</v>
      </c>
      <c r="H68" s="4" t="s">
        <v>35</v>
      </c>
      <c r="I68" s="5">
        <v>44287</v>
      </c>
      <c r="J68" s="6">
        <v>0</v>
      </c>
      <c r="K68" s="6">
        <v>0</v>
      </c>
      <c r="L68" s="6">
        <v>25.306999999999999</v>
      </c>
      <c r="M68" s="6">
        <v>25.306999999999999</v>
      </c>
      <c r="N68" s="6">
        <v>25.306999999999999</v>
      </c>
      <c r="O68" s="6">
        <v>25.306999999999999</v>
      </c>
      <c r="P68" s="6">
        <v>0</v>
      </c>
      <c r="Q68" s="4" t="s">
        <v>26</v>
      </c>
      <c r="R68" s="4">
        <v>0</v>
      </c>
      <c r="S68" s="4" t="s">
        <v>141</v>
      </c>
      <c r="T68" s="4" t="s">
        <v>274</v>
      </c>
      <c r="U68" s="4">
        <v>0</v>
      </c>
      <c r="V68" s="4">
        <v>66</v>
      </c>
      <c r="W68" s="4">
        <v>6</v>
      </c>
    </row>
    <row r="69" spans="1:23" ht="11.25" customHeight="1" x14ac:dyDescent="0.25">
      <c r="A69" s="4" t="s">
        <v>28</v>
      </c>
      <c r="B69" s="4" t="s">
        <v>33</v>
      </c>
      <c r="C69" s="4" t="s">
        <v>34</v>
      </c>
      <c r="D69" s="4" t="s">
        <v>39</v>
      </c>
      <c r="E69" s="4" t="s">
        <v>25</v>
      </c>
      <c r="F69" s="4" t="s">
        <v>25</v>
      </c>
      <c r="G69" s="4" t="s">
        <v>25</v>
      </c>
      <c r="H69" s="4" t="s">
        <v>35</v>
      </c>
      <c r="I69" s="5">
        <v>44287</v>
      </c>
      <c r="J69" s="6">
        <v>0</v>
      </c>
      <c r="K69" s="6">
        <v>0</v>
      </c>
      <c r="L69" s="6">
        <v>1.698</v>
      </c>
      <c r="M69" s="6">
        <v>1.698</v>
      </c>
      <c r="N69" s="6">
        <v>1.698</v>
      </c>
      <c r="O69" s="6">
        <v>1.698</v>
      </c>
      <c r="P69" s="6">
        <v>0</v>
      </c>
      <c r="Q69" s="4" t="s">
        <v>26</v>
      </c>
      <c r="R69" s="4">
        <v>0</v>
      </c>
      <c r="S69" s="4" t="s">
        <v>141</v>
      </c>
      <c r="T69" s="4" t="s">
        <v>274</v>
      </c>
      <c r="U69" s="4">
        <v>0</v>
      </c>
      <c r="V69" s="4">
        <v>66</v>
      </c>
      <c r="W69" s="4">
        <v>6</v>
      </c>
    </row>
    <row r="70" spans="1:23" ht="11.25" customHeight="1" x14ac:dyDescent="0.25">
      <c r="A70" s="4" t="s">
        <v>21</v>
      </c>
      <c r="B70" s="4" t="s">
        <v>33</v>
      </c>
      <c r="C70" s="4" t="s">
        <v>34</v>
      </c>
      <c r="D70" s="4" t="s">
        <v>39</v>
      </c>
      <c r="E70" s="4" t="s">
        <v>25</v>
      </c>
      <c r="F70" s="4" t="s">
        <v>25</v>
      </c>
      <c r="G70" s="4" t="s">
        <v>25</v>
      </c>
      <c r="H70" s="4" t="s">
        <v>35</v>
      </c>
      <c r="I70" s="5">
        <v>44317</v>
      </c>
      <c r="J70" s="6">
        <v>0</v>
      </c>
      <c r="K70" s="6">
        <v>0</v>
      </c>
      <c r="L70" s="6">
        <v>18.885999999999999</v>
      </c>
      <c r="M70" s="6">
        <v>18.885999999999999</v>
      </c>
      <c r="N70" s="6">
        <v>18.885999999999999</v>
      </c>
      <c r="O70" s="6">
        <v>18.885999999999999</v>
      </c>
      <c r="P70" s="6">
        <v>0</v>
      </c>
      <c r="Q70" s="4" t="s">
        <v>26</v>
      </c>
      <c r="R70" s="4">
        <v>0</v>
      </c>
      <c r="S70" s="4" t="s">
        <v>142</v>
      </c>
      <c r="T70" s="4" t="s">
        <v>275</v>
      </c>
      <c r="U70" s="4">
        <v>0</v>
      </c>
      <c r="V70" s="4">
        <v>66</v>
      </c>
      <c r="W70" s="4">
        <v>6</v>
      </c>
    </row>
    <row r="71" spans="1:23" ht="11.25" customHeight="1" x14ac:dyDescent="0.25">
      <c r="A71" s="4" t="s">
        <v>28</v>
      </c>
      <c r="B71" s="4" t="s">
        <v>33</v>
      </c>
      <c r="C71" s="4" t="s">
        <v>34</v>
      </c>
      <c r="D71" s="4" t="s">
        <v>39</v>
      </c>
      <c r="E71" s="4" t="s">
        <v>25</v>
      </c>
      <c r="F71" s="4" t="s">
        <v>25</v>
      </c>
      <c r="G71" s="4" t="s">
        <v>25</v>
      </c>
      <c r="H71" s="4" t="s">
        <v>35</v>
      </c>
      <c r="I71" s="5">
        <v>44317</v>
      </c>
      <c r="J71" s="6">
        <v>0</v>
      </c>
      <c r="K71" s="6">
        <v>0</v>
      </c>
      <c r="L71" s="6">
        <v>0.66900000000000004</v>
      </c>
      <c r="M71" s="6">
        <v>0.66900000000000004</v>
      </c>
      <c r="N71" s="6">
        <v>0.66900000000000004</v>
      </c>
      <c r="O71" s="6">
        <v>0.66900000000000004</v>
      </c>
      <c r="P71" s="6">
        <v>0</v>
      </c>
      <c r="Q71" s="4" t="s">
        <v>26</v>
      </c>
      <c r="R71" s="4">
        <v>0</v>
      </c>
      <c r="S71" s="4" t="s">
        <v>142</v>
      </c>
      <c r="T71" s="4" t="s">
        <v>275</v>
      </c>
      <c r="U71" s="4">
        <v>0</v>
      </c>
      <c r="V71" s="4">
        <v>66</v>
      </c>
      <c r="W71" s="4">
        <v>6</v>
      </c>
    </row>
    <row r="72" spans="1:23" ht="11.25" customHeight="1" x14ac:dyDescent="0.25">
      <c r="A72" s="4" t="s">
        <v>21</v>
      </c>
      <c r="B72" s="4" t="s">
        <v>33</v>
      </c>
      <c r="C72" s="4" t="s">
        <v>34</v>
      </c>
      <c r="D72" s="4" t="s">
        <v>39</v>
      </c>
      <c r="E72" s="4" t="s">
        <v>25</v>
      </c>
      <c r="F72" s="4" t="s">
        <v>25</v>
      </c>
      <c r="G72" s="4" t="s">
        <v>25</v>
      </c>
      <c r="H72" s="4" t="s">
        <v>35</v>
      </c>
      <c r="I72" s="5">
        <v>44348</v>
      </c>
      <c r="J72" s="6">
        <v>0</v>
      </c>
      <c r="K72" s="6">
        <v>0</v>
      </c>
      <c r="L72" s="6">
        <v>16.326000000000001</v>
      </c>
      <c r="M72" s="6">
        <v>16.326000000000001</v>
      </c>
      <c r="N72" s="6">
        <v>16.326000000000001</v>
      </c>
      <c r="O72" s="6">
        <v>16.326000000000001</v>
      </c>
      <c r="P72" s="6">
        <v>0</v>
      </c>
      <c r="Q72" s="4" t="s">
        <v>26</v>
      </c>
      <c r="R72" s="4">
        <v>0</v>
      </c>
      <c r="S72" s="4" t="s">
        <v>143</v>
      </c>
      <c r="T72" s="4" t="s">
        <v>276</v>
      </c>
      <c r="U72" s="4">
        <v>0</v>
      </c>
      <c r="V72" s="4">
        <v>66</v>
      </c>
      <c r="W72" s="4">
        <v>6</v>
      </c>
    </row>
    <row r="73" spans="1:23" ht="11.25" customHeight="1" x14ac:dyDescent="0.25">
      <c r="A73" s="4" t="s">
        <v>28</v>
      </c>
      <c r="B73" s="4" t="s">
        <v>33</v>
      </c>
      <c r="C73" s="4" t="s">
        <v>34</v>
      </c>
      <c r="D73" s="4" t="s">
        <v>39</v>
      </c>
      <c r="E73" s="4" t="s">
        <v>25</v>
      </c>
      <c r="F73" s="4" t="s">
        <v>25</v>
      </c>
      <c r="G73" s="4" t="s">
        <v>25</v>
      </c>
      <c r="H73" s="4" t="s">
        <v>35</v>
      </c>
      <c r="I73" s="5">
        <v>44348</v>
      </c>
      <c r="J73" s="6">
        <v>0</v>
      </c>
      <c r="K73" s="6">
        <v>0</v>
      </c>
      <c r="L73" s="6">
        <v>1.782</v>
      </c>
      <c r="M73" s="6">
        <v>1.782</v>
      </c>
      <c r="N73" s="6">
        <v>1.782</v>
      </c>
      <c r="O73" s="6">
        <v>1.782</v>
      </c>
      <c r="P73" s="6">
        <v>0</v>
      </c>
      <c r="Q73" s="4" t="s">
        <v>26</v>
      </c>
      <c r="R73" s="4">
        <v>0</v>
      </c>
      <c r="S73" s="4" t="s">
        <v>143</v>
      </c>
      <c r="T73" s="4" t="s">
        <v>276</v>
      </c>
      <c r="U73" s="4">
        <v>0</v>
      </c>
      <c r="V73" s="4">
        <v>66</v>
      </c>
      <c r="W73" s="4">
        <v>6</v>
      </c>
    </row>
    <row r="74" spans="1:23" ht="11.25" customHeight="1" x14ac:dyDescent="0.25">
      <c r="A74" s="4" t="s">
        <v>21</v>
      </c>
      <c r="B74" s="4" t="s">
        <v>33</v>
      </c>
      <c r="C74" s="4" t="s">
        <v>34</v>
      </c>
      <c r="D74" s="4" t="s">
        <v>39</v>
      </c>
      <c r="E74" s="4" t="s">
        <v>25</v>
      </c>
      <c r="F74" s="4" t="s">
        <v>25</v>
      </c>
      <c r="G74" s="4" t="s">
        <v>25</v>
      </c>
      <c r="H74" s="4" t="s">
        <v>35</v>
      </c>
      <c r="I74" s="5">
        <v>44378</v>
      </c>
      <c r="J74" s="6">
        <v>0</v>
      </c>
      <c r="K74" s="6">
        <v>0</v>
      </c>
      <c r="L74" s="6">
        <v>21.773</v>
      </c>
      <c r="M74" s="6">
        <v>21.773</v>
      </c>
      <c r="N74" s="6">
        <v>21.773</v>
      </c>
      <c r="O74" s="6">
        <v>21.773</v>
      </c>
      <c r="P74" s="6">
        <v>0</v>
      </c>
      <c r="Q74" s="4" t="s">
        <v>26</v>
      </c>
      <c r="R74" s="4">
        <v>0</v>
      </c>
      <c r="S74" s="4" t="s">
        <v>144</v>
      </c>
      <c r="T74" s="4" t="s">
        <v>277</v>
      </c>
      <c r="U74" s="4">
        <v>0</v>
      </c>
      <c r="V74" s="4">
        <v>66</v>
      </c>
      <c r="W74" s="4">
        <v>6</v>
      </c>
    </row>
    <row r="75" spans="1:23" ht="11.25" customHeight="1" x14ac:dyDescent="0.25">
      <c r="A75" s="4" t="s">
        <v>28</v>
      </c>
      <c r="B75" s="4" t="s">
        <v>33</v>
      </c>
      <c r="C75" s="4" t="s">
        <v>34</v>
      </c>
      <c r="D75" s="4" t="s">
        <v>39</v>
      </c>
      <c r="E75" s="4" t="s">
        <v>25</v>
      </c>
      <c r="F75" s="4" t="s">
        <v>25</v>
      </c>
      <c r="G75" s="4" t="s">
        <v>25</v>
      </c>
      <c r="H75" s="4" t="s">
        <v>35</v>
      </c>
      <c r="I75" s="5">
        <v>44378</v>
      </c>
      <c r="J75" s="6">
        <v>0</v>
      </c>
      <c r="K75" s="6">
        <v>0</v>
      </c>
      <c r="L75" s="6">
        <v>1.75</v>
      </c>
      <c r="M75" s="6">
        <v>1.75</v>
      </c>
      <c r="N75" s="6">
        <v>1.75</v>
      </c>
      <c r="O75" s="6">
        <v>1.75</v>
      </c>
      <c r="P75" s="6">
        <v>0</v>
      </c>
      <c r="Q75" s="4" t="s">
        <v>26</v>
      </c>
      <c r="R75" s="4">
        <v>0</v>
      </c>
      <c r="S75" s="4" t="s">
        <v>144</v>
      </c>
      <c r="T75" s="4" t="s">
        <v>277</v>
      </c>
      <c r="U75" s="4">
        <v>0</v>
      </c>
      <c r="V75" s="4">
        <v>66</v>
      </c>
      <c r="W75" s="4">
        <v>6</v>
      </c>
    </row>
    <row r="76" spans="1:23" ht="11.25" customHeight="1" x14ac:dyDescent="0.25">
      <c r="A76" s="4" t="s">
        <v>21</v>
      </c>
      <c r="B76" s="4" t="s">
        <v>33</v>
      </c>
      <c r="C76" s="4" t="s">
        <v>34</v>
      </c>
      <c r="D76" s="4" t="s">
        <v>39</v>
      </c>
      <c r="E76" s="4" t="s">
        <v>25</v>
      </c>
      <c r="F76" s="4" t="s">
        <v>25</v>
      </c>
      <c r="G76" s="4" t="s">
        <v>25</v>
      </c>
      <c r="H76" s="4" t="s">
        <v>35</v>
      </c>
      <c r="I76" s="5">
        <v>44409</v>
      </c>
      <c r="J76" s="6">
        <v>0</v>
      </c>
      <c r="K76" s="6">
        <v>0</v>
      </c>
      <c r="L76" s="6">
        <v>27.72</v>
      </c>
      <c r="M76" s="6">
        <v>27.72</v>
      </c>
      <c r="N76" s="6">
        <v>27.72</v>
      </c>
      <c r="O76" s="6">
        <v>27.72</v>
      </c>
      <c r="P76" s="6">
        <v>0</v>
      </c>
      <c r="Q76" s="4" t="s">
        <v>26</v>
      </c>
      <c r="R76" s="4">
        <v>0</v>
      </c>
      <c r="S76" s="4" t="s">
        <v>145</v>
      </c>
      <c r="T76" s="4" t="s">
        <v>278</v>
      </c>
      <c r="U76" s="4">
        <v>0</v>
      </c>
      <c r="V76" s="4">
        <v>66</v>
      </c>
      <c r="W76" s="4">
        <v>6</v>
      </c>
    </row>
    <row r="77" spans="1:23" ht="11.25" customHeight="1" x14ac:dyDescent="0.25">
      <c r="A77" s="4" t="s">
        <v>28</v>
      </c>
      <c r="B77" s="4" t="s">
        <v>33</v>
      </c>
      <c r="C77" s="4" t="s">
        <v>34</v>
      </c>
      <c r="D77" s="4" t="s">
        <v>39</v>
      </c>
      <c r="E77" s="4" t="s">
        <v>25</v>
      </c>
      <c r="F77" s="4" t="s">
        <v>25</v>
      </c>
      <c r="G77" s="4" t="s">
        <v>25</v>
      </c>
      <c r="H77" s="4" t="s">
        <v>35</v>
      </c>
      <c r="I77" s="5">
        <v>44409</v>
      </c>
      <c r="J77" s="6">
        <v>0</v>
      </c>
      <c r="K77" s="6">
        <v>0</v>
      </c>
      <c r="L77" s="6">
        <v>6.0789999999999997</v>
      </c>
      <c r="M77" s="6">
        <v>6.0789999999999997</v>
      </c>
      <c r="N77" s="6">
        <v>6.0789999999999997</v>
      </c>
      <c r="O77" s="6">
        <v>6.0789999999999997</v>
      </c>
      <c r="P77" s="6">
        <v>0</v>
      </c>
      <c r="Q77" s="4" t="s">
        <v>26</v>
      </c>
      <c r="R77" s="4">
        <v>0</v>
      </c>
      <c r="S77" s="4" t="s">
        <v>145</v>
      </c>
      <c r="T77" s="4" t="s">
        <v>278</v>
      </c>
      <c r="U77" s="4">
        <v>0</v>
      </c>
      <c r="V77" s="4">
        <v>66</v>
      </c>
      <c r="W77" s="4">
        <v>6</v>
      </c>
    </row>
    <row r="78" spans="1:23" ht="11.25" customHeight="1" x14ac:dyDescent="0.25">
      <c r="A78" s="4" t="s">
        <v>21</v>
      </c>
      <c r="B78" s="4" t="s">
        <v>33</v>
      </c>
      <c r="C78" s="4" t="s">
        <v>34</v>
      </c>
      <c r="D78" s="4" t="s">
        <v>39</v>
      </c>
      <c r="E78" s="4" t="s">
        <v>25</v>
      </c>
      <c r="F78" s="4" t="s">
        <v>25</v>
      </c>
      <c r="G78" s="4" t="s">
        <v>25</v>
      </c>
      <c r="H78" s="4" t="s">
        <v>35</v>
      </c>
      <c r="I78" s="5">
        <v>44440</v>
      </c>
      <c r="J78" s="6">
        <v>0</v>
      </c>
      <c r="K78" s="6">
        <v>0</v>
      </c>
      <c r="L78" s="6">
        <v>21.4</v>
      </c>
      <c r="M78" s="6">
        <v>21.4</v>
      </c>
      <c r="N78" s="6">
        <v>21.4</v>
      </c>
      <c r="O78" s="6">
        <v>21.4</v>
      </c>
      <c r="P78" s="6">
        <v>0</v>
      </c>
      <c r="Q78" s="4" t="s">
        <v>26</v>
      </c>
      <c r="R78" s="4">
        <v>0</v>
      </c>
      <c r="S78" s="4" t="s">
        <v>146</v>
      </c>
      <c r="T78" s="4" t="s">
        <v>279</v>
      </c>
      <c r="U78" s="4">
        <v>0</v>
      </c>
      <c r="V78" s="4">
        <v>66</v>
      </c>
      <c r="W78" s="4">
        <v>6</v>
      </c>
    </row>
    <row r="79" spans="1:23" ht="11.25" customHeight="1" x14ac:dyDescent="0.25">
      <c r="A79" s="4" t="s">
        <v>28</v>
      </c>
      <c r="B79" s="4" t="s">
        <v>33</v>
      </c>
      <c r="C79" s="4" t="s">
        <v>34</v>
      </c>
      <c r="D79" s="4" t="s">
        <v>39</v>
      </c>
      <c r="E79" s="4" t="s">
        <v>25</v>
      </c>
      <c r="F79" s="4" t="s">
        <v>25</v>
      </c>
      <c r="G79" s="4" t="s">
        <v>25</v>
      </c>
      <c r="H79" s="4" t="s">
        <v>35</v>
      </c>
      <c r="I79" s="5">
        <v>44440</v>
      </c>
      <c r="J79" s="6">
        <v>0</v>
      </c>
      <c r="K79" s="6">
        <v>0</v>
      </c>
      <c r="L79" s="6">
        <v>4.1109999999999998</v>
      </c>
      <c r="M79" s="6">
        <v>4.1109999999999998</v>
      </c>
      <c r="N79" s="6">
        <v>4.1109999999999998</v>
      </c>
      <c r="O79" s="6">
        <v>4.1109999999999998</v>
      </c>
      <c r="P79" s="6">
        <v>0</v>
      </c>
      <c r="Q79" s="4" t="s">
        <v>26</v>
      </c>
      <c r="R79" s="4">
        <v>0</v>
      </c>
      <c r="S79" s="4" t="s">
        <v>146</v>
      </c>
      <c r="T79" s="4" t="s">
        <v>279</v>
      </c>
      <c r="U79" s="4">
        <v>0</v>
      </c>
      <c r="V79" s="4">
        <v>66</v>
      </c>
      <c r="W79" s="4">
        <v>6</v>
      </c>
    </row>
    <row r="80" spans="1:23" ht="11.25" customHeight="1" x14ac:dyDescent="0.25">
      <c r="A80" s="4" t="s">
        <v>21</v>
      </c>
      <c r="B80" s="4" t="s">
        <v>33</v>
      </c>
      <c r="C80" s="4" t="s">
        <v>34</v>
      </c>
      <c r="D80" s="4" t="s">
        <v>39</v>
      </c>
      <c r="E80" s="4" t="s">
        <v>25</v>
      </c>
      <c r="F80" s="4" t="s">
        <v>25</v>
      </c>
      <c r="G80" s="4" t="s">
        <v>25</v>
      </c>
      <c r="H80" s="4" t="s">
        <v>35</v>
      </c>
      <c r="I80" s="5">
        <v>44470</v>
      </c>
      <c r="J80" s="6">
        <v>0</v>
      </c>
      <c r="K80" s="6">
        <v>0</v>
      </c>
      <c r="L80" s="6">
        <v>17.369</v>
      </c>
      <c r="M80" s="6">
        <v>17.369</v>
      </c>
      <c r="N80" s="6">
        <v>17.369</v>
      </c>
      <c r="O80" s="6">
        <v>17.369</v>
      </c>
      <c r="P80" s="6">
        <v>0</v>
      </c>
      <c r="Q80" s="4" t="s">
        <v>26</v>
      </c>
      <c r="R80" s="4">
        <v>0</v>
      </c>
      <c r="S80" s="4" t="s">
        <v>147</v>
      </c>
      <c r="T80" s="4" t="s">
        <v>280</v>
      </c>
      <c r="U80" s="4">
        <v>0</v>
      </c>
      <c r="V80" s="4">
        <v>66</v>
      </c>
      <c r="W80" s="4">
        <v>6</v>
      </c>
    </row>
    <row r="81" spans="1:23" ht="11.25" customHeight="1" x14ac:dyDescent="0.25">
      <c r="A81" s="4" t="s">
        <v>28</v>
      </c>
      <c r="B81" s="4" t="s">
        <v>33</v>
      </c>
      <c r="C81" s="4" t="s">
        <v>34</v>
      </c>
      <c r="D81" s="4" t="s">
        <v>39</v>
      </c>
      <c r="E81" s="4" t="s">
        <v>25</v>
      </c>
      <c r="F81" s="4" t="s">
        <v>25</v>
      </c>
      <c r="G81" s="4" t="s">
        <v>25</v>
      </c>
      <c r="H81" s="4" t="s">
        <v>35</v>
      </c>
      <c r="I81" s="5">
        <v>44470</v>
      </c>
      <c r="J81" s="6">
        <v>0</v>
      </c>
      <c r="K81" s="6">
        <v>0</v>
      </c>
      <c r="L81" s="6">
        <v>1.661</v>
      </c>
      <c r="M81" s="6">
        <v>1.661</v>
      </c>
      <c r="N81" s="6">
        <v>1.661</v>
      </c>
      <c r="O81" s="6">
        <v>1.661</v>
      </c>
      <c r="P81" s="6">
        <v>0</v>
      </c>
      <c r="Q81" s="4" t="s">
        <v>26</v>
      </c>
      <c r="R81" s="4">
        <v>0</v>
      </c>
      <c r="S81" s="4" t="s">
        <v>147</v>
      </c>
      <c r="T81" s="4" t="s">
        <v>280</v>
      </c>
      <c r="U81" s="4">
        <v>0</v>
      </c>
      <c r="V81" s="4">
        <v>66</v>
      </c>
      <c r="W81" s="4">
        <v>6</v>
      </c>
    </row>
    <row r="82" spans="1:23" ht="11.25" customHeight="1" x14ac:dyDescent="0.25">
      <c r="A82" s="4" t="s">
        <v>21</v>
      </c>
      <c r="B82" s="4" t="s">
        <v>33</v>
      </c>
      <c r="C82" s="4" t="s">
        <v>34</v>
      </c>
      <c r="D82" s="4" t="s">
        <v>39</v>
      </c>
      <c r="E82" s="4" t="s">
        <v>25</v>
      </c>
      <c r="F82" s="4" t="s">
        <v>25</v>
      </c>
      <c r="G82" s="4" t="s">
        <v>25</v>
      </c>
      <c r="H82" s="4" t="s">
        <v>35</v>
      </c>
      <c r="I82" s="5">
        <v>44501</v>
      </c>
      <c r="J82" s="6">
        <v>0</v>
      </c>
      <c r="K82" s="6">
        <v>0</v>
      </c>
      <c r="L82" s="6">
        <v>22.556000000000001</v>
      </c>
      <c r="M82" s="6">
        <v>22.556000000000001</v>
      </c>
      <c r="N82" s="6">
        <v>22.556000000000001</v>
      </c>
      <c r="O82" s="6">
        <v>22.556000000000001</v>
      </c>
      <c r="P82" s="6">
        <v>0</v>
      </c>
      <c r="Q82" s="4" t="s">
        <v>26</v>
      </c>
      <c r="R82" s="4">
        <v>0</v>
      </c>
      <c r="S82" s="4" t="s">
        <v>148</v>
      </c>
      <c r="T82" s="4" t="s">
        <v>281</v>
      </c>
      <c r="U82" s="4">
        <v>0</v>
      </c>
      <c r="V82" s="4">
        <v>66</v>
      </c>
      <c r="W82" s="4">
        <v>6</v>
      </c>
    </row>
    <row r="83" spans="1:23" ht="11.25" customHeight="1" x14ac:dyDescent="0.25">
      <c r="A83" s="4" t="s">
        <v>21</v>
      </c>
      <c r="B83" s="4" t="s">
        <v>33</v>
      </c>
      <c r="C83" s="4" t="s">
        <v>34</v>
      </c>
      <c r="D83" s="4" t="s">
        <v>39</v>
      </c>
      <c r="E83" s="4" t="s">
        <v>25</v>
      </c>
      <c r="F83" s="4" t="s">
        <v>25</v>
      </c>
      <c r="G83" s="4" t="s">
        <v>25</v>
      </c>
      <c r="H83" s="4" t="s">
        <v>35</v>
      </c>
      <c r="I83" s="5">
        <v>44531</v>
      </c>
      <c r="J83" s="6">
        <v>0</v>
      </c>
      <c r="K83" s="6">
        <v>0</v>
      </c>
      <c r="L83" s="6">
        <v>25.212</v>
      </c>
      <c r="M83" s="6">
        <v>25.212</v>
      </c>
      <c r="N83" s="6">
        <v>25.212</v>
      </c>
      <c r="O83" s="6">
        <v>25.212</v>
      </c>
      <c r="P83" s="6">
        <v>0</v>
      </c>
      <c r="Q83" s="4" t="s">
        <v>26</v>
      </c>
      <c r="R83" s="4">
        <v>0</v>
      </c>
      <c r="S83" s="4" t="s">
        <v>149</v>
      </c>
      <c r="T83" s="4" t="s">
        <v>282</v>
      </c>
      <c r="U83" s="4">
        <v>0</v>
      </c>
      <c r="V83" s="4">
        <v>66</v>
      </c>
      <c r="W83" s="4">
        <v>6</v>
      </c>
    </row>
    <row r="84" spans="1:23" ht="11.25" customHeight="1" x14ac:dyDescent="0.25">
      <c r="A84" s="4" t="s">
        <v>21</v>
      </c>
      <c r="B84" s="4" t="s">
        <v>33</v>
      </c>
      <c r="C84" s="4" t="s">
        <v>34</v>
      </c>
      <c r="D84" s="4" t="s">
        <v>39</v>
      </c>
      <c r="E84" s="4" t="s">
        <v>25</v>
      </c>
      <c r="F84" s="4" t="s">
        <v>25</v>
      </c>
      <c r="G84" s="4" t="s">
        <v>25</v>
      </c>
      <c r="H84" s="4" t="s">
        <v>35</v>
      </c>
      <c r="I84" s="5">
        <v>44562</v>
      </c>
      <c r="J84" s="6">
        <v>0</v>
      </c>
      <c r="K84" s="6">
        <v>0</v>
      </c>
      <c r="L84" s="6">
        <v>24.326000000000001</v>
      </c>
      <c r="M84" s="6">
        <v>24.326000000000001</v>
      </c>
      <c r="N84" s="6">
        <v>24.326000000000001</v>
      </c>
      <c r="O84" s="6">
        <v>24.326000000000001</v>
      </c>
      <c r="P84" s="6">
        <v>0</v>
      </c>
      <c r="Q84" s="4" t="s">
        <v>26</v>
      </c>
      <c r="R84" s="4">
        <v>0</v>
      </c>
      <c r="S84" s="4" t="s">
        <v>150</v>
      </c>
      <c r="T84" s="4" t="s">
        <v>283</v>
      </c>
      <c r="U84" s="4">
        <v>0</v>
      </c>
      <c r="V84" s="4">
        <v>66</v>
      </c>
      <c r="W84" s="4">
        <v>6</v>
      </c>
    </row>
    <row r="85" spans="1:23" ht="11.25" customHeight="1" x14ac:dyDescent="0.25">
      <c r="A85" s="4" t="s">
        <v>21</v>
      </c>
      <c r="B85" s="4" t="s">
        <v>33</v>
      </c>
      <c r="C85" s="4" t="s">
        <v>34</v>
      </c>
      <c r="D85" s="4" t="s">
        <v>39</v>
      </c>
      <c r="E85" s="4" t="s">
        <v>25</v>
      </c>
      <c r="F85" s="4" t="s">
        <v>25</v>
      </c>
      <c r="G85" s="4" t="s">
        <v>25</v>
      </c>
      <c r="H85" s="4" t="s">
        <v>35</v>
      </c>
      <c r="I85" s="5">
        <v>44593</v>
      </c>
      <c r="J85" s="6">
        <v>0</v>
      </c>
      <c r="K85" s="6">
        <v>0</v>
      </c>
      <c r="L85" s="6">
        <v>34.677999999999997</v>
      </c>
      <c r="M85" s="6">
        <v>34.677999999999997</v>
      </c>
      <c r="N85" s="6">
        <v>34.677999999999997</v>
      </c>
      <c r="O85" s="6">
        <v>34.677999999999997</v>
      </c>
      <c r="P85" s="6">
        <v>0</v>
      </c>
      <c r="Q85" s="4" t="s">
        <v>26</v>
      </c>
      <c r="R85" s="4">
        <v>0</v>
      </c>
      <c r="S85" s="4" t="s">
        <v>151</v>
      </c>
      <c r="T85" s="4" t="s">
        <v>284</v>
      </c>
      <c r="U85" s="4">
        <v>0</v>
      </c>
      <c r="V85" s="4">
        <v>66</v>
      </c>
      <c r="W85" s="4">
        <v>6</v>
      </c>
    </row>
    <row r="86" spans="1:23" ht="11.25" customHeight="1" x14ac:dyDescent="0.25">
      <c r="A86" s="4" t="s">
        <v>54</v>
      </c>
      <c r="B86" s="4" t="s">
        <v>33</v>
      </c>
      <c r="C86" s="4" t="s">
        <v>34</v>
      </c>
      <c r="D86" s="4" t="s">
        <v>39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44621</v>
      </c>
      <c r="J86" s="6">
        <v>0</v>
      </c>
      <c r="K86" s="6">
        <v>0</v>
      </c>
      <c r="L86" s="6">
        <v>34.677999999999997</v>
      </c>
      <c r="M86" s="6">
        <v>34.677999999999997</v>
      </c>
      <c r="N86" s="6">
        <v>34.677999999999997</v>
      </c>
      <c r="O86" s="6">
        <v>34.677999999999997</v>
      </c>
      <c r="P86" s="6">
        <v>0</v>
      </c>
      <c r="Q86" s="4" t="s">
        <v>26</v>
      </c>
      <c r="R86" s="4">
        <v>0</v>
      </c>
      <c r="S86" s="4" t="s">
        <v>152</v>
      </c>
      <c r="T86" s="4" t="s">
        <v>285</v>
      </c>
      <c r="U86" s="4">
        <v>0</v>
      </c>
      <c r="V86" s="4">
        <v>66</v>
      </c>
      <c r="W86" s="4">
        <v>6</v>
      </c>
    </row>
    <row r="87" spans="1:23" ht="11.25" customHeight="1" x14ac:dyDescent="0.25">
      <c r="A87" s="4" t="s">
        <v>21</v>
      </c>
      <c r="B87" s="4" t="s">
        <v>33</v>
      </c>
      <c r="C87" s="4" t="s">
        <v>34</v>
      </c>
      <c r="D87" s="4" t="s">
        <v>38</v>
      </c>
      <c r="E87" s="4" t="s">
        <v>25</v>
      </c>
      <c r="F87" s="4" t="s">
        <v>55</v>
      </c>
      <c r="G87" s="4" t="s">
        <v>25</v>
      </c>
      <c r="H87" s="4" t="s">
        <v>36</v>
      </c>
      <c r="I87" s="5">
        <v>44287</v>
      </c>
      <c r="J87" s="6">
        <v>0</v>
      </c>
      <c r="K87" s="6">
        <v>0</v>
      </c>
      <c r="L87" s="6">
        <v>183.053</v>
      </c>
      <c r="M87" s="6">
        <v>91.526499999999999</v>
      </c>
      <c r="N87" s="6">
        <v>0</v>
      </c>
      <c r="O87" s="6">
        <v>0</v>
      </c>
      <c r="P87" s="6">
        <v>0</v>
      </c>
      <c r="Q87" s="4" t="s">
        <v>56</v>
      </c>
      <c r="R87" s="4">
        <v>0</v>
      </c>
      <c r="S87" s="4" t="s">
        <v>117</v>
      </c>
      <c r="U87" s="4">
        <v>0</v>
      </c>
      <c r="V87" s="4">
        <v>47</v>
      </c>
      <c r="W87" s="4">
        <v>0</v>
      </c>
    </row>
    <row r="88" spans="1:23" ht="11.25" customHeight="1" x14ac:dyDescent="0.25">
      <c r="A88" s="4" t="s">
        <v>21</v>
      </c>
      <c r="B88" s="4" t="s">
        <v>33</v>
      </c>
      <c r="C88" s="4" t="s">
        <v>34</v>
      </c>
      <c r="D88" s="4" t="s">
        <v>38</v>
      </c>
      <c r="E88" s="4" t="s">
        <v>25</v>
      </c>
      <c r="F88" s="4" t="s">
        <v>55</v>
      </c>
      <c r="G88" s="4" t="s">
        <v>25</v>
      </c>
      <c r="H88" s="4" t="s">
        <v>36</v>
      </c>
      <c r="I88" s="5">
        <v>44317</v>
      </c>
      <c r="J88" s="6">
        <v>0</v>
      </c>
      <c r="K88" s="6">
        <v>0</v>
      </c>
      <c r="L88" s="6">
        <v>167.06399999999999</v>
      </c>
      <c r="M88" s="6">
        <v>83.531999999999996</v>
      </c>
      <c r="N88" s="6">
        <v>0</v>
      </c>
      <c r="O88" s="6">
        <v>0</v>
      </c>
      <c r="P88" s="6">
        <v>0</v>
      </c>
      <c r="Q88" s="4" t="s">
        <v>56</v>
      </c>
      <c r="R88" s="4">
        <v>0</v>
      </c>
      <c r="S88" s="4" t="s">
        <v>118</v>
      </c>
      <c r="U88" s="4">
        <v>0</v>
      </c>
      <c r="V88" s="4">
        <v>47</v>
      </c>
      <c r="W88" s="4">
        <v>0</v>
      </c>
    </row>
    <row r="89" spans="1:23" ht="11.25" customHeight="1" x14ac:dyDescent="0.25">
      <c r="A89" s="4" t="s">
        <v>21</v>
      </c>
      <c r="B89" s="4" t="s">
        <v>33</v>
      </c>
      <c r="C89" s="4" t="s">
        <v>34</v>
      </c>
      <c r="D89" s="4" t="s">
        <v>38</v>
      </c>
      <c r="E89" s="4" t="s">
        <v>25</v>
      </c>
      <c r="F89" s="4" t="s">
        <v>55</v>
      </c>
      <c r="G89" s="4" t="s">
        <v>25</v>
      </c>
      <c r="H89" s="4" t="s">
        <v>36</v>
      </c>
      <c r="I89" s="5">
        <v>44348</v>
      </c>
      <c r="J89" s="6">
        <v>0</v>
      </c>
      <c r="K89" s="6">
        <v>0</v>
      </c>
      <c r="L89" s="6">
        <v>1205.672</v>
      </c>
      <c r="M89" s="6">
        <v>602.83600000000001</v>
      </c>
      <c r="N89" s="6">
        <v>0</v>
      </c>
      <c r="O89" s="6">
        <v>0</v>
      </c>
      <c r="P89" s="6">
        <v>0</v>
      </c>
      <c r="Q89" s="4" t="s">
        <v>56</v>
      </c>
      <c r="R89" s="4">
        <v>0</v>
      </c>
      <c r="S89" s="4" t="s">
        <v>119</v>
      </c>
      <c r="U89" s="4">
        <v>0</v>
      </c>
      <c r="V89" s="4">
        <v>47</v>
      </c>
      <c r="W89" s="4">
        <v>0</v>
      </c>
    </row>
    <row r="90" spans="1:23" ht="11.25" customHeight="1" x14ac:dyDescent="0.25">
      <c r="A90" s="4" t="s">
        <v>21</v>
      </c>
      <c r="B90" s="4" t="s">
        <v>33</v>
      </c>
      <c r="C90" s="4" t="s">
        <v>34</v>
      </c>
      <c r="D90" s="4" t="s">
        <v>38</v>
      </c>
      <c r="E90" s="4" t="s">
        <v>25</v>
      </c>
      <c r="F90" s="4" t="s">
        <v>55</v>
      </c>
      <c r="G90" s="4" t="s">
        <v>25</v>
      </c>
      <c r="H90" s="4" t="s">
        <v>36</v>
      </c>
      <c r="I90" s="5">
        <v>44378</v>
      </c>
      <c r="J90" s="6">
        <v>0</v>
      </c>
      <c r="K90" s="6">
        <v>0</v>
      </c>
      <c r="L90" s="6">
        <v>1782.691</v>
      </c>
      <c r="M90" s="6">
        <v>891.34550000000002</v>
      </c>
      <c r="N90" s="6">
        <v>0</v>
      </c>
      <c r="O90" s="6">
        <v>0</v>
      </c>
      <c r="P90" s="6">
        <v>0</v>
      </c>
      <c r="Q90" s="4" t="s">
        <v>56</v>
      </c>
      <c r="R90" s="4">
        <v>0</v>
      </c>
      <c r="S90" s="4" t="s">
        <v>120</v>
      </c>
      <c r="U90" s="4">
        <v>0</v>
      </c>
      <c r="V90" s="4">
        <v>47</v>
      </c>
      <c r="W90" s="4">
        <v>0</v>
      </c>
    </row>
    <row r="91" spans="1:23" ht="11.25" customHeight="1" x14ac:dyDescent="0.25">
      <c r="A91" s="4" t="s">
        <v>21</v>
      </c>
      <c r="B91" s="4" t="s">
        <v>33</v>
      </c>
      <c r="C91" s="4" t="s">
        <v>34</v>
      </c>
      <c r="D91" s="4" t="s">
        <v>38</v>
      </c>
      <c r="E91" s="4" t="s">
        <v>25</v>
      </c>
      <c r="F91" s="4" t="s">
        <v>55</v>
      </c>
      <c r="G91" s="4" t="s">
        <v>25</v>
      </c>
      <c r="H91" s="4" t="s">
        <v>36</v>
      </c>
      <c r="I91" s="5">
        <v>44409</v>
      </c>
      <c r="J91" s="6">
        <v>0</v>
      </c>
      <c r="K91" s="6">
        <v>0</v>
      </c>
      <c r="L91" s="6">
        <v>1376.5740000000001</v>
      </c>
      <c r="M91" s="6">
        <v>688.28700000000003</v>
      </c>
      <c r="N91" s="6">
        <v>0</v>
      </c>
      <c r="O91" s="6">
        <v>0</v>
      </c>
      <c r="P91" s="6">
        <v>0</v>
      </c>
      <c r="Q91" s="4" t="s">
        <v>56</v>
      </c>
      <c r="R91" s="4">
        <v>0</v>
      </c>
      <c r="S91" s="4" t="s">
        <v>121</v>
      </c>
      <c r="U91" s="4">
        <v>0</v>
      </c>
      <c r="V91" s="4">
        <v>47</v>
      </c>
      <c r="W91" s="4">
        <v>0</v>
      </c>
    </row>
    <row r="92" spans="1:23" ht="11.25" customHeight="1" x14ac:dyDescent="0.25">
      <c r="A92" s="4" t="s">
        <v>21</v>
      </c>
      <c r="B92" s="4" t="s">
        <v>33</v>
      </c>
      <c r="C92" s="4" t="s">
        <v>34</v>
      </c>
      <c r="D92" s="4" t="s">
        <v>38</v>
      </c>
      <c r="E92" s="4" t="s">
        <v>25</v>
      </c>
      <c r="F92" s="4" t="s">
        <v>55</v>
      </c>
      <c r="G92" s="4" t="s">
        <v>25</v>
      </c>
      <c r="H92" s="4" t="s">
        <v>36</v>
      </c>
      <c r="I92" s="5">
        <v>44440</v>
      </c>
      <c r="J92" s="6">
        <v>0</v>
      </c>
      <c r="K92" s="6">
        <v>0</v>
      </c>
      <c r="L92" s="6">
        <v>891.61500000000001</v>
      </c>
      <c r="M92" s="6">
        <v>445.8075</v>
      </c>
      <c r="N92" s="6">
        <v>0</v>
      </c>
      <c r="O92" s="6">
        <v>0</v>
      </c>
      <c r="P92" s="6">
        <v>0</v>
      </c>
      <c r="Q92" s="4" t="s">
        <v>56</v>
      </c>
      <c r="R92" s="4">
        <v>0</v>
      </c>
      <c r="S92" s="4" t="s">
        <v>122</v>
      </c>
      <c r="U92" s="4">
        <v>0</v>
      </c>
      <c r="V92" s="4">
        <v>47</v>
      </c>
      <c r="W92" s="4">
        <v>0</v>
      </c>
    </row>
    <row r="93" spans="1:23" ht="11.25" customHeight="1" x14ac:dyDescent="0.25">
      <c r="A93" s="4" t="s">
        <v>21</v>
      </c>
      <c r="B93" s="4" t="s">
        <v>33</v>
      </c>
      <c r="C93" s="4" t="s">
        <v>34</v>
      </c>
      <c r="D93" s="4" t="s">
        <v>38</v>
      </c>
      <c r="E93" s="4" t="s">
        <v>25</v>
      </c>
      <c r="F93" s="4" t="s">
        <v>55</v>
      </c>
      <c r="G93" s="4" t="s">
        <v>25</v>
      </c>
      <c r="H93" s="4" t="s">
        <v>36</v>
      </c>
      <c r="I93" s="5">
        <v>44470</v>
      </c>
      <c r="J93" s="6">
        <v>0</v>
      </c>
      <c r="K93" s="6">
        <v>0</v>
      </c>
      <c r="L93" s="6">
        <v>730.61900000000003</v>
      </c>
      <c r="M93" s="6">
        <v>365.30950000000001</v>
      </c>
      <c r="N93" s="6">
        <v>0</v>
      </c>
      <c r="O93" s="6">
        <v>0</v>
      </c>
      <c r="P93" s="6">
        <v>0</v>
      </c>
      <c r="Q93" s="4" t="s">
        <v>56</v>
      </c>
      <c r="R93" s="4">
        <v>0</v>
      </c>
      <c r="S93" s="4" t="s">
        <v>123</v>
      </c>
      <c r="U93" s="4">
        <v>0</v>
      </c>
      <c r="V93" s="4">
        <v>47</v>
      </c>
      <c r="W93" s="4">
        <v>0</v>
      </c>
    </row>
    <row r="94" spans="1:23" ht="11.25" customHeight="1" x14ac:dyDescent="0.25">
      <c r="A94" s="4" t="s">
        <v>21</v>
      </c>
      <c r="B94" s="4" t="s">
        <v>33</v>
      </c>
      <c r="C94" s="4" t="s">
        <v>34</v>
      </c>
      <c r="D94" s="4" t="s">
        <v>38</v>
      </c>
      <c r="E94" s="4" t="s">
        <v>25</v>
      </c>
      <c r="F94" s="4" t="s">
        <v>55</v>
      </c>
      <c r="G94" s="4" t="s">
        <v>25</v>
      </c>
      <c r="H94" s="4" t="s">
        <v>36</v>
      </c>
      <c r="I94" s="5">
        <v>44501</v>
      </c>
      <c r="J94" s="6">
        <v>0</v>
      </c>
      <c r="K94" s="6">
        <v>0</v>
      </c>
      <c r="L94" s="6">
        <v>392.88499999999999</v>
      </c>
      <c r="M94" s="6">
        <v>196.4425</v>
      </c>
      <c r="N94" s="6">
        <v>0</v>
      </c>
      <c r="O94" s="6">
        <v>0</v>
      </c>
      <c r="P94" s="6">
        <v>0</v>
      </c>
      <c r="Q94" s="4" t="s">
        <v>56</v>
      </c>
      <c r="R94" s="4">
        <v>0</v>
      </c>
      <c r="S94" s="4" t="s">
        <v>124</v>
      </c>
      <c r="U94" s="4">
        <v>0</v>
      </c>
      <c r="V94" s="4">
        <v>47</v>
      </c>
      <c r="W94" s="4">
        <v>0</v>
      </c>
    </row>
    <row r="95" spans="1:23" ht="11.25" customHeight="1" x14ac:dyDescent="0.25">
      <c r="A95" s="4" t="s">
        <v>21</v>
      </c>
      <c r="B95" s="4" t="s">
        <v>33</v>
      </c>
      <c r="C95" s="4" t="s">
        <v>34</v>
      </c>
      <c r="D95" s="4" t="s">
        <v>38</v>
      </c>
      <c r="E95" s="4" t="s">
        <v>25</v>
      </c>
      <c r="F95" s="4" t="s">
        <v>55</v>
      </c>
      <c r="G95" s="4" t="s">
        <v>25</v>
      </c>
      <c r="H95" s="4" t="s">
        <v>36</v>
      </c>
      <c r="I95" s="5">
        <v>44531</v>
      </c>
      <c r="J95" s="6">
        <v>0</v>
      </c>
      <c r="K95" s="6">
        <v>0</v>
      </c>
      <c r="L95" s="6">
        <v>674.35599999999999</v>
      </c>
      <c r="M95" s="6">
        <v>337.178</v>
      </c>
      <c r="N95" s="6">
        <v>0</v>
      </c>
      <c r="O95" s="6">
        <v>0</v>
      </c>
      <c r="P95" s="6">
        <v>0</v>
      </c>
      <c r="Q95" s="4" t="s">
        <v>56</v>
      </c>
      <c r="R95" s="4">
        <v>0</v>
      </c>
      <c r="S95" s="4" t="s">
        <v>125</v>
      </c>
      <c r="U95" s="4">
        <v>0</v>
      </c>
      <c r="V95" s="4">
        <v>47</v>
      </c>
      <c r="W95" s="4">
        <v>0</v>
      </c>
    </row>
    <row r="96" spans="1:23" ht="11.25" customHeight="1" x14ac:dyDescent="0.25">
      <c r="A96" s="4" t="s">
        <v>21</v>
      </c>
      <c r="B96" s="4" t="s">
        <v>33</v>
      </c>
      <c r="C96" s="4" t="s">
        <v>34</v>
      </c>
      <c r="D96" s="4" t="s">
        <v>38</v>
      </c>
      <c r="E96" s="4" t="s">
        <v>25</v>
      </c>
      <c r="F96" s="4" t="s">
        <v>55</v>
      </c>
      <c r="G96" s="4" t="s">
        <v>25</v>
      </c>
      <c r="H96" s="4" t="s">
        <v>36</v>
      </c>
      <c r="I96" s="5">
        <v>44562</v>
      </c>
      <c r="J96" s="6">
        <v>0</v>
      </c>
      <c r="K96" s="6">
        <v>0</v>
      </c>
      <c r="L96" s="6">
        <v>1234.6990000000001</v>
      </c>
      <c r="M96" s="6">
        <v>617.34950000000003</v>
      </c>
      <c r="N96" s="6">
        <v>0</v>
      </c>
      <c r="O96" s="6">
        <v>0</v>
      </c>
      <c r="P96" s="6">
        <v>0</v>
      </c>
      <c r="Q96" s="4" t="s">
        <v>56</v>
      </c>
      <c r="R96" s="4">
        <v>0</v>
      </c>
      <c r="S96" s="4" t="s">
        <v>126</v>
      </c>
      <c r="U96" s="4">
        <v>0</v>
      </c>
      <c r="V96" s="4">
        <v>47</v>
      </c>
      <c r="W96" s="4">
        <v>0</v>
      </c>
    </row>
    <row r="97" spans="1:23" ht="11.25" customHeight="1" x14ac:dyDescent="0.25">
      <c r="A97" s="4" t="s">
        <v>21</v>
      </c>
      <c r="B97" s="4" t="s">
        <v>33</v>
      </c>
      <c r="C97" s="4" t="s">
        <v>34</v>
      </c>
      <c r="D97" s="4" t="s">
        <v>38</v>
      </c>
      <c r="E97" s="4" t="s">
        <v>25</v>
      </c>
      <c r="F97" s="4" t="s">
        <v>55</v>
      </c>
      <c r="G97" s="4" t="s">
        <v>25</v>
      </c>
      <c r="H97" s="4" t="s">
        <v>36</v>
      </c>
      <c r="I97" s="5">
        <v>44593</v>
      </c>
      <c r="J97" s="6">
        <v>0</v>
      </c>
      <c r="K97" s="6">
        <v>0</v>
      </c>
      <c r="L97" s="6">
        <v>354.33600000000001</v>
      </c>
      <c r="M97" s="6">
        <v>177.16800000000001</v>
      </c>
      <c r="N97" s="6">
        <v>0</v>
      </c>
      <c r="O97" s="6">
        <v>0</v>
      </c>
      <c r="P97" s="6">
        <v>0</v>
      </c>
      <c r="Q97" s="4" t="s">
        <v>56</v>
      </c>
      <c r="R97" s="4">
        <v>0</v>
      </c>
      <c r="S97" s="4" t="s">
        <v>127</v>
      </c>
      <c r="U97" s="4">
        <v>0</v>
      </c>
      <c r="V97" s="4">
        <v>47</v>
      </c>
      <c r="W97" s="4">
        <v>0</v>
      </c>
    </row>
    <row r="98" spans="1:23" ht="11.25" customHeight="1" x14ac:dyDescent="0.25">
      <c r="A98" s="4" t="s">
        <v>54</v>
      </c>
      <c r="B98" s="4" t="s">
        <v>33</v>
      </c>
      <c r="C98" s="4" t="s">
        <v>34</v>
      </c>
      <c r="D98" s="4" t="s">
        <v>38</v>
      </c>
      <c r="E98" s="4" t="s">
        <v>25</v>
      </c>
      <c r="F98" s="4" t="s">
        <v>55</v>
      </c>
      <c r="G98" s="4" t="s">
        <v>25</v>
      </c>
      <c r="H98" s="4" t="s">
        <v>36</v>
      </c>
      <c r="I98" s="5">
        <v>44621</v>
      </c>
      <c r="J98" s="6">
        <v>0</v>
      </c>
      <c r="K98" s="6">
        <v>0</v>
      </c>
      <c r="L98" s="6">
        <v>354.33600000000001</v>
      </c>
      <c r="M98" s="6">
        <v>177.16800000000001</v>
      </c>
      <c r="N98" s="6">
        <v>0</v>
      </c>
      <c r="O98" s="6">
        <v>0</v>
      </c>
      <c r="P98" s="6">
        <v>0</v>
      </c>
      <c r="Q98" s="4" t="s">
        <v>56</v>
      </c>
      <c r="R98" s="4">
        <v>0</v>
      </c>
      <c r="S98" s="4" t="s">
        <v>128</v>
      </c>
      <c r="U98" s="4">
        <v>0</v>
      </c>
      <c r="V98" s="4">
        <v>47</v>
      </c>
      <c r="W98" s="4">
        <v>0</v>
      </c>
    </row>
    <row r="99" spans="1:23" ht="11.25" customHeight="1" x14ac:dyDescent="0.25">
      <c r="A99" s="4" t="s">
        <v>21</v>
      </c>
      <c r="B99" s="4" t="s">
        <v>33</v>
      </c>
      <c r="C99" s="4" t="s">
        <v>34</v>
      </c>
      <c r="D99" s="4" t="s">
        <v>38</v>
      </c>
      <c r="E99" s="4" t="s">
        <v>25</v>
      </c>
      <c r="F99" s="4" t="s">
        <v>55</v>
      </c>
      <c r="G99" s="4" t="s">
        <v>25</v>
      </c>
      <c r="H99" s="4" t="s">
        <v>25</v>
      </c>
      <c r="I99" s="5">
        <v>44287</v>
      </c>
      <c r="J99" s="6">
        <v>985</v>
      </c>
      <c r="K99" s="6">
        <v>492.5</v>
      </c>
      <c r="L99" s="6">
        <v>0</v>
      </c>
      <c r="M99" s="6">
        <v>0</v>
      </c>
      <c r="N99" s="6">
        <v>0</v>
      </c>
      <c r="O99" s="6">
        <v>0</v>
      </c>
      <c r="P99" s="6">
        <v>1</v>
      </c>
      <c r="Q99" s="4" t="s">
        <v>56</v>
      </c>
      <c r="R99" s="4">
        <v>0</v>
      </c>
      <c r="S99" s="4" t="s">
        <v>129</v>
      </c>
      <c r="U99" s="4">
        <v>65</v>
      </c>
      <c r="V99" s="4">
        <v>0</v>
      </c>
      <c r="W99" s="4">
        <v>0</v>
      </c>
    </row>
    <row r="100" spans="1:23" ht="11.25" customHeight="1" x14ac:dyDescent="0.25">
      <c r="A100" s="4" t="s">
        <v>21</v>
      </c>
      <c r="B100" s="4" t="s">
        <v>33</v>
      </c>
      <c r="C100" s="4" t="s">
        <v>34</v>
      </c>
      <c r="D100" s="4" t="s">
        <v>38</v>
      </c>
      <c r="E100" s="4" t="s">
        <v>25</v>
      </c>
      <c r="F100" s="4" t="s">
        <v>55</v>
      </c>
      <c r="G100" s="4" t="s">
        <v>25</v>
      </c>
      <c r="H100" s="4" t="s">
        <v>25</v>
      </c>
      <c r="I100" s="5">
        <v>44317</v>
      </c>
      <c r="J100" s="6">
        <v>1342</v>
      </c>
      <c r="K100" s="6">
        <v>671</v>
      </c>
      <c r="L100" s="6">
        <v>0</v>
      </c>
      <c r="M100" s="6">
        <v>0</v>
      </c>
      <c r="N100" s="6">
        <v>0</v>
      </c>
      <c r="O100" s="6">
        <v>0</v>
      </c>
      <c r="P100" s="6">
        <v>1</v>
      </c>
      <c r="Q100" s="4" t="s">
        <v>56</v>
      </c>
      <c r="R100" s="4">
        <v>0</v>
      </c>
      <c r="S100" s="4" t="s">
        <v>130</v>
      </c>
      <c r="U100" s="4">
        <v>65</v>
      </c>
      <c r="V100" s="4">
        <v>0</v>
      </c>
      <c r="W100" s="4">
        <v>0</v>
      </c>
    </row>
    <row r="101" spans="1:23" ht="11.25" customHeight="1" x14ac:dyDescent="0.25">
      <c r="A101" s="4" t="s">
        <v>21</v>
      </c>
      <c r="B101" s="4" t="s">
        <v>33</v>
      </c>
      <c r="C101" s="4" t="s">
        <v>34</v>
      </c>
      <c r="D101" s="4" t="s">
        <v>38</v>
      </c>
      <c r="E101" s="4" t="s">
        <v>25</v>
      </c>
      <c r="F101" s="4" t="s">
        <v>55</v>
      </c>
      <c r="G101" s="4" t="s">
        <v>25</v>
      </c>
      <c r="H101" s="4" t="s">
        <v>25</v>
      </c>
      <c r="I101" s="5">
        <v>44348</v>
      </c>
      <c r="J101" s="6">
        <v>8938</v>
      </c>
      <c r="K101" s="6">
        <v>4469</v>
      </c>
      <c r="L101" s="6">
        <v>0</v>
      </c>
      <c r="M101" s="6">
        <v>0</v>
      </c>
      <c r="N101" s="6">
        <v>0</v>
      </c>
      <c r="O101" s="6">
        <v>0</v>
      </c>
      <c r="P101" s="6">
        <v>1</v>
      </c>
      <c r="Q101" s="4" t="s">
        <v>56</v>
      </c>
      <c r="R101" s="4">
        <v>0</v>
      </c>
      <c r="S101" s="4" t="s">
        <v>131</v>
      </c>
      <c r="U101" s="4">
        <v>65</v>
      </c>
      <c r="V101" s="4">
        <v>0</v>
      </c>
      <c r="W101" s="4">
        <v>0</v>
      </c>
    </row>
    <row r="102" spans="1:23" ht="11.25" customHeight="1" x14ac:dyDescent="0.25">
      <c r="A102" s="4" t="s">
        <v>21</v>
      </c>
      <c r="B102" s="4" t="s">
        <v>33</v>
      </c>
      <c r="C102" s="4" t="s">
        <v>34</v>
      </c>
      <c r="D102" s="4" t="s">
        <v>38</v>
      </c>
      <c r="E102" s="4" t="s">
        <v>25</v>
      </c>
      <c r="F102" s="4" t="s">
        <v>55</v>
      </c>
      <c r="G102" s="4" t="s">
        <v>25</v>
      </c>
      <c r="H102" s="4" t="s">
        <v>25</v>
      </c>
      <c r="I102" s="5">
        <v>44378</v>
      </c>
      <c r="J102" s="6">
        <v>2485</v>
      </c>
      <c r="K102" s="6">
        <v>1242.5</v>
      </c>
      <c r="L102" s="6">
        <v>0</v>
      </c>
      <c r="M102" s="6">
        <v>0</v>
      </c>
      <c r="N102" s="6">
        <v>0</v>
      </c>
      <c r="O102" s="6">
        <v>0</v>
      </c>
      <c r="P102" s="6">
        <v>1</v>
      </c>
      <c r="Q102" s="4" t="s">
        <v>56</v>
      </c>
      <c r="R102" s="4">
        <v>0</v>
      </c>
      <c r="S102" s="4" t="s">
        <v>132</v>
      </c>
      <c r="U102" s="4">
        <v>65</v>
      </c>
      <c r="V102" s="4">
        <v>0</v>
      </c>
      <c r="W102" s="4">
        <v>0</v>
      </c>
    </row>
    <row r="103" spans="1:23" ht="11.25" customHeight="1" x14ac:dyDescent="0.25">
      <c r="A103" s="4" t="s">
        <v>21</v>
      </c>
      <c r="B103" s="4" t="s">
        <v>33</v>
      </c>
      <c r="C103" s="4" t="s">
        <v>34</v>
      </c>
      <c r="D103" s="4" t="s">
        <v>38</v>
      </c>
      <c r="E103" s="4" t="s">
        <v>25</v>
      </c>
      <c r="F103" s="4" t="s">
        <v>55</v>
      </c>
      <c r="G103" s="4" t="s">
        <v>25</v>
      </c>
      <c r="H103" s="4" t="s">
        <v>25</v>
      </c>
      <c r="I103" s="5">
        <v>44409</v>
      </c>
      <c r="J103" s="6">
        <v>5051</v>
      </c>
      <c r="K103" s="6">
        <v>2525.5</v>
      </c>
      <c r="L103" s="6">
        <v>0</v>
      </c>
      <c r="M103" s="6">
        <v>0</v>
      </c>
      <c r="N103" s="6">
        <v>0</v>
      </c>
      <c r="O103" s="6">
        <v>0</v>
      </c>
      <c r="P103" s="6">
        <v>1</v>
      </c>
      <c r="Q103" s="4" t="s">
        <v>56</v>
      </c>
      <c r="R103" s="4">
        <v>0</v>
      </c>
      <c r="S103" s="4" t="s">
        <v>133</v>
      </c>
      <c r="U103" s="4">
        <v>65</v>
      </c>
      <c r="V103" s="4">
        <v>0</v>
      </c>
      <c r="W103" s="4">
        <v>0</v>
      </c>
    </row>
    <row r="104" spans="1:23" ht="11.25" customHeight="1" x14ac:dyDescent="0.25">
      <c r="A104" s="4" t="s">
        <v>21</v>
      </c>
      <c r="B104" s="4" t="s">
        <v>33</v>
      </c>
      <c r="C104" s="4" t="s">
        <v>34</v>
      </c>
      <c r="D104" s="4" t="s">
        <v>38</v>
      </c>
      <c r="E104" s="4" t="s">
        <v>25</v>
      </c>
      <c r="F104" s="4" t="s">
        <v>55</v>
      </c>
      <c r="G104" s="4" t="s">
        <v>25</v>
      </c>
      <c r="H104" s="4" t="s">
        <v>25</v>
      </c>
      <c r="I104" s="5">
        <v>44440</v>
      </c>
      <c r="J104" s="6">
        <v>4911</v>
      </c>
      <c r="K104" s="6">
        <v>2455.5</v>
      </c>
      <c r="L104" s="6">
        <v>0</v>
      </c>
      <c r="M104" s="6">
        <v>0</v>
      </c>
      <c r="N104" s="6">
        <v>0</v>
      </c>
      <c r="O104" s="6">
        <v>0</v>
      </c>
      <c r="P104" s="6">
        <v>1</v>
      </c>
      <c r="Q104" s="4" t="s">
        <v>56</v>
      </c>
      <c r="R104" s="4">
        <v>0</v>
      </c>
      <c r="S104" s="4" t="s">
        <v>134</v>
      </c>
      <c r="U104" s="4">
        <v>65</v>
      </c>
      <c r="V104" s="4">
        <v>0</v>
      </c>
      <c r="W104" s="4">
        <v>0</v>
      </c>
    </row>
    <row r="105" spans="1:23" ht="11.25" customHeight="1" x14ac:dyDescent="0.25">
      <c r="A105" s="4" t="s">
        <v>21</v>
      </c>
      <c r="B105" s="4" t="s">
        <v>33</v>
      </c>
      <c r="C105" s="4" t="s">
        <v>34</v>
      </c>
      <c r="D105" s="4" t="s">
        <v>38</v>
      </c>
      <c r="E105" s="4" t="s">
        <v>25</v>
      </c>
      <c r="F105" s="4" t="s">
        <v>55</v>
      </c>
      <c r="G105" s="4" t="s">
        <v>25</v>
      </c>
      <c r="H105" s="4" t="s">
        <v>25</v>
      </c>
      <c r="I105" s="5">
        <v>44470</v>
      </c>
      <c r="J105" s="6">
        <v>5028</v>
      </c>
      <c r="K105" s="6">
        <v>2514</v>
      </c>
      <c r="L105" s="6">
        <v>0</v>
      </c>
      <c r="M105" s="6">
        <v>0</v>
      </c>
      <c r="N105" s="6">
        <v>0</v>
      </c>
      <c r="O105" s="6">
        <v>0</v>
      </c>
      <c r="P105" s="6">
        <v>1</v>
      </c>
      <c r="Q105" s="4" t="s">
        <v>56</v>
      </c>
      <c r="R105" s="4">
        <v>0</v>
      </c>
      <c r="S105" s="4" t="s">
        <v>135</v>
      </c>
      <c r="U105" s="4">
        <v>65</v>
      </c>
      <c r="V105" s="4">
        <v>0</v>
      </c>
      <c r="W105" s="4">
        <v>0</v>
      </c>
    </row>
    <row r="106" spans="1:23" ht="11.25" customHeight="1" x14ac:dyDescent="0.25">
      <c r="A106" s="4" t="s">
        <v>21</v>
      </c>
      <c r="B106" s="4" t="s">
        <v>33</v>
      </c>
      <c r="C106" s="4" t="s">
        <v>34</v>
      </c>
      <c r="D106" s="4" t="s">
        <v>38</v>
      </c>
      <c r="E106" s="4" t="s">
        <v>25</v>
      </c>
      <c r="F106" s="4" t="s">
        <v>55</v>
      </c>
      <c r="G106" s="4" t="s">
        <v>25</v>
      </c>
      <c r="H106" s="4" t="s">
        <v>25</v>
      </c>
      <c r="I106" s="5">
        <v>44501</v>
      </c>
      <c r="J106" s="6">
        <v>5012</v>
      </c>
      <c r="K106" s="6">
        <v>2506</v>
      </c>
      <c r="L106" s="6">
        <v>0</v>
      </c>
      <c r="M106" s="6">
        <v>0</v>
      </c>
      <c r="N106" s="6">
        <v>0</v>
      </c>
      <c r="O106" s="6">
        <v>0</v>
      </c>
      <c r="P106" s="6">
        <v>1</v>
      </c>
      <c r="Q106" s="4" t="s">
        <v>56</v>
      </c>
      <c r="R106" s="4">
        <v>0</v>
      </c>
      <c r="S106" s="4" t="s">
        <v>136</v>
      </c>
      <c r="U106" s="4">
        <v>65</v>
      </c>
      <c r="V106" s="4">
        <v>0</v>
      </c>
      <c r="W106" s="4">
        <v>0</v>
      </c>
    </row>
    <row r="107" spans="1:23" ht="11.25" customHeight="1" x14ac:dyDescent="0.25">
      <c r="A107" s="4" t="s">
        <v>21</v>
      </c>
      <c r="B107" s="4" t="s">
        <v>33</v>
      </c>
      <c r="C107" s="4" t="s">
        <v>34</v>
      </c>
      <c r="D107" s="4" t="s">
        <v>38</v>
      </c>
      <c r="E107" s="4" t="s">
        <v>25</v>
      </c>
      <c r="F107" s="4" t="s">
        <v>55</v>
      </c>
      <c r="G107" s="4" t="s">
        <v>25</v>
      </c>
      <c r="H107" s="4" t="s">
        <v>25</v>
      </c>
      <c r="I107" s="5">
        <v>44531</v>
      </c>
      <c r="J107" s="6">
        <v>5009</v>
      </c>
      <c r="K107" s="6">
        <v>2504.5</v>
      </c>
      <c r="L107" s="6">
        <v>0</v>
      </c>
      <c r="M107" s="6">
        <v>0</v>
      </c>
      <c r="N107" s="6">
        <v>0</v>
      </c>
      <c r="O107" s="6">
        <v>0</v>
      </c>
      <c r="P107" s="6">
        <v>1</v>
      </c>
      <c r="Q107" s="4" t="s">
        <v>56</v>
      </c>
      <c r="R107" s="4">
        <v>0</v>
      </c>
      <c r="S107" s="4" t="s">
        <v>137</v>
      </c>
      <c r="U107" s="4">
        <v>65</v>
      </c>
      <c r="V107" s="4">
        <v>0</v>
      </c>
      <c r="W107" s="4">
        <v>0</v>
      </c>
    </row>
    <row r="108" spans="1:23" ht="11.25" customHeight="1" x14ac:dyDescent="0.25">
      <c r="A108" s="4" t="s">
        <v>21</v>
      </c>
      <c r="B108" s="4" t="s">
        <v>33</v>
      </c>
      <c r="C108" s="4" t="s">
        <v>34</v>
      </c>
      <c r="D108" s="4" t="s">
        <v>38</v>
      </c>
      <c r="E108" s="4" t="s">
        <v>25</v>
      </c>
      <c r="F108" s="4" t="s">
        <v>55</v>
      </c>
      <c r="G108" s="4" t="s">
        <v>25</v>
      </c>
      <c r="H108" s="4" t="s">
        <v>25</v>
      </c>
      <c r="I108" s="5">
        <v>44562</v>
      </c>
      <c r="J108" s="6">
        <v>4969</v>
      </c>
      <c r="K108" s="6">
        <v>2484.5</v>
      </c>
      <c r="L108" s="6">
        <v>0</v>
      </c>
      <c r="M108" s="6">
        <v>0</v>
      </c>
      <c r="N108" s="6">
        <v>0</v>
      </c>
      <c r="O108" s="6">
        <v>0</v>
      </c>
      <c r="P108" s="6">
        <v>1</v>
      </c>
      <c r="Q108" s="4" t="s">
        <v>56</v>
      </c>
      <c r="R108" s="4">
        <v>0</v>
      </c>
      <c r="S108" s="4" t="s">
        <v>138</v>
      </c>
      <c r="U108" s="4">
        <v>65</v>
      </c>
      <c r="V108" s="4">
        <v>0</v>
      </c>
      <c r="W108" s="4">
        <v>0</v>
      </c>
    </row>
    <row r="109" spans="1:23" ht="11.25" customHeight="1" x14ac:dyDescent="0.25">
      <c r="A109" s="4" t="s">
        <v>21</v>
      </c>
      <c r="B109" s="4" t="s">
        <v>33</v>
      </c>
      <c r="C109" s="4" t="s">
        <v>34</v>
      </c>
      <c r="D109" s="4" t="s">
        <v>38</v>
      </c>
      <c r="E109" s="4" t="s">
        <v>25</v>
      </c>
      <c r="F109" s="4" t="s">
        <v>55</v>
      </c>
      <c r="G109" s="4" t="s">
        <v>25</v>
      </c>
      <c r="H109" s="4" t="s">
        <v>25</v>
      </c>
      <c r="I109" s="5">
        <v>44593</v>
      </c>
      <c r="J109" s="6">
        <v>5273</v>
      </c>
      <c r="K109" s="6">
        <v>2636.5</v>
      </c>
      <c r="L109" s="6">
        <v>0</v>
      </c>
      <c r="M109" s="6">
        <v>0</v>
      </c>
      <c r="N109" s="6">
        <v>0</v>
      </c>
      <c r="O109" s="6">
        <v>0</v>
      </c>
      <c r="P109" s="6">
        <v>8</v>
      </c>
      <c r="Q109" s="4" t="s">
        <v>56</v>
      </c>
      <c r="R109" s="4">
        <v>0</v>
      </c>
      <c r="S109" s="4" t="s">
        <v>139</v>
      </c>
      <c r="U109" s="4">
        <v>65</v>
      </c>
      <c r="V109" s="4">
        <v>0</v>
      </c>
      <c r="W109" s="4">
        <v>0</v>
      </c>
    </row>
    <row r="110" spans="1:23" ht="11.25" customHeight="1" x14ac:dyDescent="0.25">
      <c r="A110" s="4" t="s">
        <v>54</v>
      </c>
      <c r="B110" s="4" t="s">
        <v>33</v>
      </c>
      <c r="C110" s="4" t="s">
        <v>34</v>
      </c>
      <c r="D110" s="4" t="s">
        <v>38</v>
      </c>
      <c r="E110" s="4" t="s">
        <v>25</v>
      </c>
      <c r="F110" s="4" t="s">
        <v>55</v>
      </c>
      <c r="G110" s="4" t="s">
        <v>25</v>
      </c>
      <c r="H110" s="4" t="s">
        <v>25</v>
      </c>
      <c r="I110" s="5">
        <v>44621</v>
      </c>
      <c r="J110" s="6">
        <v>5273</v>
      </c>
      <c r="K110" s="6">
        <v>2636.5</v>
      </c>
      <c r="L110" s="6">
        <v>0</v>
      </c>
      <c r="M110" s="6">
        <v>0</v>
      </c>
      <c r="N110" s="6">
        <v>0</v>
      </c>
      <c r="O110" s="6">
        <v>0</v>
      </c>
      <c r="P110" s="6">
        <v>8</v>
      </c>
      <c r="Q110" s="4" t="s">
        <v>56</v>
      </c>
      <c r="R110" s="4">
        <v>0</v>
      </c>
      <c r="S110" s="4" t="s">
        <v>140</v>
      </c>
      <c r="U110" s="4">
        <v>65</v>
      </c>
      <c r="V110" s="4">
        <v>0</v>
      </c>
      <c r="W110" s="4">
        <v>0</v>
      </c>
    </row>
    <row r="111" spans="1:23" ht="11.25" customHeight="1" x14ac:dyDescent="0.25">
      <c r="A111" s="4" t="s">
        <v>21</v>
      </c>
      <c r="B111" s="4" t="s">
        <v>33</v>
      </c>
      <c r="C111" s="4" t="s">
        <v>34</v>
      </c>
      <c r="D111" s="4" t="s">
        <v>38</v>
      </c>
      <c r="E111" s="4" t="s">
        <v>25</v>
      </c>
      <c r="F111" s="4" t="s">
        <v>55</v>
      </c>
      <c r="G111" s="4" t="s">
        <v>25</v>
      </c>
      <c r="H111" s="4" t="s">
        <v>35</v>
      </c>
      <c r="I111" s="5">
        <v>44287</v>
      </c>
      <c r="J111" s="6">
        <v>0</v>
      </c>
      <c r="K111" s="6">
        <v>0</v>
      </c>
      <c r="L111" s="6">
        <v>19.989000000000001</v>
      </c>
      <c r="M111" s="6">
        <v>9.9945000000000004</v>
      </c>
      <c r="N111" s="6">
        <v>0</v>
      </c>
      <c r="O111" s="6">
        <v>0</v>
      </c>
      <c r="P111" s="6">
        <v>0</v>
      </c>
      <c r="Q111" s="4" t="s">
        <v>56</v>
      </c>
      <c r="R111" s="4">
        <v>0</v>
      </c>
      <c r="S111" s="4" t="s">
        <v>141</v>
      </c>
      <c r="U111" s="4">
        <v>0</v>
      </c>
      <c r="V111" s="4">
        <v>66</v>
      </c>
      <c r="W111" s="4">
        <v>0</v>
      </c>
    </row>
    <row r="112" spans="1:23" ht="11.25" customHeight="1" x14ac:dyDescent="0.25">
      <c r="A112" s="4" t="s">
        <v>21</v>
      </c>
      <c r="B112" s="4" t="s">
        <v>33</v>
      </c>
      <c r="C112" s="4" t="s">
        <v>34</v>
      </c>
      <c r="D112" s="4" t="s">
        <v>38</v>
      </c>
      <c r="E112" s="4" t="s">
        <v>25</v>
      </c>
      <c r="F112" s="4" t="s">
        <v>55</v>
      </c>
      <c r="G112" s="4" t="s">
        <v>25</v>
      </c>
      <c r="H112" s="4" t="s">
        <v>35</v>
      </c>
      <c r="I112" s="5">
        <v>44317</v>
      </c>
      <c r="J112" s="6">
        <v>0</v>
      </c>
      <c r="K112" s="6">
        <v>0</v>
      </c>
      <c r="L112" s="6">
        <v>23.256</v>
      </c>
      <c r="M112" s="6">
        <v>11.628</v>
      </c>
      <c r="N112" s="6">
        <v>0</v>
      </c>
      <c r="O112" s="6">
        <v>0</v>
      </c>
      <c r="P112" s="6">
        <v>0</v>
      </c>
      <c r="Q112" s="4" t="s">
        <v>56</v>
      </c>
      <c r="R112" s="4">
        <v>0</v>
      </c>
      <c r="S112" s="4" t="s">
        <v>142</v>
      </c>
      <c r="U112" s="4">
        <v>0</v>
      </c>
      <c r="V112" s="4">
        <v>66</v>
      </c>
      <c r="W112" s="4">
        <v>0</v>
      </c>
    </row>
    <row r="113" spans="1:23" ht="11.25" customHeight="1" x14ac:dyDescent="0.25">
      <c r="A113" s="4" t="s">
        <v>21</v>
      </c>
      <c r="B113" s="4" t="s">
        <v>33</v>
      </c>
      <c r="C113" s="4" t="s">
        <v>34</v>
      </c>
      <c r="D113" s="4" t="s">
        <v>38</v>
      </c>
      <c r="E113" s="4" t="s">
        <v>25</v>
      </c>
      <c r="F113" s="4" t="s">
        <v>55</v>
      </c>
      <c r="G113" s="4" t="s">
        <v>25</v>
      </c>
      <c r="H113" s="4" t="s">
        <v>35</v>
      </c>
      <c r="I113" s="5">
        <v>44348</v>
      </c>
      <c r="J113" s="6">
        <v>0</v>
      </c>
      <c r="K113" s="6">
        <v>0</v>
      </c>
      <c r="L113" s="6">
        <v>107.532</v>
      </c>
      <c r="M113" s="6">
        <v>53.765999999999998</v>
      </c>
      <c r="N113" s="6">
        <v>0</v>
      </c>
      <c r="O113" s="6">
        <v>0</v>
      </c>
      <c r="P113" s="6">
        <v>0</v>
      </c>
      <c r="Q113" s="4" t="s">
        <v>56</v>
      </c>
      <c r="R113" s="4">
        <v>0</v>
      </c>
      <c r="S113" s="4" t="s">
        <v>143</v>
      </c>
      <c r="U113" s="4">
        <v>0</v>
      </c>
      <c r="V113" s="4">
        <v>66</v>
      </c>
      <c r="W113" s="4">
        <v>0</v>
      </c>
    </row>
    <row r="114" spans="1:23" ht="11.25" customHeight="1" x14ac:dyDescent="0.25">
      <c r="A114" s="4" t="s">
        <v>21</v>
      </c>
      <c r="B114" s="4" t="s">
        <v>33</v>
      </c>
      <c r="C114" s="4" t="s">
        <v>34</v>
      </c>
      <c r="D114" s="4" t="s">
        <v>38</v>
      </c>
      <c r="E114" s="4" t="s">
        <v>25</v>
      </c>
      <c r="F114" s="4" t="s">
        <v>55</v>
      </c>
      <c r="G114" s="4" t="s">
        <v>25</v>
      </c>
      <c r="H114" s="4" t="s">
        <v>35</v>
      </c>
      <c r="I114" s="5">
        <v>44378</v>
      </c>
      <c r="J114" s="6">
        <v>0</v>
      </c>
      <c r="K114" s="6">
        <v>0</v>
      </c>
      <c r="L114" s="6">
        <v>171.18299999999999</v>
      </c>
      <c r="M114" s="6">
        <v>85.591499999999996</v>
      </c>
      <c r="N114" s="6">
        <v>0</v>
      </c>
      <c r="O114" s="6">
        <v>0</v>
      </c>
      <c r="P114" s="6">
        <v>0</v>
      </c>
      <c r="Q114" s="4" t="s">
        <v>56</v>
      </c>
      <c r="R114" s="4">
        <v>0</v>
      </c>
      <c r="S114" s="4" t="s">
        <v>144</v>
      </c>
      <c r="U114" s="4">
        <v>0</v>
      </c>
      <c r="V114" s="4">
        <v>66</v>
      </c>
      <c r="W114" s="4">
        <v>0</v>
      </c>
    </row>
    <row r="115" spans="1:23" ht="11.25" customHeight="1" x14ac:dyDescent="0.25">
      <c r="A115" s="4" t="s">
        <v>21</v>
      </c>
      <c r="B115" s="4" t="s">
        <v>33</v>
      </c>
      <c r="C115" s="4" t="s">
        <v>34</v>
      </c>
      <c r="D115" s="4" t="s">
        <v>38</v>
      </c>
      <c r="E115" s="4" t="s">
        <v>25</v>
      </c>
      <c r="F115" s="4" t="s">
        <v>55</v>
      </c>
      <c r="G115" s="4" t="s">
        <v>25</v>
      </c>
      <c r="H115" s="4" t="s">
        <v>35</v>
      </c>
      <c r="I115" s="5">
        <v>44409</v>
      </c>
      <c r="J115" s="6">
        <v>0</v>
      </c>
      <c r="K115" s="6">
        <v>0</v>
      </c>
      <c r="L115" s="6">
        <v>123.505</v>
      </c>
      <c r="M115" s="6">
        <v>61.752499999999998</v>
      </c>
      <c r="N115" s="6">
        <v>0</v>
      </c>
      <c r="O115" s="6">
        <v>0</v>
      </c>
      <c r="P115" s="6">
        <v>0</v>
      </c>
      <c r="Q115" s="4" t="s">
        <v>56</v>
      </c>
      <c r="R115" s="4">
        <v>0</v>
      </c>
      <c r="S115" s="4" t="s">
        <v>145</v>
      </c>
      <c r="U115" s="4">
        <v>0</v>
      </c>
      <c r="V115" s="4">
        <v>66</v>
      </c>
      <c r="W115" s="4">
        <v>0</v>
      </c>
    </row>
    <row r="116" spans="1:23" ht="11.25" customHeight="1" x14ac:dyDescent="0.25">
      <c r="A116" s="4" t="s">
        <v>21</v>
      </c>
      <c r="B116" s="4" t="s">
        <v>33</v>
      </c>
      <c r="C116" s="4" t="s">
        <v>34</v>
      </c>
      <c r="D116" s="4" t="s">
        <v>38</v>
      </c>
      <c r="E116" s="4" t="s">
        <v>25</v>
      </c>
      <c r="F116" s="4" t="s">
        <v>55</v>
      </c>
      <c r="G116" s="4" t="s">
        <v>25</v>
      </c>
      <c r="H116" s="4" t="s">
        <v>35</v>
      </c>
      <c r="I116" s="5">
        <v>44440</v>
      </c>
      <c r="J116" s="6">
        <v>0</v>
      </c>
      <c r="K116" s="6">
        <v>0</v>
      </c>
      <c r="L116" s="6">
        <v>77.082999999999998</v>
      </c>
      <c r="M116" s="6">
        <v>38.541499999999999</v>
      </c>
      <c r="N116" s="6">
        <v>0</v>
      </c>
      <c r="O116" s="6">
        <v>0</v>
      </c>
      <c r="P116" s="6">
        <v>0</v>
      </c>
      <c r="Q116" s="4" t="s">
        <v>56</v>
      </c>
      <c r="R116" s="4">
        <v>0</v>
      </c>
      <c r="S116" s="4" t="s">
        <v>146</v>
      </c>
      <c r="U116" s="4">
        <v>0</v>
      </c>
      <c r="V116" s="4">
        <v>66</v>
      </c>
      <c r="W116" s="4">
        <v>0</v>
      </c>
    </row>
    <row r="117" spans="1:23" ht="11.25" customHeight="1" x14ac:dyDescent="0.25">
      <c r="A117" s="4" t="s">
        <v>21</v>
      </c>
      <c r="B117" s="4" t="s">
        <v>33</v>
      </c>
      <c r="C117" s="4" t="s">
        <v>34</v>
      </c>
      <c r="D117" s="4" t="s">
        <v>38</v>
      </c>
      <c r="E117" s="4" t="s">
        <v>25</v>
      </c>
      <c r="F117" s="4" t="s">
        <v>55</v>
      </c>
      <c r="G117" s="4" t="s">
        <v>25</v>
      </c>
      <c r="H117" s="4" t="s">
        <v>35</v>
      </c>
      <c r="I117" s="5">
        <v>44470</v>
      </c>
      <c r="J117" s="6">
        <v>0</v>
      </c>
      <c r="K117" s="6">
        <v>0</v>
      </c>
      <c r="L117" s="6">
        <v>61.756999999999998</v>
      </c>
      <c r="M117" s="6">
        <v>30.878499999999999</v>
      </c>
      <c r="N117" s="6">
        <v>0</v>
      </c>
      <c r="O117" s="6">
        <v>0</v>
      </c>
      <c r="P117" s="6">
        <v>0</v>
      </c>
      <c r="Q117" s="4" t="s">
        <v>56</v>
      </c>
      <c r="R117" s="4">
        <v>0</v>
      </c>
      <c r="S117" s="4" t="s">
        <v>147</v>
      </c>
      <c r="U117" s="4">
        <v>0</v>
      </c>
      <c r="V117" s="4">
        <v>66</v>
      </c>
      <c r="W117" s="4">
        <v>0</v>
      </c>
    </row>
    <row r="118" spans="1:23" ht="11.25" customHeight="1" x14ac:dyDescent="0.25">
      <c r="A118" s="4" t="s">
        <v>21</v>
      </c>
      <c r="B118" s="4" t="s">
        <v>33</v>
      </c>
      <c r="C118" s="4" t="s">
        <v>34</v>
      </c>
      <c r="D118" s="4" t="s">
        <v>38</v>
      </c>
      <c r="E118" s="4" t="s">
        <v>25</v>
      </c>
      <c r="F118" s="4" t="s">
        <v>55</v>
      </c>
      <c r="G118" s="4" t="s">
        <v>25</v>
      </c>
      <c r="H118" s="4" t="s">
        <v>35</v>
      </c>
      <c r="I118" s="5">
        <v>44501</v>
      </c>
      <c r="J118" s="6">
        <v>0</v>
      </c>
      <c r="K118" s="6">
        <v>0</v>
      </c>
      <c r="L118" s="6">
        <v>38.241999999999997</v>
      </c>
      <c r="M118" s="6">
        <v>19.120999999999999</v>
      </c>
      <c r="N118" s="6">
        <v>0</v>
      </c>
      <c r="O118" s="6">
        <v>0</v>
      </c>
      <c r="P118" s="6">
        <v>0</v>
      </c>
      <c r="Q118" s="4" t="s">
        <v>56</v>
      </c>
      <c r="R118" s="4">
        <v>0</v>
      </c>
      <c r="S118" s="4" t="s">
        <v>148</v>
      </c>
      <c r="U118" s="4">
        <v>0</v>
      </c>
      <c r="V118" s="4">
        <v>66</v>
      </c>
      <c r="W118" s="4">
        <v>0</v>
      </c>
    </row>
    <row r="119" spans="1:23" ht="11.25" customHeight="1" x14ac:dyDescent="0.25">
      <c r="A119" s="4" t="s">
        <v>21</v>
      </c>
      <c r="B119" s="4" t="s">
        <v>33</v>
      </c>
      <c r="C119" s="4" t="s">
        <v>34</v>
      </c>
      <c r="D119" s="4" t="s">
        <v>38</v>
      </c>
      <c r="E119" s="4" t="s">
        <v>25</v>
      </c>
      <c r="F119" s="4" t="s">
        <v>55</v>
      </c>
      <c r="G119" s="4" t="s">
        <v>25</v>
      </c>
      <c r="H119" s="4" t="s">
        <v>35</v>
      </c>
      <c r="I119" s="5">
        <v>44531</v>
      </c>
      <c r="J119" s="6">
        <v>0</v>
      </c>
      <c r="K119" s="6">
        <v>0</v>
      </c>
      <c r="L119" s="6">
        <v>69.284999999999997</v>
      </c>
      <c r="M119" s="6">
        <v>34.642499999999998</v>
      </c>
      <c r="N119" s="6">
        <v>0</v>
      </c>
      <c r="O119" s="6">
        <v>0</v>
      </c>
      <c r="P119" s="6">
        <v>0</v>
      </c>
      <c r="Q119" s="4" t="s">
        <v>56</v>
      </c>
      <c r="R119" s="4">
        <v>0</v>
      </c>
      <c r="S119" s="4" t="s">
        <v>149</v>
      </c>
      <c r="U119" s="4">
        <v>0</v>
      </c>
      <c r="V119" s="4">
        <v>66</v>
      </c>
      <c r="W119" s="4">
        <v>0</v>
      </c>
    </row>
    <row r="120" spans="1:23" ht="11.25" customHeight="1" x14ac:dyDescent="0.25">
      <c r="A120" s="4" t="s">
        <v>21</v>
      </c>
      <c r="B120" s="4" t="s">
        <v>33</v>
      </c>
      <c r="C120" s="4" t="s">
        <v>34</v>
      </c>
      <c r="D120" s="4" t="s">
        <v>38</v>
      </c>
      <c r="E120" s="4" t="s">
        <v>25</v>
      </c>
      <c r="F120" s="4" t="s">
        <v>55</v>
      </c>
      <c r="G120" s="4" t="s">
        <v>25</v>
      </c>
      <c r="H120" s="4" t="s">
        <v>35</v>
      </c>
      <c r="I120" s="5">
        <v>44562</v>
      </c>
      <c r="J120" s="6">
        <v>0</v>
      </c>
      <c r="K120" s="6">
        <v>0</v>
      </c>
      <c r="L120" s="6">
        <v>118.67</v>
      </c>
      <c r="M120" s="6">
        <v>59.335000000000001</v>
      </c>
      <c r="N120" s="6">
        <v>0</v>
      </c>
      <c r="O120" s="6">
        <v>0</v>
      </c>
      <c r="P120" s="6">
        <v>0</v>
      </c>
      <c r="Q120" s="4" t="s">
        <v>56</v>
      </c>
      <c r="R120" s="4">
        <v>0</v>
      </c>
      <c r="S120" s="4" t="s">
        <v>150</v>
      </c>
      <c r="U120" s="4">
        <v>0</v>
      </c>
      <c r="V120" s="4">
        <v>66</v>
      </c>
      <c r="W120" s="4">
        <v>0</v>
      </c>
    </row>
    <row r="121" spans="1:23" ht="11.25" customHeight="1" x14ac:dyDescent="0.25">
      <c r="A121" s="4" t="s">
        <v>21</v>
      </c>
      <c r="B121" s="4" t="s">
        <v>33</v>
      </c>
      <c r="C121" s="4" t="s">
        <v>34</v>
      </c>
      <c r="D121" s="4" t="s">
        <v>38</v>
      </c>
      <c r="E121" s="4" t="s">
        <v>25</v>
      </c>
      <c r="F121" s="4" t="s">
        <v>55</v>
      </c>
      <c r="G121" s="4" t="s">
        <v>25</v>
      </c>
      <c r="H121" s="4" t="s">
        <v>35</v>
      </c>
      <c r="I121" s="5">
        <v>44593</v>
      </c>
      <c r="J121" s="6">
        <v>0</v>
      </c>
      <c r="K121" s="6">
        <v>0</v>
      </c>
      <c r="L121" s="6">
        <v>158.113</v>
      </c>
      <c r="M121" s="6">
        <v>79.0565</v>
      </c>
      <c r="N121" s="6">
        <v>0</v>
      </c>
      <c r="O121" s="6">
        <v>0</v>
      </c>
      <c r="P121" s="6">
        <v>0</v>
      </c>
      <c r="Q121" s="4" t="s">
        <v>56</v>
      </c>
      <c r="R121" s="4">
        <v>0</v>
      </c>
      <c r="S121" s="4" t="s">
        <v>151</v>
      </c>
      <c r="U121" s="4">
        <v>0</v>
      </c>
      <c r="V121" s="4">
        <v>66</v>
      </c>
      <c r="W121" s="4">
        <v>0</v>
      </c>
    </row>
    <row r="122" spans="1:23" ht="11.25" customHeight="1" x14ac:dyDescent="0.25">
      <c r="A122" s="4" t="s">
        <v>54</v>
      </c>
      <c r="B122" s="4" t="s">
        <v>33</v>
      </c>
      <c r="C122" s="4" t="s">
        <v>34</v>
      </c>
      <c r="D122" s="4" t="s">
        <v>38</v>
      </c>
      <c r="E122" s="4" t="s">
        <v>25</v>
      </c>
      <c r="F122" s="4" t="s">
        <v>55</v>
      </c>
      <c r="G122" s="4" t="s">
        <v>25</v>
      </c>
      <c r="H122" s="4" t="s">
        <v>35</v>
      </c>
      <c r="I122" s="5">
        <v>44621</v>
      </c>
      <c r="J122" s="6">
        <v>0</v>
      </c>
      <c r="K122" s="6">
        <v>0</v>
      </c>
      <c r="L122" s="6">
        <v>158.113</v>
      </c>
      <c r="M122" s="6">
        <v>79.0565</v>
      </c>
      <c r="N122" s="6">
        <v>0</v>
      </c>
      <c r="O122" s="6">
        <v>0</v>
      </c>
      <c r="P122" s="6">
        <v>0</v>
      </c>
      <c r="Q122" s="4" t="s">
        <v>56</v>
      </c>
      <c r="R122" s="4">
        <v>0</v>
      </c>
      <c r="S122" s="4" t="s">
        <v>152</v>
      </c>
      <c r="U122" s="4">
        <v>0</v>
      </c>
      <c r="V122" s="4">
        <v>66</v>
      </c>
      <c r="W122" s="4">
        <v>0</v>
      </c>
    </row>
    <row r="123" spans="1:23" ht="11.25" customHeight="1" x14ac:dyDescent="0.25">
      <c r="A123" s="4" t="s">
        <v>21</v>
      </c>
      <c r="B123" s="4" t="s">
        <v>33</v>
      </c>
      <c r="C123" s="4" t="s">
        <v>34</v>
      </c>
      <c r="D123" s="4" t="s">
        <v>38</v>
      </c>
      <c r="E123" s="4" t="s">
        <v>25</v>
      </c>
      <c r="F123" s="4" t="s">
        <v>25</v>
      </c>
      <c r="G123" s="4" t="s">
        <v>25</v>
      </c>
      <c r="H123" s="4" t="s">
        <v>36</v>
      </c>
      <c r="I123" s="5">
        <v>44287</v>
      </c>
      <c r="J123" s="6">
        <v>0</v>
      </c>
      <c r="K123" s="6">
        <v>0</v>
      </c>
      <c r="L123" s="6">
        <v>1163.3989999999999</v>
      </c>
      <c r="M123" s="6">
        <v>1163.3989999999999</v>
      </c>
      <c r="N123" s="6">
        <v>1163.3989999999999</v>
      </c>
      <c r="O123" s="6">
        <v>1163.3989999999999</v>
      </c>
      <c r="P123" s="6">
        <v>0</v>
      </c>
      <c r="Q123" s="4" t="s">
        <v>26</v>
      </c>
      <c r="R123" s="4">
        <v>0</v>
      </c>
      <c r="S123" s="4" t="s">
        <v>117</v>
      </c>
      <c r="T123" s="4" t="s">
        <v>262</v>
      </c>
      <c r="U123" s="4">
        <v>0</v>
      </c>
      <c r="V123" s="4">
        <v>47</v>
      </c>
      <c r="W123" s="4">
        <v>27</v>
      </c>
    </row>
    <row r="124" spans="1:23" ht="11.25" customHeight="1" x14ac:dyDescent="0.25">
      <c r="A124" s="4" t="s">
        <v>21</v>
      </c>
      <c r="B124" s="4" t="s">
        <v>33</v>
      </c>
      <c r="C124" s="4" t="s">
        <v>34</v>
      </c>
      <c r="D124" s="4" t="s">
        <v>38</v>
      </c>
      <c r="E124" s="4" t="s">
        <v>25</v>
      </c>
      <c r="F124" s="4" t="s">
        <v>25</v>
      </c>
      <c r="G124" s="4" t="s">
        <v>25</v>
      </c>
      <c r="H124" s="4" t="s">
        <v>36</v>
      </c>
      <c r="I124" s="5">
        <v>44317</v>
      </c>
      <c r="J124" s="6">
        <v>0</v>
      </c>
      <c r="K124" s="6">
        <v>0</v>
      </c>
      <c r="L124" s="6">
        <v>889.20600000000002</v>
      </c>
      <c r="M124" s="6">
        <v>889.20600000000002</v>
      </c>
      <c r="N124" s="6">
        <v>889.20600000000002</v>
      </c>
      <c r="O124" s="6">
        <v>889.20600000000002</v>
      </c>
      <c r="P124" s="6">
        <v>0</v>
      </c>
      <c r="Q124" s="4" t="s">
        <v>26</v>
      </c>
      <c r="R124" s="4">
        <v>0</v>
      </c>
      <c r="S124" s="4" t="s">
        <v>118</v>
      </c>
      <c r="T124" s="4" t="s">
        <v>263</v>
      </c>
      <c r="U124" s="4">
        <v>0</v>
      </c>
      <c r="V124" s="4">
        <v>47</v>
      </c>
      <c r="W124" s="4">
        <v>27</v>
      </c>
    </row>
    <row r="125" spans="1:23" ht="11.25" customHeight="1" x14ac:dyDescent="0.25">
      <c r="A125" s="4" t="s">
        <v>21</v>
      </c>
      <c r="B125" s="4" t="s">
        <v>33</v>
      </c>
      <c r="C125" s="4" t="s">
        <v>34</v>
      </c>
      <c r="D125" s="4" t="s">
        <v>38</v>
      </c>
      <c r="E125" s="4" t="s">
        <v>25</v>
      </c>
      <c r="F125" s="4" t="s">
        <v>25</v>
      </c>
      <c r="G125" s="4" t="s">
        <v>25</v>
      </c>
      <c r="H125" s="4" t="s">
        <v>36</v>
      </c>
      <c r="I125" s="5">
        <v>44348</v>
      </c>
      <c r="J125" s="6">
        <v>0</v>
      </c>
      <c r="K125" s="6">
        <v>0</v>
      </c>
      <c r="L125" s="6">
        <v>372.80500000000001</v>
      </c>
      <c r="M125" s="6">
        <v>372.80500000000001</v>
      </c>
      <c r="N125" s="6">
        <v>372.80500000000001</v>
      </c>
      <c r="O125" s="6">
        <v>372.80500000000001</v>
      </c>
      <c r="P125" s="6">
        <v>0</v>
      </c>
      <c r="Q125" s="4" t="s">
        <v>26</v>
      </c>
      <c r="R125" s="4">
        <v>0</v>
      </c>
      <c r="S125" s="4" t="s">
        <v>119</v>
      </c>
      <c r="T125" s="4" t="s">
        <v>264</v>
      </c>
      <c r="U125" s="4">
        <v>0</v>
      </c>
      <c r="V125" s="4">
        <v>47</v>
      </c>
      <c r="W125" s="4">
        <v>27</v>
      </c>
    </row>
    <row r="126" spans="1:23" ht="11.25" customHeight="1" x14ac:dyDescent="0.25">
      <c r="A126" s="4" t="s">
        <v>21</v>
      </c>
      <c r="B126" s="4" t="s">
        <v>33</v>
      </c>
      <c r="C126" s="4" t="s">
        <v>34</v>
      </c>
      <c r="D126" s="4" t="s">
        <v>38</v>
      </c>
      <c r="E126" s="4" t="s">
        <v>25</v>
      </c>
      <c r="F126" s="4" t="s">
        <v>25</v>
      </c>
      <c r="G126" s="4" t="s">
        <v>25</v>
      </c>
      <c r="H126" s="4" t="s">
        <v>36</v>
      </c>
      <c r="I126" s="5">
        <v>44378</v>
      </c>
      <c r="J126" s="6">
        <v>0</v>
      </c>
      <c r="K126" s="6">
        <v>0</v>
      </c>
      <c r="L126" s="6">
        <v>290.12</v>
      </c>
      <c r="M126" s="6">
        <v>290.12</v>
      </c>
      <c r="N126" s="6">
        <v>290.12</v>
      </c>
      <c r="O126" s="6">
        <v>290.12</v>
      </c>
      <c r="P126" s="6">
        <v>0</v>
      </c>
      <c r="Q126" s="4" t="s">
        <v>26</v>
      </c>
      <c r="R126" s="4">
        <v>0</v>
      </c>
      <c r="S126" s="4" t="s">
        <v>120</v>
      </c>
      <c r="T126" s="4" t="s">
        <v>265</v>
      </c>
      <c r="U126" s="4">
        <v>0</v>
      </c>
      <c r="V126" s="4">
        <v>47</v>
      </c>
      <c r="W126" s="4">
        <v>27</v>
      </c>
    </row>
    <row r="127" spans="1:23" ht="11.25" customHeight="1" x14ac:dyDescent="0.25">
      <c r="A127" s="4" t="s">
        <v>21</v>
      </c>
      <c r="B127" s="4" t="s">
        <v>33</v>
      </c>
      <c r="C127" s="4" t="s">
        <v>34</v>
      </c>
      <c r="D127" s="4" t="s">
        <v>38</v>
      </c>
      <c r="E127" s="4" t="s">
        <v>25</v>
      </c>
      <c r="F127" s="4" t="s">
        <v>25</v>
      </c>
      <c r="G127" s="4" t="s">
        <v>25</v>
      </c>
      <c r="H127" s="4" t="s">
        <v>36</v>
      </c>
      <c r="I127" s="5">
        <v>44409</v>
      </c>
      <c r="J127" s="6">
        <v>0</v>
      </c>
      <c r="K127" s="6">
        <v>0</v>
      </c>
      <c r="L127" s="6">
        <v>234.22800000000001</v>
      </c>
      <c r="M127" s="6">
        <v>234.22800000000001</v>
      </c>
      <c r="N127" s="6">
        <v>234.22800000000001</v>
      </c>
      <c r="O127" s="6">
        <v>234.22800000000001</v>
      </c>
      <c r="P127" s="6">
        <v>0</v>
      </c>
      <c r="Q127" s="4" t="s">
        <v>26</v>
      </c>
      <c r="R127" s="4">
        <v>0</v>
      </c>
      <c r="S127" s="4" t="s">
        <v>121</v>
      </c>
      <c r="T127" s="4" t="s">
        <v>266</v>
      </c>
      <c r="U127" s="4">
        <v>0</v>
      </c>
      <c r="V127" s="4">
        <v>47</v>
      </c>
      <c r="W127" s="4">
        <v>27</v>
      </c>
    </row>
    <row r="128" spans="1:23" ht="11.25" customHeight="1" x14ac:dyDescent="0.25">
      <c r="A128" s="4" t="s">
        <v>28</v>
      </c>
      <c r="B128" s="4" t="s">
        <v>33</v>
      </c>
      <c r="C128" s="4" t="s">
        <v>34</v>
      </c>
      <c r="D128" s="4" t="s">
        <v>38</v>
      </c>
      <c r="E128" s="4" t="s">
        <v>25</v>
      </c>
      <c r="F128" s="4" t="s">
        <v>25</v>
      </c>
      <c r="G128" s="4" t="s">
        <v>25</v>
      </c>
      <c r="H128" s="4" t="s">
        <v>36</v>
      </c>
      <c r="I128" s="5">
        <v>44409</v>
      </c>
      <c r="J128" s="6">
        <v>0</v>
      </c>
      <c r="K128" s="6">
        <v>0</v>
      </c>
      <c r="L128" s="6">
        <v>35.497999999999998</v>
      </c>
      <c r="M128" s="6">
        <v>35.497999999999998</v>
      </c>
      <c r="N128" s="6">
        <v>35.497999999999998</v>
      </c>
      <c r="O128" s="6">
        <v>35.497999999999998</v>
      </c>
      <c r="P128" s="6">
        <v>0</v>
      </c>
      <c r="Q128" s="4" t="s">
        <v>26</v>
      </c>
      <c r="R128" s="4">
        <v>0</v>
      </c>
      <c r="S128" s="4" t="s">
        <v>121</v>
      </c>
      <c r="T128" s="4" t="s">
        <v>266</v>
      </c>
      <c r="U128" s="4">
        <v>0</v>
      </c>
      <c r="V128" s="4">
        <v>47</v>
      </c>
      <c r="W128" s="4">
        <v>27</v>
      </c>
    </row>
    <row r="129" spans="1:23" ht="11.25" customHeight="1" x14ac:dyDescent="0.25">
      <c r="A129" s="4" t="s">
        <v>21</v>
      </c>
      <c r="B129" s="4" t="s">
        <v>33</v>
      </c>
      <c r="C129" s="4" t="s">
        <v>34</v>
      </c>
      <c r="D129" s="4" t="s">
        <v>38</v>
      </c>
      <c r="E129" s="4" t="s">
        <v>25</v>
      </c>
      <c r="F129" s="4" t="s">
        <v>25</v>
      </c>
      <c r="G129" s="4" t="s">
        <v>25</v>
      </c>
      <c r="H129" s="4" t="s">
        <v>36</v>
      </c>
      <c r="I129" s="5">
        <v>44440</v>
      </c>
      <c r="J129" s="6">
        <v>0</v>
      </c>
      <c r="K129" s="6">
        <v>0</v>
      </c>
      <c r="L129" s="6">
        <v>248.56700000000001</v>
      </c>
      <c r="M129" s="6">
        <v>248.56700000000001</v>
      </c>
      <c r="N129" s="6">
        <v>248.56700000000001</v>
      </c>
      <c r="O129" s="6">
        <v>248.56700000000001</v>
      </c>
      <c r="P129" s="6">
        <v>0</v>
      </c>
      <c r="Q129" s="4" t="s">
        <v>26</v>
      </c>
      <c r="R129" s="4">
        <v>0</v>
      </c>
      <c r="S129" s="4" t="s">
        <v>122</v>
      </c>
      <c r="T129" s="4" t="s">
        <v>267</v>
      </c>
      <c r="U129" s="4">
        <v>0</v>
      </c>
      <c r="V129" s="4">
        <v>47</v>
      </c>
      <c r="W129" s="4">
        <v>27</v>
      </c>
    </row>
    <row r="130" spans="1:23" ht="11.25" customHeight="1" x14ac:dyDescent="0.25">
      <c r="A130" s="4" t="s">
        <v>28</v>
      </c>
      <c r="B130" s="4" t="s">
        <v>33</v>
      </c>
      <c r="C130" s="4" t="s">
        <v>34</v>
      </c>
      <c r="D130" s="4" t="s">
        <v>38</v>
      </c>
      <c r="E130" s="4" t="s">
        <v>25</v>
      </c>
      <c r="F130" s="4" t="s">
        <v>25</v>
      </c>
      <c r="G130" s="4" t="s">
        <v>25</v>
      </c>
      <c r="H130" s="4" t="s">
        <v>36</v>
      </c>
      <c r="I130" s="5">
        <v>44440</v>
      </c>
      <c r="J130" s="6">
        <v>0</v>
      </c>
      <c r="K130" s="6">
        <v>0</v>
      </c>
      <c r="L130" s="6">
        <v>24.978999999999999</v>
      </c>
      <c r="M130" s="6">
        <v>24.978999999999999</v>
      </c>
      <c r="N130" s="6">
        <v>24.978999999999999</v>
      </c>
      <c r="O130" s="6">
        <v>24.978999999999999</v>
      </c>
      <c r="P130" s="6">
        <v>0</v>
      </c>
      <c r="Q130" s="4" t="s">
        <v>26</v>
      </c>
      <c r="R130" s="4">
        <v>0</v>
      </c>
      <c r="S130" s="4" t="s">
        <v>122</v>
      </c>
      <c r="T130" s="4" t="s">
        <v>267</v>
      </c>
      <c r="U130" s="4">
        <v>0</v>
      </c>
      <c r="V130" s="4">
        <v>47</v>
      </c>
      <c r="W130" s="4">
        <v>27</v>
      </c>
    </row>
    <row r="131" spans="1:23" ht="11.25" customHeight="1" x14ac:dyDescent="0.25">
      <c r="A131" s="4" t="s">
        <v>21</v>
      </c>
      <c r="B131" s="4" t="s">
        <v>33</v>
      </c>
      <c r="C131" s="4" t="s">
        <v>34</v>
      </c>
      <c r="D131" s="4" t="s">
        <v>38</v>
      </c>
      <c r="E131" s="4" t="s">
        <v>25</v>
      </c>
      <c r="F131" s="4" t="s">
        <v>25</v>
      </c>
      <c r="G131" s="4" t="s">
        <v>25</v>
      </c>
      <c r="H131" s="4" t="s">
        <v>36</v>
      </c>
      <c r="I131" s="5">
        <v>44470</v>
      </c>
      <c r="J131" s="6">
        <v>0</v>
      </c>
      <c r="K131" s="6">
        <v>0</v>
      </c>
      <c r="L131" s="6">
        <v>248.84200000000001</v>
      </c>
      <c r="M131" s="6">
        <v>248.84200000000001</v>
      </c>
      <c r="N131" s="6">
        <v>248.84200000000001</v>
      </c>
      <c r="O131" s="6">
        <v>248.84200000000001</v>
      </c>
      <c r="P131" s="6">
        <v>0</v>
      </c>
      <c r="Q131" s="4" t="s">
        <v>26</v>
      </c>
      <c r="R131" s="4">
        <v>0</v>
      </c>
      <c r="S131" s="4" t="s">
        <v>123</v>
      </c>
      <c r="T131" s="4" t="s">
        <v>268</v>
      </c>
      <c r="U131" s="4">
        <v>0</v>
      </c>
      <c r="V131" s="4">
        <v>47</v>
      </c>
      <c r="W131" s="4">
        <v>27</v>
      </c>
    </row>
    <row r="132" spans="1:23" ht="11.25" customHeight="1" x14ac:dyDescent="0.25">
      <c r="A132" s="4" t="s">
        <v>28</v>
      </c>
      <c r="B132" s="4" t="s">
        <v>33</v>
      </c>
      <c r="C132" s="4" t="s">
        <v>34</v>
      </c>
      <c r="D132" s="4" t="s">
        <v>38</v>
      </c>
      <c r="E132" s="4" t="s">
        <v>25</v>
      </c>
      <c r="F132" s="4" t="s">
        <v>25</v>
      </c>
      <c r="G132" s="4" t="s">
        <v>25</v>
      </c>
      <c r="H132" s="4" t="s">
        <v>36</v>
      </c>
      <c r="I132" s="5">
        <v>44470</v>
      </c>
      <c r="J132" s="6">
        <v>0</v>
      </c>
      <c r="K132" s="6">
        <v>0</v>
      </c>
      <c r="L132" s="6">
        <v>29.53</v>
      </c>
      <c r="M132" s="6">
        <v>29.53</v>
      </c>
      <c r="N132" s="6">
        <v>29.53</v>
      </c>
      <c r="O132" s="6">
        <v>29.53</v>
      </c>
      <c r="P132" s="6">
        <v>0</v>
      </c>
      <c r="Q132" s="4" t="s">
        <v>26</v>
      </c>
      <c r="R132" s="4">
        <v>0</v>
      </c>
      <c r="S132" s="4" t="s">
        <v>123</v>
      </c>
      <c r="T132" s="4" t="s">
        <v>268</v>
      </c>
      <c r="U132" s="4">
        <v>0</v>
      </c>
      <c r="V132" s="4">
        <v>47</v>
      </c>
      <c r="W132" s="4">
        <v>27</v>
      </c>
    </row>
    <row r="133" spans="1:23" ht="11.25" customHeight="1" x14ac:dyDescent="0.25">
      <c r="A133" s="4" t="s">
        <v>21</v>
      </c>
      <c r="B133" s="4" t="s">
        <v>33</v>
      </c>
      <c r="C133" s="4" t="s">
        <v>34</v>
      </c>
      <c r="D133" s="4" t="s">
        <v>38</v>
      </c>
      <c r="E133" s="4" t="s">
        <v>25</v>
      </c>
      <c r="F133" s="4" t="s">
        <v>25</v>
      </c>
      <c r="G133" s="4" t="s">
        <v>25</v>
      </c>
      <c r="H133" s="4" t="s">
        <v>36</v>
      </c>
      <c r="I133" s="5">
        <v>44501</v>
      </c>
      <c r="J133" s="6">
        <v>0</v>
      </c>
      <c r="K133" s="6">
        <v>0</v>
      </c>
      <c r="L133" s="6">
        <v>218.44300000000001</v>
      </c>
      <c r="M133" s="6">
        <v>218.44300000000001</v>
      </c>
      <c r="N133" s="6">
        <v>218.44300000000001</v>
      </c>
      <c r="O133" s="6">
        <v>218.44300000000001</v>
      </c>
      <c r="P133" s="6">
        <v>0</v>
      </c>
      <c r="Q133" s="4" t="s">
        <v>26</v>
      </c>
      <c r="R133" s="4">
        <v>0</v>
      </c>
      <c r="S133" s="4" t="s">
        <v>124</v>
      </c>
      <c r="T133" s="4" t="s">
        <v>269</v>
      </c>
      <c r="U133" s="4">
        <v>0</v>
      </c>
      <c r="V133" s="4">
        <v>47</v>
      </c>
      <c r="W133" s="4">
        <v>27</v>
      </c>
    </row>
    <row r="134" spans="1:23" ht="11.25" customHeight="1" x14ac:dyDescent="0.25">
      <c r="A134" s="4" t="s">
        <v>28</v>
      </c>
      <c r="B134" s="4" t="s">
        <v>33</v>
      </c>
      <c r="C134" s="4" t="s">
        <v>34</v>
      </c>
      <c r="D134" s="4" t="s">
        <v>38</v>
      </c>
      <c r="E134" s="4" t="s">
        <v>25</v>
      </c>
      <c r="F134" s="4" t="s">
        <v>25</v>
      </c>
      <c r="G134" s="4" t="s">
        <v>25</v>
      </c>
      <c r="H134" s="4" t="s">
        <v>36</v>
      </c>
      <c r="I134" s="5">
        <v>44501</v>
      </c>
      <c r="J134" s="6">
        <v>0</v>
      </c>
      <c r="K134" s="6">
        <v>0</v>
      </c>
      <c r="L134" s="6">
        <v>16.986000000000001</v>
      </c>
      <c r="M134" s="6">
        <v>16.986000000000001</v>
      </c>
      <c r="N134" s="6">
        <v>16.986000000000001</v>
      </c>
      <c r="O134" s="6">
        <v>16.986000000000001</v>
      </c>
      <c r="P134" s="6">
        <v>0</v>
      </c>
      <c r="Q134" s="4" t="s">
        <v>26</v>
      </c>
      <c r="R134" s="4">
        <v>0</v>
      </c>
      <c r="S134" s="4" t="s">
        <v>124</v>
      </c>
      <c r="T134" s="4" t="s">
        <v>269</v>
      </c>
      <c r="U134" s="4">
        <v>0</v>
      </c>
      <c r="V134" s="4">
        <v>47</v>
      </c>
      <c r="W134" s="4">
        <v>27</v>
      </c>
    </row>
    <row r="135" spans="1:23" ht="11.25" customHeight="1" x14ac:dyDescent="0.25">
      <c r="A135" s="4" t="s">
        <v>21</v>
      </c>
      <c r="B135" s="4" t="s">
        <v>33</v>
      </c>
      <c r="C135" s="4" t="s">
        <v>34</v>
      </c>
      <c r="D135" s="4" t="s">
        <v>38</v>
      </c>
      <c r="E135" s="4" t="s">
        <v>25</v>
      </c>
      <c r="F135" s="4" t="s">
        <v>25</v>
      </c>
      <c r="G135" s="4" t="s">
        <v>25</v>
      </c>
      <c r="H135" s="4" t="s">
        <v>36</v>
      </c>
      <c r="I135" s="5">
        <v>44531</v>
      </c>
      <c r="J135" s="6">
        <v>0</v>
      </c>
      <c r="K135" s="6">
        <v>0</v>
      </c>
      <c r="L135" s="6">
        <v>236.62799999999999</v>
      </c>
      <c r="M135" s="6">
        <v>236.62799999999999</v>
      </c>
      <c r="N135" s="6">
        <v>236.62799999999999</v>
      </c>
      <c r="O135" s="6">
        <v>236.62799999999999</v>
      </c>
      <c r="P135" s="6">
        <v>0</v>
      </c>
      <c r="Q135" s="4" t="s">
        <v>26</v>
      </c>
      <c r="R135" s="4">
        <v>0</v>
      </c>
      <c r="S135" s="4" t="s">
        <v>125</v>
      </c>
      <c r="T135" s="4" t="s">
        <v>270</v>
      </c>
      <c r="U135" s="4">
        <v>0</v>
      </c>
      <c r="V135" s="4">
        <v>47</v>
      </c>
      <c r="W135" s="4">
        <v>27</v>
      </c>
    </row>
    <row r="136" spans="1:23" ht="11.25" customHeight="1" x14ac:dyDescent="0.25">
      <c r="A136" s="4" t="s">
        <v>28</v>
      </c>
      <c r="B136" s="4" t="s">
        <v>33</v>
      </c>
      <c r="C136" s="4" t="s">
        <v>34</v>
      </c>
      <c r="D136" s="4" t="s">
        <v>38</v>
      </c>
      <c r="E136" s="4" t="s">
        <v>25</v>
      </c>
      <c r="F136" s="4" t="s">
        <v>25</v>
      </c>
      <c r="G136" s="4" t="s">
        <v>25</v>
      </c>
      <c r="H136" s="4" t="s">
        <v>36</v>
      </c>
      <c r="I136" s="5">
        <v>44531</v>
      </c>
      <c r="J136" s="6">
        <v>0</v>
      </c>
      <c r="K136" s="6">
        <v>0</v>
      </c>
      <c r="L136" s="6">
        <v>28.372</v>
      </c>
      <c r="M136" s="6">
        <v>28.372</v>
      </c>
      <c r="N136" s="6">
        <v>28.372</v>
      </c>
      <c r="O136" s="6">
        <v>28.372</v>
      </c>
      <c r="P136" s="6">
        <v>0</v>
      </c>
      <c r="Q136" s="4" t="s">
        <v>26</v>
      </c>
      <c r="R136" s="4">
        <v>0</v>
      </c>
      <c r="S136" s="4" t="s">
        <v>125</v>
      </c>
      <c r="T136" s="4" t="s">
        <v>270</v>
      </c>
      <c r="U136" s="4">
        <v>0</v>
      </c>
      <c r="V136" s="4">
        <v>47</v>
      </c>
      <c r="W136" s="4">
        <v>27</v>
      </c>
    </row>
    <row r="137" spans="1:23" ht="11.25" customHeight="1" x14ac:dyDescent="0.25">
      <c r="A137" s="4" t="s">
        <v>21</v>
      </c>
      <c r="B137" s="4" t="s">
        <v>33</v>
      </c>
      <c r="C137" s="4" t="s">
        <v>34</v>
      </c>
      <c r="D137" s="4" t="s">
        <v>38</v>
      </c>
      <c r="E137" s="4" t="s">
        <v>25</v>
      </c>
      <c r="F137" s="4" t="s">
        <v>25</v>
      </c>
      <c r="G137" s="4" t="s">
        <v>25</v>
      </c>
      <c r="H137" s="4" t="s">
        <v>36</v>
      </c>
      <c r="I137" s="5">
        <v>44562</v>
      </c>
      <c r="J137" s="6">
        <v>0</v>
      </c>
      <c r="K137" s="6">
        <v>0</v>
      </c>
      <c r="L137" s="6">
        <v>200.732</v>
      </c>
      <c r="M137" s="6">
        <v>200.732</v>
      </c>
      <c r="N137" s="6">
        <v>200.732</v>
      </c>
      <c r="O137" s="6">
        <v>200.732</v>
      </c>
      <c r="P137" s="6">
        <v>0</v>
      </c>
      <c r="Q137" s="4" t="s">
        <v>26</v>
      </c>
      <c r="R137" s="4">
        <v>0</v>
      </c>
      <c r="S137" s="4" t="s">
        <v>126</v>
      </c>
      <c r="T137" s="4" t="s">
        <v>271</v>
      </c>
      <c r="U137" s="4">
        <v>0</v>
      </c>
      <c r="V137" s="4">
        <v>47</v>
      </c>
      <c r="W137" s="4">
        <v>27</v>
      </c>
    </row>
    <row r="138" spans="1:23" ht="11.25" customHeight="1" x14ac:dyDescent="0.25">
      <c r="A138" s="4" t="s">
        <v>28</v>
      </c>
      <c r="B138" s="4" t="s">
        <v>33</v>
      </c>
      <c r="C138" s="4" t="s">
        <v>34</v>
      </c>
      <c r="D138" s="4" t="s">
        <v>38</v>
      </c>
      <c r="E138" s="4" t="s">
        <v>25</v>
      </c>
      <c r="F138" s="4" t="s">
        <v>25</v>
      </c>
      <c r="G138" s="4" t="s">
        <v>25</v>
      </c>
      <c r="H138" s="4" t="s">
        <v>36</v>
      </c>
      <c r="I138" s="5">
        <v>44562</v>
      </c>
      <c r="J138" s="6">
        <v>0</v>
      </c>
      <c r="K138" s="6">
        <v>0</v>
      </c>
      <c r="L138" s="6">
        <v>27.233000000000001</v>
      </c>
      <c r="M138" s="6">
        <v>27.233000000000001</v>
      </c>
      <c r="N138" s="6">
        <v>27.233000000000001</v>
      </c>
      <c r="O138" s="6">
        <v>27.233000000000001</v>
      </c>
      <c r="P138" s="6">
        <v>0</v>
      </c>
      <c r="Q138" s="4" t="s">
        <v>26</v>
      </c>
      <c r="R138" s="4">
        <v>0</v>
      </c>
      <c r="S138" s="4" t="s">
        <v>126</v>
      </c>
      <c r="T138" s="4" t="s">
        <v>271</v>
      </c>
      <c r="U138" s="4">
        <v>0</v>
      </c>
      <c r="V138" s="4">
        <v>47</v>
      </c>
      <c r="W138" s="4">
        <v>27</v>
      </c>
    </row>
    <row r="139" spans="1:23" ht="11.25" customHeight="1" x14ac:dyDescent="0.25">
      <c r="A139" s="4" t="s">
        <v>21</v>
      </c>
      <c r="B139" s="4" t="s">
        <v>33</v>
      </c>
      <c r="C139" s="4" t="s">
        <v>34</v>
      </c>
      <c r="D139" s="4" t="s">
        <v>38</v>
      </c>
      <c r="E139" s="4" t="s">
        <v>25</v>
      </c>
      <c r="F139" s="4" t="s">
        <v>25</v>
      </c>
      <c r="G139" s="4" t="s">
        <v>25</v>
      </c>
      <c r="H139" s="4" t="s">
        <v>36</v>
      </c>
      <c r="I139" s="5">
        <v>44593</v>
      </c>
      <c r="J139" s="6">
        <v>0</v>
      </c>
      <c r="K139" s="6">
        <v>0</v>
      </c>
      <c r="L139" s="6">
        <v>233.959</v>
      </c>
      <c r="M139" s="6">
        <v>233.959</v>
      </c>
      <c r="N139" s="6">
        <v>233.959</v>
      </c>
      <c r="O139" s="6">
        <v>233.959</v>
      </c>
      <c r="P139" s="6">
        <v>0</v>
      </c>
      <c r="Q139" s="4" t="s">
        <v>26</v>
      </c>
      <c r="R139" s="4">
        <v>0</v>
      </c>
      <c r="S139" s="4" t="s">
        <v>127</v>
      </c>
      <c r="T139" s="4" t="s">
        <v>272</v>
      </c>
      <c r="U139" s="4">
        <v>0</v>
      </c>
      <c r="V139" s="4">
        <v>47</v>
      </c>
      <c r="W139" s="4">
        <v>27</v>
      </c>
    </row>
    <row r="140" spans="1:23" ht="11.25" customHeight="1" x14ac:dyDescent="0.25">
      <c r="A140" s="4" t="s">
        <v>28</v>
      </c>
      <c r="B140" s="4" t="s">
        <v>33</v>
      </c>
      <c r="C140" s="4" t="s">
        <v>34</v>
      </c>
      <c r="D140" s="4" t="s">
        <v>38</v>
      </c>
      <c r="E140" s="4" t="s">
        <v>25</v>
      </c>
      <c r="F140" s="4" t="s">
        <v>25</v>
      </c>
      <c r="G140" s="4" t="s">
        <v>25</v>
      </c>
      <c r="H140" s="4" t="s">
        <v>36</v>
      </c>
      <c r="I140" s="5">
        <v>44593</v>
      </c>
      <c r="J140" s="6">
        <v>0</v>
      </c>
      <c r="K140" s="6">
        <v>0</v>
      </c>
      <c r="L140" s="6">
        <v>31.376999999999999</v>
      </c>
      <c r="M140" s="6">
        <v>31.376999999999999</v>
      </c>
      <c r="N140" s="6">
        <v>31.376999999999999</v>
      </c>
      <c r="O140" s="6">
        <v>31.376999999999999</v>
      </c>
      <c r="P140" s="6">
        <v>0</v>
      </c>
      <c r="Q140" s="4" t="s">
        <v>26</v>
      </c>
      <c r="R140" s="4">
        <v>0</v>
      </c>
      <c r="S140" s="4" t="s">
        <v>127</v>
      </c>
      <c r="T140" s="4" t="s">
        <v>272</v>
      </c>
      <c r="U140" s="4">
        <v>0</v>
      </c>
      <c r="V140" s="4">
        <v>47</v>
      </c>
      <c r="W140" s="4">
        <v>27</v>
      </c>
    </row>
    <row r="141" spans="1:23" ht="11.25" customHeight="1" x14ac:dyDescent="0.25">
      <c r="A141" s="4" t="s">
        <v>54</v>
      </c>
      <c r="B141" s="4" t="s">
        <v>33</v>
      </c>
      <c r="C141" s="4" t="s">
        <v>34</v>
      </c>
      <c r="D141" s="4" t="s">
        <v>38</v>
      </c>
      <c r="E141" s="4" t="s">
        <v>25</v>
      </c>
      <c r="F141" s="4" t="s">
        <v>25</v>
      </c>
      <c r="G141" s="4" t="s">
        <v>25</v>
      </c>
      <c r="H141" s="4" t="s">
        <v>36</v>
      </c>
      <c r="I141" s="5">
        <v>44621</v>
      </c>
      <c r="J141" s="6">
        <v>0</v>
      </c>
      <c r="K141" s="6">
        <v>0</v>
      </c>
      <c r="L141" s="6">
        <v>233.959</v>
      </c>
      <c r="M141" s="6">
        <v>233.959</v>
      </c>
      <c r="N141" s="6">
        <v>233.959</v>
      </c>
      <c r="O141" s="6">
        <v>233.959</v>
      </c>
      <c r="P141" s="6">
        <v>0</v>
      </c>
      <c r="Q141" s="4" t="s">
        <v>26</v>
      </c>
      <c r="R141" s="4">
        <v>0</v>
      </c>
      <c r="S141" s="4" t="s">
        <v>128</v>
      </c>
      <c r="T141" s="4" t="s">
        <v>273</v>
      </c>
      <c r="U141" s="4">
        <v>0</v>
      </c>
      <c r="V141" s="4">
        <v>47</v>
      </c>
      <c r="W141" s="4">
        <v>27</v>
      </c>
    </row>
    <row r="142" spans="1:23" ht="11.25" customHeight="1" x14ac:dyDescent="0.25">
      <c r="A142" s="4" t="s">
        <v>54</v>
      </c>
      <c r="B142" s="4" t="s">
        <v>33</v>
      </c>
      <c r="C142" s="4" t="s">
        <v>34</v>
      </c>
      <c r="D142" s="4" t="s">
        <v>38</v>
      </c>
      <c r="E142" s="4" t="s">
        <v>25</v>
      </c>
      <c r="F142" s="4" t="s">
        <v>25</v>
      </c>
      <c r="G142" s="4" t="s">
        <v>25</v>
      </c>
      <c r="H142" s="4" t="s">
        <v>36</v>
      </c>
      <c r="I142" s="5">
        <v>44621</v>
      </c>
      <c r="J142" s="6">
        <v>0</v>
      </c>
      <c r="K142" s="6">
        <v>0</v>
      </c>
      <c r="L142" s="6">
        <v>31.376999999999999</v>
      </c>
      <c r="M142" s="6">
        <v>31.376999999999999</v>
      </c>
      <c r="N142" s="6">
        <v>31.376999999999999</v>
      </c>
      <c r="O142" s="6">
        <v>31.376999999999999</v>
      </c>
      <c r="P142" s="6">
        <v>0</v>
      </c>
      <c r="Q142" s="4" t="s">
        <v>26</v>
      </c>
      <c r="R142" s="4">
        <v>0</v>
      </c>
      <c r="S142" s="4" t="s">
        <v>128</v>
      </c>
      <c r="T142" s="4" t="s">
        <v>273</v>
      </c>
      <c r="U142" s="4">
        <v>0</v>
      </c>
      <c r="V142" s="4">
        <v>47</v>
      </c>
      <c r="W142" s="4">
        <v>27</v>
      </c>
    </row>
    <row r="143" spans="1:23" ht="11.25" customHeight="1" x14ac:dyDescent="0.25">
      <c r="A143" s="4" t="s">
        <v>21</v>
      </c>
      <c r="B143" s="4" t="s">
        <v>33</v>
      </c>
      <c r="C143" s="4" t="s">
        <v>34</v>
      </c>
      <c r="D143" s="4" t="s">
        <v>38</v>
      </c>
      <c r="E143" s="4" t="s">
        <v>25</v>
      </c>
      <c r="F143" s="4" t="s">
        <v>25</v>
      </c>
      <c r="G143" s="4" t="s">
        <v>25</v>
      </c>
      <c r="H143" s="4" t="s">
        <v>25</v>
      </c>
      <c r="I143" s="5">
        <v>44287</v>
      </c>
      <c r="J143" s="6">
        <v>7321</v>
      </c>
      <c r="K143" s="6">
        <v>7321</v>
      </c>
      <c r="L143" s="6">
        <v>0</v>
      </c>
      <c r="M143" s="6">
        <v>0</v>
      </c>
      <c r="N143" s="6">
        <v>0</v>
      </c>
      <c r="O143" s="6">
        <v>0</v>
      </c>
      <c r="P143" s="6">
        <v>14</v>
      </c>
      <c r="Q143" s="4" t="s">
        <v>26</v>
      </c>
      <c r="R143" s="4">
        <v>0</v>
      </c>
      <c r="S143" s="4" t="s">
        <v>129</v>
      </c>
      <c r="U143" s="4">
        <v>65</v>
      </c>
      <c r="V143" s="4">
        <v>0</v>
      </c>
      <c r="W143" s="4">
        <v>0</v>
      </c>
    </row>
    <row r="144" spans="1:23" ht="11.25" customHeight="1" x14ac:dyDescent="0.25">
      <c r="A144" s="4" t="s">
        <v>21</v>
      </c>
      <c r="B144" s="4" t="s">
        <v>33</v>
      </c>
      <c r="C144" s="4" t="s">
        <v>34</v>
      </c>
      <c r="D144" s="4" t="s">
        <v>38</v>
      </c>
      <c r="E144" s="4" t="s">
        <v>25</v>
      </c>
      <c r="F144" s="4" t="s">
        <v>25</v>
      </c>
      <c r="G144" s="4" t="s">
        <v>25</v>
      </c>
      <c r="H144" s="4" t="s">
        <v>25</v>
      </c>
      <c r="I144" s="5">
        <v>44317</v>
      </c>
      <c r="J144" s="6">
        <v>7019</v>
      </c>
      <c r="K144" s="6">
        <v>7019</v>
      </c>
      <c r="L144" s="6">
        <v>0</v>
      </c>
      <c r="M144" s="6">
        <v>0</v>
      </c>
      <c r="N144" s="6">
        <v>0</v>
      </c>
      <c r="O144" s="6">
        <v>0</v>
      </c>
      <c r="P144" s="6">
        <v>14</v>
      </c>
      <c r="Q144" s="4" t="s">
        <v>26</v>
      </c>
      <c r="R144" s="4">
        <v>0</v>
      </c>
      <c r="S144" s="4" t="s">
        <v>130</v>
      </c>
      <c r="U144" s="4">
        <v>65</v>
      </c>
      <c r="V144" s="4">
        <v>0</v>
      </c>
      <c r="W144" s="4">
        <v>0</v>
      </c>
    </row>
    <row r="145" spans="1:23" ht="11.25" customHeight="1" x14ac:dyDescent="0.25">
      <c r="A145" s="4" t="s">
        <v>21</v>
      </c>
      <c r="B145" s="4" t="s">
        <v>33</v>
      </c>
      <c r="C145" s="4" t="s">
        <v>34</v>
      </c>
      <c r="D145" s="4" t="s">
        <v>38</v>
      </c>
      <c r="E145" s="4" t="s">
        <v>25</v>
      </c>
      <c r="F145" s="4" t="s">
        <v>25</v>
      </c>
      <c r="G145" s="4" t="s">
        <v>25</v>
      </c>
      <c r="H145" s="4" t="s">
        <v>25</v>
      </c>
      <c r="I145" s="5">
        <v>44348</v>
      </c>
      <c r="J145" s="6">
        <v>4402</v>
      </c>
      <c r="K145" s="6">
        <v>4402</v>
      </c>
      <c r="L145" s="6">
        <v>0</v>
      </c>
      <c r="M145" s="6">
        <v>0</v>
      </c>
      <c r="N145" s="6">
        <v>0</v>
      </c>
      <c r="O145" s="6">
        <v>0</v>
      </c>
      <c r="P145" s="6">
        <v>13</v>
      </c>
      <c r="Q145" s="4" t="s">
        <v>26</v>
      </c>
      <c r="R145" s="4">
        <v>0</v>
      </c>
      <c r="S145" s="4" t="s">
        <v>131</v>
      </c>
      <c r="U145" s="4">
        <v>65</v>
      </c>
      <c r="V145" s="4">
        <v>0</v>
      </c>
      <c r="W145" s="4">
        <v>0</v>
      </c>
    </row>
    <row r="146" spans="1:23" ht="11.25" customHeight="1" x14ac:dyDescent="0.25">
      <c r="A146" s="4" t="s">
        <v>21</v>
      </c>
      <c r="B146" s="4" t="s">
        <v>33</v>
      </c>
      <c r="C146" s="4" t="s">
        <v>34</v>
      </c>
      <c r="D146" s="4" t="s">
        <v>38</v>
      </c>
      <c r="E146" s="4" t="s">
        <v>25</v>
      </c>
      <c r="F146" s="4" t="s">
        <v>25</v>
      </c>
      <c r="G146" s="4" t="s">
        <v>25</v>
      </c>
      <c r="H146" s="4" t="s">
        <v>25</v>
      </c>
      <c r="I146" s="5">
        <v>44378</v>
      </c>
      <c r="J146" s="6">
        <v>2340</v>
      </c>
      <c r="K146" s="6">
        <v>2340</v>
      </c>
      <c r="L146" s="6">
        <v>0</v>
      </c>
      <c r="M146" s="6">
        <v>0</v>
      </c>
      <c r="N146" s="6">
        <v>0</v>
      </c>
      <c r="O146" s="6">
        <v>0</v>
      </c>
      <c r="P146" s="6">
        <v>10</v>
      </c>
      <c r="Q146" s="4" t="s">
        <v>26</v>
      </c>
      <c r="R146" s="4">
        <v>0</v>
      </c>
      <c r="S146" s="4" t="s">
        <v>132</v>
      </c>
      <c r="U146" s="4">
        <v>65</v>
      </c>
      <c r="V146" s="4">
        <v>0</v>
      </c>
      <c r="W146" s="4">
        <v>0</v>
      </c>
    </row>
    <row r="147" spans="1:23" ht="11.25" customHeight="1" x14ac:dyDescent="0.25">
      <c r="A147" s="4" t="s">
        <v>21</v>
      </c>
      <c r="B147" s="4" t="s">
        <v>33</v>
      </c>
      <c r="C147" s="4" t="s">
        <v>34</v>
      </c>
      <c r="D147" s="4" t="s">
        <v>38</v>
      </c>
      <c r="E147" s="4" t="s">
        <v>25</v>
      </c>
      <c r="F147" s="4" t="s">
        <v>25</v>
      </c>
      <c r="G147" s="4" t="s">
        <v>25</v>
      </c>
      <c r="H147" s="4" t="s">
        <v>25</v>
      </c>
      <c r="I147" s="5">
        <v>44409</v>
      </c>
      <c r="J147" s="6">
        <v>2044</v>
      </c>
      <c r="K147" s="6">
        <v>2044</v>
      </c>
      <c r="L147" s="6">
        <v>0</v>
      </c>
      <c r="M147" s="6">
        <v>0</v>
      </c>
      <c r="N147" s="6">
        <v>0</v>
      </c>
      <c r="O147" s="6">
        <v>0</v>
      </c>
      <c r="P147" s="6">
        <v>9</v>
      </c>
      <c r="Q147" s="4" t="s">
        <v>26</v>
      </c>
      <c r="R147" s="4">
        <v>0</v>
      </c>
      <c r="S147" s="4" t="s">
        <v>133</v>
      </c>
      <c r="U147" s="4">
        <v>65</v>
      </c>
      <c r="V147" s="4">
        <v>0</v>
      </c>
      <c r="W147" s="4">
        <v>0</v>
      </c>
    </row>
    <row r="148" spans="1:23" ht="11.25" customHeight="1" x14ac:dyDescent="0.25">
      <c r="A148" s="4" t="s">
        <v>28</v>
      </c>
      <c r="B148" s="4" t="s">
        <v>33</v>
      </c>
      <c r="C148" s="4" t="s">
        <v>34</v>
      </c>
      <c r="D148" s="4" t="s">
        <v>38</v>
      </c>
      <c r="E148" s="4" t="s">
        <v>25</v>
      </c>
      <c r="F148" s="4" t="s">
        <v>25</v>
      </c>
      <c r="G148" s="4" t="s">
        <v>25</v>
      </c>
      <c r="H148" s="4" t="s">
        <v>25</v>
      </c>
      <c r="I148" s="5">
        <v>44409</v>
      </c>
      <c r="J148" s="6">
        <v>270</v>
      </c>
      <c r="K148" s="6">
        <v>270</v>
      </c>
      <c r="L148" s="6">
        <v>0</v>
      </c>
      <c r="M148" s="6">
        <v>0</v>
      </c>
      <c r="N148" s="6">
        <v>0</v>
      </c>
      <c r="O148" s="6">
        <v>0</v>
      </c>
      <c r="P148" s="6">
        <v>1</v>
      </c>
      <c r="Q148" s="4" t="s">
        <v>26</v>
      </c>
      <c r="R148" s="4">
        <v>0</v>
      </c>
      <c r="S148" s="4" t="s">
        <v>133</v>
      </c>
      <c r="U148" s="4">
        <v>65</v>
      </c>
      <c r="V148" s="4">
        <v>0</v>
      </c>
      <c r="W148" s="4">
        <v>0</v>
      </c>
    </row>
    <row r="149" spans="1:23" ht="11.25" customHeight="1" x14ac:dyDescent="0.25">
      <c r="A149" s="4" t="s">
        <v>21</v>
      </c>
      <c r="B149" s="4" t="s">
        <v>33</v>
      </c>
      <c r="C149" s="4" t="s">
        <v>34</v>
      </c>
      <c r="D149" s="4" t="s">
        <v>38</v>
      </c>
      <c r="E149" s="4" t="s">
        <v>25</v>
      </c>
      <c r="F149" s="4" t="s">
        <v>25</v>
      </c>
      <c r="G149" s="4" t="s">
        <v>25</v>
      </c>
      <c r="H149" s="4" t="s">
        <v>25</v>
      </c>
      <c r="I149" s="5">
        <v>44440</v>
      </c>
      <c r="J149" s="6">
        <v>2094</v>
      </c>
      <c r="K149" s="6">
        <v>2094</v>
      </c>
      <c r="L149" s="6">
        <v>0</v>
      </c>
      <c r="M149" s="6">
        <v>0</v>
      </c>
      <c r="N149" s="6">
        <v>0</v>
      </c>
      <c r="O149" s="6">
        <v>0</v>
      </c>
      <c r="P149" s="6">
        <v>9</v>
      </c>
      <c r="Q149" s="4" t="s">
        <v>26</v>
      </c>
      <c r="R149" s="4">
        <v>0</v>
      </c>
      <c r="S149" s="4" t="s">
        <v>134</v>
      </c>
      <c r="U149" s="4">
        <v>65</v>
      </c>
      <c r="V149" s="4">
        <v>0</v>
      </c>
      <c r="W149" s="4">
        <v>0</v>
      </c>
    </row>
    <row r="150" spans="1:23" ht="11.25" customHeight="1" x14ac:dyDescent="0.25">
      <c r="A150" s="4" t="s">
        <v>28</v>
      </c>
      <c r="B150" s="4" t="s">
        <v>33</v>
      </c>
      <c r="C150" s="4" t="s">
        <v>34</v>
      </c>
      <c r="D150" s="4" t="s">
        <v>38</v>
      </c>
      <c r="E150" s="4" t="s">
        <v>25</v>
      </c>
      <c r="F150" s="4" t="s">
        <v>25</v>
      </c>
      <c r="G150" s="4" t="s">
        <v>25</v>
      </c>
      <c r="H150" s="4" t="s">
        <v>25</v>
      </c>
      <c r="I150" s="5">
        <v>44440</v>
      </c>
      <c r="J150" s="6">
        <v>270</v>
      </c>
      <c r="K150" s="6">
        <v>270</v>
      </c>
      <c r="L150" s="6">
        <v>0</v>
      </c>
      <c r="M150" s="6">
        <v>0</v>
      </c>
      <c r="N150" s="6">
        <v>0</v>
      </c>
      <c r="O150" s="6">
        <v>0</v>
      </c>
      <c r="P150" s="6">
        <v>1</v>
      </c>
      <c r="Q150" s="4" t="s">
        <v>26</v>
      </c>
      <c r="R150" s="4">
        <v>0</v>
      </c>
      <c r="S150" s="4" t="s">
        <v>134</v>
      </c>
      <c r="U150" s="4">
        <v>65</v>
      </c>
      <c r="V150" s="4">
        <v>0</v>
      </c>
      <c r="W150" s="4">
        <v>0</v>
      </c>
    </row>
    <row r="151" spans="1:23" ht="11.25" customHeight="1" x14ac:dyDescent="0.25">
      <c r="A151" s="4" t="s">
        <v>21</v>
      </c>
      <c r="B151" s="4" t="s">
        <v>33</v>
      </c>
      <c r="C151" s="4" t="s">
        <v>34</v>
      </c>
      <c r="D151" s="4" t="s">
        <v>38</v>
      </c>
      <c r="E151" s="4" t="s">
        <v>25</v>
      </c>
      <c r="F151" s="4" t="s">
        <v>25</v>
      </c>
      <c r="G151" s="4" t="s">
        <v>25</v>
      </c>
      <c r="H151" s="4" t="s">
        <v>25</v>
      </c>
      <c r="I151" s="5">
        <v>44470</v>
      </c>
      <c r="J151" s="6">
        <v>2148</v>
      </c>
      <c r="K151" s="6">
        <v>2148</v>
      </c>
      <c r="L151" s="6">
        <v>0</v>
      </c>
      <c r="M151" s="6">
        <v>0</v>
      </c>
      <c r="N151" s="6">
        <v>0</v>
      </c>
      <c r="O151" s="6">
        <v>0</v>
      </c>
      <c r="P151" s="6">
        <v>10</v>
      </c>
      <c r="Q151" s="4" t="s">
        <v>26</v>
      </c>
      <c r="R151" s="4">
        <v>0</v>
      </c>
      <c r="S151" s="4" t="s">
        <v>135</v>
      </c>
      <c r="U151" s="4">
        <v>65</v>
      </c>
      <c r="V151" s="4">
        <v>0</v>
      </c>
      <c r="W151" s="4">
        <v>0</v>
      </c>
    </row>
    <row r="152" spans="1:23" ht="11.25" customHeight="1" x14ac:dyDescent="0.25">
      <c r="A152" s="4" t="s">
        <v>28</v>
      </c>
      <c r="B152" s="4" t="s">
        <v>33</v>
      </c>
      <c r="C152" s="4" t="s">
        <v>34</v>
      </c>
      <c r="D152" s="4" t="s">
        <v>38</v>
      </c>
      <c r="E152" s="4" t="s">
        <v>25</v>
      </c>
      <c r="F152" s="4" t="s">
        <v>25</v>
      </c>
      <c r="G152" s="4" t="s">
        <v>25</v>
      </c>
      <c r="H152" s="4" t="s">
        <v>25</v>
      </c>
      <c r="I152" s="5">
        <v>44470</v>
      </c>
      <c r="J152" s="6">
        <v>270</v>
      </c>
      <c r="K152" s="6">
        <v>270</v>
      </c>
      <c r="L152" s="6">
        <v>0</v>
      </c>
      <c r="M152" s="6">
        <v>0</v>
      </c>
      <c r="N152" s="6">
        <v>0</v>
      </c>
      <c r="O152" s="6">
        <v>0</v>
      </c>
      <c r="P152" s="6">
        <v>1</v>
      </c>
      <c r="Q152" s="4" t="s">
        <v>26</v>
      </c>
      <c r="R152" s="4">
        <v>0</v>
      </c>
      <c r="S152" s="4" t="s">
        <v>135</v>
      </c>
      <c r="U152" s="4">
        <v>65</v>
      </c>
      <c r="V152" s="4">
        <v>0</v>
      </c>
      <c r="W152" s="4">
        <v>0</v>
      </c>
    </row>
    <row r="153" spans="1:23" ht="11.25" customHeight="1" x14ac:dyDescent="0.25">
      <c r="A153" s="4" t="s">
        <v>21</v>
      </c>
      <c r="B153" s="4" t="s">
        <v>33</v>
      </c>
      <c r="C153" s="4" t="s">
        <v>34</v>
      </c>
      <c r="D153" s="4" t="s">
        <v>38</v>
      </c>
      <c r="E153" s="4" t="s">
        <v>25</v>
      </c>
      <c r="F153" s="4" t="s">
        <v>25</v>
      </c>
      <c r="G153" s="4" t="s">
        <v>25</v>
      </c>
      <c r="H153" s="4" t="s">
        <v>25</v>
      </c>
      <c r="I153" s="5">
        <v>44501</v>
      </c>
      <c r="J153" s="6">
        <v>2097</v>
      </c>
      <c r="K153" s="6">
        <v>2097</v>
      </c>
      <c r="L153" s="6">
        <v>0</v>
      </c>
      <c r="M153" s="6">
        <v>0</v>
      </c>
      <c r="N153" s="6">
        <v>0</v>
      </c>
      <c r="O153" s="6">
        <v>0</v>
      </c>
      <c r="P153" s="6">
        <v>10</v>
      </c>
      <c r="Q153" s="4" t="s">
        <v>26</v>
      </c>
      <c r="R153" s="4">
        <v>0</v>
      </c>
      <c r="S153" s="4" t="s">
        <v>136</v>
      </c>
      <c r="U153" s="4">
        <v>65</v>
      </c>
      <c r="V153" s="4">
        <v>0</v>
      </c>
      <c r="W153" s="4">
        <v>0</v>
      </c>
    </row>
    <row r="154" spans="1:23" ht="11.25" customHeight="1" x14ac:dyDescent="0.25">
      <c r="A154" s="4" t="s">
        <v>28</v>
      </c>
      <c r="B154" s="4" t="s">
        <v>33</v>
      </c>
      <c r="C154" s="4" t="s">
        <v>34</v>
      </c>
      <c r="D154" s="4" t="s">
        <v>38</v>
      </c>
      <c r="E154" s="4" t="s">
        <v>25</v>
      </c>
      <c r="F154" s="4" t="s">
        <v>25</v>
      </c>
      <c r="G154" s="4" t="s">
        <v>25</v>
      </c>
      <c r="H154" s="4" t="s">
        <v>25</v>
      </c>
      <c r="I154" s="5">
        <v>44501</v>
      </c>
      <c r="J154" s="6">
        <v>270</v>
      </c>
      <c r="K154" s="6">
        <v>270</v>
      </c>
      <c r="L154" s="6">
        <v>0</v>
      </c>
      <c r="M154" s="6">
        <v>0</v>
      </c>
      <c r="N154" s="6">
        <v>0</v>
      </c>
      <c r="O154" s="6">
        <v>0</v>
      </c>
      <c r="P154" s="6">
        <v>1</v>
      </c>
      <c r="Q154" s="4" t="s">
        <v>26</v>
      </c>
      <c r="R154" s="4">
        <v>0</v>
      </c>
      <c r="S154" s="4" t="s">
        <v>136</v>
      </c>
      <c r="U154" s="4">
        <v>65</v>
      </c>
      <c r="V154" s="4">
        <v>0</v>
      </c>
      <c r="W154" s="4">
        <v>0</v>
      </c>
    </row>
    <row r="155" spans="1:23" ht="11.25" customHeight="1" x14ac:dyDescent="0.25">
      <c r="A155" s="4" t="s">
        <v>21</v>
      </c>
      <c r="B155" s="4" t="s">
        <v>33</v>
      </c>
      <c r="C155" s="4" t="s">
        <v>34</v>
      </c>
      <c r="D155" s="4" t="s">
        <v>38</v>
      </c>
      <c r="E155" s="4" t="s">
        <v>25</v>
      </c>
      <c r="F155" s="4" t="s">
        <v>25</v>
      </c>
      <c r="G155" s="4" t="s">
        <v>25</v>
      </c>
      <c r="H155" s="4" t="s">
        <v>25</v>
      </c>
      <c r="I155" s="5">
        <v>44531</v>
      </c>
      <c r="J155" s="6">
        <v>1972</v>
      </c>
      <c r="K155" s="6">
        <v>1972</v>
      </c>
      <c r="L155" s="6">
        <v>0</v>
      </c>
      <c r="M155" s="6">
        <v>0</v>
      </c>
      <c r="N155" s="6">
        <v>0</v>
      </c>
      <c r="O155" s="6">
        <v>0</v>
      </c>
      <c r="P155" s="6">
        <v>10</v>
      </c>
      <c r="Q155" s="4" t="s">
        <v>26</v>
      </c>
      <c r="R155" s="4">
        <v>0</v>
      </c>
      <c r="S155" s="4" t="s">
        <v>137</v>
      </c>
      <c r="U155" s="4">
        <v>65</v>
      </c>
      <c r="V155" s="4">
        <v>0</v>
      </c>
      <c r="W155" s="4">
        <v>0</v>
      </c>
    </row>
    <row r="156" spans="1:23" ht="11.25" customHeight="1" x14ac:dyDescent="0.25">
      <c r="A156" s="4" t="s">
        <v>28</v>
      </c>
      <c r="B156" s="4" t="s">
        <v>33</v>
      </c>
      <c r="C156" s="4" t="s">
        <v>34</v>
      </c>
      <c r="D156" s="4" t="s">
        <v>38</v>
      </c>
      <c r="E156" s="4" t="s">
        <v>25</v>
      </c>
      <c r="F156" s="4" t="s">
        <v>25</v>
      </c>
      <c r="G156" s="4" t="s">
        <v>25</v>
      </c>
      <c r="H156" s="4" t="s">
        <v>25</v>
      </c>
      <c r="I156" s="5">
        <v>44531</v>
      </c>
      <c r="J156" s="6">
        <v>270</v>
      </c>
      <c r="K156" s="6">
        <v>270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4" t="s">
        <v>26</v>
      </c>
      <c r="R156" s="4">
        <v>0</v>
      </c>
      <c r="S156" s="4" t="s">
        <v>137</v>
      </c>
      <c r="U156" s="4">
        <v>65</v>
      </c>
      <c r="V156" s="4">
        <v>0</v>
      </c>
      <c r="W156" s="4">
        <v>0</v>
      </c>
    </row>
    <row r="157" spans="1:23" ht="11.25" customHeight="1" x14ac:dyDescent="0.25">
      <c r="A157" s="4" t="s">
        <v>21</v>
      </c>
      <c r="B157" s="4" t="s">
        <v>33</v>
      </c>
      <c r="C157" s="4" t="s">
        <v>34</v>
      </c>
      <c r="D157" s="4" t="s">
        <v>38</v>
      </c>
      <c r="E157" s="4" t="s">
        <v>25</v>
      </c>
      <c r="F157" s="4" t="s">
        <v>25</v>
      </c>
      <c r="G157" s="4" t="s">
        <v>25</v>
      </c>
      <c r="H157" s="4" t="s">
        <v>25</v>
      </c>
      <c r="I157" s="5">
        <v>44562</v>
      </c>
      <c r="J157" s="6">
        <v>2286</v>
      </c>
      <c r="K157" s="6">
        <v>2286</v>
      </c>
      <c r="L157" s="6">
        <v>0</v>
      </c>
      <c r="M157" s="6">
        <v>0</v>
      </c>
      <c r="N157" s="6">
        <v>0</v>
      </c>
      <c r="O157" s="6">
        <v>0</v>
      </c>
      <c r="P157" s="6">
        <v>11</v>
      </c>
      <c r="Q157" s="4" t="s">
        <v>26</v>
      </c>
      <c r="R157" s="4">
        <v>0</v>
      </c>
      <c r="S157" s="4" t="s">
        <v>138</v>
      </c>
      <c r="U157" s="4">
        <v>65</v>
      </c>
      <c r="V157" s="4">
        <v>0</v>
      </c>
      <c r="W157" s="4">
        <v>0</v>
      </c>
    </row>
    <row r="158" spans="1:23" ht="11.25" customHeight="1" x14ac:dyDescent="0.25">
      <c r="A158" s="4" t="s">
        <v>28</v>
      </c>
      <c r="B158" s="4" t="s">
        <v>33</v>
      </c>
      <c r="C158" s="4" t="s">
        <v>34</v>
      </c>
      <c r="D158" s="4" t="s">
        <v>38</v>
      </c>
      <c r="E158" s="4" t="s">
        <v>25</v>
      </c>
      <c r="F158" s="4" t="s">
        <v>25</v>
      </c>
      <c r="G158" s="4" t="s">
        <v>25</v>
      </c>
      <c r="H158" s="4" t="s">
        <v>25</v>
      </c>
      <c r="I158" s="5">
        <v>44562</v>
      </c>
      <c r="J158" s="6">
        <v>270</v>
      </c>
      <c r="K158" s="6">
        <v>270</v>
      </c>
      <c r="L158" s="6">
        <v>0</v>
      </c>
      <c r="M158" s="6">
        <v>0</v>
      </c>
      <c r="N158" s="6">
        <v>0</v>
      </c>
      <c r="O158" s="6">
        <v>0</v>
      </c>
      <c r="P158" s="6">
        <v>1</v>
      </c>
      <c r="Q158" s="4" t="s">
        <v>26</v>
      </c>
      <c r="R158" s="4">
        <v>0</v>
      </c>
      <c r="S158" s="4" t="s">
        <v>138</v>
      </c>
      <c r="U158" s="4">
        <v>65</v>
      </c>
      <c r="V158" s="4">
        <v>0</v>
      </c>
      <c r="W158" s="4">
        <v>0</v>
      </c>
    </row>
    <row r="159" spans="1:23" ht="11.25" customHeight="1" x14ac:dyDescent="0.25">
      <c r="A159" s="4" t="s">
        <v>21</v>
      </c>
      <c r="B159" s="4" t="s">
        <v>33</v>
      </c>
      <c r="C159" s="4" t="s">
        <v>34</v>
      </c>
      <c r="D159" s="4" t="s">
        <v>38</v>
      </c>
      <c r="E159" s="4" t="s">
        <v>25</v>
      </c>
      <c r="F159" s="4" t="s">
        <v>25</v>
      </c>
      <c r="G159" s="4" t="s">
        <v>25</v>
      </c>
      <c r="H159" s="4" t="s">
        <v>25</v>
      </c>
      <c r="I159" s="5">
        <v>44593</v>
      </c>
      <c r="J159" s="6">
        <v>2296</v>
      </c>
      <c r="K159" s="6">
        <v>2296</v>
      </c>
      <c r="L159" s="6">
        <v>0</v>
      </c>
      <c r="M159" s="6">
        <v>0</v>
      </c>
      <c r="N159" s="6">
        <v>0</v>
      </c>
      <c r="O159" s="6">
        <v>0</v>
      </c>
      <c r="P159" s="6">
        <v>11</v>
      </c>
      <c r="Q159" s="4" t="s">
        <v>26</v>
      </c>
      <c r="R159" s="4">
        <v>0</v>
      </c>
      <c r="S159" s="4" t="s">
        <v>139</v>
      </c>
      <c r="U159" s="4">
        <v>65</v>
      </c>
      <c r="V159" s="4">
        <v>0</v>
      </c>
      <c r="W159" s="4">
        <v>0</v>
      </c>
    </row>
    <row r="160" spans="1:23" ht="11.25" customHeight="1" x14ac:dyDescent="0.25">
      <c r="A160" s="4" t="s">
        <v>28</v>
      </c>
      <c r="B160" s="4" t="s">
        <v>33</v>
      </c>
      <c r="C160" s="4" t="s">
        <v>34</v>
      </c>
      <c r="D160" s="4" t="s">
        <v>38</v>
      </c>
      <c r="E160" s="4" t="s">
        <v>25</v>
      </c>
      <c r="F160" s="4" t="s">
        <v>25</v>
      </c>
      <c r="G160" s="4" t="s">
        <v>25</v>
      </c>
      <c r="H160" s="4" t="s">
        <v>25</v>
      </c>
      <c r="I160" s="5">
        <v>44593</v>
      </c>
      <c r="J160" s="6">
        <v>270</v>
      </c>
      <c r="K160" s="6">
        <v>270</v>
      </c>
      <c r="L160" s="6">
        <v>0</v>
      </c>
      <c r="M160" s="6">
        <v>0</v>
      </c>
      <c r="N160" s="6">
        <v>0</v>
      </c>
      <c r="O160" s="6">
        <v>0</v>
      </c>
      <c r="P160" s="6">
        <v>1</v>
      </c>
      <c r="Q160" s="4" t="s">
        <v>26</v>
      </c>
      <c r="R160" s="4">
        <v>0</v>
      </c>
      <c r="S160" s="4" t="s">
        <v>139</v>
      </c>
      <c r="U160" s="4">
        <v>65</v>
      </c>
      <c r="V160" s="4">
        <v>0</v>
      </c>
      <c r="W160" s="4">
        <v>0</v>
      </c>
    </row>
    <row r="161" spans="1:23" ht="11.25" customHeight="1" x14ac:dyDescent="0.25">
      <c r="A161" s="4" t="s">
        <v>54</v>
      </c>
      <c r="B161" s="4" t="s">
        <v>33</v>
      </c>
      <c r="C161" s="4" t="s">
        <v>34</v>
      </c>
      <c r="D161" s="4" t="s">
        <v>38</v>
      </c>
      <c r="E161" s="4" t="s">
        <v>25</v>
      </c>
      <c r="F161" s="4" t="s">
        <v>25</v>
      </c>
      <c r="G161" s="4" t="s">
        <v>25</v>
      </c>
      <c r="H161" s="4" t="s">
        <v>25</v>
      </c>
      <c r="I161" s="5">
        <v>44621</v>
      </c>
      <c r="J161" s="6">
        <v>2296</v>
      </c>
      <c r="K161" s="6">
        <v>2296</v>
      </c>
      <c r="L161" s="6">
        <v>0</v>
      </c>
      <c r="M161" s="6">
        <v>0</v>
      </c>
      <c r="N161" s="6">
        <v>0</v>
      </c>
      <c r="O161" s="6">
        <v>0</v>
      </c>
      <c r="P161" s="6">
        <v>11</v>
      </c>
      <c r="Q161" s="4" t="s">
        <v>26</v>
      </c>
      <c r="R161" s="4">
        <v>0</v>
      </c>
      <c r="S161" s="4" t="s">
        <v>140</v>
      </c>
      <c r="U161" s="4">
        <v>65</v>
      </c>
      <c r="V161" s="4">
        <v>0</v>
      </c>
      <c r="W161" s="4">
        <v>0</v>
      </c>
    </row>
    <row r="162" spans="1:23" ht="11.25" customHeight="1" x14ac:dyDescent="0.25">
      <c r="A162" s="4" t="s">
        <v>54</v>
      </c>
      <c r="B162" s="4" t="s">
        <v>33</v>
      </c>
      <c r="C162" s="4" t="s">
        <v>34</v>
      </c>
      <c r="D162" s="4" t="s">
        <v>38</v>
      </c>
      <c r="E162" s="4" t="s">
        <v>25</v>
      </c>
      <c r="F162" s="4" t="s">
        <v>25</v>
      </c>
      <c r="G162" s="4" t="s">
        <v>25</v>
      </c>
      <c r="H162" s="4" t="s">
        <v>25</v>
      </c>
      <c r="I162" s="5">
        <v>44621</v>
      </c>
      <c r="J162" s="6">
        <v>270</v>
      </c>
      <c r="K162" s="6">
        <v>270</v>
      </c>
      <c r="L162" s="6">
        <v>0</v>
      </c>
      <c r="M162" s="6">
        <v>0</v>
      </c>
      <c r="N162" s="6">
        <v>0</v>
      </c>
      <c r="O162" s="6">
        <v>0</v>
      </c>
      <c r="P162" s="6">
        <v>1</v>
      </c>
      <c r="Q162" s="4" t="s">
        <v>26</v>
      </c>
      <c r="R162" s="4">
        <v>0</v>
      </c>
      <c r="S162" s="4" t="s">
        <v>140</v>
      </c>
      <c r="U162" s="4">
        <v>65</v>
      </c>
      <c r="V162" s="4">
        <v>0</v>
      </c>
      <c r="W162" s="4">
        <v>0</v>
      </c>
    </row>
    <row r="163" spans="1:23" ht="11.25" customHeight="1" x14ac:dyDescent="0.25">
      <c r="A163" s="4" t="s">
        <v>21</v>
      </c>
      <c r="B163" s="4" t="s">
        <v>33</v>
      </c>
      <c r="C163" s="4" t="s">
        <v>34</v>
      </c>
      <c r="D163" s="4" t="s">
        <v>38</v>
      </c>
      <c r="E163" s="4" t="s">
        <v>25</v>
      </c>
      <c r="F163" s="4" t="s">
        <v>25</v>
      </c>
      <c r="G163" s="4" t="s">
        <v>25</v>
      </c>
      <c r="H163" s="4" t="s">
        <v>35</v>
      </c>
      <c r="I163" s="5">
        <v>44287</v>
      </c>
      <c r="J163" s="6">
        <v>0</v>
      </c>
      <c r="K163" s="6">
        <v>0</v>
      </c>
      <c r="L163" s="6">
        <v>83.936000000000007</v>
      </c>
      <c r="M163" s="6">
        <v>83.936000000000007</v>
      </c>
      <c r="N163" s="6">
        <v>83.936000000000007</v>
      </c>
      <c r="O163" s="6">
        <v>83.936000000000007</v>
      </c>
      <c r="P163" s="6">
        <v>0</v>
      </c>
      <c r="Q163" s="4" t="s">
        <v>26</v>
      </c>
      <c r="R163" s="4">
        <v>0</v>
      </c>
      <c r="S163" s="4" t="s">
        <v>141</v>
      </c>
      <c r="T163" s="4" t="s">
        <v>274</v>
      </c>
      <c r="U163" s="4">
        <v>0</v>
      </c>
      <c r="V163" s="4">
        <v>66</v>
      </c>
      <c r="W163" s="4">
        <v>6</v>
      </c>
    </row>
    <row r="164" spans="1:23" ht="11.25" customHeight="1" x14ac:dyDescent="0.25">
      <c r="A164" s="4" t="s">
        <v>21</v>
      </c>
      <c r="B164" s="4" t="s">
        <v>33</v>
      </c>
      <c r="C164" s="4" t="s">
        <v>34</v>
      </c>
      <c r="D164" s="4" t="s">
        <v>38</v>
      </c>
      <c r="E164" s="4" t="s">
        <v>25</v>
      </c>
      <c r="F164" s="4" t="s">
        <v>25</v>
      </c>
      <c r="G164" s="4" t="s">
        <v>25</v>
      </c>
      <c r="H164" s="4" t="s">
        <v>35</v>
      </c>
      <c r="I164" s="5">
        <v>44317</v>
      </c>
      <c r="J164" s="6">
        <v>0</v>
      </c>
      <c r="K164" s="6">
        <v>0</v>
      </c>
      <c r="L164" s="6">
        <v>60.029000000000003</v>
      </c>
      <c r="M164" s="6">
        <v>60.029000000000003</v>
      </c>
      <c r="N164" s="6">
        <v>60.029000000000003</v>
      </c>
      <c r="O164" s="6">
        <v>60.029000000000003</v>
      </c>
      <c r="P164" s="6">
        <v>0</v>
      </c>
      <c r="Q164" s="4" t="s">
        <v>26</v>
      </c>
      <c r="R164" s="4">
        <v>0</v>
      </c>
      <c r="S164" s="4" t="s">
        <v>142</v>
      </c>
      <c r="T164" s="4" t="s">
        <v>275</v>
      </c>
      <c r="U164" s="4">
        <v>0</v>
      </c>
      <c r="V164" s="4">
        <v>66</v>
      </c>
      <c r="W164" s="4">
        <v>6</v>
      </c>
    </row>
    <row r="165" spans="1:23" ht="11.25" customHeight="1" x14ac:dyDescent="0.25">
      <c r="A165" s="4" t="s">
        <v>21</v>
      </c>
      <c r="B165" s="4" t="s">
        <v>33</v>
      </c>
      <c r="C165" s="4" t="s">
        <v>34</v>
      </c>
      <c r="D165" s="4" t="s">
        <v>38</v>
      </c>
      <c r="E165" s="4" t="s">
        <v>25</v>
      </c>
      <c r="F165" s="4" t="s">
        <v>25</v>
      </c>
      <c r="G165" s="4" t="s">
        <v>25</v>
      </c>
      <c r="H165" s="4" t="s">
        <v>35</v>
      </c>
      <c r="I165" s="5">
        <v>44348</v>
      </c>
      <c r="J165" s="6">
        <v>0</v>
      </c>
      <c r="K165" s="6">
        <v>0</v>
      </c>
      <c r="L165" s="6">
        <v>30.277000000000001</v>
      </c>
      <c r="M165" s="6">
        <v>30.277000000000001</v>
      </c>
      <c r="N165" s="6">
        <v>30.277000000000001</v>
      </c>
      <c r="O165" s="6">
        <v>30.277000000000001</v>
      </c>
      <c r="P165" s="6">
        <v>0</v>
      </c>
      <c r="Q165" s="4" t="s">
        <v>26</v>
      </c>
      <c r="R165" s="4">
        <v>0</v>
      </c>
      <c r="S165" s="4" t="s">
        <v>143</v>
      </c>
      <c r="T165" s="4" t="s">
        <v>276</v>
      </c>
      <c r="U165" s="4">
        <v>0</v>
      </c>
      <c r="V165" s="4">
        <v>66</v>
      </c>
      <c r="W165" s="4">
        <v>6</v>
      </c>
    </row>
    <row r="166" spans="1:23" ht="11.25" customHeight="1" x14ac:dyDescent="0.25">
      <c r="A166" s="4" t="s">
        <v>21</v>
      </c>
      <c r="B166" s="4" t="s">
        <v>33</v>
      </c>
      <c r="C166" s="4" t="s">
        <v>34</v>
      </c>
      <c r="D166" s="4" t="s">
        <v>38</v>
      </c>
      <c r="E166" s="4" t="s">
        <v>25</v>
      </c>
      <c r="F166" s="4" t="s">
        <v>25</v>
      </c>
      <c r="G166" s="4" t="s">
        <v>25</v>
      </c>
      <c r="H166" s="4" t="s">
        <v>35</v>
      </c>
      <c r="I166" s="5">
        <v>44378</v>
      </c>
      <c r="J166" s="6">
        <v>0</v>
      </c>
      <c r="K166" s="6">
        <v>0</v>
      </c>
      <c r="L166" s="6">
        <v>21.472000000000001</v>
      </c>
      <c r="M166" s="6">
        <v>21.472000000000001</v>
      </c>
      <c r="N166" s="6">
        <v>21.472000000000001</v>
      </c>
      <c r="O166" s="6">
        <v>21.472000000000001</v>
      </c>
      <c r="P166" s="6">
        <v>0</v>
      </c>
      <c r="Q166" s="4" t="s">
        <v>26</v>
      </c>
      <c r="R166" s="4">
        <v>0</v>
      </c>
      <c r="S166" s="4" t="s">
        <v>144</v>
      </c>
      <c r="T166" s="4" t="s">
        <v>277</v>
      </c>
      <c r="U166" s="4">
        <v>0</v>
      </c>
      <c r="V166" s="4">
        <v>66</v>
      </c>
      <c r="W166" s="4">
        <v>6</v>
      </c>
    </row>
    <row r="167" spans="1:23" ht="11.25" customHeight="1" x14ac:dyDescent="0.25">
      <c r="A167" s="4" t="s">
        <v>21</v>
      </c>
      <c r="B167" s="4" t="s">
        <v>33</v>
      </c>
      <c r="C167" s="4" t="s">
        <v>34</v>
      </c>
      <c r="D167" s="4" t="s">
        <v>38</v>
      </c>
      <c r="E167" s="4" t="s">
        <v>25</v>
      </c>
      <c r="F167" s="4" t="s">
        <v>25</v>
      </c>
      <c r="G167" s="4" t="s">
        <v>25</v>
      </c>
      <c r="H167" s="4" t="s">
        <v>35</v>
      </c>
      <c r="I167" s="5">
        <v>44409</v>
      </c>
      <c r="J167" s="6">
        <v>0</v>
      </c>
      <c r="K167" s="6">
        <v>0</v>
      </c>
      <c r="L167" s="6">
        <v>16.149999999999999</v>
      </c>
      <c r="M167" s="6">
        <v>16.149999999999999</v>
      </c>
      <c r="N167" s="6">
        <v>16.149999999999999</v>
      </c>
      <c r="O167" s="6">
        <v>16.149999999999999</v>
      </c>
      <c r="P167" s="6">
        <v>0</v>
      </c>
      <c r="Q167" s="4" t="s">
        <v>26</v>
      </c>
      <c r="R167" s="4">
        <v>0</v>
      </c>
      <c r="S167" s="4" t="s">
        <v>145</v>
      </c>
      <c r="T167" s="4" t="s">
        <v>278</v>
      </c>
      <c r="U167" s="4">
        <v>0</v>
      </c>
      <c r="V167" s="4">
        <v>66</v>
      </c>
      <c r="W167" s="4">
        <v>6</v>
      </c>
    </row>
    <row r="168" spans="1:23" ht="11.25" customHeight="1" x14ac:dyDescent="0.25">
      <c r="A168" s="4" t="s">
        <v>28</v>
      </c>
      <c r="B168" s="4" t="s">
        <v>33</v>
      </c>
      <c r="C168" s="4" t="s">
        <v>34</v>
      </c>
      <c r="D168" s="4" t="s">
        <v>38</v>
      </c>
      <c r="E168" s="4" t="s">
        <v>25</v>
      </c>
      <c r="F168" s="4" t="s">
        <v>25</v>
      </c>
      <c r="G168" s="4" t="s">
        <v>25</v>
      </c>
      <c r="H168" s="4" t="s">
        <v>35</v>
      </c>
      <c r="I168" s="5">
        <v>44409</v>
      </c>
      <c r="J168" s="6">
        <v>0</v>
      </c>
      <c r="K168" s="6">
        <v>0</v>
      </c>
      <c r="L168" s="6">
        <v>6.3760000000000003</v>
      </c>
      <c r="M168" s="6">
        <v>6.3760000000000003</v>
      </c>
      <c r="N168" s="6">
        <v>6.3760000000000003</v>
      </c>
      <c r="O168" s="6">
        <v>6.3760000000000003</v>
      </c>
      <c r="P168" s="6">
        <v>0</v>
      </c>
      <c r="Q168" s="4" t="s">
        <v>26</v>
      </c>
      <c r="R168" s="4">
        <v>0</v>
      </c>
      <c r="S168" s="4" t="s">
        <v>145</v>
      </c>
      <c r="T168" s="4" t="s">
        <v>278</v>
      </c>
      <c r="U168" s="4">
        <v>0</v>
      </c>
      <c r="V168" s="4">
        <v>66</v>
      </c>
      <c r="W168" s="4">
        <v>6</v>
      </c>
    </row>
    <row r="169" spans="1:23" ht="11.25" customHeight="1" x14ac:dyDescent="0.25">
      <c r="A169" s="4" t="s">
        <v>21</v>
      </c>
      <c r="B169" s="4" t="s">
        <v>33</v>
      </c>
      <c r="C169" s="4" t="s">
        <v>34</v>
      </c>
      <c r="D169" s="4" t="s">
        <v>38</v>
      </c>
      <c r="E169" s="4" t="s">
        <v>25</v>
      </c>
      <c r="F169" s="4" t="s">
        <v>25</v>
      </c>
      <c r="G169" s="4" t="s">
        <v>25</v>
      </c>
      <c r="H169" s="4" t="s">
        <v>35</v>
      </c>
      <c r="I169" s="5">
        <v>44440</v>
      </c>
      <c r="J169" s="6">
        <v>0</v>
      </c>
      <c r="K169" s="6">
        <v>0</v>
      </c>
      <c r="L169" s="6">
        <v>19.266999999999999</v>
      </c>
      <c r="M169" s="6">
        <v>19.266999999999999</v>
      </c>
      <c r="N169" s="6">
        <v>19.266999999999999</v>
      </c>
      <c r="O169" s="6">
        <v>19.266999999999999</v>
      </c>
      <c r="P169" s="6">
        <v>0</v>
      </c>
      <c r="Q169" s="4" t="s">
        <v>26</v>
      </c>
      <c r="R169" s="4">
        <v>0</v>
      </c>
      <c r="S169" s="4" t="s">
        <v>146</v>
      </c>
      <c r="T169" s="4" t="s">
        <v>279</v>
      </c>
      <c r="U169" s="4">
        <v>0</v>
      </c>
      <c r="V169" s="4">
        <v>66</v>
      </c>
      <c r="W169" s="4">
        <v>6</v>
      </c>
    </row>
    <row r="170" spans="1:23" ht="11.25" customHeight="1" x14ac:dyDescent="0.25">
      <c r="A170" s="4" t="s">
        <v>28</v>
      </c>
      <c r="B170" s="4" t="s">
        <v>33</v>
      </c>
      <c r="C170" s="4" t="s">
        <v>34</v>
      </c>
      <c r="D170" s="4" t="s">
        <v>38</v>
      </c>
      <c r="E170" s="4" t="s">
        <v>25</v>
      </c>
      <c r="F170" s="4" t="s">
        <v>25</v>
      </c>
      <c r="G170" s="4" t="s">
        <v>25</v>
      </c>
      <c r="H170" s="4" t="s">
        <v>35</v>
      </c>
      <c r="I170" s="5">
        <v>44440</v>
      </c>
      <c r="J170" s="6">
        <v>0</v>
      </c>
      <c r="K170" s="6">
        <v>0</v>
      </c>
      <c r="L170" s="6">
        <v>6.5819999999999999</v>
      </c>
      <c r="M170" s="6">
        <v>6.5819999999999999</v>
      </c>
      <c r="N170" s="6">
        <v>6.5819999999999999</v>
      </c>
      <c r="O170" s="6">
        <v>6.5819999999999999</v>
      </c>
      <c r="P170" s="6">
        <v>0</v>
      </c>
      <c r="Q170" s="4" t="s">
        <v>26</v>
      </c>
      <c r="R170" s="4">
        <v>0</v>
      </c>
      <c r="S170" s="4" t="s">
        <v>146</v>
      </c>
      <c r="T170" s="4" t="s">
        <v>279</v>
      </c>
      <c r="U170" s="4">
        <v>0</v>
      </c>
      <c r="V170" s="4">
        <v>66</v>
      </c>
      <c r="W170" s="4">
        <v>6</v>
      </c>
    </row>
    <row r="171" spans="1:23" ht="11.25" customHeight="1" x14ac:dyDescent="0.25">
      <c r="A171" s="4" t="s">
        <v>21</v>
      </c>
      <c r="B171" s="4" t="s">
        <v>33</v>
      </c>
      <c r="C171" s="4" t="s">
        <v>34</v>
      </c>
      <c r="D171" s="4" t="s">
        <v>38</v>
      </c>
      <c r="E171" s="4" t="s">
        <v>25</v>
      </c>
      <c r="F171" s="4" t="s">
        <v>25</v>
      </c>
      <c r="G171" s="4" t="s">
        <v>25</v>
      </c>
      <c r="H171" s="4" t="s">
        <v>35</v>
      </c>
      <c r="I171" s="5">
        <v>44470</v>
      </c>
      <c r="J171" s="6">
        <v>0</v>
      </c>
      <c r="K171" s="6">
        <v>0</v>
      </c>
      <c r="L171" s="6">
        <v>14.446999999999999</v>
      </c>
      <c r="M171" s="6">
        <v>14.446999999999999</v>
      </c>
      <c r="N171" s="6">
        <v>14.446999999999999</v>
      </c>
      <c r="O171" s="6">
        <v>14.446999999999999</v>
      </c>
      <c r="P171" s="6">
        <v>0</v>
      </c>
      <c r="Q171" s="4" t="s">
        <v>26</v>
      </c>
      <c r="R171" s="4">
        <v>0</v>
      </c>
      <c r="S171" s="4" t="s">
        <v>147</v>
      </c>
      <c r="T171" s="4" t="s">
        <v>280</v>
      </c>
      <c r="U171" s="4">
        <v>0</v>
      </c>
      <c r="V171" s="4">
        <v>66</v>
      </c>
      <c r="W171" s="4">
        <v>6</v>
      </c>
    </row>
    <row r="172" spans="1:23" ht="11.25" customHeight="1" x14ac:dyDescent="0.25">
      <c r="A172" s="4" t="s">
        <v>28</v>
      </c>
      <c r="B172" s="4" t="s">
        <v>33</v>
      </c>
      <c r="C172" s="4" t="s">
        <v>34</v>
      </c>
      <c r="D172" s="4" t="s">
        <v>38</v>
      </c>
      <c r="E172" s="4" t="s">
        <v>25</v>
      </c>
      <c r="F172" s="4" t="s">
        <v>25</v>
      </c>
      <c r="G172" s="4" t="s">
        <v>25</v>
      </c>
      <c r="H172" s="4" t="s">
        <v>35</v>
      </c>
      <c r="I172" s="5">
        <v>44470</v>
      </c>
      <c r="J172" s="6">
        <v>0</v>
      </c>
      <c r="K172" s="6">
        <v>0</v>
      </c>
      <c r="L172" s="6">
        <v>5.23</v>
      </c>
      <c r="M172" s="6">
        <v>5.23</v>
      </c>
      <c r="N172" s="6">
        <v>5.23</v>
      </c>
      <c r="O172" s="6">
        <v>5.23</v>
      </c>
      <c r="P172" s="6">
        <v>0</v>
      </c>
      <c r="Q172" s="4" t="s">
        <v>26</v>
      </c>
      <c r="R172" s="4">
        <v>0</v>
      </c>
      <c r="S172" s="4" t="s">
        <v>147</v>
      </c>
      <c r="T172" s="4" t="s">
        <v>280</v>
      </c>
      <c r="U172" s="4">
        <v>0</v>
      </c>
      <c r="V172" s="4">
        <v>66</v>
      </c>
      <c r="W172" s="4">
        <v>6</v>
      </c>
    </row>
    <row r="173" spans="1:23" ht="11.25" customHeight="1" x14ac:dyDescent="0.25">
      <c r="A173" s="4" t="s">
        <v>21</v>
      </c>
      <c r="B173" s="4" t="s">
        <v>33</v>
      </c>
      <c r="C173" s="4" t="s">
        <v>34</v>
      </c>
      <c r="D173" s="4" t="s">
        <v>38</v>
      </c>
      <c r="E173" s="4" t="s">
        <v>25</v>
      </c>
      <c r="F173" s="4" t="s">
        <v>25</v>
      </c>
      <c r="G173" s="4" t="s">
        <v>25</v>
      </c>
      <c r="H173" s="4" t="s">
        <v>35</v>
      </c>
      <c r="I173" s="5">
        <v>44501</v>
      </c>
      <c r="J173" s="6">
        <v>0</v>
      </c>
      <c r="K173" s="6">
        <v>0</v>
      </c>
      <c r="L173" s="6">
        <v>16.768999999999998</v>
      </c>
      <c r="M173" s="6">
        <v>16.768999999999998</v>
      </c>
      <c r="N173" s="6">
        <v>16.768999999999998</v>
      </c>
      <c r="O173" s="6">
        <v>16.768999999999998</v>
      </c>
      <c r="P173" s="6">
        <v>0</v>
      </c>
      <c r="Q173" s="4" t="s">
        <v>26</v>
      </c>
      <c r="R173" s="4">
        <v>0</v>
      </c>
      <c r="S173" s="4" t="s">
        <v>148</v>
      </c>
      <c r="T173" s="4" t="s">
        <v>281</v>
      </c>
      <c r="U173" s="4">
        <v>0</v>
      </c>
      <c r="V173" s="4">
        <v>66</v>
      </c>
      <c r="W173" s="4">
        <v>6</v>
      </c>
    </row>
    <row r="174" spans="1:23" ht="11.25" customHeight="1" x14ac:dyDescent="0.25">
      <c r="A174" s="4" t="s">
        <v>28</v>
      </c>
      <c r="B174" s="4" t="s">
        <v>33</v>
      </c>
      <c r="C174" s="4" t="s">
        <v>34</v>
      </c>
      <c r="D174" s="4" t="s">
        <v>38</v>
      </c>
      <c r="E174" s="4" t="s">
        <v>25</v>
      </c>
      <c r="F174" s="4" t="s">
        <v>25</v>
      </c>
      <c r="G174" s="4" t="s">
        <v>25</v>
      </c>
      <c r="H174" s="4" t="s">
        <v>35</v>
      </c>
      <c r="I174" s="5">
        <v>44501</v>
      </c>
      <c r="J174" s="6">
        <v>0</v>
      </c>
      <c r="K174" s="6">
        <v>0</v>
      </c>
      <c r="L174" s="6">
        <v>5.6310000000000002</v>
      </c>
      <c r="M174" s="6">
        <v>5.6310000000000002</v>
      </c>
      <c r="N174" s="6">
        <v>5.6310000000000002</v>
      </c>
      <c r="O174" s="6">
        <v>5.6310000000000002</v>
      </c>
      <c r="P174" s="6">
        <v>0</v>
      </c>
      <c r="Q174" s="4" t="s">
        <v>26</v>
      </c>
      <c r="R174" s="4">
        <v>0</v>
      </c>
      <c r="S174" s="4" t="s">
        <v>148</v>
      </c>
      <c r="T174" s="4" t="s">
        <v>281</v>
      </c>
      <c r="U174" s="4">
        <v>0</v>
      </c>
      <c r="V174" s="4">
        <v>66</v>
      </c>
      <c r="W174" s="4">
        <v>6</v>
      </c>
    </row>
    <row r="175" spans="1:23" ht="11.25" customHeight="1" x14ac:dyDescent="0.25">
      <c r="A175" s="4" t="s">
        <v>21</v>
      </c>
      <c r="B175" s="4" t="s">
        <v>33</v>
      </c>
      <c r="C175" s="4" t="s">
        <v>34</v>
      </c>
      <c r="D175" s="4" t="s">
        <v>38</v>
      </c>
      <c r="E175" s="4" t="s">
        <v>25</v>
      </c>
      <c r="F175" s="4" t="s">
        <v>25</v>
      </c>
      <c r="G175" s="4" t="s">
        <v>25</v>
      </c>
      <c r="H175" s="4" t="s">
        <v>35</v>
      </c>
      <c r="I175" s="5">
        <v>44531</v>
      </c>
      <c r="J175" s="6">
        <v>0</v>
      </c>
      <c r="K175" s="6">
        <v>0</v>
      </c>
      <c r="L175" s="6">
        <v>19.117999999999999</v>
      </c>
      <c r="M175" s="6">
        <v>19.117999999999999</v>
      </c>
      <c r="N175" s="6">
        <v>19.117999999999999</v>
      </c>
      <c r="O175" s="6">
        <v>19.117999999999999</v>
      </c>
      <c r="P175" s="6">
        <v>0</v>
      </c>
      <c r="Q175" s="4" t="s">
        <v>26</v>
      </c>
      <c r="R175" s="4">
        <v>0</v>
      </c>
      <c r="S175" s="4" t="s">
        <v>149</v>
      </c>
      <c r="T175" s="4" t="s">
        <v>282</v>
      </c>
      <c r="U175" s="4">
        <v>0</v>
      </c>
      <c r="V175" s="4">
        <v>66</v>
      </c>
      <c r="W175" s="4">
        <v>6</v>
      </c>
    </row>
    <row r="176" spans="1:23" ht="11.25" customHeight="1" x14ac:dyDescent="0.25">
      <c r="A176" s="4" t="s">
        <v>28</v>
      </c>
      <c r="B176" s="4" t="s">
        <v>33</v>
      </c>
      <c r="C176" s="4" t="s">
        <v>34</v>
      </c>
      <c r="D176" s="4" t="s">
        <v>38</v>
      </c>
      <c r="E176" s="4" t="s">
        <v>25</v>
      </c>
      <c r="F176" s="4" t="s">
        <v>25</v>
      </c>
      <c r="G176" s="4" t="s">
        <v>25</v>
      </c>
      <c r="H176" s="4" t="s">
        <v>35</v>
      </c>
      <c r="I176" s="5">
        <v>44531</v>
      </c>
      <c r="J176" s="6">
        <v>0</v>
      </c>
      <c r="K176" s="6">
        <v>0</v>
      </c>
      <c r="L176" s="6">
        <v>6.766</v>
      </c>
      <c r="M176" s="6">
        <v>6.766</v>
      </c>
      <c r="N176" s="6">
        <v>6.766</v>
      </c>
      <c r="O176" s="6">
        <v>6.766</v>
      </c>
      <c r="P176" s="6">
        <v>0</v>
      </c>
      <c r="Q176" s="4" t="s">
        <v>26</v>
      </c>
      <c r="R176" s="4">
        <v>0</v>
      </c>
      <c r="S176" s="4" t="s">
        <v>149</v>
      </c>
      <c r="T176" s="4" t="s">
        <v>282</v>
      </c>
      <c r="U176" s="4">
        <v>0</v>
      </c>
      <c r="V176" s="4">
        <v>66</v>
      </c>
      <c r="W176" s="4">
        <v>6</v>
      </c>
    </row>
    <row r="177" spans="1:23" ht="11.25" customHeight="1" x14ac:dyDescent="0.25">
      <c r="A177" s="4" t="s">
        <v>21</v>
      </c>
      <c r="B177" s="4" t="s">
        <v>33</v>
      </c>
      <c r="C177" s="4" t="s">
        <v>34</v>
      </c>
      <c r="D177" s="4" t="s">
        <v>38</v>
      </c>
      <c r="E177" s="4" t="s">
        <v>25</v>
      </c>
      <c r="F177" s="4" t="s">
        <v>25</v>
      </c>
      <c r="G177" s="4" t="s">
        <v>25</v>
      </c>
      <c r="H177" s="4" t="s">
        <v>35</v>
      </c>
      <c r="I177" s="5">
        <v>44562</v>
      </c>
      <c r="J177" s="6">
        <v>0</v>
      </c>
      <c r="K177" s="6">
        <v>0</v>
      </c>
      <c r="L177" s="6">
        <v>17.288</v>
      </c>
      <c r="M177" s="6">
        <v>17.288</v>
      </c>
      <c r="N177" s="6">
        <v>17.288</v>
      </c>
      <c r="O177" s="6">
        <v>17.288</v>
      </c>
      <c r="P177" s="6">
        <v>0</v>
      </c>
      <c r="Q177" s="4" t="s">
        <v>26</v>
      </c>
      <c r="R177" s="4">
        <v>0</v>
      </c>
      <c r="S177" s="4" t="s">
        <v>150</v>
      </c>
      <c r="T177" s="4" t="s">
        <v>283</v>
      </c>
      <c r="U177" s="4">
        <v>0</v>
      </c>
      <c r="V177" s="4">
        <v>66</v>
      </c>
      <c r="W177" s="4">
        <v>6</v>
      </c>
    </row>
    <row r="178" spans="1:23" ht="11.25" customHeight="1" x14ac:dyDescent="0.25">
      <c r="A178" s="4" t="s">
        <v>28</v>
      </c>
      <c r="B178" s="4" t="s">
        <v>33</v>
      </c>
      <c r="C178" s="4" t="s">
        <v>34</v>
      </c>
      <c r="D178" s="4" t="s">
        <v>38</v>
      </c>
      <c r="E178" s="4" t="s">
        <v>25</v>
      </c>
      <c r="F178" s="4" t="s">
        <v>25</v>
      </c>
      <c r="G178" s="4" t="s">
        <v>25</v>
      </c>
      <c r="H178" s="4" t="s">
        <v>35</v>
      </c>
      <c r="I178" s="5">
        <v>44562</v>
      </c>
      <c r="J178" s="6">
        <v>0</v>
      </c>
      <c r="K178" s="6">
        <v>0</v>
      </c>
      <c r="L178" s="6">
        <v>5.931</v>
      </c>
      <c r="M178" s="6">
        <v>5.931</v>
      </c>
      <c r="N178" s="6">
        <v>5.931</v>
      </c>
      <c r="O178" s="6">
        <v>5.931</v>
      </c>
      <c r="P178" s="6">
        <v>0</v>
      </c>
      <c r="Q178" s="4" t="s">
        <v>26</v>
      </c>
      <c r="R178" s="4">
        <v>0</v>
      </c>
      <c r="S178" s="4" t="s">
        <v>150</v>
      </c>
      <c r="T178" s="4" t="s">
        <v>283</v>
      </c>
      <c r="U178" s="4">
        <v>0</v>
      </c>
      <c r="V178" s="4">
        <v>66</v>
      </c>
      <c r="W178" s="4">
        <v>6</v>
      </c>
    </row>
    <row r="179" spans="1:23" ht="11.25" customHeight="1" x14ac:dyDescent="0.25">
      <c r="A179" s="4" t="s">
        <v>21</v>
      </c>
      <c r="B179" s="4" t="s">
        <v>33</v>
      </c>
      <c r="C179" s="4" t="s">
        <v>34</v>
      </c>
      <c r="D179" s="4" t="s">
        <v>38</v>
      </c>
      <c r="E179" s="4" t="s">
        <v>25</v>
      </c>
      <c r="F179" s="4" t="s">
        <v>25</v>
      </c>
      <c r="G179" s="4" t="s">
        <v>25</v>
      </c>
      <c r="H179" s="4" t="s">
        <v>35</v>
      </c>
      <c r="I179" s="5">
        <v>44593</v>
      </c>
      <c r="J179" s="6">
        <v>0</v>
      </c>
      <c r="K179" s="6">
        <v>0</v>
      </c>
      <c r="L179" s="6">
        <v>19.457999999999998</v>
      </c>
      <c r="M179" s="6">
        <v>19.457999999999998</v>
      </c>
      <c r="N179" s="6">
        <v>19.457999999999998</v>
      </c>
      <c r="O179" s="6">
        <v>19.457999999999998</v>
      </c>
      <c r="P179" s="6">
        <v>0</v>
      </c>
      <c r="Q179" s="4" t="s">
        <v>26</v>
      </c>
      <c r="R179" s="4">
        <v>0</v>
      </c>
      <c r="S179" s="4" t="s">
        <v>151</v>
      </c>
      <c r="T179" s="4" t="s">
        <v>284</v>
      </c>
      <c r="U179" s="4">
        <v>0</v>
      </c>
      <c r="V179" s="4">
        <v>66</v>
      </c>
      <c r="W179" s="4">
        <v>6</v>
      </c>
    </row>
    <row r="180" spans="1:23" ht="11.25" customHeight="1" x14ac:dyDescent="0.25">
      <c r="A180" s="4" t="s">
        <v>28</v>
      </c>
      <c r="B180" s="4" t="s">
        <v>33</v>
      </c>
      <c r="C180" s="4" t="s">
        <v>34</v>
      </c>
      <c r="D180" s="4" t="s">
        <v>38</v>
      </c>
      <c r="E180" s="4" t="s">
        <v>25</v>
      </c>
      <c r="F180" s="4" t="s">
        <v>25</v>
      </c>
      <c r="G180" s="4" t="s">
        <v>25</v>
      </c>
      <c r="H180" s="4" t="s">
        <v>35</v>
      </c>
      <c r="I180" s="5">
        <v>44593</v>
      </c>
      <c r="J180" s="6">
        <v>0</v>
      </c>
      <c r="K180" s="6">
        <v>0</v>
      </c>
      <c r="L180" s="6">
        <v>8.843</v>
      </c>
      <c r="M180" s="6">
        <v>8.843</v>
      </c>
      <c r="N180" s="6">
        <v>8.843</v>
      </c>
      <c r="O180" s="6">
        <v>8.843</v>
      </c>
      <c r="P180" s="6">
        <v>0</v>
      </c>
      <c r="Q180" s="4" t="s">
        <v>26</v>
      </c>
      <c r="R180" s="4">
        <v>0</v>
      </c>
      <c r="S180" s="4" t="s">
        <v>151</v>
      </c>
      <c r="T180" s="4" t="s">
        <v>284</v>
      </c>
      <c r="U180" s="4">
        <v>0</v>
      </c>
      <c r="V180" s="4">
        <v>66</v>
      </c>
      <c r="W180" s="4">
        <v>6</v>
      </c>
    </row>
    <row r="181" spans="1:23" ht="11.25" customHeight="1" x14ac:dyDescent="0.25">
      <c r="A181" s="4" t="s">
        <v>54</v>
      </c>
      <c r="B181" s="4" t="s">
        <v>33</v>
      </c>
      <c r="C181" s="4" t="s">
        <v>34</v>
      </c>
      <c r="D181" s="4" t="s">
        <v>38</v>
      </c>
      <c r="E181" s="4" t="s">
        <v>25</v>
      </c>
      <c r="F181" s="4" t="s">
        <v>25</v>
      </c>
      <c r="G181" s="4" t="s">
        <v>25</v>
      </c>
      <c r="H181" s="4" t="s">
        <v>35</v>
      </c>
      <c r="I181" s="5">
        <v>44621</v>
      </c>
      <c r="J181" s="6">
        <v>0</v>
      </c>
      <c r="K181" s="6">
        <v>0</v>
      </c>
      <c r="L181" s="6">
        <v>19.457999999999998</v>
      </c>
      <c r="M181" s="6">
        <v>19.457999999999998</v>
      </c>
      <c r="N181" s="6">
        <v>19.457999999999998</v>
      </c>
      <c r="O181" s="6">
        <v>19.457999999999998</v>
      </c>
      <c r="P181" s="6">
        <v>0</v>
      </c>
      <c r="Q181" s="4" t="s">
        <v>26</v>
      </c>
      <c r="R181" s="4">
        <v>0</v>
      </c>
      <c r="S181" s="4" t="s">
        <v>152</v>
      </c>
      <c r="T181" s="4" t="s">
        <v>285</v>
      </c>
      <c r="U181" s="4">
        <v>0</v>
      </c>
      <c r="V181" s="4">
        <v>66</v>
      </c>
      <c r="W181" s="4">
        <v>6</v>
      </c>
    </row>
    <row r="182" spans="1:23" ht="11.25" customHeight="1" x14ac:dyDescent="0.25">
      <c r="A182" s="4" t="s">
        <v>54</v>
      </c>
      <c r="B182" s="4" t="s">
        <v>33</v>
      </c>
      <c r="C182" s="4" t="s">
        <v>34</v>
      </c>
      <c r="D182" s="4" t="s">
        <v>38</v>
      </c>
      <c r="E182" s="4" t="s">
        <v>25</v>
      </c>
      <c r="F182" s="4" t="s">
        <v>25</v>
      </c>
      <c r="G182" s="4" t="s">
        <v>25</v>
      </c>
      <c r="H182" s="4" t="s">
        <v>35</v>
      </c>
      <c r="I182" s="5">
        <v>44621</v>
      </c>
      <c r="J182" s="6">
        <v>0</v>
      </c>
      <c r="K182" s="6">
        <v>0</v>
      </c>
      <c r="L182" s="6">
        <v>8.843</v>
      </c>
      <c r="M182" s="6">
        <v>8.843</v>
      </c>
      <c r="N182" s="6">
        <v>8.843</v>
      </c>
      <c r="O182" s="6">
        <v>8.843</v>
      </c>
      <c r="P182" s="6">
        <v>0</v>
      </c>
      <c r="Q182" s="4" t="s">
        <v>26</v>
      </c>
      <c r="R182" s="4">
        <v>0</v>
      </c>
      <c r="S182" s="4" t="s">
        <v>152</v>
      </c>
      <c r="T182" s="4" t="s">
        <v>285</v>
      </c>
      <c r="U182" s="4">
        <v>0</v>
      </c>
      <c r="V182" s="4">
        <v>66</v>
      </c>
      <c r="W182" s="4">
        <v>6</v>
      </c>
    </row>
    <row r="183" spans="1:23" ht="11.25" customHeight="1" x14ac:dyDescent="0.25">
      <c r="A183" s="4" t="s">
        <v>21</v>
      </c>
      <c r="B183" s="4" t="s">
        <v>33</v>
      </c>
      <c r="C183" s="4" t="s">
        <v>34</v>
      </c>
      <c r="D183" s="4" t="s">
        <v>42</v>
      </c>
      <c r="E183" s="4" t="s">
        <v>25</v>
      </c>
      <c r="F183" s="4" t="s">
        <v>25</v>
      </c>
      <c r="G183" s="4" t="s">
        <v>25</v>
      </c>
      <c r="H183" s="4" t="s">
        <v>36</v>
      </c>
      <c r="I183" s="5">
        <v>44287</v>
      </c>
      <c r="J183" s="6">
        <v>0</v>
      </c>
      <c r="K183" s="6">
        <v>0</v>
      </c>
      <c r="L183" s="6">
        <v>66.531000000000006</v>
      </c>
      <c r="M183" s="6">
        <v>66.531000000000006</v>
      </c>
      <c r="N183" s="6">
        <v>66.531000000000006</v>
      </c>
      <c r="O183" s="6">
        <v>66.531000000000006</v>
      </c>
      <c r="P183" s="6">
        <v>0</v>
      </c>
      <c r="Q183" s="4" t="s">
        <v>26</v>
      </c>
      <c r="R183" s="4">
        <v>0</v>
      </c>
      <c r="S183" s="4" t="s">
        <v>117</v>
      </c>
      <c r="T183" s="4" t="s">
        <v>262</v>
      </c>
      <c r="U183" s="4">
        <v>0</v>
      </c>
      <c r="V183" s="4">
        <v>47</v>
      </c>
      <c r="W183" s="4">
        <v>27</v>
      </c>
    </row>
    <row r="184" spans="1:23" ht="11.25" customHeight="1" x14ac:dyDescent="0.25">
      <c r="A184" s="4" t="s">
        <v>21</v>
      </c>
      <c r="B184" s="4" t="s">
        <v>33</v>
      </c>
      <c r="C184" s="4" t="s">
        <v>34</v>
      </c>
      <c r="D184" s="4" t="s">
        <v>42</v>
      </c>
      <c r="E184" s="4" t="s">
        <v>25</v>
      </c>
      <c r="F184" s="4" t="s">
        <v>25</v>
      </c>
      <c r="G184" s="4" t="s">
        <v>25</v>
      </c>
      <c r="H184" s="4" t="s">
        <v>36</v>
      </c>
      <c r="I184" s="5">
        <v>44317</v>
      </c>
      <c r="J184" s="6">
        <v>0</v>
      </c>
      <c r="K184" s="6">
        <v>0</v>
      </c>
      <c r="L184" s="6">
        <v>63.481000000000002</v>
      </c>
      <c r="M184" s="6">
        <v>63.481000000000002</v>
      </c>
      <c r="N184" s="6">
        <v>63.481000000000002</v>
      </c>
      <c r="O184" s="6">
        <v>63.481000000000002</v>
      </c>
      <c r="P184" s="6">
        <v>0</v>
      </c>
      <c r="Q184" s="4" t="s">
        <v>26</v>
      </c>
      <c r="R184" s="4">
        <v>0</v>
      </c>
      <c r="S184" s="4" t="s">
        <v>118</v>
      </c>
      <c r="T184" s="4" t="s">
        <v>263</v>
      </c>
      <c r="U184" s="4">
        <v>0</v>
      </c>
      <c r="V184" s="4">
        <v>47</v>
      </c>
      <c r="W184" s="4">
        <v>27</v>
      </c>
    </row>
    <row r="185" spans="1:23" ht="11.25" customHeight="1" x14ac:dyDescent="0.25">
      <c r="A185" s="4" t="s">
        <v>21</v>
      </c>
      <c r="B185" s="4" t="s">
        <v>33</v>
      </c>
      <c r="C185" s="4" t="s">
        <v>34</v>
      </c>
      <c r="D185" s="4" t="s">
        <v>42</v>
      </c>
      <c r="E185" s="4" t="s">
        <v>25</v>
      </c>
      <c r="F185" s="4" t="s">
        <v>25</v>
      </c>
      <c r="G185" s="4" t="s">
        <v>25</v>
      </c>
      <c r="H185" s="4" t="s">
        <v>36</v>
      </c>
      <c r="I185" s="5">
        <v>44348</v>
      </c>
      <c r="J185" s="6">
        <v>0</v>
      </c>
      <c r="K185" s="6">
        <v>0</v>
      </c>
      <c r="L185" s="6">
        <v>66.194000000000003</v>
      </c>
      <c r="M185" s="6">
        <v>66.194000000000003</v>
      </c>
      <c r="N185" s="6">
        <v>66.194000000000003</v>
      </c>
      <c r="O185" s="6">
        <v>66.194000000000003</v>
      </c>
      <c r="P185" s="6">
        <v>0</v>
      </c>
      <c r="Q185" s="4" t="s">
        <v>26</v>
      </c>
      <c r="R185" s="4">
        <v>0</v>
      </c>
      <c r="S185" s="4" t="s">
        <v>119</v>
      </c>
      <c r="T185" s="4" t="s">
        <v>264</v>
      </c>
      <c r="U185" s="4">
        <v>0</v>
      </c>
      <c r="V185" s="4">
        <v>47</v>
      </c>
      <c r="W185" s="4">
        <v>27</v>
      </c>
    </row>
    <row r="186" spans="1:23" ht="11.25" customHeight="1" x14ac:dyDescent="0.25">
      <c r="A186" s="4" t="s">
        <v>21</v>
      </c>
      <c r="B186" s="4" t="s">
        <v>33</v>
      </c>
      <c r="C186" s="4" t="s">
        <v>34</v>
      </c>
      <c r="D186" s="4" t="s">
        <v>42</v>
      </c>
      <c r="E186" s="4" t="s">
        <v>25</v>
      </c>
      <c r="F186" s="4" t="s">
        <v>25</v>
      </c>
      <c r="G186" s="4" t="s">
        <v>25</v>
      </c>
      <c r="H186" s="4" t="s">
        <v>36</v>
      </c>
      <c r="I186" s="5">
        <v>44378</v>
      </c>
      <c r="J186" s="6">
        <v>0</v>
      </c>
      <c r="K186" s="6">
        <v>0</v>
      </c>
      <c r="L186" s="6">
        <v>63.581000000000003</v>
      </c>
      <c r="M186" s="6">
        <v>63.581000000000003</v>
      </c>
      <c r="N186" s="6">
        <v>63.581000000000003</v>
      </c>
      <c r="O186" s="6">
        <v>63.581000000000003</v>
      </c>
      <c r="P186" s="6">
        <v>0</v>
      </c>
      <c r="Q186" s="4" t="s">
        <v>26</v>
      </c>
      <c r="R186" s="4">
        <v>0</v>
      </c>
      <c r="S186" s="4" t="s">
        <v>120</v>
      </c>
      <c r="T186" s="4" t="s">
        <v>265</v>
      </c>
      <c r="U186" s="4">
        <v>0</v>
      </c>
      <c r="V186" s="4">
        <v>47</v>
      </c>
      <c r="W186" s="4">
        <v>27</v>
      </c>
    </row>
    <row r="187" spans="1:23" ht="11.25" customHeight="1" x14ac:dyDescent="0.25">
      <c r="A187" s="4" t="s">
        <v>21</v>
      </c>
      <c r="B187" s="4" t="s">
        <v>33</v>
      </c>
      <c r="C187" s="4" t="s">
        <v>34</v>
      </c>
      <c r="D187" s="4" t="s">
        <v>42</v>
      </c>
      <c r="E187" s="4" t="s">
        <v>25</v>
      </c>
      <c r="F187" s="4" t="s">
        <v>25</v>
      </c>
      <c r="G187" s="4" t="s">
        <v>25</v>
      </c>
      <c r="H187" s="4" t="s">
        <v>36</v>
      </c>
      <c r="I187" s="5">
        <v>44409</v>
      </c>
      <c r="J187" s="6">
        <v>0</v>
      </c>
      <c r="K187" s="6">
        <v>0</v>
      </c>
      <c r="L187" s="6">
        <v>67.027000000000001</v>
      </c>
      <c r="M187" s="6">
        <v>67.027000000000001</v>
      </c>
      <c r="N187" s="6">
        <v>67.027000000000001</v>
      </c>
      <c r="O187" s="6">
        <v>67.027000000000001</v>
      </c>
      <c r="P187" s="6">
        <v>0</v>
      </c>
      <c r="Q187" s="4" t="s">
        <v>26</v>
      </c>
      <c r="R187" s="4">
        <v>0</v>
      </c>
      <c r="S187" s="4" t="s">
        <v>121</v>
      </c>
      <c r="T187" s="4" t="s">
        <v>266</v>
      </c>
      <c r="U187" s="4">
        <v>0</v>
      </c>
      <c r="V187" s="4">
        <v>47</v>
      </c>
      <c r="W187" s="4">
        <v>27</v>
      </c>
    </row>
    <row r="188" spans="1:23" ht="11.25" customHeight="1" x14ac:dyDescent="0.25">
      <c r="A188" s="4" t="s">
        <v>21</v>
      </c>
      <c r="B188" s="4" t="s">
        <v>33</v>
      </c>
      <c r="C188" s="4" t="s">
        <v>34</v>
      </c>
      <c r="D188" s="4" t="s">
        <v>42</v>
      </c>
      <c r="E188" s="4" t="s">
        <v>25</v>
      </c>
      <c r="F188" s="4" t="s">
        <v>25</v>
      </c>
      <c r="G188" s="4" t="s">
        <v>25</v>
      </c>
      <c r="H188" s="4" t="s">
        <v>36</v>
      </c>
      <c r="I188" s="5">
        <v>44440</v>
      </c>
      <c r="J188" s="6">
        <v>0</v>
      </c>
      <c r="K188" s="6">
        <v>0</v>
      </c>
      <c r="L188" s="6">
        <v>65.751000000000005</v>
      </c>
      <c r="M188" s="6">
        <v>65.751000000000005</v>
      </c>
      <c r="N188" s="6">
        <v>65.751000000000005</v>
      </c>
      <c r="O188" s="6">
        <v>65.751000000000005</v>
      </c>
      <c r="P188" s="6">
        <v>0</v>
      </c>
      <c r="Q188" s="4" t="s">
        <v>26</v>
      </c>
      <c r="R188" s="4">
        <v>0</v>
      </c>
      <c r="S188" s="4" t="s">
        <v>122</v>
      </c>
      <c r="T188" s="4" t="s">
        <v>267</v>
      </c>
      <c r="U188" s="4">
        <v>0</v>
      </c>
      <c r="V188" s="4">
        <v>47</v>
      </c>
      <c r="W188" s="4">
        <v>27</v>
      </c>
    </row>
    <row r="189" spans="1:23" ht="11.25" customHeight="1" x14ac:dyDescent="0.25">
      <c r="A189" s="4" t="s">
        <v>21</v>
      </c>
      <c r="B189" s="4" t="s">
        <v>33</v>
      </c>
      <c r="C189" s="4" t="s">
        <v>34</v>
      </c>
      <c r="D189" s="4" t="s">
        <v>42</v>
      </c>
      <c r="E189" s="4" t="s">
        <v>25</v>
      </c>
      <c r="F189" s="4" t="s">
        <v>25</v>
      </c>
      <c r="G189" s="4" t="s">
        <v>25</v>
      </c>
      <c r="H189" s="4" t="s">
        <v>36</v>
      </c>
      <c r="I189" s="5">
        <v>44470</v>
      </c>
      <c r="J189" s="6">
        <v>0</v>
      </c>
      <c r="K189" s="6">
        <v>0</v>
      </c>
      <c r="L189" s="6">
        <v>65.188999999999993</v>
      </c>
      <c r="M189" s="6">
        <v>65.188999999999993</v>
      </c>
      <c r="N189" s="6">
        <v>65.188999999999993</v>
      </c>
      <c r="O189" s="6">
        <v>65.188999999999993</v>
      </c>
      <c r="P189" s="6">
        <v>0</v>
      </c>
      <c r="Q189" s="4" t="s">
        <v>26</v>
      </c>
      <c r="R189" s="4">
        <v>0</v>
      </c>
      <c r="S189" s="4" t="s">
        <v>123</v>
      </c>
      <c r="T189" s="4" t="s">
        <v>268</v>
      </c>
      <c r="U189" s="4">
        <v>0</v>
      </c>
      <c r="V189" s="4">
        <v>47</v>
      </c>
      <c r="W189" s="4">
        <v>27</v>
      </c>
    </row>
    <row r="190" spans="1:23" ht="11.25" customHeight="1" x14ac:dyDescent="0.25">
      <c r="A190" s="4" t="s">
        <v>21</v>
      </c>
      <c r="B190" s="4" t="s">
        <v>33</v>
      </c>
      <c r="C190" s="4" t="s">
        <v>34</v>
      </c>
      <c r="D190" s="4" t="s">
        <v>42</v>
      </c>
      <c r="E190" s="4" t="s">
        <v>25</v>
      </c>
      <c r="F190" s="4" t="s">
        <v>25</v>
      </c>
      <c r="G190" s="4" t="s">
        <v>25</v>
      </c>
      <c r="H190" s="4" t="s">
        <v>36</v>
      </c>
      <c r="I190" s="5">
        <v>44501</v>
      </c>
      <c r="J190" s="6">
        <v>0</v>
      </c>
      <c r="K190" s="6">
        <v>0</v>
      </c>
      <c r="L190" s="6">
        <v>68.685000000000002</v>
      </c>
      <c r="M190" s="6">
        <v>68.685000000000002</v>
      </c>
      <c r="N190" s="6">
        <v>68.685000000000002</v>
      </c>
      <c r="O190" s="6">
        <v>68.685000000000002</v>
      </c>
      <c r="P190" s="6">
        <v>0</v>
      </c>
      <c r="Q190" s="4" t="s">
        <v>26</v>
      </c>
      <c r="R190" s="4">
        <v>0</v>
      </c>
      <c r="S190" s="4" t="s">
        <v>124</v>
      </c>
      <c r="T190" s="4" t="s">
        <v>269</v>
      </c>
      <c r="U190" s="4">
        <v>0</v>
      </c>
      <c r="V190" s="4">
        <v>47</v>
      </c>
      <c r="W190" s="4">
        <v>27</v>
      </c>
    </row>
    <row r="191" spans="1:23" ht="11.25" customHeight="1" x14ac:dyDescent="0.25">
      <c r="A191" s="4" t="s">
        <v>21</v>
      </c>
      <c r="B191" s="4" t="s">
        <v>33</v>
      </c>
      <c r="C191" s="4" t="s">
        <v>34</v>
      </c>
      <c r="D191" s="4" t="s">
        <v>42</v>
      </c>
      <c r="E191" s="4" t="s">
        <v>25</v>
      </c>
      <c r="F191" s="4" t="s">
        <v>25</v>
      </c>
      <c r="G191" s="4" t="s">
        <v>25</v>
      </c>
      <c r="H191" s="4" t="s">
        <v>36</v>
      </c>
      <c r="I191" s="5">
        <v>44531</v>
      </c>
      <c r="J191" s="6">
        <v>0</v>
      </c>
      <c r="K191" s="6">
        <v>0</v>
      </c>
      <c r="L191" s="6">
        <v>65.856999999999999</v>
      </c>
      <c r="M191" s="6">
        <v>65.856999999999999</v>
      </c>
      <c r="N191" s="6">
        <v>65.856999999999999</v>
      </c>
      <c r="O191" s="6">
        <v>65.856999999999999</v>
      </c>
      <c r="P191" s="6">
        <v>0</v>
      </c>
      <c r="Q191" s="4" t="s">
        <v>26</v>
      </c>
      <c r="R191" s="4">
        <v>0</v>
      </c>
      <c r="S191" s="4" t="s">
        <v>125</v>
      </c>
      <c r="T191" s="4" t="s">
        <v>270</v>
      </c>
      <c r="U191" s="4">
        <v>0</v>
      </c>
      <c r="V191" s="4">
        <v>47</v>
      </c>
      <c r="W191" s="4">
        <v>27</v>
      </c>
    </row>
    <row r="192" spans="1:23" ht="11.25" customHeight="1" x14ac:dyDescent="0.25">
      <c r="A192" s="4" t="s">
        <v>21</v>
      </c>
      <c r="B192" s="4" t="s">
        <v>33</v>
      </c>
      <c r="C192" s="4" t="s">
        <v>34</v>
      </c>
      <c r="D192" s="4" t="s">
        <v>42</v>
      </c>
      <c r="E192" s="4" t="s">
        <v>25</v>
      </c>
      <c r="F192" s="4" t="s">
        <v>25</v>
      </c>
      <c r="G192" s="4" t="s">
        <v>25</v>
      </c>
      <c r="H192" s="4" t="s">
        <v>36</v>
      </c>
      <c r="I192" s="5">
        <v>44562</v>
      </c>
      <c r="J192" s="6">
        <v>0</v>
      </c>
      <c r="K192" s="6">
        <v>0</v>
      </c>
      <c r="L192" s="6">
        <v>69.786000000000001</v>
      </c>
      <c r="M192" s="6">
        <v>69.786000000000001</v>
      </c>
      <c r="N192" s="6">
        <v>69.786000000000001</v>
      </c>
      <c r="O192" s="6">
        <v>69.786000000000001</v>
      </c>
      <c r="P192" s="6">
        <v>0</v>
      </c>
      <c r="Q192" s="4" t="s">
        <v>26</v>
      </c>
      <c r="R192" s="4">
        <v>0</v>
      </c>
      <c r="S192" s="4" t="s">
        <v>126</v>
      </c>
      <c r="T192" s="4" t="s">
        <v>271</v>
      </c>
      <c r="U192" s="4">
        <v>0</v>
      </c>
      <c r="V192" s="4">
        <v>47</v>
      </c>
      <c r="W192" s="4">
        <v>27</v>
      </c>
    </row>
    <row r="193" spans="1:23" ht="11.25" customHeight="1" x14ac:dyDescent="0.25">
      <c r="A193" s="4" t="s">
        <v>21</v>
      </c>
      <c r="B193" s="4" t="s">
        <v>33</v>
      </c>
      <c r="C193" s="4" t="s">
        <v>34</v>
      </c>
      <c r="D193" s="4" t="s">
        <v>42</v>
      </c>
      <c r="E193" s="4" t="s">
        <v>25</v>
      </c>
      <c r="F193" s="4" t="s">
        <v>25</v>
      </c>
      <c r="G193" s="4" t="s">
        <v>25</v>
      </c>
      <c r="H193" s="4" t="s">
        <v>36</v>
      </c>
      <c r="I193" s="5">
        <v>44593</v>
      </c>
      <c r="J193" s="6">
        <v>0</v>
      </c>
      <c r="K193" s="6">
        <v>0</v>
      </c>
      <c r="L193" s="6">
        <v>69.491</v>
      </c>
      <c r="M193" s="6">
        <v>69.491</v>
      </c>
      <c r="N193" s="6">
        <v>69.491</v>
      </c>
      <c r="O193" s="6">
        <v>69.491</v>
      </c>
      <c r="P193" s="6">
        <v>0</v>
      </c>
      <c r="Q193" s="4" t="s">
        <v>26</v>
      </c>
      <c r="R193" s="4">
        <v>0</v>
      </c>
      <c r="S193" s="4" t="s">
        <v>127</v>
      </c>
      <c r="T193" s="4" t="s">
        <v>272</v>
      </c>
      <c r="U193" s="4">
        <v>0</v>
      </c>
      <c r="V193" s="4">
        <v>47</v>
      </c>
      <c r="W193" s="4">
        <v>27</v>
      </c>
    </row>
    <row r="194" spans="1:23" ht="11.25" customHeight="1" x14ac:dyDescent="0.25">
      <c r="A194" s="4" t="s">
        <v>54</v>
      </c>
      <c r="B194" s="4" t="s">
        <v>33</v>
      </c>
      <c r="C194" s="4" t="s">
        <v>34</v>
      </c>
      <c r="D194" s="4" t="s">
        <v>42</v>
      </c>
      <c r="E194" s="4" t="s">
        <v>25</v>
      </c>
      <c r="F194" s="4" t="s">
        <v>25</v>
      </c>
      <c r="G194" s="4" t="s">
        <v>25</v>
      </c>
      <c r="H194" s="4" t="s">
        <v>36</v>
      </c>
      <c r="I194" s="5">
        <v>44621</v>
      </c>
      <c r="J194" s="6">
        <v>0</v>
      </c>
      <c r="K194" s="6">
        <v>0</v>
      </c>
      <c r="L194" s="6">
        <v>69.491</v>
      </c>
      <c r="M194" s="6">
        <v>69.491</v>
      </c>
      <c r="N194" s="6">
        <v>69.491</v>
      </c>
      <c r="O194" s="6">
        <v>69.491</v>
      </c>
      <c r="P194" s="6">
        <v>0</v>
      </c>
      <c r="Q194" s="4" t="s">
        <v>26</v>
      </c>
      <c r="R194" s="4">
        <v>0</v>
      </c>
      <c r="S194" s="4" t="s">
        <v>128</v>
      </c>
      <c r="T194" s="4" t="s">
        <v>273</v>
      </c>
      <c r="U194" s="4">
        <v>0</v>
      </c>
      <c r="V194" s="4">
        <v>47</v>
      </c>
      <c r="W194" s="4">
        <v>27</v>
      </c>
    </row>
    <row r="195" spans="1:23" ht="11.25" customHeight="1" x14ac:dyDescent="0.25">
      <c r="A195" s="4" t="s">
        <v>21</v>
      </c>
      <c r="B195" s="4" t="s">
        <v>33</v>
      </c>
      <c r="C195" s="4" t="s">
        <v>34</v>
      </c>
      <c r="D195" s="4" t="s">
        <v>42</v>
      </c>
      <c r="E195" s="4" t="s">
        <v>25</v>
      </c>
      <c r="F195" s="4" t="s">
        <v>25</v>
      </c>
      <c r="G195" s="4" t="s">
        <v>25</v>
      </c>
      <c r="H195" s="4" t="s">
        <v>25</v>
      </c>
      <c r="I195" s="5">
        <v>44287</v>
      </c>
      <c r="J195" s="6">
        <v>180</v>
      </c>
      <c r="K195" s="6">
        <v>180</v>
      </c>
      <c r="L195" s="6">
        <v>0</v>
      </c>
      <c r="M195" s="6">
        <v>0</v>
      </c>
      <c r="N195" s="6">
        <v>0</v>
      </c>
      <c r="O195" s="6">
        <v>0</v>
      </c>
      <c r="P195" s="6">
        <v>1</v>
      </c>
      <c r="Q195" s="4" t="s">
        <v>26</v>
      </c>
      <c r="R195" s="4">
        <v>0</v>
      </c>
      <c r="S195" s="4" t="s">
        <v>129</v>
      </c>
      <c r="U195" s="4">
        <v>65</v>
      </c>
      <c r="V195" s="4">
        <v>0</v>
      </c>
      <c r="W195" s="4">
        <v>0</v>
      </c>
    </row>
    <row r="196" spans="1:23" ht="11.25" customHeight="1" x14ac:dyDescent="0.25">
      <c r="A196" s="4" t="s">
        <v>21</v>
      </c>
      <c r="B196" s="4" t="s">
        <v>33</v>
      </c>
      <c r="C196" s="4" t="s">
        <v>34</v>
      </c>
      <c r="D196" s="4" t="s">
        <v>42</v>
      </c>
      <c r="E196" s="4" t="s">
        <v>25</v>
      </c>
      <c r="F196" s="4" t="s">
        <v>25</v>
      </c>
      <c r="G196" s="4" t="s">
        <v>25</v>
      </c>
      <c r="H196" s="4" t="s">
        <v>25</v>
      </c>
      <c r="I196" s="5">
        <v>44317</v>
      </c>
      <c r="J196" s="6">
        <v>180</v>
      </c>
      <c r="K196" s="6">
        <v>180</v>
      </c>
      <c r="L196" s="6">
        <v>0</v>
      </c>
      <c r="M196" s="6">
        <v>0</v>
      </c>
      <c r="N196" s="6">
        <v>0</v>
      </c>
      <c r="O196" s="6">
        <v>0</v>
      </c>
      <c r="P196" s="6">
        <v>1</v>
      </c>
      <c r="Q196" s="4" t="s">
        <v>26</v>
      </c>
      <c r="R196" s="4">
        <v>0</v>
      </c>
      <c r="S196" s="4" t="s">
        <v>130</v>
      </c>
      <c r="U196" s="4">
        <v>65</v>
      </c>
      <c r="V196" s="4">
        <v>0</v>
      </c>
      <c r="W196" s="4">
        <v>0</v>
      </c>
    </row>
    <row r="197" spans="1:23" ht="11.25" customHeight="1" x14ac:dyDescent="0.25">
      <c r="A197" s="4" t="s">
        <v>21</v>
      </c>
      <c r="B197" s="4" t="s">
        <v>33</v>
      </c>
      <c r="C197" s="4" t="s">
        <v>34</v>
      </c>
      <c r="D197" s="4" t="s">
        <v>42</v>
      </c>
      <c r="E197" s="4" t="s">
        <v>25</v>
      </c>
      <c r="F197" s="4" t="s">
        <v>25</v>
      </c>
      <c r="G197" s="4" t="s">
        <v>25</v>
      </c>
      <c r="H197" s="4" t="s">
        <v>25</v>
      </c>
      <c r="I197" s="5">
        <v>44348</v>
      </c>
      <c r="J197" s="6">
        <v>180</v>
      </c>
      <c r="K197" s="6">
        <v>180</v>
      </c>
      <c r="L197" s="6">
        <v>0</v>
      </c>
      <c r="M197" s="6">
        <v>0</v>
      </c>
      <c r="N197" s="6">
        <v>0</v>
      </c>
      <c r="O197" s="6">
        <v>0</v>
      </c>
      <c r="P197" s="6">
        <v>1</v>
      </c>
      <c r="Q197" s="4" t="s">
        <v>26</v>
      </c>
      <c r="R197" s="4">
        <v>0</v>
      </c>
      <c r="S197" s="4" t="s">
        <v>131</v>
      </c>
      <c r="U197" s="4">
        <v>65</v>
      </c>
      <c r="V197" s="4">
        <v>0</v>
      </c>
      <c r="W197" s="4">
        <v>0</v>
      </c>
    </row>
    <row r="198" spans="1:23" ht="11.25" customHeight="1" x14ac:dyDescent="0.25">
      <c r="A198" s="4" t="s">
        <v>21</v>
      </c>
      <c r="B198" s="4" t="s">
        <v>33</v>
      </c>
      <c r="C198" s="4" t="s">
        <v>34</v>
      </c>
      <c r="D198" s="4" t="s">
        <v>42</v>
      </c>
      <c r="E198" s="4" t="s">
        <v>25</v>
      </c>
      <c r="F198" s="4" t="s">
        <v>25</v>
      </c>
      <c r="G198" s="4" t="s">
        <v>25</v>
      </c>
      <c r="H198" s="4" t="s">
        <v>25</v>
      </c>
      <c r="I198" s="5">
        <v>44378</v>
      </c>
      <c r="J198" s="6">
        <v>180</v>
      </c>
      <c r="K198" s="6">
        <v>180</v>
      </c>
      <c r="L198" s="6">
        <v>0</v>
      </c>
      <c r="M198" s="6">
        <v>0</v>
      </c>
      <c r="N198" s="6">
        <v>0</v>
      </c>
      <c r="O198" s="6">
        <v>0</v>
      </c>
      <c r="P198" s="6">
        <v>1</v>
      </c>
      <c r="Q198" s="4" t="s">
        <v>26</v>
      </c>
      <c r="R198" s="4">
        <v>0</v>
      </c>
      <c r="S198" s="4" t="s">
        <v>132</v>
      </c>
      <c r="U198" s="4">
        <v>65</v>
      </c>
      <c r="V198" s="4">
        <v>0</v>
      </c>
      <c r="W198" s="4">
        <v>0</v>
      </c>
    </row>
    <row r="199" spans="1:23" ht="11.25" customHeight="1" x14ac:dyDescent="0.25">
      <c r="A199" s="4" t="s">
        <v>21</v>
      </c>
      <c r="B199" s="4" t="s">
        <v>33</v>
      </c>
      <c r="C199" s="4" t="s">
        <v>34</v>
      </c>
      <c r="D199" s="4" t="s">
        <v>42</v>
      </c>
      <c r="E199" s="4" t="s">
        <v>25</v>
      </c>
      <c r="F199" s="4" t="s">
        <v>25</v>
      </c>
      <c r="G199" s="4" t="s">
        <v>25</v>
      </c>
      <c r="H199" s="4" t="s">
        <v>25</v>
      </c>
      <c r="I199" s="5">
        <v>44409</v>
      </c>
      <c r="J199" s="6">
        <v>180</v>
      </c>
      <c r="K199" s="6">
        <v>180</v>
      </c>
      <c r="L199" s="6">
        <v>0</v>
      </c>
      <c r="M199" s="6">
        <v>0</v>
      </c>
      <c r="N199" s="6">
        <v>0</v>
      </c>
      <c r="O199" s="6">
        <v>0</v>
      </c>
      <c r="P199" s="6">
        <v>1</v>
      </c>
      <c r="Q199" s="4" t="s">
        <v>26</v>
      </c>
      <c r="R199" s="4">
        <v>0</v>
      </c>
      <c r="S199" s="4" t="s">
        <v>133</v>
      </c>
      <c r="U199" s="4">
        <v>65</v>
      </c>
      <c r="V199" s="4">
        <v>0</v>
      </c>
      <c r="W199" s="4">
        <v>0</v>
      </c>
    </row>
    <row r="200" spans="1:23" ht="11.25" customHeight="1" x14ac:dyDescent="0.25">
      <c r="A200" s="4" t="s">
        <v>21</v>
      </c>
      <c r="B200" s="4" t="s">
        <v>33</v>
      </c>
      <c r="C200" s="4" t="s">
        <v>34</v>
      </c>
      <c r="D200" s="4" t="s">
        <v>42</v>
      </c>
      <c r="E200" s="4" t="s">
        <v>25</v>
      </c>
      <c r="F200" s="4" t="s">
        <v>25</v>
      </c>
      <c r="G200" s="4" t="s">
        <v>25</v>
      </c>
      <c r="H200" s="4" t="s">
        <v>25</v>
      </c>
      <c r="I200" s="5">
        <v>44440</v>
      </c>
      <c r="J200" s="6">
        <v>180</v>
      </c>
      <c r="K200" s="6">
        <v>180</v>
      </c>
      <c r="L200" s="6">
        <v>0</v>
      </c>
      <c r="M200" s="6">
        <v>0</v>
      </c>
      <c r="N200" s="6">
        <v>0</v>
      </c>
      <c r="O200" s="6">
        <v>0</v>
      </c>
      <c r="P200" s="6">
        <v>1</v>
      </c>
      <c r="Q200" s="4" t="s">
        <v>26</v>
      </c>
      <c r="R200" s="4">
        <v>0</v>
      </c>
      <c r="S200" s="4" t="s">
        <v>134</v>
      </c>
      <c r="U200" s="4">
        <v>65</v>
      </c>
      <c r="V200" s="4">
        <v>0</v>
      </c>
      <c r="W200" s="4">
        <v>0</v>
      </c>
    </row>
    <row r="201" spans="1:23" ht="11.25" customHeight="1" x14ac:dyDescent="0.25">
      <c r="A201" s="4" t="s">
        <v>21</v>
      </c>
      <c r="B201" s="4" t="s">
        <v>33</v>
      </c>
      <c r="C201" s="4" t="s">
        <v>34</v>
      </c>
      <c r="D201" s="4" t="s">
        <v>42</v>
      </c>
      <c r="E201" s="4" t="s">
        <v>25</v>
      </c>
      <c r="F201" s="4" t="s">
        <v>25</v>
      </c>
      <c r="G201" s="4" t="s">
        <v>25</v>
      </c>
      <c r="H201" s="4" t="s">
        <v>25</v>
      </c>
      <c r="I201" s="5">
        <v>44470</v>
      </c>
      <c r="J201" s="6">
        <v>180</v>
      </c>
      <c r="K201" s="6">
        <v>180</v>
      </c>
      <c r="L201" s="6">
        <v>0</v>
      </c>
      <c r="M201" s="6">
        <v>0</v>
      </c>
      <c r="N201" s="6">
        <v>0</v>
      </c>
      <c r="O201" s="6">
        <v>0</v>
      </c>
      <c r="P201" s="6">
        <v>1</v>
      </c>
      <c r="Q201" s="4" t="s">
        <v>26</v>
      </c>
      <c r="R201" s="4">
        <v>0</v>
      </c>
      <c r="S201" s="4" t="s">
        <v>135</v>
      </c>
      <c r="U201" s="4">
        <v>65</v>
      </c>
      <c r="V201" s="4">
        <v>0</v>
      </c>
      <c r="W201" s="4">
        <v>0</v>
      </c>
    </row>
    <row r="202" spans="1:23" ht="11.25" customHeight="1" x14ac:dyDescent="0.25">
      <c r="A202" s="4" t="s">
        <v>21</v>
      </c>
      <c r="B202" s="4" t="s">
        <v>33</v>
      </c>
      <c r="C202" s="4" t="s">
        <v>34</v>
      </c>
      <c r="D202" s="4" t="s">
        <v>42</v>
      </c>
      <c r="E202" s="4" t="s">
        <v>25</v>
      </c>
      <c r="F202" s="4" t="s">
        <v>25</v>
      </c>
      <c r="G202" s="4" t="s">
        <v>25</v>
      </c>
      <c r="H202" s="4" t="s">
        <v>25</v>
      </c>
      <c r="I202" s="5">
        <v>44501</v>
      </c>
      <c r="J202" s="6">
        <v>180</v>
      </c>
      <c r="K202" s="6">
        <v>180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4" t="s">
        <v>26</v>
      </c>
      <c r="R202" s="4">
        <v>0</v>
      </c>
      <c r="S202" s="4" t="s">
        <v>136</v>
      </c>
      <c r="U202" s="4">
        <v>65</v>
      </c>
      <c r="V202" s="4">
        <v>0</v>
      </c>
      <c r="W202" s="4">
        <v>0</v>
      </c>
    </row>
    <row r="203" spans="1:23" ht="11.25" customHeight="1" x14ac:dyDescent="0.25">
      <c r="A203" s="4" t="s">
        <v>21</v>
      </c>
      <c r="B203" s="4" t="s">
        <v>33</v>
      </c>
      <c r="C203" s="4" t="s">
        <v>34</v>
      </c>
      <c r="D203" s="4" t="s">
        <v>42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44531</v>
      </c>
      <c r="J203" s="6">
        <v>180</v>
      </c>
      <c r="K203" s="6">
        <v>180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4" t="s">
        <v>26</v>
      </c>
      <c r="R203" s="4">
        <v>0</v>
      </c>
      <c r="S203" s="4" t="s">
        <v>137</v>
      </c>
      <c r="U203" s="4">
        <v>65</v>
      </c>
      <c r="V203" s="4">
        <v>0</v>
      </c>
      <c r="W203" s="4">
        <v>0</v>
      </c>
    </row>
    <row r="204" spans="1:23" ht="11.25" customHeight="1" x14ac:dyDescent="0.25">
      <c r="A204" s="4" t="s">
        <v>21</v>
      </c>
      <c r="B204" s="4" t="s">
        <v>33</v>
      </c>
      <c r="C204" s="4" t="s">
        <v>34</v>
      </c>
      <c r="D204" s="4" t="s">
        <v>42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44562</v>
      </c>
      <c r="J204" s="6">
        <v>180</v>
      </c>
      <c r="K204" s="6">
        <v>180</v>
      </c>
      <c r="L204" s="6">
        <v>0</v>
      </c>
      <c r="M204" s="6">
        <v>0</v>
      </c>
      <c r="N204" s="6">
        <v>0</v>
      </c>
      <c r="O204" s="6">
        <v>0</v>
      </c>
      <c r="P204" s="6">
        <v>1</v>
      </c>
      <c r="Q204" s="4" t="s">
        <v>26</v>
      </c>
      <c r="R204" s="4">
        <v>0</v>
      </c>
      <c r="S204" s="4" t="s">
        <v>138</v>
      </c>
      <c r="U204" s="4">
        <v>65</v>
      </c>
      <c r="V204" s="4">
        <v>0</v>
      </c>
      <c r="W204" s="4">
        <v>0</v>
      </c>
    </row>
    <row r="205" spans="1:23" ht="11.25" customHeight="1" x14ac:dyDescent="0.25">
      <c r="A205" s="4" t="s">
        <v>21</v>
      </c>
      <c r="B205" s="4" t="s">
        <v>33</v>
      </c>
      <c r="C205" s="4" t="s">
        <v>34</v>
      </c>
      <c r="D205" s="4" t="s">
        <v>42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44593</v>
      </c>
      <c r="J205" s="6">
        <v>180</v>
      </c>
      <c r="K205" s="6">
        <v>180</v>
      </c>
      <c r="L205" s="6">
        <v>0</v>
      </c>
      <c r="M205" s="6">
        <v>0</v>
      </c>
      <c r="N205" s="6">
        <v>0</v>
      </c>
      <c r="O205" s="6">
        <v>0</v>
      </c>
      <c r="P205" s="6">
        <v>1</v>
      </c>
      <c r="Q205" s="4" t="s">
        <v>26</v>
      </c>
      <c r="R205" s="4">
        <v>0</v>
      </c>
      <c r="S205" s="4" t="s">
        <v>139</v>
      </c>
      <c r="U205" s="4">
        <v>65</v>
      </c>
      <c r="V205" s="4">
        <v>0</v>
      </c>
      <c r="W205" s="4">
        <v>0</v>
      </c>
    </row>
    <row r="206" spans="1:23" ht="11.25" customHeight="1" x14ac:dyDescent="0.25">
      <c r="A206" s="4" t="s">
        <v>54</v>
      </c>
      <c r="B206" s="4" t="s">
        <v>33</v>
      </c>
      <c r="C206" s="4" t="s">
        <v>34</v>
      </c>
      <c r="D206" s="4" t="s">
        <v>42</v>
      </c>
      <c r="E206" s="4" t="s">
        <v>25</v>
      </c>
      <c r="F206" s="4" t="s">
        <v>25</v>
      </c>
      <c r="G206" s="4" t="s">
        <v>25</v>
      </c>
      <c r="H206" s="4" t="s">
        <v>25</v>
      </c>
      <c r="I206" s="5">
        <v>44621</v>
      </c>
      <c r="J206" s="6">
        <v>180</v>
      </c>
      <c r="K206" s="6">
        <v>180</v>
      </c>
      <c r="L206" s="6">
        <v>0</v>
      </c>
      <c r="M206" s="6">
        <v>0</v>
      </c>
      <c r="N206" s="6">
        <v>0</v>
      </c>
      <c r="O206" s="6">
        <v>0</v>
      </c>
      <c r="P206" s="6">
        <v>1</v>
      </c>
      <c r="Q206" s="4" t="s">
        <v>26</v>
      </c>
      <c r="R206" s="4">
        <v>0</v>
      </c>
      <c r="S206" s="4" t="s">
        <v>140</v>
      </c>
      <c r="U206" s="4">
        <v>65</v>
      </c>
      <c r="V206" s="4">
        <v>0</v>
      </c>
      <c r="W206" s="4">
        <v>0</v>
      </c>
    </row>
    <row r="207" spans="1:23" ht="11.25" customHeight="1" x14ac:dyDescent="0.25">
      <c r="A207" s="4" t="s">
        <v>21</v>
      </c>
      <c r="B207" s="4" t="s">
        <v>33</v>
      </c>
      <c r="C207" s="4" t="s">
        <v>34</v>
      </c>
      <c r="D207" s="4" t="s">
        <v>42</v>
      </c>
      <c r="E207" s="4" t="s">
        <v>25</v>
      </c>
      <c r="F207" s="4" t="s">
        <v>25</v>
      </c>
      <c r="G207" s="4" t="s">
        <v>25</v>
      </c>
      <c r="H207" s="4" t="s">
        <v>35</v>
      </c>
      <c r="I207" s="5">
        <v>44287</v>
      </c>
      <c r="J207" s="6">
        <v>0</v>
      </c>
      <c r="K207" s="6">
        <v>0</v>
      </c>
      <c r="L207" s="6">
        <v>6.2560000000000002</v>
      </c>
      <c r="M207" s="6">
        <v>6.2560000000000002</v>
      </c>
      <c r="N207" s="6">
        <v>6.2560000000000002</v>
      </c>
      <c r="O207" s="6">
        <v>6.2560000000000002</v>
      </c>
      <c r="P207" s="6">
        <v>0</v>
      </c>
      <c r="Q207" s="4" t="s">
        <v>26</v>
      </c>
      <c r="R207" s="4">
        <v>0</v>
      </c>
      <c r="S207" s="4" t="s">
        <v>141</v>
      </c>
      <c r="T207" s="4" t="s">
        <v>274</v>
      </c>
      <c r="U207" s="4">
        <v>0</v>
      </c>
      <c r="V207" s="4">
        <v>66</v>
      </c>
      <c r="W207" s="4">
        <v>6</v>
      </c>
    </row>
    <row r="208" spans="1:23" ht="11.25" customHeight="1" x14ac:dyDescent="0.25">
      <c r="A208" s="4" t="s">
        <v>21</v>
      </c>
      <c r="B208" s="4" t="s">
        <v>33</v>
      </c>
      <c r="C208" s="4" t="s">
        <v>34</v>
      </c>
      <c r="D208" s="4" t="s">
        <v>42</v>
      </c>
      <c r="E208" s="4" t="s">
        <v>25</v>
      </c>
      <c r="F208" s="4" t="s">
        <v>25</v>
      </c>
      <c r="G208" s="4" t="s">
        <v>25</v>
      </c>
      <c r="H208" s="4" t="s">
        <v>35</v>
      </c>
      <c r="I208" s="5">
        <v>44317</v>
      </c>
      <c r="J208" s="6">
        <v>0</v>
      </c>
      <c r="K208" s="6">
        <v>0</v>
      </c>
      <c r="L208" s="6">
        <v>6.66</v>
      </c>
      <c r="M208" s="6">
        <v>6.66</v>
      </c>
      <c r="N208" s="6">
        <v>6.66</v>
      </c>
      <c r="O208" s="6">
        <v>6.66</v>
      </c>
      <c r="P208" s="6">
        <v>0</v>
      </c>
      <c r="Q208" s="4" t="s">
        <v>26</v>
      </c>
      <c r="R208" s="4">
        <v>0</v>
      </c>
      <c r="S208" s="4" t="s">
        <v>142</v>
      </c>
      <c r="T208" s="4" t="s">
        <v>275</v>
      </c>
      <c r="U208" s="4">
        <v>0</v>
      </c>
      <c r="V208" s="4">
        <v>66</v>
      </c>
      <c r="W208" s="4">
        <v>6</v>
      </c>
    </row>
    <row r="209" spans="1:23" ht="11.25" customHeight="1" x14ac:dyDescent="0.25">
      <c r="A209" s="4" t="s">
        <v>21</v>
      </c>
      <c r="B209" s="4" t="s">
        <v>33</v>
      </c>
      <c r="C209" s="4" t="s">
        <v>34</v>
      </c>
      <c r="D209" s="4" t="s">
        <v>42</v>
      </c>
      <c r="E209" s="4" t="s">
        <v>25</v>
      </c>
      <c r="F209" s="4" t="s">
        <v>25</v>
      </c>
      <c r="G209" s="4" t="s">
        <v>25</v>
      </c>
      <c r="H209" s="4" t="s">
        <v>35</v>
      </c>
      <c r="I209" s="5">
        <v>44348</v>
      </c>
      <c r="J209" s="6">
        <v>0</v>
      </c>
      <c r="K209" s="6">
        <v>0</v>
      </c>
      <c r="L209" s="6">
        <v>7.0609999999999999</v>
      </c>
      <c r="M209" s="6">
        <v>7.0609999999999999</v>
      </c>
      <c r="N209" s="6">
        <v>7.0609999999999999</v>
      </c>
      <c r="O209" s="6">
        <v>7.0609999999999999</v>
      </c>
      <c r="P209" s="6">
        <v>0</v>
      </c>
      <c r="Q209" s="4" t="s">
        <v>26</v>
      </c>
      <c r="R209" s="4">
        <v>0</v>
      </c>
      <c r="S209" s="4" t="s">
        <v>143</v>
      </c>
      <c r="T209" s="4" t="s">
        <v>276</v>
      </c>
      <c r="U209" s="4">
        <v>0</v>
      </c>
      <c r="V209" s="4">
        <v>66</v>
      </c>
      <c r="W209" s="4">
        <v>6</v>
      </c>
    </row>
    <row r="210" spans="1:23" ht="11.25" customHeight="1" x14ac:dyDescent="0.25">
      <c r="A210" s="4" t="s">
        <v>21</v>
      </c>
      <c r="B210" s="4" t="s">
        <v>33</v>
      </c>
      <c r="C210" s="4" t="s">
        <v>34</v>
      </c>
      <c r="D210" s="4" t="s">
        <v>42</v>
      </c>
      <c r="E210" s="4" t="s">
        <v>25</v>
      </c>
      <c r="F210" s="4" t="s">
        <v>25</v>
      </c>
      <c r="G210" s="4" t="s">
        <v>25</v>
      </c>
      <c r="H210" s="4" t="s">
        <v>35</v>
      </c>
      <c r="I210" s="5">
        <v>44378</v>
      </c>
      <c r="J210" s="6">
        <v>0</v>
      </c>
      <c r="K210" s="6">
        <v>0</v>
      </c>
      <c r="L210" s="6">
        <v>6.6879999999999997</v>
      </c>
      <c r="M210" s="6">
        <v>6.6879999999999997</v>
      </c>
      <c r="N210" s="6">
        <v>6.6879999999999997</v>
      </c>
      <c r="O210" s="6">
        <v>6.6879999999999997</v>
      </c>
      <c r="P210" s="6">
        <v>0</v>
      </c>
      <c r="Q210" s="4" t="s">
        <v>26</v>
      </c>
      <c r="R210" s="4">
        <v>0</v>
      </c>
      <c r="S210" s="4" t="s">
        <v>144</v>
      </c>
      <c r="T210" s="4" t="s">
        <v>277</v>
      </c>
      <c r="U210" s="4">
        <v>0</v>
      </c>
      <c r="V210" s="4">
        <v>66</v>
      </c>
      <c r="W210" s="4">
        <v>6</v>
      </c>
    </row>
    <row r="211" spans="1:23" ht="11.25" customHeight="1" x14ac:dyDescent="0.25">
      <c r="A211" s="4" t="s">
        <v>21</v>
      </c>
      <c r="B211" s="4" t="s">
        <v>33</v>
      </c>
      <c r="C211" s="4" t="s">
        <v>34</v>
      </c>
      <c r="D211" s="4" t="s">
        <v>42</v>
      </c>
      <c r="E211" s="4" t="s">
        <v>25</v>
      </c>
      <c r="F211" s="4" t="s">
        <v>25</v>
      </c>
      <c r="G211" s="4" t="s">
        <v>25</v>
      </c>
      <c r="H211" s="4" t="s">
        <v>35</v>
      </c>
      <c r="I211" s="5">
        <v>44409</v>
      </c>
      <c r="J211" s="6">
        <v>0</v>
      </c>
      <c r="K211" s="6">
        <v>0</v>
      </c>
      <c r="L211" s="6">
        <v>7.1689999999999996</v>
      </c>
      <c r="M211" s="6">
        <v>7.1689999999999996</v>
      </c>
      <c r="N211" s="6">
        <v>7.1689999999999996</v>
      </c>
      <c r="O211" s="6">
        <v>7.1689999999999996</v>
      </c>
      <c r="P211" s="6">
        <v>0</v>
      </c>
      <c r="Q211" s="4" t="s">
        <v>26</v>
      </c>
      <c r="R211" s="4">
        <v>0</v>
      </c>
      <c r="S211" s="4" t="s">
        <v>145</v>
      </c>
      <c r="T211" s="4" t="s">
        <v>278</v>
      </c>
      <c r="U211" s="4">
        <v>0</v>
      </c>
      <c r="V211" s="4">
        <v>66</v>
      </c>
      <c r="W211" s="4">
        <v>6</v>
      </c>
    </row>
    <row r="212" spans="1:23" ht="11.25" customHeight="1" x14ac:dyDescent="0.25">
      <c r="A212" s="4" t="s">
        <v>21</v>
      </c>
      <c r="B212" s="4" t="s">
        <v>33</v>
      </c>
      <c r="C212" s="4" t="s">
        <v>34</v>
      </c>
      <c r="D212" s="4" t="s">
        <v>42</v>
      </c>
      <c r="E212" s="4" t="s">
        <v>25</v>
      </c>
      <c r="F212" s="4" t="s">
        <v>25</v>
      </c>
      <c r="G212" s="4" t="s">
        <v>25</v>
      </c>
      <c r="H212" s="4" t="s">
        <v>35</v>
      </c>
      <c r="I212" s="5">
        <v>44440</v>
      </c>
      <c r="J212" s="6">
        <v>0</v>
      </c>
      <c r="K212" s="6">
        <v>0</v>
      </c>
      <c r="L212" s="6">
        <v>7.1210000000000004</v>
      </c>
      <c r="M212" s="6">
        <v>7.1210000000000004</v>
      </c>
      <c r="N212" s="6">
        <v>7.1210000000000004</v>
      </c>
      <c r="O212" s="6">
        <v>7.1210000000000004</v>
      </c>
      <c r="P212" s="6">
        <v>0</v>
      </c>
      <c r="Q212" s="4" t="s">
        <v>26</v>
      </c>
      <c r="R212" s="4">
        <v>0</v>
      </c>
      <c r="S212" s="4" t="s">
        <v>146</v>
      </c>
      <c r="T212" s="4" t="s">
        <v>279</v>
      </c>
      <c r="U212" s="4">
        <v>0</v>
      </c>
      <c r="V212" s="4">
        <v>66</v>
      </c>
      <c r="W212" s="4">
        <v>6</v>
      </c>
    </row>
    <row r="213" spans="1:23" ht="11.25" customHeight="1" x14ac:dyDescent="0.25">
      <c r="A213" s="4" t="s">
        <v>21</v>
      </c>
      <c r="B213" s="4" t="s">
        <v>33</v>
      </c>
      <c r="C213" s="4" t="s">
        <v>34</v>
      </c>
      <c r="D213" s="4" t="s">
        <v>42</v>
      </c>
      <c r="E213" s="4" t="s">
        <v>25</v>
      </c>
      <c r="F213" s="4" t="s">
        <v>25</v>
      </c>
      <c r="G213" s="4" t="s">
        <v>25</v>
      </c>
      <c r="H213" s="4" t="s">
        <v>35</v>
      </c>
      <c r="I213" s="5">
        <v>44470</v>
      </c>
      <c r="J213" s="6">
        <v>0</v>
      </c>
      <c r="K213" s="6">
        <v>0</v>
      </c>
      <c r="L213" s="6">
        <v>6.1859999999999999</v>
      </c>
      <c r="M213" s="6">
        <v>6.1859999999999999</v>
      </c>
      <c r="N213" s="6">
        <v>6.1859999999999999</v>
      </c>
      <c r="O213" s="6">
        <v>6.1859999999999999</v>
      </c>
      <c r="P213" s="6">
        <v>0</v>
      </c>
      <c r="Q213" s="4" t="s">
        <v>26</v>
      </c>
      <c r="R213" s="4">
        <v>0</v>
      </c>
      <c r="S213" s="4" t="s">
        <v>147</v>
      </c>
      <c r="T213" s="4" t="s">
        <v>280</v>
      </c>
      <c r="U213" s="4">
        <v>0</v>
      </c>
      <c r="V213" s="4">
        <v>66</v>
      </c>
      <c r="W213" s="4">
        <v>6</v>
      </c>
    </row>
    <row r="214" spans="1:23" ht="11.25" customHeight="1" x14ac:dyDescent="0.25">
      <c r="A214" s="4" t="s">
        <v>21</v>
      </c>
      <c r="B214" s="4" t="s">
        <v>33</v>
      </c>
      <c r="C214" s="4" t="s">
        <v>34</v>
      </c>
      <c r="D214" s="4" t="s">
        <v>42</v>
      </c>
      <c r="E214" s="4" t="s">
        <v>25</v>
      </c>
      <c r="F214" s="4" t="s">
        <v>25</v>
      </c>
      <c r="G214" s="4" t="s">
        <v>25</v>
      </c>
      <c r="H214" s="4" t="s">
        <v>35</v>
      </c>
      <c r="I214" s="5">
        <v>44501</v>
      </c>
      <c r="J214" s="6">
        <v>0</v>
      </c>
      <c r="K214" s="6">
        <v>0</v>
      </c>
      <c r="L214" s="6">
        <v>6.9470000000000001</v>
      </c>
      <c r="M214" s="6">
        <v>6.9470000000000001</v>
      </c>
      <c r="N214" s="6">
        <v>6.9470000000000001</v>
      </c>
      <c r="O214" s="6">
        <v>6.9470000000000001</v>
      </c>
      <c r="P214" s="6">
        <v>0</v>
      </c>
      <c r="Q214" s="4" t="s">
        <v>26</v>
      </c>
      <c r="R214" s="4">
        <v>0</v>
      </c>
      <c r="S214" s="4" t="s">
        <v>148</v>
      </c>
      <c r="T214" s="4" t="s">
        <v>281</v>
      </c>
      <c r="U214" s="4">
        <v>0</v>
      </c>
      <c r="V214" s="4">
        <v>66</v>
      </c>
      <c r="W214" s="4">
        <v>6</v>
      </c>
    </row>
    <row r="215" spans="1:23" ht="11.25" customHeight="1" x14ac:dyDescent="0.25">
      <c r="A215" s="4" t="s">
        <v>21</v>
      </c>
      <c r="B215" s="4" t="s">
        <v>33</v>
      </c>
      <c r="C215" s="4" t="s">
        <v>34</v>
      </c>
      <c r="D215" s="4" t="s">
        <v>42</v>
      </c>
      <c r="E215" s="4" t="s">
        <v>25</v>
      </c>
      <c r="F215" s="4" t="s">
        <v>25</v>
      </c>
      <c r="G215" s="4" t="s">
        <v>25</v>
      </c>
      <c r="H215" s="4" t="s">
        <v>35</v>
      </c>
      <c r="I215" s="5">
        <v>44531</v>
      </c>
      <c r="J215" s="6">
        <v>0</v>
      </c>
      <c r="K215" s="6">
        <v>0</v>
      </c>
      <c r="L215" s="6">
        <v>7.4320000000000004</v>
      </c>
      <c r="M215" s="6">
        <v>7.4320000000000004</v>
      </c>
      <c r="N215" s="6">
        <v>7.4320000000000004</v>
      </c>
      <c r="O215" s="6">
        <v>7.4320000000000004</v>
      </c>
      <c r="P215" s="6">
        <v>0</v>
      </c>
      <c r="Q215" s="4" t="s">
        <v>26</v>
      </c>
      <c r="R215" s="4">
        <v>0</v>
      </c>
      <c r="S215" s="4" t="s">
        <v>149</v>
      </c>
      <c r="T215" s="4" t="s">
        <v>282</v>
      </c>
      <c r="U215" s="4">
        <v>0</v>
      </c>
      <c r="V215" s="4">
        <v>66</v>
      </c>
      <c r="W215" s="4">
        <v>6</v>
      </c>
    </row>
    <row r="216" spans="1:23" ht="11.25" customHeight="1" x14ac:dyDescent="0.25">
      <c r="A216" s="4" t="s">
        <v>21</v>
      </c>
      <c r="B216" s="4" t="s">
        <v>33</v>
      </c>
      <c r="C216" s="4" t="s">
        <v>34</v>
      </c>
      <c r="D216" s="4" t="s">
        <v>42</v>
      </c>
      <c r="E216" s="4" t="s">
        <v>25</v>
      </c>
      <c r="F216" s="4" t="s">
        <v>25</v>
      </c>
      <c r="G216" s="4" t="s">
        <v>25</v>
      </c>
      <c r="H216" s="4" t="s">
        <v>35</v>
      </c>
      <c r="I216" s="5">
        <v>44562</v>
      </c>
      <c r="J216" s="6">
        <v>0</v>
      </c>
      <c r="K216" s="6">
        <v>0</v>
      </c>
      <c r="L216" s="6">
        <v>6.6180000000000003</v>
      </c>
      <c r="M216" s="6">
        <v>6.6180000000000003</v>
      </c>
      <c r="N216" s="6">
        <v>6.6180000000000003</v>
      </c>
      <c r="O216" s="6">
        <v>6.6180000000000003</v>
      </c>
      <c r="P216" s="6">
        <v>0</v>
      </c>
      <c r="Q216" s="4" t="s">
        <v>26</v>
      </c>
      <c r="R216" s="4">
        <v>0</v>
      </c>
      <c r="S216" s="4" t="s">
        <v>150</v>
      </c>
      <c r="T216" s="4" t="s">
        <v>283</v>
      </c>
      <c r="U216" s="4">
        <v>0</v>
      </c>
      <c r="V216" s="4">
        <v>66</v>
      </c>
      <c r="W216" s="4">
        <v>6</v>
      </c>
    </row>
    <row r="217" spans="1:23" ht="11.25" customHeight="1" x14ac:dyDescent="0.25">
      <c r="A217" s="4" t="s">
        <v>21</v>
      </c>
      <c r="B217" s="4" t="s">
        <v>33</v>
      </c>
      <c r="C217" s="4" t="s">
        <v>34</v>
      </c>
      <c r="D217" s="4" t="s">
        <v>42</v>
      </c>
      <c r="E217" s="4" t="s">
        <v>25</v>
      </c>
      <c r="F217" s="4" t="s">
        <v>25</v>
      </c>
      <c r="G217" s="4" t="s">
        <v>25</v>
      </c>
      <c r="H217" s="4" t="s">
        <v>35</v>
      </c>
      <c r="I217" s="5">
        <v>44593</v>
      </c>
      <c r="J217" s="6">
        <v>0</v>
      </c>
      <c r="K217" s="6">
        <v>0</v>
      </c>
      <c r="L217" s="6">
        <v>7.3529999999999998</v>
      </c>
      <c r="M217" s="6">
        <v>7.3529999999999998</v>
      </c>
      <c r="N217" s="6">
        <v>7.3529999999999998</v>
      </c>
      <c r="O217" s="6">
        <v>7.3529999999999998</v>
      </c>
      <c r="P217" s="6">
        <v>0</v>
      </c>
      <c r="Q217" s="4" t="s">
        <v>26</v>
      </c>
      <c r="R217" s="4">
        <v>0</v>
      </c>
      <c r="S217" s="4" t="s">
        <v>151</v>
      </c>
      <c r="T217" s="4" t="s">
        <v>284</v>
      </c>
      <c r="U217" s="4">
        <v>0</v>
      </c>
      <c r="V217" s="4">
        <v>66</v>
      </c>
      <c r="W217" s="4">
        <v>6</v>
      </c>
    </row>
    <row r="218" spans="1:23" ht="11.25" customHeight="1" x14ac:dyDescent="0.25">
      <c r="A218" s="4" t="s">
        <v>54</v>
      </c>
      <c r="B218" s="4" t="s">
        <v>33</v>
      </c>
      <c r="C218" s="4" t="s">
        <v>34</v>
      </c>
      <c r="D218" s="4" t="s">
        <v>42</v>
      </c>
      <c r="E218" s="4" t="s">
        <v>25</v>
      </c>
      <c r="F218" s="4" t="s">
        <v>25</v>
      </c>
      <c r="G218" s="4" t="s">
        <v>25</v>
      </c>
      <c r="H218" s="4" t="s">
        <v>35</v>
      </c>
      <c r="I218" s="5">
        <v>44621</v>
      </c>
      <c r="J218" s="6">
        <v>0</v>
      </c>
      <c r="K218" s="6">
        <v>0</v>
      </c>
      <c r="L218" s="6">
        <v>7.3529999999999998</v>
      </c>
      <c r="M218" s="6">
        <v>7.3529999999999998</v>
      </c>
      <c r="N218" s="6">
        <v>7.3529999999999998</v>
      </c>
      <c r="O218" s="6">
        <v>7.3529999999999998</v>
      </c>
      <c r="P218" s="6">
        <v>0</v>
      </c>
      <c r="Q218" s="4" t="s">
        <v>26</v>
      </c>
      <c r="R218" s="4">
        <v>0</v>
      </c>
      <c r="S218" s="4" t="s">
        <v>152</v>
      </c>
      <c r="T218" s="4" t="s">
        <v>285</v>
      </c>
      <c r="U218" s="4">
        <v>0</v>
      </c>
      <c r="V218" s="4">
        <v>66</v>
      </c>
      <c r="W218" s="4">
        <v>6</v>
      </c>
    </row>
    <row r="219" spans="1:23" ht="11.25" customHeight="1" x14ac:dyDescent="0.25">
      <c r="A219" s="4" t="s">
        <v>21</v>
      </c>
      <c r="B219" s="4" t="s">
        <v>33</v>
      </c>
      <c r="C219" s="4" t="s">
        <v>34</v>
      </c>
      <c r="D219" s="4" t="s">
        <v>24</v>
      </c>
      <c r="E219" s="4" t="s">
        <v>24</v>
      </c>
      <c r="F219" s="4" t="s">
        <v>25</v>
      </c>
      <c r="G219" s="4" t="s">
        <v>25</v>
      </c>
      <c r="H219" s="4" t="s">
        <v>36</v>
      </c>
      <c r="I219" s="5">
        <v>44287</v>
      </c>
      <c r="J219" s="6">
        <v>0</v>
      </c>
      <c r="K219" s="6">
        <v>0</v>
      </c>
      <c r="L219" s="6">
        <v>15.103</v>
      </c>
      <c r="M219" s="6">
        <v>15.103</v>
      </c>
      <c r="N219" s="6">
        <v>15.103</v>
      </c>
      <c r="O219" s="6">
        <v>15.103</v>
      </c>
      <c r="P219" s="6">
        <v>0</v>
      </c>
      <c r="Q219" s="4" t="s">
        <v>26</v>
      </c>
      <c r="R219" s="4">
        <v>0</v>
      </c>
      <c r="S219" s="4" t="s">
        <v>117</v>
      </c>
      <c r="T219" s="4" t="s">
        <v>262</v>
      </c>
      <c r="U219" s="4">
        <v>0</v>
      </c>
      <c r="V219" s="4">
        <v>47</v>
      </c>
      <c r="W219" s="4">
        <v>27</v>
      </c>
    </row>
    <row r="220" spans="1:23" ht="11.25" customHeight="1" x14ac:dyDescent="0.25">
      <c r="A220" s="4" t="s">
        <v>21</v>
      </c>
      <c r="B220" s="4" t="s">
        <v>33</v>
      </c>
      <c r="C220" s="4" t="s">
        <v>34</v>
      </c>
      <c r="D220" s="4" t="s">
        <v>24</v>
      </c>
      <c r="E220" s="4" t="s">
        <v>24</v>
      </c>
      <c r="F220" s="4" t="s">
        <v>25</v>
      </c>
      <c r="G220" s="4" t="s">
        <v>25</v>
      </c>
      <c r="H220" s="4" t="s">
        <v>36</v>
      </c>
      <c r="I220" s="5">
        <v>44317</v>
      </c>
      <c r="J220" s="6">
        <v>0</v>
      </c>
      <c r="K220" s="6">
        <v>0</v>
      </c>
      <c r="L220" s="6">
        <v>10.923</v>
      </c>
      <c r="M220" s="6">
        <v>10.923</v>
      </c>
      <c r="N220" s="6">
        <v>10.923</v>
      </c>
      <c r="O220" s="6">
        <v>10.923</v>
      </c>
      <c r="P220" s="6">
        <v>0</v>
      </c>
      <c r="Q220" s="4" t="s">
        <v>26</v>
      </c>
      <c r="R220" s="4">
        <v>0</v>
      </c>
      <c r="S220" s="4" t="s">
        <v>118</v>
      </c>
      <c r="T220" s="4" t="s">
        <v>263</v>
      </c>
      <c r="U220" s="4">
        <v>0</v>
      </c>
      <c r="V220" s="4">
        <v>47</v>
      </c>
      <c r="W220" s="4">
        <v>27</v>
      </c>
    </row>
    <row r="221" spans="1:23" ht="11.25" customHeight="1" x14ac:dyDescent="0.25">
      <c r="A221" s="4" t="s">
        <v>21</v>
      </c>
      <c r="B221" s="4" t="s">
        <v>33</v>
      </c>
      <c r="C221" s="4" t="s">
        <v>34</v>
      </c>
      <c r="D221" s="4" t="s">
        <v>24</v>
      </c>
      <c r="E221" s="4" t="s">
        <v>24</v>
      </c>
      <c r="F221" s="4" t="s">
        <v>25</v>
      </c>
      <c r="G221" s="4" t="s">
        <v>25</v>
      </c>
      <c r="H221" s="4" t="s">
        <v>36</v>
      </c>
      <c r="I221" s="5">
        <v>44348</v>
      </c>
      <c r="J221" s="6">
        <v>0</v>
      </c>
      <c r="K221" s="6">
        <v>0</v>
      </c>
      <c r="L221" s="6">
        <v>11.247</v>
      </c>
      <c r="M221" s="6">
        <v>11.247</v>
      </c>
      <c r="N221" s="6">
        <v>11.247</v>
      </c>
      <c r="O221" s="6">
        <v>11.247</v>
      </c>
      <c r="P221" s="6">
        <v>0</v>
      </c>
      <c r="Q221" s="4" t="s">
        <v>26</v>
      </c>
      <c r="R221" s="4">
        <v>0</v>
      </c>
      <c r="S221" s="4" t="s">
        <v>119</v>
      </c>
      <c r="T221" s="4" t="s">
        <v>264</v>
      </c>
      <c r="U221" s="4">
        <v>0</v>
      </c>
      <c r="V221" s="4">
        <v>47</v>
      </c>
      <c r="W221" s="4">
        <v>27</v>
      </c>
    </row>
    <row r="222" spans="1:23" ht="11.25" customHeight="1" x14ac:dyDescent="0.25">
      <c r="A222" s="4" t="s">
        <v>21</v>
      </c>
      <c r="B222" s="4" t="s">
        <v>33</v>
      </c>
      <c r="C222" s="4" t="s">
        <v>34</v>
      </c>
      <c r="D222" s="4" t="s">
        <v>24</v>
      </c>
      <c r="E222" s="4" t="s">
        <v>24</v>
      </c>
      <c r="F222" s="4" t="s">
        <v>25</v>
      </c>
      <c r="G222" s="4" t="s">
        <v>25</v>
      </c>
      <c r="H222" s="4" t="s">
        <v>36</v>
      </c>
      <c r="I222" s="5">
        <v>44378</v>
      </c>
      <c r="J222" s="6">
        <v>0</v>
      </c>
      <c r="K222" s="6">
        <v>0</v>
      </c>
      <c r="L222" s="6">
        <v>18.251000000000001</v>
      </c>
      <c r="M222" s="6">
        <v>18.251000000000001</v>
      </c>
      <c r="N222" s="6">
        <v>18.251000000000001</v>
      </c>
      <c r="O222" s="6">
        <v>18.251000000000001</v>
      </c>
      <c r="P222" s="6">
        <v>0</v>
      </c>
      <c r="Q222" s="4" t="s">
        <v>26</v>
      </c>
      <c r="R222" s="4">
        <v>0</v>
      </c>
      <c r="S222" s="4" t="s">
        <v>120</v>
      </c>
      <c r="T222" s="4" t="s">
        <v>265</v>
      </c>
      <c r="U222" s="4">
        <v>0</v>
      </c>
      <c r="V222" s="4">
        <v>47</v>
      </c>
      <c r="W222" s="4">
        <v>27</v>
      </c>
    </row>
    <row r="223" spans="1:23" ht="11.25" customHeight="1" x14ac:dyDescent="0.25">
      <c r="A223" s="4" t="s">
        <v>21</v>
      </c>
      <c r="B223" s="4" t="s">
        <v>33</v>
      </c>
      <c r="C223" s="4" t="s">
        <v>34</v>
      </c>
      <c r="D223" s="4" t="s">
        <v>24</v>
      </c>
      <c r="E223" s="4" t="s">
        <v>24</v>
      </c>
      <c r="F223" s="4" t="s">
        <v>25</v>
      </c>
      <c r="G223" s="4" t="s">
        <v>25</v>
      </c>
      <c r="H223" s="4" t="s">
        <v>36</v>
      </c>
      <c r="I223" s="5">
        <v>44409</v>
      </c>
      <c r="J223" s="6">
        <v>0</v>
      </c>
      <c r="K223" s="6">
        <v>0</v>
      </c>
      <c r="L223" s="6">
        <v>11.000999999999999</v>
      </c>
      <c r="M223" s="6">
        <v>11.000999999999999</v>
      </c>
      <c r="N223" s="6">
        <v>11.000999999999999</v>
      </c>
      <c r="O223" s="6">
        <v>11.000999999999999</v>
      </c>
      <c r="P223" s="6">
        <v>0</v>
      </c>
      <c r="Q223" s="4" t="s">
        <v>26</v>
      </c>
      <c r="R223" s="4">
        <v>0</v>
      </c>
      <c r="S223" s="4" t="s">
        <v>121</v>
      </c>
      <c r="T223" s="4" t="s">
        <v>266</v>
      </c>
      <c r="U223" s="4">
        <v>0</v>
      </c>
      <c r="V223" s="4">
        <v>47</v>
      </c>
      <c r="W223" s="4">
        <v>27</v>
      </c>
    </row>
    <row r="224" spans="1:23" ht="11.25" customHeight="1" x14ac:dyDescent="0.25">
      <c r="A224" s="4" t="s">
        <v>21</v>
      </c>
      <c r="B224" s="4" t="s">
        <v>33</v>
      </c>
      <c r="C224" s="4" t="s">
        <v>34</v>
      </c>
      <c r="D224" s="4" t="s">
        <v>24</v>
      </c>
      <c r="E224" s="4" t="s">
        <v>24</v>
      </c>
      <c r="F224" s="4" t="s">
        <v>25</v>
      </c>
      <c r="G224" s="4" t="s">
        <v>25</v>
      </c>
      <c r="H224" s="4" t="s">
        <v>36</v>
      </c>
      <c r="I224" s="5">
        <v>44440</v>
      </c>
      <c r="J224" s="6">
        <v>0</v>
      </c>
      <c r="K224" s="6">
        <v>0</v>
      </c>
      <c r="L224" s="6">
        <v>20.196000000000002</v>
      </c>
      <c r="M224" s="6">
        <v>20.196000000000002</v>
      </c>
      <c r="N224" s="6">
        <v>20.196000000000002</v>
      </c>
      <c r="O224" s="6">
        <v>20.196000000000002</v>
      </c>
      <c r="P224" s="6">
        <v>0</v>
      </c>
      <c r="Q224" s="4" t="s">
        <v>26</v>
      </c>
      <c r="R224" s="4">
        <v>0</v>
      </c>
      <c r="S224" s="4" t="s">
        <v>122</v>
      </c>
      <c r="T224" s="4" t="s">
        <v>267</v>
      </c>
      <c r="U224" s="4">
        <v>0</v>
      </c>
      <c r="V224" s="4">
        <v>47</v>
      </c>
      <c r="W224" s="4">
        <v>27</v>
      </c>
    </row>
    <row r="225" spans="1:23" ht="11.25" customHeight="1" x14ac:dyDescent="0.25">
      <c r="A225" s="4" t="s">
        <v>21</v>
      </c>
      <c r="B225" s="4" t="s">
        <v>33</v>
      </c>
      <c r="C225" s="4" t="s">
        <v>34</v>
      </c>
      <c r="D225" s="4" t="s">
        <v>24</v>
      </c>
      <c r="E225" s="4" t="s">
        <v>24</v>
      </c>
      <c r="F225" s="4" t="s">
        <v>25</v>
      </c>
      <c r="G225" s="4" t="s">
        <v>25</v>
      </c>
      <c r="H225" s="4" t="s">
        <v>36</v>
      </c>
      <c r="I225" s="5">
        <v>44470</v>
      </c>
      <c r="J225" s="6">
        <v>0</v>
      </c>
      <c r="K225" s="6">
        <v>0</v>
      </c>
      <c r="L225" s="6">
        <v>16.905999999999999</v>
      </c>
      <c r="M225" s="6">
        <v>16.905999999999999</v>
      </c>
      <c r="N225" s="6">
        <v>16.905999999999999</v>
      </c>
      <c r="O225" s="6">
        <v>16.905999999999999</v>
      </c>
      <c r="P225" s="6">
        <v>0</v>
      </c>
      <c r="Q225" s="4" t="s">
        <v>26</v>
      </c>
      <c r="R225" s="4">
        <v>0</v>
      </c>
      <c r="S225" s="4" t="s">
        <v>123</v>
      </c>
      <c r="T225" s="4" t="s">
        <v>268</v>
      </c>
      <c r="U225" s="4">
        <v>0</v>
      </c>
      <c r="V225" s="4">
        <v>47</v>
      </c>
      <c r="W225" s="4">
        <v>27</v>
      </c>
    </row>
    <row r="226" spans="1:23" ht="11.25" customHeight="1" x14ac:dyDescent="0.25">
      <c r="A226" s="4" t="s">
        <v>21</v>
      </c>
      <c r="B226" s="4" t="s">
        <v>33</v>
      </c>
      <c r="C226" s="4" t="s">
        <v>34</v>
      </c>
      <c r="D226" s="4" t="s">
        <v>24</v>
      </c>
      <c r="E226" s="4" t="s">
        <v>24</v>
      </c>
      <c r="F226" s="4" t="s">
        <v>25</v>
      </c>
      <c r="G226" s="4" t="s">
        <v>25</v>
      </c>
      <c r="H226" s="4" t="s">
        <v>36</v>
      </c>
      <c r="I226" s="5">
        <v>44501</v>
      </c>
      <c r="J226" s="6">
        <v>0</v>
      </c>
      <c r="K226" s="6">
        <v>0</v>
      </c>
      <c r="L226" s="6">
        <v>14.138</v>
      </c>
      <c r="M226" s="6">
        <v>14.138</v>
      </c>
      <c r="N226" s="6">
        <v>14.138</v>
      </c>
      <c r="O226" s="6">
        <v>14.138</v>
      </c>
      <c r="P226" s="6">
        <v>0</v>
      </c>
      <c r="Q226" s="4" t="s">
        <v>26</v>
      </c>
      <c r="R226" s="4">
        <v>0</v>
      </c>
      <c r="S226" s="4" t="s">
        <v>124</v>
      </c>
      <c r="T226" s="4" t="s">
        <v>269</v>
      </c>
      <c r="U226" s="4">
        <v>0</v>
      </c>
      <c r="V226" s="4">
        <v>47</v>
      </c>
      <c r="W226" s="4">
        <v>27</v>
      </c>
    </row>
    <row r="227" spans="1:23" ht="11.25" customHeight="1" x14ac:dyDescent="0.25">
      <c r="A227" s="4" t="s">
        <v>21</v>
      </c>
      <c r="B227" s="4" t="s">
        <v>33</v>
      </c>
      <c r="C227" s="4" t="s">
        <v>34</v>
      </c>
      <c r="D227" s="4" t="s">
        <v>24</v>
      </c>
      <c r="E227" s="4" t="s">
        <v>24</v>
      </c>
      <c r="F227" s="4" t="s">
        <v>25</v>
      </c>
      <c r="G227" s="4" t="s">
        <v>25</v>
      </c>
      <c r="H227" s="4" t="s">
        <v>36</v>
      </c>
      <c r="I227" s="5">
        <v>44531</v>
      </c>
      <c r="J227" s="6">
        <v>0</v>
      </c>
      <c r="K227" s="6">
        <v>0</v>
      </c>
      <c r="L227" s="6">
        <v>19.963000000000001</v>
      </c>
      <c r="M227" s="6">
        <v>19.963000000000001</v>
      </c>
      <c r="N227" s="6">
        <v>19.963000000000001</v>
      </c>
      <c r="O227" s="6">
        <v>19.963000000000001</v>
      </c>
      <c r="P227" s="6">
        <v>0</v>
      </c>
      <c r="Q227" s="4" t="s">
        <v>26</v>
      </c>
      <c r="R227" s="4">
        <v>0</v>
      </c>
      <c r="S227" s="4" t="s">
        <v>125</v>
      </c>
      <c r="T227" s="4" t="s">
        <v>270</v>
      </c>
      <c r="U227" s="4">
        <v>0</v>
      </c>
      <c r="V227" s="4">
        <v>47</v>
      </c>
      <c r="W227" s="4">
        <v>27</v>
      </c>
    </row>
    <row r="228" spans="1:23" ht="11.25" customHeight="1" x14ac:dyDescent="0.25">
      <c r="A228" s="4" t="s">
        <v>21</v>
      </c>
      <c r="B228" s="4" t="s">
        <v>33</v>
      </c>
      <c r="C228" s="4" t="s">
        <v>34</v>
      </c>
      <c r="D228" s="4" t="s">
        <v>24</v>
      </c>
      <c r="E228" s="4" t="s">
        <v>24</v>
      </c>
      <c r="F228" s="4" t="s">
        <v>25</v>
      </c>
      <c r="G228" s="4" t="s">
        <v>25</v>
      </c>
      <c r="H228" s="4" t="s">
        <v>36</v>
      </c>
      <c r="I228" s="5">
        <v>44562</v>
      </c>
      <c r="J228" s="6">
        <v>0</v>
      </c>
      <c r="K228" s="6">
        <v>0</v>
      </c>
      <c r="L228" s="6">
        <v>18.652999999999999</v>
      </c>
      <c r="M228" s="6">
        <v>18.652999999999999</v>
      </c>
      <c r="N228" s="6">
        <v>18.652999999999999</v>
      </c>
      <c r="O228" s="6">
        <v>18.652999999999999</v>
      </c>
      <c r="P228" s="6">
        <v>0</v>
      </c>
      <c r="Q228" s="4" t="s">
        <v>26</v>
      </c>
      <c r="R228" s="4">
        <v>0</v>
      </c>
      <c r="S228" s="4" t="s">
        <v>126</v>
      </c>
      <c r="T228" s="4" t="s">
        <v>271</v>
      </c>
      <c r="U228" s="4">
        <v>0</v>
      </c>
      <c r="V228" s="4">
        <v>47</v>
      </c>
      <c r="W228" s="4">
        <v>27</v>
      </c>
    </row>
    <row r="229" spans="1:23" ht="11.25" customHeight="1" x14ac:dyDescent="0.25">
      <c r="A229" s="4" t="s">
        <v>21</v>
      </c>
      <c r="B229" s="4" t="s">
        <v>33</v>
      </c>
      <c r="C229" s="4" t="s">
        <v>34</v>
      </c>
      <c r="D229" s="4" t="s">
        <v>24</v>
      </c>
      <c r="E229" s="4" t="s">
        <v>24</v>
      </c>
      <c r="F229" s="4" t="s">
        <v>25</v>
      </c>
      <c r="G229" s="4" t="s">
        <v>25</v>
      </c>
      <c r="H229" s="4" t="s">
        <v>36</v>
      </c>
      <c r="I229" s="5">
        <v>44593</v>
      </c>
      <c r="J229" s="6">
        <v>0</v>
      </c>
      <c r="K229" s="6">
        <v>0</v>
      </c>
      <c r="L229" s="6">
        <v>10.208</v>
      </c>
      <c r="M229" s="6">
        <v>10.208</v>
      </c>
      <c r="N229" s="6">
        <v>10.208</v>
      </c>
      <c r="O229" s="6">
        <v>10.208</v>
      </c>
      <c r="P229" s="6">
        <v>0</v>
      </c>
      <c r="Q229" s="4" t="s">
        <v>26</v>
      </c>
      <c r="R229" s="4">
        <v>0</v>
      </c>
      <c r="S229" s="4" t="s">
        <v>127</v>
      </c>
      <c r="T229" s="4" t="s">
        <v>272</v>
      </c>
      <c r="U229" s="4">
        <v>0</v>
      </c>
      <c r="V229" s="4">
        <v>47</v>
      </c>
      <c r="W229" s="4">
        <v>27</v>
      </c>
    </row>
    <row r="230" spans="1:23" ht="11.25" customHeight="1" x14ac:dyDescent="0.25">
      <c r="A230" s="4" t="s">
        <v>54</v>
      </c>
      <c r="B230" s="4" t="s">
        <v>33</v>
      </c>
      <c r="C230" s="4" t="s">
        <v>34</v>
      </c>
      <c r="D230" s="4" t="s">
        <v>24</v>
      </c>
      <c r="E230" s="4" t="s">
        <v>24</v>
      </c>
      <c r="F230" s="4" t="s">
        <v>25</v>
      </c>
      <c r="G230" s="4" t="s">
        <v>25</v>
      </c>
      <c r="H230" s="4" t="s">
        <v>36</v>
      </c>
      <c r="I230" s="5">
        <v>44621</v>
      </c>
      <c r="J230" s="6">
        <v>0</v>
      </c>
      <c r="K230" s="6">
        <v>0</v>
      </c>
      <c r="L230" s="6">
        <v>10.208</v>
      </c>
      <c r="M230" s="6">
        <v>10.208</v>
      </c>
      <c r="N230" s="6">
        <v>10.208</v>
      </c>
      <c r="O230" s="6">
        <v>10.208</v>
      </c>
      <c r="P230" s="6">
        <v>0</v>
      </c>
      <c r="Q230" s="4" t="s">
        <v>26</v>
      </c>
      <c r="R230" s="4">
        <v>0</v>
      </c>
      <c r="S230" s="4" t="s">
        <v>128</v>
      </c>
      <c r="T230" s="4" t="s">
        <v>273</v>
      </c>
      <c r="U230" s="4">
        <v>0</v>
      </c>
      <c r="V230" s="4">
        <v>47</v>
      </c>
      <c r="W230" s="4">
        <v>27</v>
      </c>
    </row>
    <row r="231" spans="1:23" ht="11.25" customHeight="1" x14ac:dyDescent="0.25">
      <c r="A231" s="4" t="s">
        <v>21</v>
      </c>
      <c r="B231" s="4" t="s">
        <v>33</v>
      </c>
      <c r="C231" s="4" t="s">
        <v>34</v>
      </c>
      <c r="D231" s="4" t="s">
        <v>24</v>
      </c>
      <c r="E231" s="4" t="s">
        <v>24</v>
      </c>
      <c r="F231" s="4" t="s">
        <v>25</v>
      </c>
      <c r="G231" s="4" t="s">
        <v>25</v>
      </c>
      <c r="H231" s="4" t="s">
        <v>25</v>
      </c>
      <c r="I231" s="5">
        <v>44287</v>
      </c>
      <c r="J231" s="6">
        <v>110</v>
      </c>
      <c r="K231" s="6">
        <v>110</v>
      </c>
      <c r="L231" s="6">
        <v>0</v>
      </c>
      <c r="M231" s="6">
        <v>0</v>
      </c>
      <c r="N231" s="6">
        <v>0</v>
      </c>
      <c r="O231" s="6">
        <v>0</v>
      </c>
      <c r="P231" s="6">
        <v>2</v>
      </c>
      <c r="Q231" s="4" t="s">
        <v>26</v>
      </c>
      <c r="R231" s="4">
        <v>0</v>
      </c>
      <c r="S231" s="4" t="s">
        <v>129</v>
      </c>
      <c r="U231" s="4">
        <v>65</v>
      </c>
      <c r="V231" s="4">
        <v>0</v>
      </c>
      <c r="W231" s="4">
        <v>0</v>
      </c>
    </row>
    <row r="232" spans="1:23" ht="11.25" customHeight="1" x14ac:dyDescent="0.25">
      <c r="A232" s="4" t="s">
        <v>21</v>
      </c>
      <c r="B232" s="4" t="s">
        <v>33</v>
      </c>
      <c r="C232" s="4" t="s">
        <v>34</v>
      </c>
      <c r="D232" s="4" t="s">
        <v>24</v>
      </c>
      <c r="E232" s="4" t="s">
        <v>24</v>
      </c>
      <c r="F232" s="4" t="s">
        <v>25</v>
      </c>
      <c r="G232" s="4" t="s">
        <v>25</v>
      </c>
      <c r="H232" s="4" t="s">
        <v>25</v>
      </c>
      <c r="I232" s="5">
        <v>44317</v>
      </c>
      <c r="J232" s="6">
        <v>116</v>
      </c>
      <c r="K232" s="6">
        <v>116</v>
      </c>
      <c r="L232" s="6">
        <v>0</v>
      </c>
      <c r="M232" s="6">
        <v>0</v>
      </c>
      <c r="N232" s="6">
        <v>0</v>
      </c>
      <c r="O232" s="6">
        <v>0</v>
      </c>
      <c r="P232" s="6">
        <v>2</v>
      </c>
      <c r="Q232" s="4" t="s">
        <v>26</v>
      </c>
      <c r="R232" s="4">
        <v>0</v>
      </c>
      <c r="S232" s="4" t="s">
        <v>130</v>
      </c>
      <c r="U232" s="4">
        <v>65</v>
      </c>
      <c r="V232" s="4">
        <v>0</v>
      </c>
      <c r="W232" s="4">
        <v>0</v>
      </c>
    </row>
    <row r="233" spans="1:23" ht="11.25" customHeight="1" x14ac:dyDescent="0.25">
      <c r="A233" s="4" t="s">
        <v>21</v>
      </c>
      <c r="B233" s="4" t="s">
        <v>33</v>
      </c>
      <c r="C233" s="4" t="s">
        <v>34</v>
      </c>
      <c r="D233" s="4" t="s">
        <v>24</v>
      </c>
      <c r="E233" s="4" t="s">
        <v>24</v>
      </c>
      <c r="F233" s="4" t="s">
        <v>25</v>
      </c>
      <c r="G233" s="4" t="s">
        <v>25</v>
      </c>
      <c r="H233" s="4" t="s">
        <v>25</v>
      </c>
      <c r="I233" s="5">
        <v>44348</v>
      </c>
      <c r="J233" s="6">
        <v>110</v>
      </c>
      <c r="K233" s="6">
        <v>110</v>
      </c>
      <c r="L233" s="6">
        <v>0</v>
      </c>
      <c r="M233" s="6">
        <v>0</v>
      </c>
      <c r="N233" s="6">
        <v>0</v>
      </c>
      <c r="O233" s="6">
        <v>0</v>
      </c>
      <c r="P233" s="6">
        <v>2</v>
      </c>
      <c r="Q233" s="4" t="s">
        <v>26</v>
      </c>
      <c r="R233" s="4">
        <v>0</v>
      </c>
      <c r="S233" s="4" t="s">
        <v>131</v>
      </c>
      <c r="U233" s="4">
        <v>65</v>
      </c>
      <c r="V233" s="4">
        <v>0</v>
      </c>
      <c r="W233" s="4">
        <v>0</v>
      </c>
    </row>
    <row r="234" spans="1:23" ht="11.25" customHeight="1" x14ac:dyDescent="0.25">
      <c r="A234" s="4" t="s">
        <v>21</v>
      </c>
      <c r="B234" s="4" t="s">
        <v>33</v>
      </c>
      <c r="C234" s="4" t="s">
        <v>34</v>
      </c>
      <c r="D234" s="4" t="s">
        <v>24</v>
      </c>
      <c r="E234" s="4" t="s">
        <v>24</v>
      </c>
      <c r="F234" s="4" t="s">
        <v>25</v>
      </c>
      <c r="G234" s="4" t="s">
        <v>25</v>
      </c>
      <c r="H234" s="4" t="s">
        <v>25</v>
      </c>
      <c r="I234" s="5">
        <v>44378</v>
      </c>
      <c r="J234" s="6">
        <v>131</v>
      </c>
      <c r="K234" s="6">
        <v>131</v>
      </c>
      <c r="L234" s="6">
        <v>0</v>
      </c>
      <c r="M234" s="6">
        <v>0</v>
      </c>
      <c r="N234" s="6">
        <v>0</v>
      </c>
      <c r="O234" s="6">
        <v>0</v>
      </c>
      <c r="P234" s="6">
        <v>2</v>
      </c>
      <c r="Q234" s="4" t="s">
        <v>26</v>
      </c>
      <c r="R234" s="4">
        <v>0</v>
      </c>
      <c r="S234" s="4" t="s">
        <v>132</v>
      </c>
      <c r="U234" s="4">
        <v>65</v>
      </c>
      <c r="V234" s="4">
        <v>0</v>
      </c>
      <c r="W234" s="4">
        <v>0</v>
      </c>
    </row>
    <row r="235" spans="1:23" ht="11.25" customHeight="1" x14ac:dyDescent="0.25">
      <c r="A235" s="4" t="s">
        <v>21</v>
      </c>
      <c r="B235" s="4" t="s">
        <v>33</v>
      </c>
      <c r="C235" s="4" t="s">
        <v>34</v>
      </c>
      <c r="D235" s="4" t="s">
        <v>24</v>
      </c>
      <c r="E235" s="4" t="s">
        <v>24</v>
      </c>
      <c r="F235" s="4" t="s">
        <v>25</v>
      </c>
      <c r="G235" s="4" t="s">
        <v>25</v>
      </c>
      <c r="H235" s="4" t="s">
        <v>25</v>
      </c>
      <c r="I235" s="5">
        <v>44409</v>
      </c>
      <c r="J235" s="6">
        <v>110</v>
      </c>
      <c r="K235" s="6">
        <v>110</v>
      </c>
      <c r="L235" s="6">
        <v>0</v>
      </c>
      <c r="M235" s="6">
        <v>0</v>
      </c>
      <c r="N235" s="6">
        <v>0</v>
      </c>
      <c r="O235" s="6">
        <v>0</v>
      </c>
      <c r="P235" s="6">
        <v>2</v>
      </c>
      <c r="Q235" s="4" t="s">
        <v>26</v>
      </c>
      <c r="R235" s="4">
        <v>0</v>
      </c>
      <c r="S235" s="4" t="s">
        <v>133</v>
      </c>
      <c r="U235" s="4">
        <v>65</v>
      </c>
      <c r="V235" s="4">
        <v>0</v>
      </c>
      <c r="W235" s="4">
        <v>0</v>
      </c>
    </row>
    <row r="236" spans="1:23" ht="11.25" customHeight="1" x14ac:dyDescent="0.25">
      <c r="A236" s="4" t="s">
        <v>21</v>
      </c>
      <c r="B236" s="4" t="s">
        <v>33</v>
      </c>
      <c r="C236" s="4" t="s">
        <v>34</v>
      </c>
      <c r="D236" s="4" t="s">
        <v>24</v>
      </c>
      <c r="E236" s="4" t="s">
        <v>24</v>
      </c>
      <c r="F236" s="4" t="s">
        <v>25</v>
      </c>
      <c r="G236" s="4" t="s">
        <v>25</v>
      </c>
      <c r="H236" s="4" t="s">
        <v>25</v>
      </c>
      <c r="I236" s="5">
        <v>44440</v>
      </c>
      <c r="J236" s="6">
        <v>146</v>
      </c>
      <c r="K236" s="6">
        <v>146</v>
      </c>
      <c r="L236" s="6">
        <v>0</v>
      </c>
      <c r="M236" s="6">
        <v>0</v>
      </c>
      <c r="N236" s="6">
        <v>0</v>
      </c>
      <c r="O236" s="6">
        <v>0</v>
      </c>
      <c r="P236" s="6">
        <v>2</v>
      </c>
      <c r="Q236" s="4" t="s">
        <v>26</v>
      </c>
      <c r="R236" s="4">
        <v>0</v>
      </c>
      <c r="S236" s="4" t="s">
        <v>134</v>
      </c>
      <c r="U236" s="4">
        <v>65</v>
      </c>
      <c r="V236" s="4">
        <v>0</v>
      </c>
      <c r="W236" s="4">
        <v>0</v>
      </c>
    </row>
    <row r="237" spans="1:23" ht="11.25" customHeight="1" x14ac:dyDescent="0.25">
      <c r="A237" s="4" t="s">
        <v>21</v>
      </c>
      <c r="B237" s="4" t="s">
        <v>33</v>
      </c>
      <c r="C237" s="4" t="s">
        <v>34</v>
      </c>
      <c r="D237" s="4" t="s">
        <v>24</v>
      </c>
      <c r="E237" s="4" t="s">
        <v>24</v>
      </c>
      <c r="F237" s="4" t="s">
        <v>25</v>
      </c>
      <c r="G237" s="4" t="s">
        <v>25</v>
      </c>
      <c r="H237" s="4" t="s">
        <v>25</v>
      </c>
      <c r="I237" s="5">
        <v>44470</v>
      </c>
      <c r="J237" s="6">
        <v>132</v>
      </c>
      <c r="K237" s="6">
        <v>132</v>
      </c>
      <c r="L237" s="6">
        <v>0</v>
      </c>
      <c r="M237" s="6">
        <v>0</v>
      </c>
      <c r="N237" s="6">
        <v>0</v>
      </c>
      <c r="O237" s="6">
        <v>0</v>
      </c>
      <c r="P237" s="6">
        <v>2</v>
      </c>
      <c r="Q237" s="4" t="s">
        <v>26</v>
      </c>
      <c r="R237" s="4">
        <v>0</v>
      </c>
      <c r="S237" s="4" t="s">
        <v>135</v>
      </c>
      <c r="U237" s="4">
        <v>65</v>
      </c>
      <c r="V237" s="4">
        <v>0</v>
      </c>
      <c r="W237" s="4">
        <v>0</v>
      </c>
    </row>
    <row r="238" spans="1:23" ht="11.25" customHeight="1" x14ac:dyDescent="0.25">
      <c r="A238" s="4" t="s">
        <v>21</v>
      </c>
      <c r="B238" s="4" t="s">
        <v>33</v>
      </c>
      <c r="C238" s="4" t="s">
        <v>34</v>
      </c>
      <c r="D238" s="4" t="s">
        <v>24</v>
      </c>
      <c r="E238" s="4" t="s">
        <v>24</v>
      </c>
      <c r="F238" s="4" t="s">
        <v>25</v>
      </c>
      <c r="G238" s="4" t="s">
        <v>25</v>
      </c>
      <c r="H238" s="4" t="s">
        <v>25</v>
      </c>
      <c r="I238" s="5">
        <v>44501</v>
      </c>
      <c r="J238" s="6">
        <v>117</v>
      </c>
      <c r="K238" s="6">
        <v>117</v>
      </c>
      <c r="L238" s="6">
        <v>0</v>
      </c>
      <c r="M238" s="6">
        <v>0</v>
      </c>
      <c r="N238" s="6">
        <v>0</v>
      </c>
      <c r="O238" s="6">
        <v>0</v>
      </c>
      <c r="P238" s="6">
        <v>2</v>
      </c>
      <c r="Q238" s="4" t="s">
        <v>26</v>
      </c>
      <c r="R238" s="4">
        <v>0</v>
      </c>
      <c r="S238" s="4" t="s">
        <v>136</v>
      </c>
      <c r="U238" s="4">
        <v>65</v>
      </c>
      <c r="V238" s="4">
        <v>0</v>
      </c>
      <c r="W238" s="4">
        <v>0</v>
      </c>
    </row>
    <row r="239" spans="1:23" ht="11.25" customHeight="1" x14ac:dyDescent="0.25">
      <c r="A239" s="4" t="s">
        <v>21</v>
      </c>
      <c r="B239" s="4" t="s">
        <v>33</v>
      </c>
      <c r="C239" s="4" t="s">
        <v>34</v>
      </c>
      <c r="D239" s="4" t="s">
        <v>24</v>
      </c>
      <c r="E239" s="4" t="s">
        <v>24</v>
      </c>
      <c r="F239" s="4" t="s">
        <v>25</v>
      </c>
      <c r="G239" s="4" t="s">
        <v>25</v>
      </c>
      <c r="H239" s="4" t="s">
        <v>25</v>
      </c>
      <c r="I239" s="5">
        <v>44531</v>
      </c>
      <c r="J239" s="6">
        <v>120</v>
      </c>
      <c r="K239" s="6">
        <v>120</v>
      </c>
      <c r="L239" s="6">
        <v>0</v>
      </c>
      <c r="M239" s="6">
        <v>0</v>
      </c>
      <c r="N239" s="6">
        <v>0</v>
      </c>
      <c r="O239" s="6">
        <v>0</v>
      </c>
      <c r="P239" s="6">
        <v>2</v>
      </c>
      <c r="Q239" s="4" t="s">
        <v>26</v>
      </c>
      <c r="R239" s="4">
        <v>0</v>
      </c>
      <c r="S239" s="4" t="s">
        <v>137</v>
      </c>
      <c r="U239" s="4">
        <v>65</v>
      </c>
      <c r="V239" s="4">
        <v>0</v>
      </c>
      <c r="W239" s="4">
        <v>0</v>
      </c>
    </row>
    <row r="240" spans="1:23" ht="11.25" customHeight="1" x14ac:dyDescent="0.25">
      <c r="A240" s="4" t="s">
        <v>21</v>
      </c>
      <c r="B240" s="4" t="s">
        <v>33</v>
      </c>
      <c r="C240" s="4" t="s">
        <v>34</v>
      </c>
      <c r="D240" s="4" t="s">
        <v>24</v>
      </c>
      <c r="E240" s="4" t="s">
        <v>24</v>
      </c>
      <c r="F240" s="4" t="s">
        <v>25</v>
      </c>
      <c r="G240" s="4" t="s">
        <v>25</v>
      </c>
      <c r="H240" s="4" t="s">
        <v>25</v>
      </c>
      <c r="I240" s="5">
        <v>44562</v>
      </c>
      <c r="J240" s="6">
        <v>129</v>
      </c>
      <c r="K240" s="6">
        <v>129</v>
      </c>
      <c r="L240" s="6">
        <v>0</v>
      </c>
      <c r="M240" s="6">
        <v>0</v>
      </c>
      <c r="N240" s="6">
        <v>0</v>
      </c>
      <c r="O240" s="6">
        <v>0</v>
      </c>
      <c r="P240" s="6">
        <v>2</v>
      </c>
      <c r="Q240" s="4" t="s">
        <v>26</v>
      </c>
      <c r="R240" s="4">
        <v>0</v>
      </c>
      <c r="S240" s="4" t="s">
        <v>138</v>
      </c>
      <c r="U240" s="4">
        <v>65</v>
      </c>
      <c r="V240" s="4">
        <v>0</v>
      </c>
      <c r="W240" s="4">
        <v>0</v>
      </c>
    </row>
    <row r="241" spans="1:23" ht="11.25" customHeight="1" x14ac:dyDescent="0.25">
      <c r="A241" s="4" t="s">
        <v>21</v>
      </c>
      <c r="B241" s="4" t="s">
        <v>33</v>
      </c>
      <c r="C241" s="4" t="s">
        <v>34</v>
      </c>
      <c r="D241" s="4" t="s">
        <v>24</v>
      </c>
      <c r="E241" s="4" t="s">
        <v>24</v>
      </c>
      <c r="F241" s="4" t="s">
        <v>25</v>
      </c>
      <c r="G241" s="4" t="s">
        <v>25</v>
      </c>
      <c r="H241" s="4" t="s">
        <v>25</v>
      </c>
      <c r="I241" s="5">
        <v>44593</v>
      </c>
      <c r="J241" s="6">
        <v>116</v>
      </c>
      <c r="K241" s="6">
        <v>116</v>
      </c>
      <c r="L241" s="6">
        <v>0</v>
      </c>
      <c r="M241" s="6">
        <v>0</v>
      </c>
      <c r="N241" s="6">
        <v>0</v>
      </c>
      <c r="O241" s="6">
        <v>0</v>
      </c>
      <c r="P241" s="6">
        <v>2</v>
      </c>
      <c r="Q241" s="4" t="s">
        <v>26</v>
      </c>
      <c r="R241" s="4">
        <v>0</v>
      </c>
      <c r="S241" s="4" t="s">
        <v>139</v>
      </c>
      <c r="U241" s="4">
        <v>65</v>
      </c>
      <c r="V241" s="4">
        <v>0</v>
      </c>
      <c r="W241" s="4">
        <v>0</v>
      </c>
    </row>
    <row r="242" spans="1:23" ht="11.25" customHeight="1" x14ac:dyDescent="0.25">
      <c r="A242" s="4" t="s">
        <v>54</v>
      </c>
      <c r="B242" s="4" t="s">
        <v>33</v>
      </c>
      <c r="C242" s="4" t="s">
        <v>34</v>
      </c>
      <c r="D242" s="4" t="s">
        <v>24</v>
      </c>
      <c r="E242" s="4" t="s">
        <v>24</v>
      </c>
      <c r="F242" s="4" t="s">
        <v>25</v>
      </c>
      <c r="G242" s="4" t="s">
        <v>25</v>
      </c>
      <c r="H242" s="4" t="s">
        <v>25</v>
      </c>
      <c r="I242" s="5">
        <v>44621</v>
      </c>
      <c r="J242" s="6">
        <v>116</v>
      </c>
      <c r="K242" s="6">
        <v>116</v>
      </c>
      <c r="L242" s="6">
        <v>0</v>
      </c>
      <c r="M242" s="6">
        <v>0</v>
      </c>
      <c r="N242" s="6">
        <v>0</v>
      </c>
      <c r="O242" s="6">
        <v>0</v>
      </c>
      <c r="P242" s="6">
        <v>2</v>
      </c>
      <c r="Q242" s="4" t="s">
        <v>26</v>
      </c>
      <c r="R242" s="4">
        <v>0</v>
      </c>
      <c r="S242" s="4" t="s">
        <v>140</v>
      </c>
      <c r="U242" s="4">
        <v>65</v>
      </c>
      <c r="V242" s="4">
        <v>0</v>
      </c>
      <c r="W242" s="4">
        <v>0</v>
      </c>
    </row>
    <row r="243" spans="1:23" ht="11.25" customHeight="1" x14ac:dyDescent="0.25">
      <c r="A243" s="4" t="s">
        <v>21</v>
      </c>
      <c r="B243" s="4" t="s">
        <v>33</v>
      </c>
      <c r="C243" s="4" t="s">
        <v>34</v>
      </c>
      <c r="D243" s="4" t="s">
        <v>24</v>
      </c>
      <c r="E243" s="4" t="s">
        <v>24</v>
      </c>
      <c r="F243" s="4" t="s">
        <v>25</v>
      </c>
      <c r="G243" s="4" t="s">
        <v>25</v>
      </c>
      <c r="H243" s="4" t="s">
        <v>35</v>
      </c>
      <c r="I243" s="5">
        <v>44287</v>
      </c>
      <c r="J243" s="6">
        <v>0</v>
      </c>
      <c r="K243" s="6">
        <v>0</v>
      </c>
      <c r="L243" s="6">
        <v>1.3180000000000001</v>
      </c>
      <c r="M243" s="6">
        <v>1.3180000000000001</v>
      </c>
      <c r="N243" s="6">
        <v>1.3180000000000001</v>
      </c>
      <c r="O243" s="6">
        <v>1.3180000000000001</v>
      </c>
      <c r="P243" s="6">
        <v>0</v>
      </c>
      <c r="Q243" s="4" t="s">
        <v>26</v>
      </c>
      <c r="R243" s="4">
        <v>0</v>
      </c>
      <c r="S243" s="4" t="s">
        <v>141</v>
      </c>
      <c r="T243" s="4" t="s">
        <v>274</v>
      </c>
      <c r="U243" s="4">
        <v>0</v>
      </c>
      <c r="V243" s="4">
        <v>66</v>
      </c>
      <c r="W243" s="4">
        <v>6</v>
      </c>
    </row>
    <row r="244" spans="1:23" ht="11.25" customHeight="1" x14ac:dyDescent="0.25">
      <c r="A244" s="4" t="s">
        <v>21</v>
      </c>
      <c r="B244" s="4" t="s">
        <v>33</v>
      </c>
      <c r="C244" s="4" t="s">
        <v>34</v>
      </c>
      <c r="D244" s="4" t="s">
        <v>24</v>
      </c>
      <c r="E244" s="4" t="s">
        <v>24</v>
      </c>
      <c r="F244" s="4" t="s">
        <v>25</v>
      </c>
      <c r="G244" s="4" t="s">
        <v>25</v>
      </c>
      <c r="H244" s="4" t="s">
        <v>35</v>
      </c>
      <c r="I244" s="5">
        <v>44317</v>
      </c>
      <c r="J244" s="6">
        <v>0</v>
      </c>
      <c r="K244" s="6">
        <v>0</v>
      </c>
      <c r="L244" s="6">
        <v>0.95399999999999996</v>
      </c>
      <c r="M244" s="6">
        <v>0.95399999999999996</v>
      </c>
      <c r="N244" s="6">
        <v>0.95399999999999996</v>
      </c>
      <c r="O244" s="6">
        <v>0.95399999999999996</v>
      </c>
      <c r="P244" s="6">
        <v>0</v>
      </c>
      <c r="Q244" s="4" t="s">
        <v>26</v>
      </c>
      <c r="R244" s="4">
        <v>0</v>
      </c>
      <c r="S244" s="4" t="s">
        <v>142</v>
      </c>
      <c r="T244" s="4" t="s">
        <v>275</v>
      </c>
      <c r="U244" s="4">
        <v>0</v>
      </c>
      <c r="V244" s="4">
        <v>66</v>
      </c>
      <c r="W244" s="4">
        <v>6</v>
      </c>
    </row>
    <row r="245" spans="1:23" ht="11.25" customHeight="1" x14ac:dyDescent="0.25">
      <c r="A245" s="4" t="s">
        <v>21</v>
      </c>
      <c r="B245" s="4" t="s">
        <v>33</v>
      </c>
      <c r="C245" s="4" t="s">
        <v>34</v>
      </c>
      <c r="D245" s="4" t="s">
        <v>24</v>
      </c>
      <c r="E245" s="4" t="s">
        <v>24</v>
      </c>
      <c r="F245" s="4" t="s">
        <v>25</v>
      </c>
      <c r="G245" s="4" t="s">
        <v>25</v>
      </c>
      <c r="H245" s="4" t="s">
        <v>35</v>
      </c>
      <c r="I245" s="5">
        <v>44348</v>
      </c>
      <c r="J245" s="6">
        <v>0</v>
      </c>
      <c r="K245" s="6">
        <v>0</v>
      </c>
      <c r="L245" s="6">
        <v>1.01</v>
      </c>
      <c r="M245" s="6">
        <v>1.01</v>
      </c>
      <c r="N245" s="6">
        <v>1.01</v>
      </c>
      <c r="O245" s="6">
        <v>1.01</v>
      </c>
      <c r="P245" s="6">
        <v>0</v>
      </c>
      <c r="Q245" s="4" t="s">
        <v>26</v>
      </c>
      <c r="R245" s="4">
        <v>0</v>
      </c>
      <c r="S245" s="4" t="s">
        <v>143</v>
      </c>
      <c r="T245" s="4" t="s">
        <v>276</v>
      </c>
      <c r="U245" s="4">
        <v>0</v>
      </c>
      <c r="V245" s="4">
        <v>66</v>
      </c>
      <c r="W245" s="4">
        <v>6</v>
      </c>
    </row>
    <row r="246" spans="1:23" ht="11.25" customHeight="1" x14ac:dyDescent="0.25">
      <c r="A246" s="4" t="s">
        <v>21</v>
      </c>
      <c r="B246" s="4" t="s">
        <v>33</v>
      </c>
      <c r="C246" s="4" t="s">
        <v>34</v>
      </c>
      <c r="D246" s="4" t="s">
        <v>24</v>
      </c>
      <c r="E246" s="4" t="s">
        <v>24</v>
      </c>
      <c r="F246" s="4" t="s">
        <v>25</v>
      </c>
      <c r="G246" s="4" t="s">
        <v>25</v>
      </c>
      <c r="H246" s="4" t="s">
        <v>35</v>
      </c>
      <c r="I246" s="5">
        <v>44378</v>
      </c>
      <c r="J246" s="6">
        <v>0</v>
      </c>
      <c r="K246" s="6">
        <v>0</v>
      </c>
      <c r="L246" s="6">
        <v>1.83</v>
      </c>
      <c r="M246" s="6">
        <v>1.83</v>
      </c>
      <c r="N246" s="6">
        <v>1.83</v>
      </c>
      <c r="O246" s="6">
        <v>1.83</v>
      </c>
      <c r="P246" s="6">
        <v>0</v>
      </c>
      <c r="Q246" s="4" t="s">
        <v>26</v>
      </c>
      <c r="R246" s="4">
        <v>0</v>
      </c>
      <c r="S246" s="4" t="s">
        <v>144</v>
      </c>
      <c r="T246" s="4" t="s">
        <v>277</v>
      </c>
      <c r="U246" s="4">
        <v>0</v>
      </c>
      <c r="V246" s="4">
        <v>66</v>
      </c>
      <c r="W246" s="4">
        <v>6</v>
      </c>
    </row>
    <row r="247" spans="1:23" ht="11.25" customHeight="1" x14ac:dyDescent="0.25">
      <c r="A247" s="4" t="s">
        <v>21</v>
      </c>
      <c r="B247" s="4" t="s">
        <v>33</v>
      </c>
      <c r="C247" s="4" t="s">
        <v>34</v>
      </c>
      <c r="D247" s="4" t="s">
        <v>24</v>
      </c>
      <c r="E247" s="4" t="s">
        <v>24</v>
      </c>
      <c r="F247" s="4" t="s">
        <v>25</v>
      </c>
      <c r="G247" s="4" t="s">
        <v>25</v>
      </c>
      <c r="H247" s="4" t="s">
        <v>35</v>
      </c>
      <c r="I247" s="5">
        <v>44409</v>
      </c>
      <c r="J247" s="6">
        <v>0</v>
      </c>
      <c r="K247" s="6">
        <v>0</v>
      </c>
      <c r="L247" s="6">
        <v>1.0429999999999999</v>
      </c>
      <c r="M247" s="6">
        <v>1.0429999999999999</v>
      </c>
      <c r="N247" s="6">
        <v>1.0429999999999999</v>
      </c>
      <c r="O247" s="6">
        <v>1.0429999999999999</v>
      </c>
      <c r="P247" s="6">
        <v>0</v>
      </c>
      <c r="Q247" s="4" t="s">
        <v>26</v>
      </c>
      <c r="R247" s="4">
        <v>0</v>
      </c>
      <c r="S247" s="4" t="s">
        <v>145</v>
      </c>
      <c r="T247" s="4" t="s">
        <v>278</v>
      </c>
      <c r="U247" s="4">
        <v>0</v>
      </c>
      <c r="V247" s="4">
        <v>66</v>
      </c>
      <c r="W247" s="4">
        <v>6</v>
      </c>
    </row>
    <row r="248" spans="1:23" ht="11.25" customHeight="1" x14ac:dyDescent="0.25">
      <c r="A248" s="4" t="s">
        <v>21</v>
      </c>
      <c r="B248" s="4" t="s">
        <v>33</v>
      </c>
      <c r="C248" s="4" t="s">
        <v>34</v>
      </c>
      <c r="D248" s="4" t="s">
        <v>24</v>
      </c>
      <c r="E248" s="4" t="s">
        <v>24</v>
      </c>
      <c r="F248" s="4" t="s">
        <v>25</v>
      </c>
      <c r="G248" s="4" t="s">
        <v>25</v>
      </c>
      <c r="H248" s="4" t="s">
        <v>35</v>
      </c>
      <c r="I248" s="5">
        <v>44440</v>
      </c>
      <c r="J248" s="6">
        <v>0</v>
      </c>
      <c r="K248" s="6">
        <v>0</v>
      </c>
      <c r="L248" s="6">
        <v>1.988</v>
      </c>
      <c r="M248" s="6">
        <v>1.988</v>
      </c>
      <c r="N248" s="6">
        <v>1.988</v>
      </c>
      <c r="O248" s="6">
        <v>1.988</v>
      </c>
      <c r="P248" s="6">
        <v>0</v>
      </c>
      <c r="Q248" s="4" t="s">
        <v>26</v>
      </c>
      <c r="R248" s="4">
        <v>0</v>
      </c>
      <c r="S248" s="4" t="s">
        <v>146</v>
      </c>
      <c r="T248" s="4" t="s">
        <v>279</v>
      </c>
      <c r="U248" s="4">
        <v>0</v>
      </c>
      <c r="V248" s="4">
        <v>66</v>
      </c>
      <c r="W248" s="4">
        <v>6</v>
      </c>
    </row>
    <row r="249" spans="1:23" ht="11.25" customHeight="1" x14ac:dyDescent="0.25">
      <c r="A249" s="4" t="s">
        <v>21</v>
      </c>
      <c r="B249" s="4" t="s">
        <v>33</v>
      </c>
      <c r="C249" s="4" t="s">
        <v>34</v>
      </c>
      <c r="D249" s="4" t="s">
        <v>24</v>
      </c>
      <c r="E249" s="4" t="s">
        <v>24</v>
      </c>
      <c r="F249" s="4" t="s">
        <v>25</v>
      </c>
      <c r="G249" s="4" t="s">
        <v>25</v>
      </c>
      <c r="H249" s="4" t="s">
        <v>35</v>
      </c>
      <c r="I249" s="5">
        <v>44470</v>
      </c>
      <c r="J249" s="6">
        <v>0</v>
      </c>
      <c r="K249" s="6">
        <v>0</v>
      </c>
      <c r="L249" s="6">
        <v>1.752</v>
      </c>
      <c r="M249" s="6">
        <v>1.752</v>
      </c>
      <c r="N249" s="6">
        <v>1.752</v>
      </c>
      <c r="O249" s="6">
        <v>1.752</v>
      </c>
      <c r="P249" s="6">
        <v>0</v>
      </c>
      <c r="Q249" s="4" t="s">
        <v>26</v>
      </c>
      <c r="R249" s="4">
        <v>0</v>
      </c>
      <c r="S249" s="4" t="s">
        <v>147</v>
      </c>
      <c r="T249" s="4" t="s">
        <v>280</v>
      </c>
      <c r="U249" s="4">
        <v>0</v>
      </c>
      <c r="V249" s="4">
        <v>66</v>
      </c>
      <c r="W249" s="4">
        <v>6</v>
      </c>
    </row>
    <row r="250" spans="1:23" ht="11.25" customHeight="1" x14ac:dyDescent="0.25">
      <c r="A250" s="4" t="s">
        <v>21</v>
      </c>
      <c r="B250" s="4" t="s">
        <v>33</v>
      </c>
      <c r="C250" s="4" t="s">
        <v>34</v>
      </c>
      <c r="D250" s="4" t="s">
        <v>24</v>
      </c>
      <c r="E250" s="4" t="s">
        <v>24</v>
      </c>
      <c r="F250" s="4" t="s">
        <v>25</v>
      </c>
      <c r="G250" s="4" t="s">
        <v>25</v>
      </c>
      <c r="H250" s="4" t="s">
        <v>35</v>
      </c>
      <c r="I250" s="5">
        <v>44501</v>
      </c>
      <c r="J250" s="6">
        <v>0</v>
      </c>
      <c r="K250" s="6">
        <v>0</v>
      </c>
      <c r="L250" s="6">
        <v>1.248</v>
      </c>
      <c r="M250" s="6">
        <v>1.248</v>
      </c>
      <c r="N250" s="6">
        <v>1.248</v>
      </c>
      <c r="O250" s="6">
        <v>1.248</v>
      </c>
      <c r="P250" s="6">
        <v>0</v>
      </c>
      <c r="Q250" s="4" t="s">
        <v>26</v>
      </c>
      <c r="R250" s="4">
        <v>0</v>
      </c>
      <c r="S250" s="4" t="s">
        <v>148</v>
      </c>
      <c r="T250" s="4" t="s">
        <v>281</v>
      </c>
      <c r="U250" s="4">
        <v>0</v>
      </c>
      <c r="V250" s="4">
        <v>66</v>
      </c>
      <c r="W250" s="4">
        <v>6</v>
      </c>
    </row>
    <row r="251" spans="1:23" ht="11.25" customHeight="1" x14ac:dyDescent="0.25">
      <c r="A251" s="4" t="s">
        <v>21</v>
      </c>
      <c r="B251" s="4" t="s">
        <v>33</v>
      </c>
      <c r="C251" s="4" t="s">
        <v>34</v>
      </c>
      <c r="D251" s="4" t="s">
        <v>24</v>
      </c>
      <c r="E251" s="4" t="s">
        <v>24</v>
      </c>
      <c r="F251" s="4" t="s">
        <v>25</v>
      </c>
      <c r="G251" s="4" t="s">
        <v>25</v>
      </c>
      <c r="H251" s="4" t="s">
        <v>35</v>
      </c>
      <c r="I251" s="5">
        <v>44531</v>
      </c>
      <c r="J251" s="6">
        <v>0</v>
      </c>
      <c r="K251" s="6">
        <v>0</v>
      </c>
      <c r="L251" s="6">
        <v>2.2480000000000002</v>
      </c>
      <c r="M251" s="6">
        <v>2.2480000000000002</v>
      </c>
      <c r="N251" s="6">
        <v>2.2480000000000002</v>
      </c>
      <c r="O251" s="6">
        <v>2.2480000000000002</v>
      </c>
      <c r="P251" s="6">
        <v>0</v>
      </c>
      <c r="Q251" s="4" t="s">
        <v>26</v>
      </c>
      <c r="R251" s="4">
        <v>0</v>
      </c>
      <c r="S251" s="4" t="s">
        <v>149</v>
      </c>
      <c r="T251" s="4" t="s">
        <v>282</v>
      </c>
      <c r="U251" s="4">
        <v>0</v>
      </c>
      <c r="V251" s="4">
        <v>66</v>
      </c>
      <c r="W251" s="4">
        <v>6</v>
      </c>
    </row>
    <row r="252" spans="1:23" ht="11.25" customHeight="1" x14ac:dyDescent="0.25">
      <c r="A252" s="4" t="s">
        <v>21</v>
      </c>
      <c r="B252" s="4" t="s">
        <v>33</v>
      </c>
      <c r="C252" s="4" t="s">
        <v>34</v>
      </c>
      <c r="D252" s="4" t="s">
        <v>24</v>
      </c>
      <c r="E252" s="4" t="s">
        <v>24</v>
      </c>
      <c r="F252" s="4" t="s">
        <v>25</v>
      </c>
      <c r="G252" s="4" t="s">
        <v>25</v>
      </c>
      <c r="H252" s="4" t="s">
        <v>35</v>
      </c>
      <c r="I252" s="5">
        <v>44562</v>
      </c>
      <c r="J252" s="6">
        <v>0</v>
      </c>
      <c r="K252" s="6">
        <v>0</v>
      </c>
      <c r="L252" s="6">
        <v>2.15</v>
      </c>
      <c r="M252" s="6">
        <v>2.15</v>
      </c>
      <c r="N252" s="6">
        <v>2.15</v>
      </c>
      <c r="O252" s="6">
        <v>2.15</v>
      </c>
      <c r="P252" s="6">
        <v>0</v>
      </c>
      <c r="Q252" s="4" t="s">
        <v>26</v>
      </c>
      <c r="R252" s="4">
        <v>0</v>
      </c>
      <c r="S252" s="4" t="s">
        <v>150</v>
      </c>
      <c r="T252" s="4" t="s">
        <v>283</v>
      </c>
      <c r="U252" s="4">
        <v>0</v>
      </c>
      <c r="V252" s="4">
        <v>66</v>
      </c>
      <c r="W252" s="4">
        <v>6</v>
      </c>
    </row>
    <row r="253" spans="1:23" ht="11.25" customHeight="1" x14ac:dyDescent="0.25">
      <c r="A253" s="4" t="s">
        <v>21</v>
      </c>
      <c r="B253" s="4" t="s">
        <v>33</v>
      </c>
      <c r="C253" s="4" t="s">
        <v>34</v>
      </c>
      <c r="D253" s="4" t="s">
        <v>24</v>
      </c>
      <c r="E253" s="4" t="s">
        <v>24</v>
      </c>
      <c r="F253" s="4" t="s">
        <v>25</v>
      </c>
      <c r="G253" s="4" t="s">
        <v>25</v>
      </c>
      <c r="H253" s="4" t="s">
        <v>35</v>
      </c>
      <c r="I253" s="5">
        <v>44593</v>
      </c>
      <c r="J253" s="6">
        <v>0</v>
      </c>
      <c r="K253" s="6">
        <v>0</v>
      </c>
      <c r="L253" s="6">
        <v>0.91600000000000004</v>
      </c>
      <c r="M253" s="6">
        <v>0.91600000000000004</v>
      </c>
      <c r="N253" s="6">
        <v>0.91600000000000004</v>
      </c>
      <c r="O253" s="6">
        <v>0.91600000000000004</v>
      </c>
      <c r="P253" s="6">
        <v>0</v>
      </c>
      <c r="Q253" s="4" t="s">
        <v>26</v>
      </c>
      <c r="R253" s="4">
        <v>0</v>
      </c>
      <c r="S253" s="4" t="s">
        <v>151</v>
      </c>
      <c r="T253" s="4" t="s">
        <v>284</v>
      </c>
      <c r="U253" s="4">
        <v>0</v>
      </c>
      <c r="V253" s="4">
        <v>66</v>
      </c>
      <c r="W253" s="4">
        <v>6</v>
      </c>
    </row>
    <row r="254" spans="1:23" ht="11.25" customHeight="1" x14ac:dyDescent="0.25">
      <c r="A254" s="4" t="s">
        <v>54</v>
      </c>
      <c r="B254" s="4" t="s">
        <v>33</v>
      </c>
      <c r="C254" s="4" t="s">
        <v>34</v>
      </c>
      <c r="D254" s="4" t="s">
        <v>24</v>
      </c>
      <c r="E254" s="4" t="s">
        <v>24</v>
      </c>
      <c r="F254" s="4" t="s">
        <v>25</v>
      </c>
      <c r="G254" s="4" t="s">
        <v>25</v>
      </c>
      <c r="H254" s="4" t="s">
        <v>35</v>
      </c>
      <c r="I254" s="5">
        <v>44621</v>
      </c>
      <c r="J254" s="6">
        <v>0</v>
      </c>
      <c r="K254" s="6">
        <v>0</v>
      </c>
      <c r="L254" s="6">
        <v>0.91600000000000004</v>
      </c>
      <c r="M254" s="6">
        <v>0.91600000000000004</v>
      </c>
      <c r="N254" s="6">
        <v>0.91600000000000004</v>
      </c>
      <c r="O254" s="6">
        <v>0.91600000000000004</v>
      </c>
      <c r="P254" s="6">
        <v>0</v>
      </c>
      <c r="Q254" s="4" t="s">
        <v>26</v>
      </c>
      <c r="R254" s="4">
        <v>0</v>
      </c>
      <c r="S254" s="4" t="s">
        <v>152</v>
      </c>
      <c r="T254" s="4" t="s">
        <v>285</v>
      </c>
      <c r="U254" s="4">
        <v>0</v>
      </c>
      <c r="V254" s="4">
        <v>66</v>
      </c>
      <c r="W254" s="4">
        <v>6</v>
      </c>
    </row>
    <row r="255" spans="1:23" ht="11.25" customHeight="1" x14ac:dyDescent="0.25">
      <c r="A255" s="4" t="s">
        <v>21</v>
      </c>
      <c r="B255" s="4" t="s">
        <v>33</v>
      </c>
      <c r="C255" s="4" t="s">
        <v>34</v>
      </c>
      <c r="D255" s="4" t="s">
        <v>41</v>
      </c>
      <c r="E255" s="4" t="s">
        <v>50</v>
      </c>
      <c r="F255" s="4" t="s">
        <v>52</v>
      </c>
      <c r="G255" s="4" t="s">
        <v>25</v>
      </c>
      <c r="H255" s="4" t="s">
        <v>36</v>
      </c>
      <c r="I255" s="5">
        <v>44287</v>
      </c>
      <c r="J255" s="6">
        <v>0</v>
      </c>
      <c r="K255" s="6">
        <v>0</v>
      </c>
      <c r="L255" s="6">
        <v>2758.2179999999998</v>
      </c>
      <c r="M255" s="6">
        <v>827.46540000000005</v>
      </c>
      <c r="N255" s="6">
        <v>2758.2179999999998</v>
      </c>
      <c r="O255" s="6">
        <v>827.46540000000005</v>
      </c>
      <c r="P255" s="6">
        <v>0</v>
      </c>
      <c r="Q255" s="4" t="s">
        <v>26</v>
      </c>
      <c r="R255" s="4">
        <v>0</v>
      </c>
      <c r="S255" s="4" t="s">
        <v>117</v>
      </c>
      <c r="T255" s="4" t="s">
        <v>262</v>
      </c>
      <c r="U255" s="4">
        <v>0</v>
      </c>
      <c r="V255" s="4">
        <v>47</v>
      </c>
      <c r="W255" s="4">
        <v>27</v>
      </c>
    </row>
    <row r="256" spans="1:23" ht="11.25" customHeight="1" x14ac:dyDescent="0.25">
      <c r="A256" s="4" t="s">
        <v>21</v>
      </c>
      <c r="B256" s="4" t="s">
        <v>33</v>
      </c>
      <c r="C256" s="4" t="s">
        <v>34</v>
      </c>
      <c r="D256" s="4" t="s">
        <v>41</v>
      </c>
      <c r="E256" s="4" t="s">
        <v>50</v>
      </c>
      <c r="F256" s="4" t="s">
        <v>52</v>
      </c>
      <c r="G256" s="4" t="s">
        <v>25</v>
      </c>
      <c r="H256" s="4" t="s">
        <v>36</v>
      </c>
      <c r="I256" s="5">
        <v>44317</v>
      </c>
      <c r="J256" s="6">
        <v>0</v>
      </c>
      <c r="K256" s="6">
        <v>0</v>
      </c>
      <c r="L256" s="6">
        <v>2399.1280000000002</v>
      </c>
      <c r="M256" s="6">
        <v>719.73839999999996</v>
      </c>
      <c r="N256" s="6">
        <v>2399.1280000000002</v>
      </c>
      <c r="O256" s="6">
        <v>719.73839999999996</v>
      </c>
      <c r="P256" s="6">
        <v>0</v>
      </c>
      <c r="Q256" s="4" t="s">
        <v>26</v>
      </c>
      <c r="R256" s="4">
        <v>0</v>
      </c>
      <c r="S256" s="4" t="s">
        <v>118</v>
      </c>
      <c r="T256" s="4" t="s">
        <v>263</v>
      </c>
      <c r="U256" s="4">
        <v>0</v>
      </c>
      <c r="V256" s="4">
        <v>47</v>
      </c>
      <c r="W256" s="4">
        <v>27</v>
      </c>
    </row>
    <row r="257" spans="1:23" ht="11.25" customHeight="1" x14ac:dyDescent="0.25">
      <c r="A257" s="4" t="s">
        <v>21</v>
      </c>
      <c r="B257" s="4" t="s">
        <v>33</v>
      </c>
      <c r="C257" s="4" t="s">
        <v>34</v>
      </c>
      <c r="D257" s="4" t="s">
        <v>41</v>
      </c>
      <c r="E257" s="4" t="s">
        <v>50</v>
      </c>
      <c r="F257" s="4" t="s">
        <v>52</v>
      </c>
      <c r="G257" s="4" t="s">
        <v>25</v>
      </c>
      <c r="H257" s="4" t="s">
        <v>36</v>
      </c>
      <c r="I257" s="5">
        <v>44348</v>
      </c>
      <c r="J257" s="6">
        <v>0</v>
      </c>
      <c r="K257" s="6">
        <v>0</v>
      </c>
      <c r="L257" s="6">
        <v>622.09799999999996</v>
      </c>
      <c r="M257" s="6">
        <v>186.6294</v>
      </c>
      <c r="N257" s="6">
        <v>622.09799999999996</v>
      </c>
      <c r="O257" s="6">
        <v>186.6294</v>
      </c>
      <c r="P257" s="6">
        <v>0</v>
      </c>
      <c r="Q257" s="4" t="s">
        <v>26</v>
      </c>
      <c r="R257" s="4">
        <v>0</v>
      </c>
      <c r="S257" s="4" t="s">
        <v>119</v>
      </c>
      <c r="T257" s="4" t="s">
        <v>264</v>
      </c>
      <c r="U257" s="4">
        <v>0</v>
      </c>
      <c r="V257" s="4">
        <v>47</v>
      </c>
      <c r="W257" s="4">
        <v>27</v>
      </c>
    </row>
    <row r="258" spans="1:23" ht="11.25" customHeight="1" x14ac:dyDescent="0.25">
      <c r="A258" s="4" t="s">
        <v>21</v>
      </c>
      <c r="B258" s="4" t="s">
        <v>33</v>
      </c>
      <c r="C258" s="4" t="s">
        <v>34</v>
      </c>
      <c r="D258" s="4" t="s">
        <v>41</v>
      </c>
      <c r="E258" s="4" t="s">
        <v>50</v>
      </c>
      <c r="F258" s="4" t="s">
        <v>52</v>
      </c>
      <c r="G258" s="4" t="s">
        <v>25</v>
      </c>
      <c r="H258" s="4" t="s">
        <v>36</v>
      </c>
      <c r="I258" s="5">
        <v>44378</v>
      </c>
      <c r="J258" s="6">
        <v>0</v>
      </c>
      <c r="K258" s="6">
        <v>0</v>
      </c>
      <c r="L258" s="6">
        <v>1602.904</v>
      </c>
      <c r="M258" s="6">
        <v>480.87119999999999</v>
      </c>
      <c r="N258" s="6">
        <v>1602.904</v>
      </c>
      <c r="O258" s="6">
        <v>480.87119999999999</v>
      </c>
      <c r="P258" s="6">
        <v>0</v>
      </c>
      <c r="Q258" s="4" t="s">
        <v>26</v>
      </c>
      <c r="R258" s="4">
        <v>0</v>
      </c>
      <c r="S258" s="4" t="s">
        <v>120</v>
      </c>
      <c r="T258" s="4" t="s">
        <v>265</v>
      </c>
      <c r="U258" s="4">
        <v>0</v>
      </c>
      <c r="V258" s="4">
        <v>47</v>
      </c>
      <c r="W258" s="4">
        <v>27</v>
      </c>
    </row>
    <row r="259" spans="1:23" ht="11.25" customHeight="1" x14ac:dyDescent="0.25">
      <c r="A259" s="4" t="s">
        <v>21</v>
      </c>
      <c r="B259" s="4" t="s">
        <v>33</v>
      </c>
      <c r="C259" s="4" t="s">
        <v>34</v>
      </c>
      <c r="D259" s="4" t="s">
        <v>41</v>
      </c>
      <c r="E259" s="4" t="s">
        <v>50</v>
      </c>
      <c r="F259" s="4" t="s">
        <v>52</v>
      </c>
      <c r="G259" s="4" t="s">
        <v>25</v>
      </c>
      <c r="H259" s="4" t="s">
        <v>36</v>
      </c>
      <c r="I259" s="5">
        <v>44409</v>
      </c>
      <c r="J259" s="6">
        <v>0</v>
      </c>
      <c r="K259" s="6">
        <v>0</v>
      </c>
      <c r="L259" s="6">
        <v>2331.518</v>
      </c>
      <c r="M259" s="6">
        <v>699.45540000000005</v>
      </c>
      <c r="N259" s="6">
        <v>2331.518</v>
      </c>
      <c r="O259" s="6">
        <v>699.45540000000005</v>
      </c>
      <c r="P259" s="6">
        <v>0</v>
      </c>
      <c r="Q259" s="4" t="s">
        <v>26</v>
      </c>
      <c r="R259" s="4">
        <v>0</v>
      </c>
      <c r="S259" s="4" t="s">
        <v>121</v>
      </c>
      <c r="T259" s="4" t="s">
        <v>266</v>
      </c>
      <c r="U259" s="4">
        <v>0</v>
      </c>
      <c r="V259" s="4">
        <v>47</v>
      </c>
      <c r="W259" s="4">
        <v>27</v>
      </c>
    </row>
    <row r="260" spans="1:23" ht="11.25" customHeight="1" x14ac:dyDescent="0.25">
      <c r="A260" s="4" t="s">
        <v>21</v>
      </c>
      <c r="B260" s="4" t="s">
        <v>33</v>
      </c>
      <c r="C260" s="4" t="s">
        <v>34</v>
      </c>
      <c r="D260" s="4" t="s">
        <v>41</v>
      </c>
      <c r="E260" s="4" t="s">
        <v>50</v>
      </c>
      <c r="F260" s="4" t="s">
        <v>52</v>
      </c>
      <c r="G260" s="4" t="s">
        <v>25</v>
      </c>
      <c r="H260" s="4" t="s">
        <v>36</v>
      </c>
      <c r="I260" s="5">
        <v>44440</v>
      </c>
      <c r="J260" s="6">
        <v>0</v>
      </c>
      <c r="K260" s="6">
        <v>0</v>
      </c>
      <c r="L260" s="6">
        <v>2273.6559999999999</v>
      </c>
      <c r="M260" s="6">
        <v>682.09680000000003</v>
      </c>
      <c r="N260" s="6">
        <v>2273.6559999999999</v>
      </c>
      <c r="O260" s="6">
        <v>682.09680000000003</v>
      </c>
      <c r="P260" s="6">
        <v>0</v>
      </c>
      <c r="Q260" s="4" t="s">
        <v>26</v>
      </c>
      <c r="R260" s="4">
        <v>0</v>
      </c>
      <c r="S260" s="4" t="s">
        <v>122</v>
      </c>
      <c r="T260" s="4" t="s">
        <v>267</v>
      </c>
      <c r="U260" s="4">
        <v>0</v>
      </c>
      <c r="V260" s="4">
        <v>47</v>
      </c>
      <c r="W260" s="4">
        <v>27</v>
      </c>
    </row>
    <row r="261" spans="1:23" ht="11.25" customHeight="1" x14ac:dyDescent="0.25">
      <c r="A261" s="4" t="s">
        <v>21</v>
      </c>
      <c r="B261" s="4" t="s">
        <v>33</v>
      </c>
      <c r="C261" s="4" t="s">
        <v>34</v>
      </c>
      <c r="D261" s="4" t="s">
        <v>41</v>
      </c>
      <c r="E261" s="4" t="s">
        <v>50</v>
      </c>
      <c r="F261" s="4" t="s">
        <v>52</v>
      </c>
      <c r="G261" s="4" t="s">
        <v>25</v>
      </c>
      <c r="H261" s="4" t="s">
        <v>36</v>
      </c>
      <c r="I261" s="5">
        <v>44470</v>
      </c>
      <c r="J261" s="6">
        <v>0</v>
      </c>
      <c r="K261" s="6">
        <v>0</v>
      </c>
      <c r="L261" s="6">
        <v>1691.5060000000001</v>
      </c>
      <c r="M261" s="6">
        <v>507.45179999999999</v>
      </c>
      <c r="N261" s="6">
        <v>1691.5060000000001</v>
      </c>
      <c r="O261" s="6">
        <v>507.45179999999999</v>
      </c>
      <c r="P261" s="6">
        <v>0</v>
      </c>
      <c r="Q261" s="4" t="s">
        <v>26</v>
      </c>
      <c r="R261" s="4">
        <v>0</v>
      </c>
      <c r="S261" s="4" t="s">
        <v>123</v>
      </c>
      <c r="T261" s="4" t="s">
        <v>268</v>
      </c>
      <c r="U261" s="4">
        <v>0</v>
      </c>
      <c r="V261" s="4">
        <v>47</v>
      </c>
      <c r="W261" s="4">
        <v>27</v>
      </c>
    </row>
    <row r="262" spans="1:23" ht="11.25" customHeight="1" x14ac:dyDescent="0.25">
      <c r="A262" s="4" t="s">
        <v>21</v>
      </c>
      <c r="B262" s="4" t="s">
        <v>33</v>
      </c>
      <c r="C262" s="4" t="s">
        <v>34</v>
      </c>
      <c r="D262" s="4" t="s">
        <v>41</v>
      </c>
      <c r="E262" s="4" t="s">
        <v>50</v>
      </c>
      <c r="F262" s="4" t="s">
        <v>52</v>
      </c>
      <c r="G262" s="4" t="s">
        <v>25</v>
      </c>
      <c r="H262" s="4" t="s">
        <v>36</v>
      </c>
      <c r="I262" s="5">
        <v>44501</v>
      </c>
      <c r="J262" s="6">
        <v>0</v>
      </c>
      <c r="K262" s="6">
        <v>0</v>
      </c>
      <c r="L262" s="6">
        <v>3128.319</v>
      </c>
      <c r="M262" s="6">
        <v>938.49570000000006</v>
      </c>
      <c r="N262" s="6">
        <v>3128.319</v>
      </c>
      <c r="O262" s="6">
        <v>938.49570000000006</v>
      </c>
      <c r="P262" s="6">
        <v>0</v>
      </c>
      <c r="Q262" s="4" t="s">
        <v>26</v>
      </c>
      <c r="R262" s="4">
        <v>0</v>
      </c>
      <c r="S262" s="4" t="s">
        <v>124</v>
      </c>
      <c r="T262" s="4" t="s">
        <v>269</v>
      </c>
      <c r="U262" s="4">
        <v>0</v>
      </c>
      <c r="V262" s="4">
        <v>47</v>
      </c>
      <c r="W262" s="4">
        <v>27</v>
      </c>
    </row>
    <row r="263" spans="1:23" ht="11.25" customHeight="1" x14ac:dyDescent="0.25">
      <c r="A263" s="4" t="s">
        <v>21</v>
      </c>
      <c r="B263" s="4" t="s">
        <v>33</v>
      </c>
      <c r="C263" s="4" t="s">
        <v>34</v>
      </c>
      <c r="D263" s="4" t="s">
        <v>41</v>
      </c>
      <c r="E263" s="4" t="s">
        <v>50</v>
      </c>
      <c r="F263" s="4" t="s">
        <v>52</v>
      </c>
      <c r="G263" s="4" t="s">
        <v>25</v>
      </c>
      <c r="H263" s="4" t="s">
        <v>36</v>
      </c>
      <c r="I263" s="5">
        <v>44531</v>
      </c>
      <c r="J263" s="6">
        <v>0</v>
      </c>
      <c r="K263" s="6">
        <v>0</v>
      </c>
      <c r="L263" s="6">
        <v>2618.0569999999998</v>
      </c>
      <c r="M263" s="6">
        <v>785.4171</v>
      </c>
      <c r="N263" s="6">
        <v>2618.0569999999998</v>
      </c>
      <c r="O263" s="6">
        <v>785.4171</v>
      </c>
      <c r="P263" s="6">
        <v>0</v>
      </c>
      <c r="Q263" s="4" t="s">
        <v>26</v>
      </c>
      <c r="R263" s="4">
        <v>0</v>
      </c>
      <c r="S263" s="4" t="s">
        <v>125</v>
      </c>
      <c r="T263" s="4" t="s">
        <v>270</v>
      </c>
      <c r="U263" s="4">
        <v>0</v>
      </c>
      <c r="V263" s="4">
        <v>47</v>
      </c>
      <c r="W263" s="4">
        <v>27</v>
      </c>
    </row>
    <row r="264" spans="1:23" ht="11.25" customHeight="1" x14ac:dyDescent="0.25">
      <c r="A264" s="4" t="s">
        <v>21</v>
      </c>
      <c r="B264" s="4" t="s">
        <v>33</v>
      </c>
      <c r="C264" s="4" t="s">
        <v>34</v>
      </c>
      <c r="D264" s="4" t="s">
        <v>41</v>
      </c>
      <c r="E264" s="4" t="s">
        <v>50</v>
      </c>
      <c r="F264" s="4" t="s">
        <v>52</v>
      </c>
      <c r="G264" s="4" t="s">
        <v>25</v>
      </c>
      <c r="H264" s="4" t="s">
        <v>36</v>
      </c>
      <c r="I264" s="5">
        <v>44562</v>
      </c>
      <c r="J264" s="6">
        <v>0</v>
      </c>
      <c r="K264" s="6">
        <v>0</v>
      </c>
      <c r="L264" s="6">
        <v>1408.03</v>
      </c>
      <c r="M264" s="6">
        <v>422.40899999999999</v>
      </c>
      <c r="N264" s="6">
        <v>1408.03</v>
      </c>
      <c r="O264" s="6">
        <v>422.40899999999999</v>
      </c>
      <c r="P264" s="6">
        <v>0</v>
      </c>
      <c r="Q264" s="4" t="s">
        <v>26</v>
      </c>
      <c r="R264" s="4">
        <v>0</v>
      </c>
      <c r="S264" s="4" t="s">
        <v>126</v>
      </c>
      <c r="T264" s="4" t="s">
        <v>271</v>
      </c>
      <c r="U264" s="4">
        <v>0</v>
      </c>
      <c r="V264" s="4">
        <v>47</v>
      </c>
      <c r="W264" s="4">
        <v>27</v>
      </c>
    </row>
    <row r="265" spans="1:23" ht="11.25" customHeight="1" x14ac:dyDescent="0.25">
      <c r="A265" s="4" t="s">
        <v>21</v>
      </c>
      <c r="B265" s="4" t="s">
        <v>33</v>
      </c>
      <c r="C265" s="4" t="s">
        <v>34</v>
      </c>
      <c r="D265" s="4" t="s">
        <v>41</v>
      </c>
      <c r="E265" s="4" t="s">
        <v>50</v>
      </c>
      <c r="F265" s="4" t="s">
        <v>52</v>
      </c>
      <c r="G265" s="4" t="s">
        <v>25</v>
      </c>
      <c r="H265" s="4" t="s">
        <v>36</v>
      </c>
      <c r="I265" s="5">
        <v>44593</v>
      </c>
      <c r="J265" s="6">
        <v>0</v>
      </c>
      <c r="K265" s="6">
        <v>0</v>
      </c>
      <c r="L265" s="6">
        <v>2469.1060000000002</v>
      </c>
      <c r="M265" s="6">
        <v>740.73180000000002</v>
      </c>
      <c r="N265" s="6">
        <v>2469.1060000000002</v>
      </c>
      <c r="O265" s="6">
        <v>740.73180000000002</v>
      </c>
      <c r="P265" s="6">
        <v>0</v>
      </c>
      <c r="Q265" s="4" t="s">
        <v>26</v>
      </c>
      <c r="R265" s="4">
        <v>0</v>
      </c>
      <c r="S265" s="4" t="s">
        <v>127</v>
      </c>
      <c r="T265" s="4" t="s">
        <v>272</v>
      </c>
      <c r="U265" s="4">
        <v>0</v>
      </c>
      <c r="V265" s="4">
        <v>47</v>
      </c>
      <c r="W265" s="4">
        <v>27</v>
      </c>
    </row>
    <row r="266" spans="1:23" ht="11.25" customHeight="1" x14ac:dyDescent="0.25">
      <c r="A266" s="4" t="s">
        <v>54</v>
      </c>
      <c r="B266" s="4" t="s">
        <v>33</v>
      </c>
      <c r="C266" s="4" t="s">
        <v>34</v>
      </c>
      <c r="D266" s="4" t="s">
        <v>41</v>
      </c>
      <c r="E266" s="4" t="s">
        <v>50</v>
      </c>
      <c r="F266" s="4" t="s">
        <v>52</v>
      </c>
      <c r="G266" s="4" t="s">
        <v>25</v>
      </c>
      <c r="H266" s="4" t="s">
        <v>36</v>
      </c>
      <c r="I266" s="5">
        <v>44621</v>
      </c>
      <c r="J266" s="6">
        <v>0</v>
      </c>
      <c r="K266" s="6">
        <v>0</v>
      </c>
      <c r="L266" s="6">
        <v>2469.1060000000002</v>
      </c>
      <c r="M266" s="6">
        <v>740.73180000000002</v>
      </c>
      <c r="N266" s="6">
        <v>2469.1060000000002</v>
      </c>
      <c r="O266" s="6">
        <v>740.73180000000002</v>
      </c>
      <c r="P266" s="6">
        <v>0</v>
      </c>
      <c r="Q266" s="4" t="s">
        <v>26</v>
      </c>
      <c r="R266" s="4">
        <v>0</v>
      </c>
      <c r="S266" s="4" t="s">
        <v>128</v>
      </c>
      <c r="T266" s="4" t="s">
        <v>273</v>
      </c>
      <c r="U266" s="4">
        <v>0</v>
      </c>
      <c r="V266" s="4">
        <v>47</v>
      </c>
      <c r="W266" s="4">
        <v>27</v>
      </c>
    </row>
    <row r="267" spans="1:23" ht="11.25" customHeight="1" x14ac:dyDescent="0.25">
      <c r="A267" s="4" t="s">
        <v>21</v>
      </c>
      <c r="B267" s="4" t="s">
        <v>33</v>
      </c>
      <c r="C267" s="4" t="s">
        <v>34</v>
      </c>
      <c r="D267" s="4" t="s">
        <v>41</v>
      </c>
      <c r="E267" s="4" t="s">
        <v>50</v>
      </c>
      <c r="F267" s="4" t="s">
        <v>25</v>
      </c>
      <c r="G267" s="4" t="s">
        <v>25</v>
      </c>
      <c r="H267" s="4" t="s">
        <v>36</v>
      </c>
      <c r="I267" s="5">
        <v>44287</v>
      </c>
      <c r="J267" s="6">
        <v>0</v>
      </c>
      <c r="K267" s="6">
        <v>0</v>
      </c>
      <c r="L267" s="6">
        <v>3909.1790000000001</v>
      </c>
      <c r="M267" s="6">
        <v>3752.8118399999998</v>
      </c>
      <c r="N267" s="6">
        <v>3909.1790000000001</v>
      </c>
      <c r="O267" s="6">
        <v>3752.8118399999998</v>
      </c>
      <c r="P267" s="6">
        <v>0</v>
      </c>
      <c r="Q267" s="4" t="s">
        <v>26</v>
      </c>
      <c r="R267" s="4">
        <v>0</v>
      </c>
      <c r="S267" s="4" t="s">
        <v>117</v>
      </c>
      <c r="T267" s="4" t="s">
        <v>262</v>
      </c>
      <c r="U267" s="4">
        <v>0</v>
      </c>
      <c r="V267" s="4">
        <v>47</v>
      </c>
      <c r="W267" s="4">
        <v>27</v>
      </c>
    </row>
    <row r="268" spans="1:23" ht="11.25" customHeight="1" x14ac:dyDescent="0.25">
      <c r="A268" s="4" t="s">
        <v>21</v>
      </c>
      <c r="B268" s="4" t="s">
        <v>33</v>
      </c>
      <c r="C268" s="4" t="s">
        <v>34</v>
      </c>
      <c r="D268" s="4" t="s">
        <v>41</v>
      </c>
      <c r="E268" s="4" t="s">
        <v>50</v>
      </c>
      <c r="F268" s="4" t="s">
        <v>25</v>
      </c>
      <c r="G268" s="4" t="s">
        <v>25</v>
      </c>
      <c r="H268" s="4" t="s">
        <v>36</v>
      </c>
      <c r="I268" s="5">
        <v>44317</v>
      </c>
      <c r="J268" s="6">
        <v>0</v>
      </c>
      <c r="K268" s="6">
        <v>0</v>
      </c>
      <c r="L268" s="6">
        <v>3215.9920000000002</v>
      </c>
      <c r="M268" s="6">
        <v>3072.5587568000001</v>
      </c>
      <c r="N268" s="6">
        <v>3215.9920000000002</v>
      </c>
      <c r="O268" s="6">
        <v>3072.5587568000001</v>
      </c>
      <c r="P268" s="6">
        <v>0</v>
      </c>
      <c r="Q268" s="4" t="s">
        <v>26</v>
      </c>
      <c r="R268" s="4">
        <v>0</v>
      </c>
      <c r="S268" s="4" t="s">
        <v>118</v>
      </c>
      <c r="T268" s="4" t="s">
        <v>263</v>
      </c>
      <c r="U268" s="4">
        <v>0</v>
      </c>
      <c r="V268" s="4">
        <v>47</v>
      </c>
      <c r="W268" s="4">
        <v>27</v>
      </c>
    </row>
    <row r="269" spans="1:23" ht="11.25" customHeight="1" x14ac:dyDescent="0.25">
      <c r="A269" s="4" t="s">
        <v>21</v>
      </c>
      <c r="B269" s="4" t="s">
        <v>33</v>
      </c>
      <c r="C269" s="4" t="s">
        <v>34</v>
      </c>
      <c r="D269" s="4" t="s">
        <v>41</v>
      </c>
      <c r="E269" s="4" t="s">
        <v>50</v>
      </c>
      <c r="F269" s="4" t="s">
        <v>25</v>
      </c>
      <c r="G269" s="4" t="s">
        <v>25</v>
      </c>
      <c r="H269" s="4" t="s">
        <v>36</v>
      </c>
      <c r="I269" s="5">
        <v>44348</v>
      </c>
      <c r="J269" s="6">
        <v>0</v>
      </c>
      <c r="K269" s="6">
        <v>0</v>
      </c>
      <c r="L269" s="6">
        <v>879.98299999999995</v>
      </c>
      <c r="M269" s="6">
        <v>844.78368</v>
      </c>
      <c r="N269" s="6">
        <v>879.98299999999995</v>
      </c>
      <c r="O269" s="6">
        <v>844.78368</v>
      </c>
      <c r="P269" s="6">
        <v>0</v>
      </c>
      <c r="Q269" s="4" t="s">
        <v>26</v>
      </c>
      <c r="R269" s="4">
        <v>0</v>
      </c>
      <c r="S269" s="4" t="s">
        <v>119</v>
      </c>
      <c r="T269" s="4" t="s">
        <v>264</v>
      </c>
      <c r="U269" s="4">
        <v>0</v>
      </c>
      <c r="V269" s="4">
        <v>47</v>
      </c>
      <c r="W269" s="4">
        <v>27</v>
      </c>
    </row>
    <row r="270" spans="1:23" ht="11.25" customHeight="1" x14ac:dyDescent="0.25">
      <c r="A270" s="4" t="s">
        <v>28</v>
      </c>
      <c r="B270" s="4" t="s">
        <v>33</v>
      </c>
      <c r="C270" s="4" t="s">
        <v>34</v>
      </c>
      <c r="D270" s="4" t="s">
        <v>41</v>
      </c>
      <c r="E270" s="4" t="s">
        <v>50</v>
      </c>
      <c r="F270" s="4" t="s">
        <v>25</v>
      </c>
      <c r="G270" s="4" t="s">
        <v>25</v>
      </c>
      <c r="H270" s="4" t="s">
        <v>36</v>
      </c>
      <c r="I270" s="5">
        <v>44348</v>
      </c>
      <c r="J270" s="6">
        <v>0</v>
      </c>
      <c r="K270" s="6">
        <v>0</v>
      </c>
      <c r="L270" s="6">
        <v>0.89900000000000002</v>
      </c>
      <c r="M270" s="6">
        <v>0.86304000000000003</v>
      </c>
      <c r="N270" s="6">
        <v>0.89900000000000002</v>
      </c>
      <c r="O270" s="6">
        <v>0.86304000000000003</v>
      </c>
      <c r="P270" s="6">
        <v>0</v>
      </c>
      <c r="Q270" s="4" t="s">
        <v>26</v>
      </c>
      <c r="R270" s="4">
        <v>0</v>
      </c>
      <c r="S270" s="4" t="s">
        <v>119</v>
      </c>
      <c r="T270" s="4" t="s">
        <v>264</v>
      </c>
      <c r="U270" s="4">
        <v>0</v>
      </c>
      <c r="V270" s="4">
        <v>47</v>
      </c>
      <c r="W270" s="4">
        <v>27</v>
      </c>
    </row>
    <row r="271" spans="1:23" ht="11.25" customHeight="1" x14ac:dyDescent="0.25">
      <c r="A271" s="4" t="s">
        <v>21</v>
      </c>
      <c r="B271" s="4" t="s">
        <v>33</v>
      </c>
      <c r="C271" s="4" t="s">
        <v>34</v>
      </c>
      <c r="D271" s="4" t="s">
        <v>41</v>
      </c>
      <c r="E271" s="4" t="s">
        <v>50</v>
      </c>
      <c r="F271" s="4" t="s">
        <v>25</v>
      </c>
      <c r="G271" s="4" t="s">
        <v>25</v>
      </c>
      <c r="H271" s="4" t="s">
        <v>36</v>
      </c>
      <c r="I271" s="5">
        <v>44378</v>
      </c>
      <c r="J271" s="6">
        <v>0</v>
      </c>
      <c r="K271" s="6">
        <v>0</v>
      </c>
      <c r="L271" s="6">
        <v>1818.075</v>
      </c>
      <c r="M271" s="6">
        <v>1745.3520000000001</v>
      </c>
      <c r="N271" s="6">
        <v>1818.075</v>
      </c>
      <c r="O271" s="6">
        <v>1745.3520000000001</v>
      </c>
      <c r="P271" s="6">
        <v>0</v>
      </c>
      <c r="Q271" s="4" t="s">
        <v>26</v>
      </c>
      <c r="R271" s="4">
        <v>0</v>
      </c>
      <c r="S271" s="4" t="s">
        <v>120</v>
      </c>
      <c r="T271" s="4" t="s">
        <v>265</v>
      </c>
      <c r="U271" s="4">
        <v>0</v>
      </c>
      <c r="V271" s="4">
        <v>47</v>
      </c>
      <c r="W271" s="4">
        <v>27</v>
      </c>
    </row>
    <row r="272" spans="1:23" ht="11.25" customHeight="1" x14ac:dyDescent="0.25">
      <c r="A272" s="4" t="s">
        <v>28</v>
      </c>
      <c r="B272" s="4" t="s">
        <v>33</v>
      </c>
      <c r="C272" s="4" t="s">
        <v>34</v>
      </c>
      <c r="D272" s="4" t="s">
        <v>41</v>
      </c>
      <c r="E272" s="4" t="s">
        <v>50</v>
      </c>
      <c r="F272" s="4" t="s">
        <v>25</v>
      </c>
      <c r="G272" s="4" t="s">
        <v>25</v>
      </c>
      <c r="H272" s="4" t="s">
        <v>36</v>
      </c>
      <c r="I272" s="5">
        <v>44378</v>
      </c>
      <c r="J272" s="6">
        <v>0</v>
      </c>
      <c r="K272" s="6">
        <v>0</v>
      </c>
      <c r="L272" s="6">
        <v>5.8029999999999999</v>
      </c>
      <c r="M272" s="6">
        <v>5.5708799999999998</v>
      </c>
      <c r="N272" s="6">
        <v>5.8029999999999999</v>
      </c>
      <c r="O272" s="6">
        <v>5.5708799999999998</v>
      </c>
      <c r="P272" s="6">
        <v>0</v>
      </c>
      <c r="Q272" s="4" t="s">
        <v>26</v>
      </c>
      <c r="R272" s="4">
        <v>0</v>
      </c>
      <c r="S272" s="4" t="s">
        <v>120</v>
      </c>
      <c r="T272" s="4" t="s">
        <v>265</v>
      </c>
      <c r="U272" s="4">
        <v>0</v>
      </c>
      <c r="V272" s="4">
        <v>47</v>
      </c>
      <c r="W272" s="4">
        <v>27</v>
      </c>
    </row>
    <row r="273" spans="1:23" ht="11.25" customHeight="1" x14ac:dyDescent="0.25">
      <c r="A273" s="4" t="s">
        <v>21</v>
      </c>
      <c r="B273" s="4" t="s">
        <v>33</v>
      </c>
      <c r="C273" s="4" t="s">
        <v>34</v>
      </c>
      <c r="D273" s="4" t="s">
        <v>41</v>
      </c>
      <c r="E273" s="4" t="s">
        <v>50</v>
      </c>
      <c r="F273" s="4" t="s">
        <v>25</v>
      </c>
      <c r="G273" s="4" t="s">
        <v>25</v>
      </c>
      <c r="H273" s="4" t="s">
        <v>36</v>
      </c>
      <c r="I273" s="5">
        <v>44409</v>
      </c>
      <c r="J273" s="6">
        <v>0</v>
      </c>
      <c r="K273" s="6">
        <v>0</v>
      </c>
      <c r="L273" s="6">
        <v>2998.8490000000002</v>
      </c>
      <c r="M273" s="6">
        <v>2878.8950399999999</v>
      </c>
      <c r="N273" s="6">
        <v>2998.8490000000002</v>
      </c>
      <c r="O273" s="6">
        <v>2878.8950399999999</v>
      </c>
      <c r="P273" s="6">
        <v>0</v>
      </c>
      <c r="Q273" s="4" t="s">
        <v>26</v>
      </c>
      <c r="R273" s="4">
        <v>0</v>
      </c>
      <c r="S273" s="4" t="s">
        <v>121</v>
      </c>
      <c r="T273" s="4" t="s">
        <v>266</v>
      </c>
      <c r="U273" s="4">
        <v>0</v>
      </c>
      <c r="V273" s="4">
        <v>47</v>
      </c>
      <c r="W273" s="4">
        <v>27</v>
      </c>
    </row>
    <row r="274" spans="1:23" ht="11.25" customHeight="1" x14ac:dyDescent="0.25">
      <c r="A274" s="4" t="s">
        <v>21</v>
      </c>
      <c r="B274" s="4" t="s">
        <v>33</v>
      </c>
      <c r="C274" s="4" t="s">
        <v>34</v>
      </c>
      <c r="D274" s="4" t="s">
        <v>41</v>
      </c>
      <c r="E274" s="4" t="s">
        <v>50</v>
      </c>
      <c r="F274" s="4" t="s">
        <v>25</v>
      </c>
      <c r="G274" s="4" t="s">
        <v>25</v>
      </c>
      <c r="H274" s="4" t="s">
        <v>36</v>
      </c>
      <c r="I274" s="5">
        <v>44440</v>
      </c>
      <c r="J274" s="6">
        <v>0</v>
      </c>
      <c r="K274" s="6">
        <v>0</v>
      </c>
      <c r="L274" s="6">
        <v>3142.7460000000001</v>
      </c>
      <c r="M274" s="6">
        <v>3017.0361600000001</v>
      </c>
      <c r="N274" s="6">
        <v>3142.7460000000001</v>
      </c>
      <c r="O274" s="6">
        <v>3017.0361600000001</v>
      </c>
      <c r="P274" s="6">
        <v>0</v>
      </c>
      <c r="Q274" s="4" t="s">
        <v>26</v>
      </c>
      <c r="R274" s="4">
        <v>0</v>
      </c>
      <c r="S274" s="4" t="s">
        <v>122</v>
      </c>
      <c r="T274" s="4" t="s">
        <v>267</v>
      </c>
      <c r="U274" s="4">
        <v>0</v>
      </c>
      <c r="V274" s="4">
        <v>47</v>
      </c>
      <c r="W274" s="4">
        <v>27</v>
      </c>
    </row>
    <row r="275" spans="1:23" ht="11.25" customHeight="1" x14ac:dyDescent="0.25">
      <c r="A275" s="4" t="s">
        <v>28</v>
      </c>
      <c r="B275" s="4" t="s">
        <v>33</v>
      </c>
      <c r="C275" s="4" t="s">
        <v>34</v>
      </c>
      <c r="D275" s="4" t="s">
        <v>41</v>
      </c>
      <c r="E275" s="4" t="s">
        <v>50</v>
      </c>
      <c r="F275" s="4" t="s">
        <v>25</v>
      </c>
      <c r="G275" s="4" t="s">
        <v>25</v>
      </c>
      <c r="H275" s="4" t="s">
        <v>36</v>
      </c>
      <c r="I275" s="5">
        <v>44440</v>
      </c>
      <c r="J275" s="6">
        <v>0</v>
      </c>
      <c r="K275" s="6">
        <v>0</v>
      </c>
      <c r="L275" s="6">
        <v>1.4750000000000001</v>
      </c>
      <c r="M275" s="6">
        <v>1.4159999999999999</v>
      </c>
      <c r="N275" s="6">
        <v>1.4750000000000001</v>
      </c>
      <c r="O275" s="6">
        <v>1.4159999999999999</v>
      </c>
      <c r="P275" s="6">
        <v>0</v>
      </c>
      <c r="Q275" s="4" t="s">
        <v>26</v>
      </c>
      <c r="R275" s="4">
        <v>0</v>
      </c>
      <c r="S275" s="4" t="s">
        <v>122</v>
      </c>
      <c r="T275" s="4" t="s">
        <v>267</v>
      </c>
      <c r="U275" s="4">
        <v>0</v>
      </c>
      <c r="V275" s="4">
        <v>47</v>
      </c>
      <c r="W275" s="4">
        <v>27</v>
      </c>
    </row>
    <row r="276" spans="1:23" ht="11.25" customHeight="1" x14ac:dyDescent="0.25">
      <c r="A276" s="4" t="s">
        <v>21</v>
      </c>
      <c r="B276" s="4" t="s">
        <v>33</v>
      </c>
      <c r="C276" s="4" t="s">
        <v>34</v>
      </c>
      <c r="D276" s="4" t="s">
        <v>41</v>
      </c>
      <c r="E276" s="4" t="s">
        <v>50</v>
      </c>
      <c r="F276" s="4" t="s">
        <v>25</v>
      </c>
      <c r="G276" s="4" t="s">
        <v>25</v>
      </c>
      <c r="H276" s="4" t="s">
        <v>36</v>
      </c>
      <c r="I276" s="5">
        <v>44470</v>
      </c>
      <c r="J276" s="6">
        <v>0</v>
      </c>
      <c r="K276" s="6">
        <v>0</v>
      </c>
      <c r="L276" s="6">
        <v>2613.7330000000002</v>
      </c>
      <c r="M276" s="6">
        <v>2509.1836800000001</v>
      </c>
      <c r="N276" s="6">
        <v>2613.7330000000002</v>
      </c>
      <c r="O276" s="6">
        <v>2509.1836800000001</v>
      </c>
      <c r="P276" s="6">
        <v>0</v>
      </c>
      <c r="Q276" s="4" t="s">
        <v>26</v>
      </c>
      <c r="R276" s="4">
        <v>0</v>
      </c>
      <c r="S276" s="4" t="s">
        <v>123</v>
      </c>
      <c r="T276" s="4" t="s">
        <v>268</v>
      </c>
      <c r="U276" s="4">
        <v>0</v>
      </c>
      <c r="V276" s="4">
        <v>47</v>
      </c>
      <c r="W276" s="4">
        <v>27</v>
      </c>
    </row>
    <row r="277" spans="1:23" ht="11.25" customHeight="1" x14ac:dyDescent="0.25">
      <c r="A277" s="4" t="s">
        <v>28</v>
      </c>
      <c r="B277" s="4" t="s">
        <v>33</v>
      </c>
      <c r="C277" s="4" t="s">
        <v>34</v>
      </c>
      <c r="D277" s="4" t="s">
        <v>41</v>
      </c>
      <c r="E277" s="4" t="s">
        <v>50</v>
      </c>
      <c r="F277" s="4" t="s">
        <v>25</v>
      </c>
      <c r="G277" s="4" t="s">
        <v>25</v>
      </c>
      <c r="H277" s="4" t="s">
        <v>36</v>
      </c>
      <c r="I277" s="5">
        <v>44470</v>
      </c>
      <c r="J277" s="6">
        <v>0</v>
      </c>
      <c r="K277" s="6">
        <v>0</v>
      </c>
      <c r="L277" s="6">
        <v>7.3719999999999999</v>
      </c>
      <c r="M277" s="6">
        <v>7.0771199999999999</v>
      </c>
      <c r="N277" s="6">
        <v>7.3719999999999999</v>
      </c>
      <c r="O277" s="6">
        <v>7.0771199999999999</v>
      </c>
      <c r="P277" s="6">
        <v>0</v>
      </c>
      <c r="Q277" s="4" t="s">
        <v>26</v>
      </c>
      <c r="R277" s="4">
        <v>0</v>
      </c>
      <c r="S277" s="4" t="s">
        <v>123</v>
      </c>
      <c r="T277" s="4" t="s">
        <v>268</v>
      </c>
      <c r="U277" s="4">
        <v>0</v>
      </c>
      <c r="V277" s="4">
        <v>47</v>
      </c>
      <c r="W277" s="4">
        <v>27</v>
      </c>
    </row>
    <row r="278" spans="1:23" ht="11.25" customHeight="1" x14ac:dyDescent="0.25">
      <c r="A278" s="4" t="s">
        <v>21</v>
      </c>
      <c r="B278" s="4" t="s">
        <v>33</v>
      </c>
      <c r="C278" s="4" t="s">
        <v>34</v>
      </c>
      <c r="D278" s="4" t="s">
        <v>41</v>
      </c>
      <c r="E278" s="4" t="s">
        <v>50</v>
      </c>
      <c r="F278" s="4" t="s">
        <v>25</v>
      </c>
      <c r="G278" s="4" t="s">
        <v>25</v>
      </c>
      <c r="H278" s="4" t="s">
        <v>36</v>
      </c>
      <c r="I278" s="5">
        <v>44501</v>
      </c>
      <c r="J278" s="6">
        <v>0</v>
      </c>
      <c r="K278" s="6">
        <v>0</v>
      </c>
      <c r="L278" s="6">
        <v>4457.0309999999999</v>
      </c>
      <c r="M278" s="6">
        <v>4278.7497599999997</v>
      </c>
      <c r="N278" s="6">
        <v>4457.0309999999999</v>
      </c>
      <c r="O278" s="6">
        <v>4278.7497599999997</v>
      </c>
      <c r="P278" s="6">
        <v>0</v>
      </c>
      <c r="Q278" s="4" t="s">
        <v>26</v>
      </c>
      <c r="R278" s="4">
        <v>0</v>
      </c>
      <c r="S278" s="4" t="s">
        <v>124</v>
      </c>
      <c r="T278" s="4" t="s">
        <v>269</v>
      </c>
      <c r="U278" s="4">
        <v>0</v>
      </c>
      <c r="V278" s="4">
        <v>47</v>
      </c>
      <c r="W278" s="4">
        <v>27</v>
      </c>
    </row>
    <row r="279" spans="1:23" ht="11.25" customHeight="1" x14ac:dyDescent="0.25">
      <c r="A279" s="4" t="s">
        <v>28</v>
      </c>
      <c r="B279" s="4" t="s">
        <v>33</v>
      </c>
      <c r="C279" s="4" t="s">
        <v>34</v>
      </c>
      <c r="D279" s="4" t="s">
        <v>41</v>
      </c>
      <c r="E279" s="4" t="s">
        <v>50</v>
      </c>
      <c r="F279" s="4" t="s">
        <v>25</v>
      </c>
      <c r="G279" s="4" t="s">
        <v>25</v>
      </c>
      <c r="H279" s="4" t="s">
        <v>36</v>
      </c>
      <c r="I279" s="5">
        <v>44501</v>
      </c>
      <c r="J279" s="6">
        <v>0</v>
      </c>
      <c r="K279" s="6">
        <v>0</v>
      </c>
      <c r="L279" s="6">
        <v>15.714</v>
      </c>
      <c r="M279" s="6">
        <v>15.08544</v>
      </c>
      <c r="N279" s="6">
        <v>15.714</v>
      </c>
      <c r="O279" s="6">
        <v>15.08544</v>
      </c>
      <c r="P279" s="6">
        <v>0</v>
      </c>
      <c r="Q279" s="4" t="s">
        <v>26</v>
      </c>
      <c r="R279" s="4">
        <v>0</v>
      </c>
      <c r="S279" s="4" t="s">
        <v>124</v>
      </c>
      <c r="T279" s="4" t="s">
        <v>269</v>
      </c>
      <c r="U279" s="4">
        <v>0</v>
      </c>
      <c r="V279" s="4">
        <v>47</v>
      </c>
      <c r="W279" s="4">
        <v>27</v>
      </c>
    </row>
    <row r="280" spans="1:23" ht="11.25" customHeight="1" x14ac:dyDescent="0.25">
      <c r="A280" s="4" t="s">
        <v>21</v>
      </c>
      <c r="B280" s="4" t="s">
        <v>33</v>
      </c>
      <c r="C280" s="4" t="s">
        <v>34</v>
      </c>
      <c r="D280" s="4" t="s">
        <v>41</v>
      </c>
      <c r="E280" s="4" t="s">
        <v>50</v>
      </c>
      <c r="F280" s="4" t="s">
        <v>25</v>
      </c>
      <c r="G280" s="4" t="s">
        <v>25</v>
      </c>
      <c r="H280" s="4" t="s">
        <v>36</v>
      </c>
      <c r="I280" s="5">
        <v>44531</v>
      </c>
      <c r="J280" s="6">
        <v>0</v>
      </c>
      <c r="K280" s="6">
        <v>0</v>
      </c>
      <c r="L280" s="6">
        <v>3668.5549999999998</v>
      </c>
      <c r="M280" s="6">
        <v>3521.8128000000002</v>
      </c>
      <c r="N280" s="6">
        <v>3668.5549999999998</v>
      </c>
      <c r="O280" s="6">
        <v>3521.8128000000002</v>
      </c>
      <c r="P280" s="6">
        <v>0</v>
      </c>
      <c r="Q280" s="4" t="s">
        <v>26</v>
      </c>
      <c r="R280" s="4">
        <v>0</v>
      </c>
      <c r="S280" s="4" t="s">
        <v>125</v>
      </c>
      <c r="T280" s="4" t="s">
        <v>270</v>
      </c>
      <c r="U280" s="4">
        <v>0</v>
      </c>
      <c r="V280" s="4">
        <v>47</v>
      </c>
      <c r="W280" s="4">
        <v>27</v>
      </c>
    </row>
    <row r="281" spans="1:23" ht="11.25" customHeight="1" x14ac:dyDescent="0.25">
      <c r="A281" s="4" t="s">
        <v>27</v>
      </c>
      <c r="B281" s="4" t="s">
        <v>33</v>
      </c>
      <c r="C281" s="4" t="s">
        <v>34</v>
      </c>
      <c r="D281" s="4" t="s">
        <v>41</v>
      </c>
      <c r="E281" s="4" t="s">
        <v>50</v>
      </c>
      <c r="F281" s="4" t="s">
        <v>25</v>
      </c>
      <c r="G281" s="4" t="s">
        <v>25</v>
      </c>
      <c r="H281" s="4" t="s">
        <v>36</v>
      </c>
      <c r="I281" s="5">
        <v>44531</v>
      </c>
      <c r="J281" s="6">
        <v>0</v>
      </c>
      <c r="K281" s="6">
        <v>0</v>
      </c>
      <c r="L281" s="6">
        <v>1.665</v>
      </c>
      <c r="M281" s="6">
        <v>1.5984</v>
      </c>
      <c r="N281" s="6">
        <v>1.665</v>
      </c>
      <c r="O281" s="6">
        <v>1.5984</v>
      </c>
      <c r="P281" s="6">
        <v>0</v>
      </c>
      <c r="Q281" s="4" t="s">
        <v>26</v>
      </c>
      <c r="R281" s="4">
        <v>0</v>
      </c>
      <c r="S281" s="4" t="s">
        <v>125</v>
      </c>
      <c r="T281" s="4" t="s">
        <v>270</v>
      </c>
      <c r="U281" s="4">
        <v>0</v>
      </c>
      <c r="V281" s="4">
        <v>47</v>
      </c>
      <c r="W281" s="4">
        <v>27</v>
      </c>
    </row>
    <row r="282" spans="1:23" ht="11.25" customHeight="1" x14ac:dyDescent="0.25">
      <c r="A282" s="4" t="s">
        <v>28</v>
      </c>
      <c r="B282" s="4" t="s">
        <v>33</v>
      </c>
      <c r="C282" s="4" t="s">
        <v>34</v>
      </c>
      <c r="D282" s="4" t="s">
        <v>41</v>
      </c>
      <c r="E282" s="4" t="s">
        <v>50</v>
      </c>
      <c r="F282" s="4" t="s">
        <v>25</v>
      </c>
      <c r="G282" s="4" t="s">
        <v>25</v>
      </c>
      <c r="H282" s="4" t="s">
        <v>36</v>
      </c>
      <c r="I282" s="5">
        <v>44531</v>
      </c>
      <c r="J282" s="6">
        <v>0</v>
      </c>
      <c r="K282" s="6">
        <v>0</v>
      </c>
      <c r="L282" s="6">
        <v>3.76</v>
      </c>
      <c r="M282" s="6">
        <v>3.6095999999999995</v>
      </c>
      <c r="N282" s="6">
        <v>3.76</v>
      </c>
      <c r="O282" s="6">
        <v>3.6095999999999995</v>
      </c>
      <c r="P282" s="6">
        <v>0</v>
      </c>
      <c r="Q282" s="4" t="s">
        <v>26</v>
      </c>
      <c r="R282" s="4">
        <v>0</v>
      </c>
      <c r="S282" s="4" t="s">
        <v>125</v>
      </c>
      <c r="T282" s="4" t="s">
        <v>270</v>
      </c>
      <c r="U282" s="4">
        <v>0</v>
      </c>
      <c r="V282" s="4">
        <v>47</v>
      </c>
      <c r="W282" s="4">
        <v>27</v>
      </c>
    </row>
    <row r="283" spans="1:23" ht="11.25" customHeight="1" x14ac:dyDescent="0.25">
      <c r="A283" s="4" t="s">
        <v>21</v>
      </c>
      <c r="B283" s="4" t="s">
        <v>33</v>
      </c>
      <c r="C283" s="4" t="s">
        <v>34</v>
      </c>
      <c r="D283" s="4" t="s">
        <v>41</v>
      </c>
      <c r="E283" s="4" t="s">
        <v>50</v>
      </c>
      <c r="F283" s="4" t="s">
        <v>25</v>
      </c>
      <c r="G283" s="4" t="s">
        <v>25</v>
      </c>
      <c r="H283" s="4" t="s">
        <v>36</v>
      </c>
      <c r="I283" s="5">
        <v>44562</v>
      </c>
      <c r="J283" s="6">
        <v>0</v>
      </c>
      <c r="K283" s="6">
        <v>0</v>
      </c>
      <c r="L283" s="6">
        <v>2265.0030000000002</v>
      </c>
      <c r="M283" s="6">
        <v>2174.4028800000001</v>
      </c>
      <c r="N283" s="6">
        <v>2265.0030000000002</v>
      </c>
      <c r="O283" s="6">
        <v>2174.4028800000001</v>
      </c>
      <c r="P283" s="6">
        <v>0</v>
      </c>
      <c r="Q283" s="4" t="s">
        <v>26</v>
      </c>
      <c r="R283" s="4">
        <v>0</v>
      </c>
      <c r="S283" s="4" t="s">
        <v>126</v>
      </c>
      <c r="T283" s="4" t="s">
        <v>271</v>
      </c>
      <c r="U283" s="4">
        <v>0</v>
      </c>
      <c r="V283" s="4">
        <v>47</v>
      </c>
      <c r="W283" s="4">
        <v>27</v>
      </c>
    </row>
    <row r="284" spans="1:23" ht="11.25" customHeight="1" x14ac:dyDescent="0.25">
      <c r="A284" s="4" t="s">
        <v>21</v>
      </c>
      <c r="B284" s="4" t="s">
        <v>33</v>
      </c>
      <c r="C284" s="4" t="s">
        <v>34</v>
      </c>
      <c r="D284" s="4" t="s">
        <v>41</v>
      </c>
      <c r="E284" s="4" t="s">
        <v>50</v>
      </c>
      <c r="F284" s="4" t="s">
        <v>25</v>
      </c>
      <c r="G284" s="4" t="s">
        <v>25</v>
      </c>
      <c r="H284" s="4" t="s">
        <v>36</v>
      </c>
      <c r="I284" s="5">
        <v>44593</v>
      </c>
      <c r="J284" s="6">
        <v>0</v>
      </c>
      <c r="K284" s="6">
        <v>0</v>
      </c>
      <c r="L284" s="6">
        <v>3510.4380000000001</v>
      </c>
      <c r="M284" s="6">
        <v>3370.0204800000001</v>
      </c>
      <c r="N284" s="6">
        <v>3510.4380000000001</v>
      </c>
      <c r="O284" s="6">
        <v>3370.0204800000001</v>
      </c>
      <c r="P284" s="6">
        <v>0</v>
      </c>
      <c r="Q284" s="4" t="s">
        <v>26</v>
      </c>
      <c r="R284" s="4">
        <v>0</v>
      </c>
      <c r="S284" s="4" t="s">
        <v>127</v>
      </c>
      <c r="T284" s="4" t="s">
        <v>272</v>
      </c>
      <c r="U284" s="4">
        <v>0</v>
      </c>
      <c r="V284" s="4">
        <v>47</v>
      </c>
      <c r="W284" s="4">
        <v>27</v>
      </c>
    </row>
    <row r="285" spans="1:23" ht="11.25" customHeight="1" x14ac:dyDescent="0.25">
      <c r="A285" s="4" t="s">
        <v>28</v>
      </c>
      <c r="B285" s="4" t="s">
        <v>33</v>
      </c>
      <c r="C285" s="4" t="s">
        <v>34</v>
      </c>
      <c r="D285" s="4" t="s">
        <v>41</v>
      </c>
      <c r="E285" s="4" t="s">
        <v>50</v>
      </c>
      <c r="F285" s="4" t="s">
        <v>25</v>
      </c>
      <c r="G285" s="4" t="s">
        <v>25</v>
      </c>
      <c r="H285" s="4" t="s">
        <v>36</v>
      </c>
      <c r="I285" s="5">
        <v>44593</v>
      </c>
      <c r="J285" s="6">
        <v>0</v>
      </c>
      <c r="K285" s="6">
        <v>0</v>
      </c>
      <c r="L285" s="6">
        <v>9.907</v>
      </c>
      <c r="M285" s="6">
        <v>9.5107199999999992</v>
      </c>
      <c r="N285" s="6">
        <v>9.907</v>
      </c>
      <c r="O285" s="6">
        <v>9.5107199999999992</v>
      </c>
      <c r="P285" s="6">
        <v>0</v>
      </c>
      <c r="Q285" s="4" t="s">
        <v>26</v>
      </c>
      <c r="R285" s="4">
        <v>0</v>
      </c>
      <c r="S285" s="4" t="s">
        <v>127</v>
      </c>
      <c r="T285" s="4" t="s">
        <v>272</v>
      </c>
      <c r="U285" s="4">
        <v>0</v>
      </c>
      <c r="V285" s="4">
        <v>47</v>
      </c>
      <c r="W285" s="4">
        <v>27</v>
      </c>
    </row>
    <row r="286" spans="1:23" ht="11.25" customHeight="1" x14ac:dyDescent="0.25">
      <c r="A286" s="4" t="s">
        <v>54</v>
      </c>
      <c r="B286" s="4" t="s">
        <v>33</v>
      </c>
      <c r="C286" s="4" t="s">
        <v>34</v>
      </c>
      <c r="D286" s="4" t="s">
        <v>41</v>
      </c>
      <c r="E286" s="4" t="s">
        <v>50</v>
      </c>
      <c r="F286" s="4" t="s">
        <v>25</v>
      </c>
      <c r="G286" s="4" t="s">
        <v>25</v>
      </c>
      <c r="H286" s="4" t="s">
        <v>36</v>
      </c>
      <c r="I286" s="5">
        <v>44621</v>
      </c>
      <c r="J286" s="6">
        <v>0</v>
      </c>
      <c r="K286" s="6">
        <v>0</v>
      </c>
      <c r="L286" s="6">
        <v>3510.4380000000001</v>
      </c>
      <c r="M286" s="6">
        <v>3370.0204800000001</v>
      </c>
      <c r="N286" s="6">
        <v>3510.4380000000001</v>
      </c>
      <c r="O286" s="6">
        <v>3370.0204800000001</v>
      </c>
      <c r="P286" s="6">
        <v>0</v>
      </c>
      <c r="Q286" s="4" t="s">
        <v>26</v>
      </c>
      <c r="R286" s="4">
        <v>0</v>
      </c>
      <c r="S286" s="4" t="s">
        <v>128</v>
      </c>
      <c r="T286" s="4" t="s">
        <v>273</v>
      </c>
      <c r="U286" s="4">
        <v>0</v>
      </c>
      <c r="V286" s="4">
        <v>47</v>
      </c>
      <c r="W286" s="4">
        <v>27</v>
      </c>
    </row>
    <row r="287" spans="1:23" ht="11.25" customHeight="1" x14ac:dyDescent="0.25">
      <c r="A287" s="4" t="s">
        <v>54</v>
      </c>
      <c r="B287" s="4" t="s">
        <v>33</v>
      </c>
      <c r="C287" s="4" t="s">
        <v>34</v>
      </c>
      <c r="D287" s="4" t="s">
        <v>41</v>
      </c>
      <c r="E287" s="4" t="s">
        <v>50</v>
      </c>
      <c r="F287" s="4" t="s">
        <v>25</v>
      </c>
      <c r="G287" s="4" t="s">
        <v>25</v>
      </c>
      <c r="H287" s="4" t="s">
        <v>36</v>
      </c>
      <c r="I287" s="5">
        <v>44621</v>
      </c>
      <c r="J287" s="6">
        <v>0</v>
      </c>
      <c r="K287" s="6">
        <v>0</v>
      </c>
      <c r="L287" s="6">
        <v>9.907</v>
      </c>
      <c r="M287" s="6">
        <v>9.5107199999999992</v>
      </c>
      <c r="N287" s="6">
        <v>9.907</v>
      </c>
      <c r="O287" s="6">
        <v>9.5107199999999992</v>
      </c>
      <c r="P287" s="6">
        <v>0</v>
      </c>
      <c r="Q287" s="4" t="s">
        <v>26</v>
      </c>
      <c r="R287" s="4">
        <v>0</v>
      </c>
      <c r="S287" s="4" t="s">
        <v>128</v>
      </c>
      <c r="T287" s="4" t="s">
        <v>273</v>
      </c>
      <c r="U287" s="4">
        <v>0</v>
      </c>
      <c r="V287" s="4">
        <v>47</v>
      </c>
      <c r="W287" s="4">
        <v>27</v>
      </c>
    </row>
    <row r="288" spans="1:23" ht="11.25" customHeight="1" x14ac:dyDescent="0.25">
      <c r="A288" s="4" t="s">
        <v>21</v>
      </c>
      <c r="B288" s="4" t="s">
        <v>33</v>
      </c>
      <c r="C288" s="4" t="s">
        <v>34</v>
      </c>
      <c r="D288" s="4" t="s">
        <v>41</v>
      </c>
      <c r="E288" s="4" t="s">
        <v>50</v>
      </c>
      <c r="F288" s="4" t="s">
        <v>25</v>
      </c>
      <c r="G288" s="4" t="s">
        <v>25</v>
      </c>
      <c r="H288" s="4" t="s">
        <v>25</v>
      </c>
      <c r="I288" s="5">
        <v>44287</v>
      </c>
      <c r="J288" s="6">
        <v>39572</v>
      </c>
      <c r="K288" s="6">
        <v>37989.119999999995</v>
      </c>
      <c r="L288" s="6">
        <v>0</v>
      </c>
      <c r="M288" s="6">
        <v>0</v>
      </c>
      <c r="N288" s="6">
        <v>0</v>
      </c>
      <c r="O288" s="6">
        <v>0</v>
      </c>
      <c r="P288" s="6">
        <v>270</v>
      </c>
      <c r="Q288" s="4" t="s">
        <v>26</v>
      </c>
      <c r="R288" s="4">
        <v>0</v>
      </c>
      <c r="S288" s="4" t="s">
        <v>129</v>
      </c>
      <c r="U288" s="4">
        <v>65</v>
      </c>
      <c r="V288" s="4">
        <v>0</v>
      </c>
      <c r="W288" s="4">
        <v>0</v>
      </c>
    </row>
    <row r="289" spans="1:23" ht="11.25" customHeight="1" x14ac:dyDescent="0.25">
      <c r="A289" s="4" t="s">
        <v>21</v>
      </c>
      <c r="B289" s="4" t="s">
        <v>33</v>
      </c>
      <c r="C289" s="4" t="s">
        <v>34</v>
      </c>
      <c r="D289" s="4" t="s">
        <v>41</v>
      </c>
      <c r="E289" s="4" t="s">
        <v>50</v>
      </c>
      <c r="F289" s="4" t="s">
        <v>25</v>
      </c>
      <c r="G289" s="4" t="s">
        <v>25</v>
      </c>
      <c r="H289" s="4" t="s">
        <v>25</v>
      </c>
      <c r="I289" s="5">
        <v>44317</v>
      </c>
      <c r="J289" s="6">
        <v>39314</v>
      </c>
      <c r="K289" s="6">
        <v>37560.595600000001</v>
      </c>
      <c r="L289" s="6">
        <v>0</v>
      </c>
      <c r="M289" s="6">
        <v>0</v>
      </c>
      <c r="N289" s="6">
        <v>0</v>
      </c>
      <c r="O289" s="6">
        <v>0</v>
      </c>
      <c r="P289" s="6">
        <v>273</v>
      </c>
      <c r="Q289" s="4" t="s">
        <v>26</v>
      </c>
      <c r="R289" s="4">
        <v>0</v>
      </c>
      <c r="S289" s="4" t="s">
        <v>130</v>
      </c>
      <c r="U289" s="4">
        <v>65</v>
      </c>
      <c r="V289" s="4">
        <v>0</v>
      </c>
      <c r="W289" s="4">
        <v>0</v>
      </c>
    </row>
    <row r="290" spans="1:23" ht="11.25" customHeight="1" x14ac:dyDescent="0.25">
      <c r="A290" s="4" t="s">
        <v>21</v>
      </c>
      <c r="B290" s="4" t="s">
        <v>33</v>
      </c>
      <c r="C290" s="4" t="s">
        <v>34</v>
      </c>
      <c r="D290" s="4" t="s">
        <v>41</v>
      </c>
      <c r="E290" s="4" t="s">
        <v>50</v>
      </c>
      <c r="F290" s="4" t="s">
        <v>25</v>
      </c>
      <c r="G290" s="4" t="s">
        <v>25</v>
      </c>
      <c r="H290" s="4" t="s">
        <v>25</v>
      </c>
      <c r="I290" s="5">
        <v>44348</v>
      </c>
      <c r="J290" s="6">
        <v>26683</v>
      </c>
      <c r="K290" s="6">
        <v>25615.68</v>
      </c>
      <c r="L290" s="6">
        <v>0</v>
      </c>
      <c r="M290" s="6">
        <v>0</v>
      </c>
      <c r="N290" s="6">
        <v>0</v>
      </c>
      <c r="O290" s="6">
        <v>0</v>
      </c>
      <c r="P290" s="6">
        <v>271</v>
      </c>
      <c r="Q290" s="4" t="s">
        <v>26</v>
      </c>
      <c r="R290" s="4">
        <v>0</v>
      </c>
      <c r="S290" s="4" t="s">
        <v>131</v>
      </c>
      <c r="U290" s="4">
        <v>65</v>
      </c>
      <c r="V290" s="4">
        <v>0</v>
      </c>
      <c r="W290" s="4">
        <v>0</v>
      </c>
    </row>
    <row r="291" spans="1:23" ht="11.25" customHeight="1" x14ac:dyDescent="0.25">
      <c r="A291" s="4" t="s">
        <v>28</v>
      </c>
      <c r="B291" s="4" t="s">
        <v>33</v>
      </c>
      <c r="C291" s="4" t="s">
        <v>34</v>
      </c>
      <c r="D291" s="4" t="s">
        <v>41</v>
      </c>
      <c r="E291" s="4" t="s">
        <v>50</v>
      </c>
      <c r="F291" s="4" t="s">
        <v>25</v>
      </c>
      <c r="G291" s="4" t="s">
        <v>25</v>
      </c>
      <c r="H291" s="4" t="s">
        <v>25</v>
      </c>
      <c r="I291" s="5">
        <v>44348</v>
      </c>
      <c r="J291" s="6">
        <v>97</v>
      </c>
      <c r="K291" s="6">
        <v>93.11999999999999</v>
      </c>
      <c r="L291" s="6">
        <v>0</v>
      </c>
      <c r="M291" s="6">
        <v>0</v>
      </c>
      <c r="N291" s="6">
        <v>0</v>
      </c>
      <c r="O291" s="6">
        <v>0</v>
      </c>
      <c r="P291" s="6">
        <v>1</v>
      </c>
      <c r="Q291" s="4" t="s">
        <v>26</v>
      </c>
      <c r="R291" s="4">
        <v>0</v>
      </c>
      <c r="S291" s="4" t="s">
        <v>131</v>
      </c>
      <c r="U291" s="4">
        <v>65</v>
      </c>
      <c r="V291" s="4">
        <v>0</v>
      </c>
      <c r="W291" s="4">
        <v>0</v>
      </c>
    </row>
    <row r="292" spans="1:23" ht="11.25" customHeight="1" x14ac:dyDescent="0.25">
      <c r="A292" s="4" t="s">
        <v>21</v>
      </c>
      <c r="B292" s="4" t="s">
        <v>33</v>
      </c>
      <c r="C292" s="4" t="s">
        <v>34</v>
      </c>
      <c r="D292" s="4" t="s">
        <v>41</v>
      </c>
      <c r="E292" s="4" t="s">
        <v>50</v>
      </c>
      <c r="F292" s="4" t="s">
        <v>25</v>
      </c>
      <c r="G292" s="4" t="s">
        <v>25</v>
      </c>
      <c r="H292" s="4" t="s">
        <v>25</v>
      </c>
      <c r="I292" s="5">
        <v>44378</v>
      </c>
      <c r="J292" s="6">
        <v>35636</v>
      </c>
      <c r="K292" s="6">
        <v>34210.559999999998</v>
      </c>
      <c r="L292" s="6">
        <v>0</v>
      </c>
      <c r="M292" s="6">
        <v>0</v>
      </c>
      <c r="N292" s="6">
        <v>0</v>
      </c>
      <c r="O292" s="6">
        <v>0</v>
      </c>
      <c r="P292" s="6">
        <v>272</v>
      </c>
      <c r="Q292" s="4" t="s">
        <v>26</v>
      </c>
      <c r="R292" s="4">
        <v>0</v>
      </c>
      <c r="S292" s="4" t="s">
        <v>132</v>
      </c>
      <c r="U292" s="4">
        <v>65</v>
      </c>
      <c r="V292" s="4">
        <v>0</v>
      </c>
      <c r="W292" s="4">
        <v>0</v>
      </c>
    </row>
    <row r="293" spans="1:23" ht="11.25" customHeight="1" x14ac:dyDescent="0.25">
      <c r="A293" s="4" t="s">
        <v>28</v>
      </c>
      <c r="B293" s="4" t="s">
        <v>33</v>
      </c>
      <c r="C293" s="4" t="s">
        <v>34</v>
      </c>
      <c r="D293" s="4" t="s">
        <v>41</v>
      </c>
      <c r="E293" s="4" t="s">
        <v>50</v>
      </c>
      <c r="F293" s="4" t="s">
        <v>25</v>
      </c>
      <c r="G293" s="4" t="s">
        <v>25</v>
      </c>
      <c r="H293" s="4" t="s">
        <v>25</v>
      </c>
      <c r="I293" s="5">
        <v>44378</v>
      </c>
      <c r="J293" s="6">
        <v>99</v>
      </c>
      <c r="K293" s="6">
        <v>95.039999999999992</v>
      </c>
      <c r="L293" s="6">
        <v>0</v>
      </c>
      <c r="M293" s="6">
        <v>0</v>
      </c>
      <c r="N293" s="6">
        <v>0</v>
      </c>
      <c r="O293" s="6">
        <v>0</v>
      </c>
      <c r="P293" s="6">
        <v>1</v>
      </c>
      <c r="Q293" s="4" t="s">
        <v>26</v>
      </c>
      <c r="R293" s="4">
        <v>0</v>
      </c>
      <c r="S293" s="4" t="s">
        <v>132</v>
      </c>
      <c r="U293" s="4">
        <v>65</v>
      </c>
      <c r="V293" s="4">
        <v>0</v>
      </c>
      <c r="W293" s="4">
        <v>0</v>
      </c>
    </row>
    <row r="294" spans="1:23" ht="11.25" customHeight="1" x14ac:dyDescent="0.25">
      <c r="A294" s="4" t="s">
        <v>21</v>
      </c>
      <c r="B294" s="4" t="s">
        <v>33</v>
      </c>
      <c r="C294" s="4" t="s">
        <v>34</v>
      </c>
      <c r="D294" s="4" t="s">
        <v>41</v>
      </c>
      <c r="E294" s="4" t="s">
        <v>50</v>
      </c>
      <c r="F294" s="4" t="s">
        <v>25</v>
      </c>
      <c r="G294" s="4" t="s">
        <v>25</v>
      </c>
      <c r="H294" s="4" t="s">
        <v>25</v>
      </c>
      <c r="I294" s="5">
        <v>44409</v>
      </c>
      <c r="J294" s="6">
        <v>40625</v>
      </c>
      <c r="K294" s="6">
        <v>39000</v>
      </c>
      <c r="L294" s="6">
        <v>0</v>
      </c>
      <c r="M294" s="6">
        <v>0</v>
      </c>
      <c r="N294" s="6">
        <v>0</v>
      </c>
      <c r="O294" s="6">
        <v>0</v>
      </c>
      <c r="P294" s="6">
        <v>276</v>
      </c>
      <c r="Q294" s="4" t="s">
        <v>26</v>
      </c>
      <c r="R294" s="4">
        <v>0</v>
      </c>
      <c r="S294" s="4" t="s">
        <v>133</v>
      </c>
      <c r="U294" s="4">
        <v>65</v>
      </c>
      <c r="V294" s="4">
        <v>0</v>
      </c>
      <c r="W294" s="4">
        <v>0</v>
      </c>
    </row>
    <row r="295" spans="1:23" ht="11.25" customHeight="1" x14ac:dyDescent="0.25">
      <c r="A295" s="4" t="s">
        <v>28</v>
      </c>
      <c r="B295" s="4" t="s">
        <v>33</v>
      </c>
      <c r="C295" s="4" t="s">
        <v>34</v>
      </c>
      <c r="D295" s="4" t="s">
        <v>41</v>
      </c>
      <c r="E295" s="4" t="s">
        <v>50</v>
      </c>
      <c r="F295" s="4" t="s">
        <v>25</v>
      </c>
      <c r="G295" s="4" t="s">
        <v>25</v>
      </c>
      <c r="H295" s="4" t="s">
        <v>25</v>
      </c>
      <c r="I295" s="5">
        <v>44409</v>
      </c>
      <c r="J295" s="6">
        <v>121</v>
      </c>
      <c r="K295" s="6">
        <v>116.16</v>
      </c>
      <c r="L295" s="6">
        <v>0</v>
      </c>
      <c r="M295" s="6">
        <v>0</v>
      </c>
      <c r="N295" s="6">
        <v>0</v>
      </c>
      <c r="O295" s="6">
        <v>0</v>
      </c>
      <c r="P295" s="6">
        <v>1</v>
      </c>
      <c r="Q295" s="4" t="s">
        <v>26</v>
      </c>
      <c r="R295" s="4">
        <v>0</v>
      </c>
      <c r="S295" s="4" t="s">
        <v>133</v>
      </c>
      <c r="U295" s="4">
        <v>65</v>
      </c>
      <c r="V295" s="4">
        <v>0</v>
      </c>
      <c r="W295" s="4">
        <v>0</v>
      </c>
    </row>
    <row r="296" spans="1:23" ht="11.25" customHeight="1" x14ac:dyDescent="0.25">
      <c r="A296" s="4" t="s">
        <v>21</v>
      </c>
      <c r="B296" s="4" t="s">
        <v>33</v>
      </c>
      <c r="C296" s="4" t="s">
        <v>34</v>
      </c>
      <c r="D296" s="4" t="s">
        <v>41</v>
      </c>
      <c r="E296" s="4" t="s">
        <v>50</v>
      </c>
      <c r="F296" s="4" t="s">
        <v>25</v>
      </c>
      <c r="G296" s="4" t="s">
        <v>25</v>
      </c>
      <c r="H296" s="4" t="s">
        <v>25</v>
      </c>
      <c r="I296" s="5">
        <v>44440</v>
      </c>
      <c r="J296" s="6">
        <v>42303</v>
      </c>
      <c r="K296" s="6">
        <v>40610.879999999997</v>
      </c>
      <c r="L296" s="6">
        <v>0</v>
      </c>
      <c r="M296" s="6">
        <v>0</v>
      </c>
      <c r="N296" s="6">
        <v>0</v>
      </c>
      <c r="O296" s="6">
        <v>0</v>
      </c>
      <c r="P296" s="6">
        <v>281</v>
      </c>
      <c r="Q296" s="4" t="s">
        <v>26</v>
      </c>
      <c r="R296" s="4">
        <v>0</v>
      </c>
      <c r="S296" s="4" t="s">
        <v>134</v>
      </c>
      <c r="U296" s="4">
        <v>65</v>
      </c>
      <c r="V296" s="4">
        <v>0</v>
      </c>
      <c r="W296" s="4">
        <v>0</v>
      </c>
    </row>
    <row r="297" spans="1:23" ht="11.25" customHeight="1" x14ac:dyDescent="0.25">
      <c r="A297" s="4" t="s">
        <v>28</v>
      </c>
      <c r="B297" s="4" t="s">
        <v>33</v>
      </c>
      <c r="C297" s="4" t="s">
        <v>34</v>
      </c>
      <c r="D297" s="4" t="s">
        <v>41</v>
      </c>
      <c r="E297" s="4" t="s">
        <v>50</v>
      </c>
      <c r="F297" s="4" t="s">
        <v>25</v>
      </c>
      <c r="G297" s="4" t="s">
        <v>25</v>
      </c>
      <c r="H297" s="4" t="s">
        <v>25</v>
      </c>
      <c r="I297" s="5">
        <v>44440</v>
      </c>
      <c r="J297" s="6">
        <v>122</v>
      </c>
      <c r="K297" s="6">
        <v>117.11999999999999</v>
      </c>
      <c r="L297" s="6">
        <v>0</v>
      </c>
      <c r="M297" s="6">
        <v>0</v>
      </c>
      <c r="N297" s="6">
        <v>0</v>
      </c>
      <c r="O297" s="6">
        <v>0</v>
      </c>
      <c r="P297" s="6">
        <v>1</v>
      </c>
      <c r="Q297" s="4" t="s">
        <v>26</v>
      </c>
      <c r="R297" s="4">
        <v>0</v>
      </c>
      <c r="S297" s="4" t="s">
        <v>134</v>
      </c>
      <c r="U297" s="4">
        <v>65</v>
      </c>
      <c r="V297" s="4">
        <v>0</v>
      </c>
      <c r="W297" s="4">
        <v>0</v>
      </c>
    </row>
    <row r="298" spans="1:23" ht="11.25" customHeight="1" x14ac:dyDescent="0.25">
      <c r="A298" s="4" t="s">
        <v>21</v>
      </c>
      <c r="B298" s="4" t="s">
        <v>33</v>
      </c>
      <c r="C298" s="4" t="s">
        <v>34</v>
      </c>
      <c r="D298" s="4" t="s">
        <v>41</v>
      </c>
      <c r="E298" s="4" t="s">
        <v>50</v>
      </c>
      <c r="F298" s="4" t="s">
        <v>25</v>
      </c>
      <c r="G298" s="4" t="s">
        <v>25</v>
      </c>
      <c r="H298" s="4" t="s">
        <v>25</v>
      </c>
      <c r="I298" s="5">
        <v>44470</v>
      </c>
      <c r="J298" s="6">
        <v>47299</v>
      </c>
      <c r="K298" s="6">
        <v>45407.040000000001</v>
      </c>
      <c r="L298" s="6">
        <v>0</v>
      </c>
      <c r="M298" s="6">
        <v>0</v>
      </c>
      <c r="N298" s="6">
        <v>0</v>
      </c>
      <c r="O298" s="6">
        <v>0</v>
      </c>
      <c r="P298" s="6">
        <v>282</v>
      </c>
      <c r="Q298" s="4" t="s">
        <v>26</v>
      </c>
      <c r="R298" s="4">
        <v>0</v>
      </c>
      <c r="S298" s="4" t="s">
        <v>135</v>
      </c>
      <c r="U298" s="4">
        <v>65</v>
      </c>
      <c r="V298" s="4">
        <v>0</v>
      </c>
      <c r="W298" s="4">
        <v>0</v>
      </c>
    </row>
    <row r="299" spans="1:23" ht="11.25" customHeight="1" x14ac:dyDescent="0.25">
      <c r="A299" s="4" t="s">
        <v>28</v>
      </c>
      <c r="B299" s="4" t="s">
        <v>33</v>
      </c>
      <c r="C299" s="4" t="s">
        <v>34</v>
      </c>
      <c r="D299" s="4" t="s">
        <v>41</v>
      </c>
      <c r="E299" s="4" t="s">
        <v>50</v>
      </c>
      <c r="F299" s="4" t="s">
        <v>25</v>
      </c>
      <c r="G299" s="4" t="s">
        <v>25</v>
      </c>
      <c r="H299" s="4" t="s">
        <v>25</v>
      </c>
      <c r="I299" s="5">
        <v>44470</v>
      </c>
      <c r="J299" s="6">
        <v>121</v>
      </c>
      <c r="K299" s="6">
        <v>116.16</v>
      </c>
      <c r="L299" s="6">
        <v>0</v>
      </c>
      <c r="M299" s="6">
        <v>0</v>
      </c>
      <c r="N299" s="6">
        <v>0</v>
      </c>
      <c r="O299" s="6">
        <v>0</v>
      </c>
      <c r="P299" s="6">
        <v>1</v>
      </c>
      <c r="Q299" s="4" t="s">
        <v>26</v>
      </c>
      <c r="R299" s="4">
        <v>0</v>
      </c>
      <c r="S299" s="4" t="s">
        <v>135</v>
      </c>
      <c r="U299" s="4">
        <v>65</v>
      </c>
      <c r="V299" s="4">
        <v>0</v>
      </c>
      <c r="W299" s="4">
        <v>0</v>
      </c>
    </row>
    <row r="300" spans="1:23" ht="11.25" customHeight="1" x14ac:dyDescent="0.25">
      <c r="A300" s="4" t="s">
        <v>21</v>
      </c>
      <c r="B300" s="4" t="s">
        <v>33</v>
      </c>
      <c r="C300" s="4" t="s">
        <v>34</v>
      </c>
      <c r="D300" s="4" t="s">
        <v>41</v>
      </c>
      <c r="E300" s="4" t="s">
        <v>50</v>
      </c>
      <c r="F300" s="4" t="s">
        <v>25</v>
      </c>
      <c r="G300" s="4" t="s">
        <v>25</v>
      </c>
      <c r="H300" s="4" t="s">
        <v>25</v>
      </c>
      <c r="I300" s="5">
        <v>44501</v>
      </c>
      <c r="J300" s="6">
        <v>46838</v>
      </c>
      <c r="K300" s="6">
        <v>44964.480000000003</v>
      </c>
      <c r="L300" s="6">
        <v>0</v>
      </c>
      <c r="M300" s="6">
        <v>0</v>
      </c>
      <c r="N300" s="6">
        <v>0</v>
      </c>
      <c r="O300" s="6">
        <v>0</v>
      </c>
      <c r="P300" s="6">
        <v>281</v>
      </c>
      <c r="Q300" s="4" t="s">
        <v>26</v>
      </c>
      <c r="R300" s="4">
        <v>0</v>
      </c>
      <c r="S300" s="4" t="s">
        <v>136</v>
      </c>
      <c r="U300" s="4">
        <v>65</v>
      </c>
      <c r="V300" s="4">
        <v>0</v>
      </c>
      <c r="W300" s="4">
        <v>0</v>
      </c>
    </row>
    <row r="301" spans="1:23" ht="11.25" customHeight="1" x14ac:dyDescent="0.25">
      <c r="A301" s="4" t="s">
        <v>28</v>
      </c>
      <c r="B301" s="4" t="s">
        <v>33</v>
      </c>
      <c r="C301" s="4" t="s">
        <v>34</v>
      </c>
      <c r="D301" s="4" t="s">
        <v>41</v>
      </c>
      <c r="E301" s="4" t="s">
        <v>50</v>
      </c>
      <c r="F301" s="4" t="s">
        <v>25</v>
      </c>
      <c r="G301" s="4" t="s">
        <v>25</v>
      </c>
      <c r="H301" s="4" t="s">
        <v>25</v>
      </c>
      <c r="I301" s="5">
        <v>44501</v>
      </c>
      <c r="J301" s="6">
        <v>121</v>
      </c>
      <c r="K301" s="6">
        <v>116.16</v>
      </c>
      <c r="L301" s="6">
        <v>0</v>
      </c>
      <c r="M301" s="6">
        <v>0</v>
      </c>
      <c r="N301" s="6">
        <v>0</v>
      </c>
      <c r="O301" s="6">
        <v>0</v>
      </c>
      <c r="P301" s="6">
        <v>1</v>
      </c>
      <c r="Q301" s="4" t="s">
        <v>26</v>
      </c>
      <c r="R301" s="4">
        <v>0</v>
      </c>
      <c r="S301" s="4" t="s">
        <v>136</v>
      </c>
      <c r="U301" s="4">
        <v>65</v>
      </c>
      <c r="V301" s="4">
        <v>0</v>
      </c>
      <c r="W301" s="4">
        <v>0</v>
      </c>
    </row>
    <row r="302" spans="1:23" ht="11.25" customHeight="1" x14ac:dyDescent="0.25">
      <c r="A302" s="4" t="s">
        <v>21</v>
      </c>
      <c r="B302" s="4" t="s">
        <v>33</v>
      </c>
      <c r="C302" s="4" t="s">
        <v>34</v>
      </c>
      <c r="D302" s="4" t="s">
        <v>41</v>
      </c>
      <c r="E302" s="4" t="s">
        <v>50</v>
      </c>
      <c r="F302" s="4" t="s">
        <v>25</v>
      </c>
      <c r="G302" s="4" t="s">
        <v>25</v>
      </c>
      <c r="H302" s="4" t="s">
        <v>25</v>
      </c>
      <c r="I302" s="5">
        <v>44531</v>
      </c>
      <c r="J302" s="6">
        <v>45532</v>
      </c>
      <c r="K302" s="6">
        <v>43710.720000000001</v>
      </c>
      <c r="L302" s="6">
        <v>0</v>
      </c>
      <c r="M302" s="6">
        <v>0</v>
      </c>
      <c r="N302" s="6">
        <v>0</v>
      </c>
      <c r="O302" s="6">
        <v>0</v>
      </c>
      <c r="P302" s="6">
        <v>283</v>
      </c>
      <c r="Q302" s="4" t="s">
        <v>26</v>
      </c>
      <c r="R302" s="4">
        <v>0</v>
      </c>
      <c r="S302" s="4" t="s">
        <v>137</v>
      </c>
      <c r="U302" s="4">
        <v>65</v>
      </c>
      <c r="V302" s="4">
        <v>0</v>
      </c>
      <c r="W302" s="4">
        <v>0</v>
      </c>
    </row>
    <row r="303" spans="1:23" ht="11.25" customHeight="1" x14ac:dyDescent="0.25">
      <c r="A303" s="4" t="s">
        <v>28</v>
      </c>
      <c r="B303" s="4" t="s">
        <v>33</v>
      </c>
      <c r="C303" s="4" t="s">
        <v>34</v>
      </c>
      <c r="D303" s="4" t="s">
        <v>41</v>
      </c>
      <c r="E303" s="4" t="s">
        <v>50</v>
      </c>
      <c r="F303" s="4" t="s">
        <v>25</v>
      </c>
      <c r="G303" s="4" t="s">
        <v>25</v>
      </c>
      <c r="H303" s="4" t="s">
        <v>25</v>
      </c>
      <c r="I303" s="5">
        <v>44531</v>
      </c>
      <c r="J303" s="6">
        <v>119</v>
      </c>
      <c r="K303" s="6">
        <v>114.24</v>
      </c>
      <c r="L303" s="6">
        <v>0</v>
      </c>
      <c r="M303" s="6">
        <v>0</v>
      </c>
      <c r="N303" s="6">
        <v>0</v>
      </c>
      <c r="O303" s="6">
        <v>0</v>
      </c>
      <c r="P303" s="6">
        <v>1</v>
      </c>
      <c r="Q303" s="4" t="s">
        <v>26</v>
      </c>
      <c r="R303" s="4">
        <v>0</v>
      </c>
      <c r="S303" s="4" t="s">
        <v>137</v>
      </c>
      <c r="U303" s="4">
        <v>65</v>
      </c>
      <c r="V303" s="4">
        <v>0</v>
      </c>
      <c r="W303" s="4">
        <v>0</v>
      </c>
    </row>
    <row r="304" spans="1:23" ht="11.25" customHeight="1" x14ac:dyDescent="0.25">
      <c r="A304" s="4" t="s">
        <v>21</v>
      </c>
      <c r="B304" s="4" t="s">
        <v>33</v>
      </c>
      <c r="C304" s="4" t="s">
        <v>34</v>
      </c>
      <c r="D304" s="4" t="s">
        <v>41</v>
      </c>
      <c r="E304" s="4" t="s">
        <v>50</v>
      </c>
      <c r="F304" s="4" t="s">
        <v>25</v>
      </c>
      <c r="G304" s="4" t="s">
        <v>25</v>
      </c>
      <c r="H304" s="4" t="s">
        <v>25</v>
      </c>
      <c r="I304" s="5">
        <v>44562</v>
      </c>
      <c r="J304" s="6">
        <v>43263</v>
      </c>
      <c r="K304" s="6">
        <v>41532.480000000003</v>
      </c>
      <c r="L304" s="6">
        <v>0</v>
      </c>
      <c r="M304" s="6">
        <v>0</v>
      </c>
      <c r="N304" s="6">
        <v>0</v>
      </c>
      <c r="O304" s="6">
        <v>0</v>
      </c>
      <c r="P304" s="6">
        <v>283</v>
      </c>
      <c r="Q304" s="4" t="s">
        <v>26</v>
      </c>
      <c r="R304" s="4">
        <v>0</v>
      </c>
      <c r="S304" s="4" t="s">
        <v>138</v>
      </c>
      <c r="U304" s="4">
        <v>65</v>
      </c>
      <c r="V304" s="4">
        <v>0</v>
      </c>
      <c r="W304" s="4">
        <v>0</v>
      </c>
    </row>
    <row r="305" spans="1:23" ht="11.25" customHeight="1" x14ac:dyDescent="0.25">
      <c r="A305" s="4" t="s">
        <v>28</v>
      </c>
      <c r="B305" s="4" t="s">
        <v>33</v>
      </c>
      <c r="C305" s="4" t="s">
        <v>34</v>
      </c>
      <c r="D305" s="4" t="s">
        <v>41</v>
      </c>
      <c r="E305" s="4" t="s">
        <v>50</v>
      </c>
      <c r="F305" s="4" t="s">
        <v>25</v>
      </c>
      <c r="G305" s="4" t="s">
        <v>25</v>
      </c>
      <c r="H305" s="4" t="s">
        <v>25</v>
      </c>
      <c r="I305" s="5">
        <v>44562</v>
      </c>
      <c r="J305" s="6">
        <v>95</v>
      </c>
      <c r="K305" s="6">
        <v>91.2</v>
      </c>
      <c r="L305" s="6">
        <v>0</v>
      </c>
      <c r="M305" s="6">
        <v>0</v>
      </c>
      <c r="N305" s="6">
        <v>0</v>
      </c>
      <c r="O305" s="6">
        <v>0</v>
      </c>
      <c r="P305" s="6">
        <v>1</v>
      </c>
      <c r="Q305" s="4" t="s">
        <v>26</v>
      </c>
      <c r="R305" s="4">
        <v>0</v>
      </c>
      <c r="S305" s="4" t="s">
        <v>138</v>
      </c>
      <c r="U305" s="4">
        <v>65</v>
      </c>
      <c r="V305" s="4">
        <v>0</v>
      </c>
      <c r="W305" s="4">
        <v>0</v>
      </c>
    </row>
    <row r="306" spans="1:23" ht="11.25" customHeight="1" x14ac:dyDescent="0.25">
      <c r="A306" s="4" t="s">
        <v>21</v>
      </c>
      <c r="B306" s="4" t="s">
        <v>33</v>
      </c>
      <c r="C306" s="4" t="s">
        <v>34</v>
      </c>
      <c r="D306" s="4" t="s">
        <v>41</v>
      </c>
      <c r="E306" s="4" t="s">
        <v>50</v>
      </c>
      <c r="F306" s="4" t="s">
        <v>25</v>
      </c>
      <c r="G306" s="4" t="s">
        <v>25</v>
      </c>
      <c r="H306" s="4" t="s">
        <v>25</v>
      </c>
      <c r="I306" s="5">
        <v>44593</v>
      </c>
      <c r="J306" s="6">
        <v>43841</v>
      </c>
      <c r="K306" s="6">
        <v>42087.360000000001</v>
      </c>
      <c r="L306" s="6">
        <v>0</v>
      </c>
      <c r="M306" s="6">
        <v>0</v>
      </c>
      <c r="N306" s="6">
        <v>0</v>
      </c>
      <c r="O306" s="6">
        <v>0</v>
      </c>
      <c r="P306" s="6">
        <v>283</v>
      </c>
      <c r="Q306" s="4" t="s">
        <v>26</v>
      </c>
      <c r="R306" s="4">
        <v>0</v>
      </c>
      <c r="S306" s="4" t="s">
        <v>139</v>
      </c>
      <c r="U306" s="4">
        <v>65</v>
      </c>
      <c r="V306" s="4">
        <v>0</v>
      </c>
      <c r="W306" s="4">
        <v>0</v>
      </c>
    </row>
    <row r="307" spans="1:23" ht="11.25" customHeight="1" x14ac:dyDescent="0.25">
      <c r="A307" s="4" t="s">
        <v>28</v>
      </c>
      <c r="B307" s="4" t="s">
        <v>33</v>
      </c>
      <c r="C307" s="4" t="s">
        <v>34</v>
      </c>
      <c r="D307" s="4" t="s">
        <v>41</v>
      </c>
      <c r="E307" s="4" t="s">
        <v>50</v>
      </c>
      <c r="F307" s="4" t="s">
        <v>25</v>
      </c>
      <c r="G307" s="4" t="s">
        <v>25</v>
      </c>
      <c r="H307" s="4" t="s">
        <v>25</v>
      </c>
      <c r="I307" s="5">
        <v>44593</v>
      </c>
      <c r="J307" s="6">
        <v>120</v>
      </c>
      <c r="K307" s="6">
        <v>115.19999999999999</v>
      </c>
      <c r="L307" s="6">
        <v>0</v>
      </c>
      <c r="M307" s="6">
        <v>0</v>
      </c>
      <c r="N307" s="6">
        <v>0</v>
      </c>
      <c r="O307" s="6">
        <v>0</v>
      </c>
      <c r="P307" s="6">
        <v>1</v>
      </c>
      <c r="Q307" s="4" t="s">
        <v>26</v>
      </c>
      <c r="R307" s="4">
        <v>0</v>
      </c>
      <c r="S307" s="4" t="s">
        <v>139</v>
      </c>
      <c r="U307" s="4">
        <v>65</v>
      </c>
      <c r="V307" s="4">
        <v>0</v>
      </c>
      <c r="W307" s="4">
        <v>0</v>
      </c>
    </row>
    <row r="308" spans="1:23" ht="11.25" customHeight="1" x14ac:dyDescent="0.25">
      <c r="A308" s="4" t="s">
        <v>54</v>
      </c>
      <c r="B308" s="4" t="s">
        <v>33</v>
      </c>
      <c r="C308" s="4" t="s">
        <v>34</v>
      </c>
      <c r="D308" s="4" t="s">
        <v>41</v>
      </c>
      <c r="E308" s="4" t="s">
        <v>50</v>
      </c>
      <c r="F308" s="4" t="s">
        <v>25</v>
      </c>
      <c r="G308" s="4" t="s">
        <v>25</v>
      </c>
      <c r="H308" s="4" t="s">
        <v>25</v>
      </c>
      <c r="I308" s="5">
        <v>44621</v>
      </c>
      <c r="J308" s="6">
        <v>43841</v>
      </c>
      <c r="K308" s="6">
        <v>42087.360000000001</v>
      </c>
      <c r="L308" s="6">
        <v>0</v>
      </c>
      <c r="M308" s="6">
        <v>0</v>
      </c>
      <c r="N308" s="6">
        <v>0</v>
      </c>
      <c r="O308" s="6">
        <v>0</v>
      </c>
      <c r="P308" s="6">
        <v>283</v>
      </c>
      <c r="Q308" s="4" t="s">
        <v>26</v>
      </c>
      <c r="R308" s="4">
        <v>0</v>
      </c>
      <c r="S308" s="4" t="s">
        <v>140</v>
      </c>
      <c r="U308" s="4">
        <v>65</v>
      </c>
      <c r="V308" s="4">
        <v>0</v>
      </c>
      <c r="W308" s="4">
        <v>0</v>
      </c>
    </row>
    <row r="309" spans="1:23" ht="11.25" customHeight="1" x14ac:dyDescent="0.25">
      <c r="A309" s="4" t="s">
        <v>54</v>
      </c>
      <c r="B309" s="4" t="s">
        <v>33</v>
      </c>
      <c r="C309" s="4" t="s">
        <v>34</v>
      </c>
      <c r="D309" s="4" t="s">
        <v>41</v>
      </c>
      <c r="E309" s="4" t="s">
        <v>50</v>
      </c>
      <c r="F309" s="4" t="s">
        <v>25</v>
      </c>
      <c r="G309" s="4" t="s">
        <v>25</v>
      </c>
      <c r="H309" s="4" t="s">
        <v>25</v>
      </c>
      <c r="I309" s="5">
        <v>44621</v>
      </c>
      <c r="J309" s="6">
        <v>120</v>
      </c>
      <c r="K309" s="6">
        <v>115.19999999999999</v>
      </c>
      <c r="L309" s="6">
        <v>0</v>
      </c>
      <c r="M309" s="6">
        <v>0</v>
      </c>
      <c r="N309" s="6">
        <v>0</v>
      </c>
      <c r="O309" s="6">
        <v>0</v>
      </c>
      <c r="P309" s="6">
        <v>1</v>
      </c>
      <c r="Q309" s="4" t="s">
        <v>26</v>
      </c>
      <c r="R309" s="4">
        <v>0</v>
      </c>
      <c r="S309" s="4" t="s">
        <v>140</v>
      </c>
      <c r="U309" s="4">
        <v>65</v>
      </c>
      <c r="V309" s="4">
        <v>0</v>
      </c>
      <c r="W309" s="4">
        <v>0</v>
      </c>
    </row>
    <row r="310" spans="1:23" ht="11.25" customHeight="1" x14ac:dyDescent="0.25">
      <c r="A310" s="4" t="s">
        <v>21</v>
      </c>
      <c r="B310" s="4" t="s">
        <v>33</v>
      </c>
      <c r="C310" s="4" t="s">
        <v>34</v>
      </c>
      <c r="D310" s="4" t="s">
        <v>41</v>
      </c>
      <c r="E310" s="4" t="s">
        <v>50</v>
      </c>
      <c r="F310" s="4" t="s">
        <v>25</v>
      </c>
      <c r="G310" s="4" t="s">
        <v>25</v>
      </c>
      <c r="H310" s="4" t="s">
        <v>35</v>
      </c>
      <c r="I310" s="5">
        <v>44287</v>
      </c>
      <c r="J310" s="6">
        <v>0</v>
      </c>
      <c r="K310" s="6">
        <v>0</v>
      </c>
      <c r="L310" s="6">
        <v>50.738999999999997</v>
      </c>
      <c r="M310" s="6">
        <v>48.709439999999994</v>
      </c>
      <c r="N310" s="6">
        <v>50.738999999999997</v>
      </c>
      <c r="O310" s="6">
        <v>48.709439999999994</v>
      </c>
      <c r="P310" s="6">
        <v>0</v>
      </c>
      <c r="Q310" s="4" t="s">
        <v>26</v>
      </c>
      <c r="R310" s="4">
        <v>0</v>
      </c>
      <c r="S310" s="4" t="s">
        <v>141</v>
      </c>
      <c r="T310" s="4" t="s">
        <v>274</v>
      </c>
      <c r="U310" s="4">
        <v>0</v>
      </c>
      <c r="V310" s="4">
        <v>66</v>
      </c>
      <c r="W310" s="4">
        <v>6</v>
      </c>
    </row>
    <row r="311" spans="1:23" ht="11.25" customHeight="1" x14ac:dyDescent="0.25">
      <c r="A311" s="4" t="s">
        <v>21</v>
      </c>
      <c r="B311" s="4" t="s">
        <v>33</v>
      </c>
      <c r="C311" s="4" t="s">
        <v>34</v>
      </c>
      <c r="D311" s="4" t="s">
        <v>41</v>
      </c>
      <c r="E311" s="4" t="s">
        <v>50</v>
      </c>
      <c r="F311" s="4" t="s">
        <v>25</v>
      </c>
      <c r="G311" s="4" t="s">
        <v>25</v>
      </c>
      <c r="H311" s="4" t="s">
        <v>35</v>
      </c>
      <c r="I311" s="5">
        <v>44317</v>
      </c>
      <c r="J311" s="6">
        <v>0</v>
      </c>
      <c r="K311" s="6">
        <v>0</v>
      </c>
      <c r="L311" s="6">
        <v>40.271000000000001</v>
      </c>
      <c r="M311" s="6">
        <v>38.474913399999998</v>
      </c>
      <c r="N311" s="6">
        <v>40.271000000000001</v>
      </c>
      <c r="O311" s="6">
        <v>38.474913399999998</v>
      </c>
      <c r="P311" s="6">
        <v>0</v>
      </c>
      <c r="Q311" s="4" t="s">
        <v>26</v>
      </c>
      <c r="R311" s="4">
        <v>0</v>
      </c>
      <c r="S311" s="4" t="s">
        <v>142</v>
      </c>
      <c r="T311" s="4" t="s">
        <v>275</v>
      </c>
      <c r="U311" s="4">
        <v>0</v>
      </c>
      <c r="V311" s="4">
        <v>66</v>
      </c>
      <c r="W311" s="4">
        <v>6</v>
      </c>
    </row>
    <row r="312" spans="1:23" ht="11.25" customHeight="1" x14ac:dyDescent="0.25">
      <c r="A312" s="4" t="s">
        <v>21</v>
      </c>
      <c r="B312" s="4" t="s">
        <v>33</v>
      </c>
      <c r="C312" s="4" t="s">
        <v>34</v>
      </c>
      <c r="D312" s="4" t="s">
        <v>41</v>
      </c>
      <c r="E312" s="4" t="s">
        <v>50</v>
      </c>
      <c r="F312" s="4" t="s">
        <v>25</v>
      </c>
      <c r="G312" s="4" t="s">
        <v>25</v>
      </c>
      <c r="H312" s="4" t="s">
        <v>35</v>
      </c>
      <c r="I312" s="5">
        <v>44348</v>
      </c>
      <c r="J312" s="6">
        <v>0</v>
      </c>
      <c r="K312" s="6">
        <v>0</v>
      </c>
      <c r="L312" s="6">
        <v>18.818000000000001</v>
      </c>
      <c r="M312" s="6">
        <v>18.065280000000001</v>
      </c>
      <c r="N312" s="6">
        <v>18.818000000000001</v>
      </c>
      <c r="O312" s="6">
        <v>18.065280000000001</v>
      </c>
      <c r="P312" s="6">
        <v>0</v>
      </c>
      <c r="Q312" s="4" t="s">
        <v>26</v>
      </c>
      <c r="R312" s="4">
        <v>0</v>
      </c>
      <c r="S312" s="4" t="s">
        <v>143</v>
      </c>
      <c r="T312" s="4" t="s">
        <v>276</v>
      </c>
      <c r="U312" s="4">
        <v>0</v>
      </c>
      <c r="V312" s="4">
        <v>66</v>
      </c>
      <c r="W312" s="4">
        <v>6</v>
      </c>
    </row>
    <row r="313" spans="1:23" ht="11.25" customHeight="1" x14ac:dyDescent="0.25">
      <c r="A313" s="4" t="s">
        <v>28</v>
      </c>
      <c r="B313" s="4" t="s">
        <v>33</v>
      </c>
      <c r="C313" s="4" t="s">
        <v>34</v>
      </c>
      <c r="D313" s="4" t="s">
        <v>41</v>
      </c>
      <c r="E313" s="4" t="s">
        <v>50</v>
      </c>
      <c r="F313" s="4" t="s">
        <v>25</v>
      </c>
      <c r="G313" s="4" t="s">
        <v>25</v>
      </c>
      <c r="H313" s="4" t="s">
        <v>35</v>
      </c>
      <c r="I313" s="5">
        <v>44348</v>
      </c>
      <c r="J313" s="6">
        <v>0</v>
      </c>
      <c r="K313" s="6">
        <v>0</v>
      </c>
      <c r="L313" s="6">
        <v>0.30599999999999999</v>
      </c>
      <c r="M313" s="6">
        <v>0.29375999999999997</v>
      </c>
      <c r="N313" s="6">
        <v>0.30599999999999999</v>
      </c>
      <c r="O313" s="6">
        <v>0.29375999999999997</v>
      </c>
      <c r="P313" s="6">
        <v>0</v>
      </c>
      <c r="Q313" s="4" t="s">
        <v>26</v>
      </c>
      <c r="R313" s="4">
        <v>0</v>
      </c>
      <c r="S313" s="4" t="s">
        <v>143</v>
      </c>
      <c r="T313" s="4" t="s">
        <v>276</v>
      </c>
      <c r="U313" s="4">
        <v>0</v>
      </c>
      <c r="V313" s="4">
        <v>66</v>
      </c>
      <c r="W313" s="4">
        <v>6</v>
      </c>
    </row>
    <row r="314" spans="1:23" ht="11.25" customHeight="1" x14ac:dyDescent="0.25">
      <c r="A314" s="4" t="s">
        <v>21</v>
      </c>
      <c r="B314" s="4" t="s">
        <v>33</v>
      </c>
      <c r="C314" s="4" t="s">
        <v>34</v>
      </c>
      <c r="D314" s="4" t="s">
        <v>41</v>
      </c>
      <c r="E314" s="4" t="s">
        <v>50</v>
      </c>
      <c r="F314" s="4" t="s">
        <v>25</v>
      </c>
      <c r="G314" s="4" t="s">
        <v>25</v>
      </c>
      <c r="H314" s="4" t="s">
        <v>35</v>
      </c>
      <c r="I314" s="5">
        <v>44378</v>
      </c>
      <c r="J314" s="6">
        <v>0</v>
      </c>
      <c r="K314" s="6">
        <v>0</v>
      </c>
      <c r="L314" s="6">
        <v>52.542000000000002</v>
      </c>
      <c r="M314" s="6">
        <v>50.44032</v>
      </c>
      <c r="N314" s="6">
        <v>52.542000000000002</v>
      </c>
      <c r="O314" s="6">
        <v>50.44032</v>
      </c>
      <c r="P314" s="6">
        <v>0</v>
      </c>
      <c r="Q314" s="4" t="s">
        <v>26</v>
      </c>
      <c r="R314" s="4">
        <v>0</v>
      </c>
      <c r="S314" s="4" t="s">
        <v>144</v>
      </c>
      <c r="T314" s="4" t="s">
        <v>277</v>
      </c>
      <c r="U314" s="4">
        <v>0</v>
      </c>
      <c r="V314" s="4">
        <v>66</v>
      </c>
      <c r="W314" s="4">
        <v>6</v>
      </c>
    </row>
    <row r="315" spans="1:23" ht="11.25" customHeight="1" x14ac:dyDescent="0.25">
      <c r="A315" s="4" t="s">
        <v>28</v>
      </c>
      <c r="B315" s="4" t="s">
        <v>33</v>
      </c>
      <c r="C315" s="4" t="s">
        <v>34</v>
      </c>
      <c r="D315" s="4" t="s">
        <v>41</v>
      </c>
      <c r="E315" s="4" t="s">
        <v>50</v>
      </c>
      <c r="F315" s="4" t="s">
        <v>25</v>
      </c>
      <c r="G315" s="4" t="s">
        <v>25</v>
      </c>
      <c r="H315" s="4" t="s">
        <v>35</v>
      </c>
      <c r="I315" s="5">
        <v>44378</v>
      </c>
      <c r="J315" s="6">
        <v>0</v>
      </c>
      <c r="K315" s="6">
        <v>0</v>
      </c>
      <c r="L315" s="6">
        <v>6.7000000000000004E-2</v>
      </c>
      <c r="M315" s="6">
        <v>6.4320000000000002E-2</v>
      </c>
      <c r="N315" s="6">
        <v>6.7000000000000004E-2</v>
      </c>
      <c r="O315" s="6">
        <v>6.4320000000000002E-2</v>
      </c>
      <c r="P315" s="6">
        <v>0</v>
      </c>
      <c r="Q315" s="4" t="s">
        <v>26</v>
      </c>
      <c r="R315" s="4">
        <v>0</v>
      </c>
      <c r="S315" s="4" t="s">
        <v>144</v>
      </c>
      <c r="T315" s="4" t="s">
        <v>277</v>
      </c>
      <c r="U315" s="4">
        <v>0</v>
      </c>
      <c r="V315" s="4">
        <v>66</v>
      </c>
      <c r="W315" s="4">
        <v>6</v>
      </c>
    </row>
    <row r="316" spans="1:23" ht="11.25" customHeight="1" x14ac:dyDescent="0.25">
      <c r="A316" s="4" t="s">
        <v>21</v>
      </c>
      <c r="B316" s="4" t="s">
        <v>33</v>
      </c>
      <c r="C316" s="4" t="s">
        <v>34</v>
      </c>
      <c r="D316" s="4" t="s">
        <v>41</v>
      </c>
      <c r="E316" s="4" t="s">
        <v>50</v>
      </c>
      <c r="F316" s="4" t="s">
        <v>25</v>
      </c>
      <c r="G316" s="4" t="s">
        <v>25</v>
      </c>
      <c r="H316" s="4" t="s">
        <v>35</v>
      </c>
      <c r="I316" s="5">
        <v>44409</v>
      </c>
      <c r="J316" s="6">
        <v>0</v>
      </c>
      <c r="K316" s="6">
        <v>0</v>
      </c>
      <c r="L316" s="6">
        <v>49.073999999999998</v>
      </c>
      <c r="M316" s="6">
        <v>47.111040000000003</v>
      </c>
      <c r="N316" s="6">
        <v>49.073999999999998</v>
      </c>
      <c r="O316" s="6">
        <v>47.111040000000003</v>
      </c>
      <c r="P316" s="6">
        <v>0</v>
      </c>
      <c r="Q316" s="4" t="s">
        <v>26</v>
      </c>
      <c r="R316" s="4">
        <v>0</v>
      </c>
      <c r="S316" s="4" t="s">
        <v>145</v>
      </c>
      <c r="T316" s="4" t="s">
        <v>278</v>
      </c>
      <c r="U316" s="4">
        <v>0</v>
      </c>
      <c r="V316" s="4">
        <v>66</v>
      </c>
      <c r="W316" s="4">
        <v>6</v>
      </c>
    </row>
    <row r="317" spans="1:23" ht="11.25" customHeight="1" x14ac:dyDescent="0.25">
      <c r="A317" s="4" t="s">
        <v>21</v>
      </c>
      <c r="B317" s="4" t="s">
        <v>33</v>
      </c>
      <c r="C317" s="4" t="s">
        <v>34</v>
      </c>
      <c r="D317" s="4" t="s">
        <v>41</v>
      </c>
      <c r="E317" s="4" t="s">
        <v>50</v>
      </c>
      <c r="F317" s="4" t="s">
        <v>25</v>
      </c>
      <c r="G317" s="4" t="s">
        <v>25</v>
      </c>
      <c r="H317" s="4" t="s">
        <v>35</v>
      </c>
      <c r="I317" s="5">
        <v>44440</v>
      </c>
      <c r="J317" s="6">
        <v>0</v>
      </c>
      <c r="K317" s="6">
        <v>0</v>
      </c>
      <c r="L317" s="6">
        <v>55.771000000000001</v>
      </c>
      <c r="M317" s="6">
        <v>53.54016</v>
      </c>
      <c r="N317" s="6">
        <v>55.771000000000001</v>
      </c>
      <c r="O317" s="6">
        <v>53.54016</v>
      </c>
      <c r="P317" s="6">
        <v>0</v>
      </c>
      <c r="Q317" s="4" t="s">
        <v>26</v>
      </c>
      <c r="R317" s="4">
        <v>0</v>
      </c>
      <c r="S317" s="4" t="s">
        <v>146</v>
      </c>
      <c r="T317" s="4" t="s">
        <v>279</v>
      </c>
      <c r="U317" s="4">
        <v>0</v>
      </c>
      <c r="V317" s="4">
        <v>66</v>
      </c>
      <c r="W317" s="4">
        <v>6</v>
      </c>
    </row>
    <row r="318" spans="1:23" ht="11.25" customHeight="1" x14ac:dyDescent="0.25">
      <c r="A318" s="4" t="s">
        <v>21</v>
      </c>
      <c r="B318" s="4" t="s">
        <v>33</v>
      </c>
      <c r="C318" s="4" t="s">
        <v>34</v>
      </c>
      <c r="D318" s="4" t="s">
        <v>41</v>
      </c>
      <c r="E318" s="4" t="s">
        <v>50</v>
      </c>
      <c r="F318" s="4" t="s">
        <v>25</v>
      </c>
      <c r="G318" s="4" t="s">
        <v>25</v>
      </c>
      <c r="H318" s="4" t="s">
        <v>35</v>
      </c>
      <c r="I318" s="5">
        <v>44470</v>
      </c>
      <c r="J318" s="6">
        <v>0</v>
      </c>
      <c r="K318" s="6">
        <v>0</v>
      </c>
      <c r="L318" s="6">
        <v>44.161000000000001</v>
      </c>
      <c r="M318" s="6">
        <v>42.394559999999998</v>
      </c>
      <c r="N318" s="6">
        <v>44.161000000000001</v>
      </c>
      <c r="O318" s="6">
        <v>42.394559999999998</v>
      </c>
      <c r="P318" s="6">
        <v>0</v>
      </c>
      <c r="Q318" s="4" t="s">
        <v>26</v>
      </c>
      <c r="R318" s="4">
        <v>0</v>
      </c>
      <c r="S318" s="4" t="s">
        <v>147</v>
      </c>
      <c r="T318" s="4" t="s">
        <v>280</v>
      </c>
      <c r="U318" s="4">
        <v>0</v>
      </c>
      <c r="V318" s="4">
        <v>66</v>
      </c>
      <c r="W318" s="4">
        <v>6</v>
      </c>
    </row>
    <row r="319" spans="1:23" ht="11.25" customHeight="1" x14ac:dyDescent="0.25">
      <c r="A319" s="4" t="s">
        <v>21</v>
      </c>
      <c r="B319" s="4" t="s">
        <v>33</v>
      </c>
      <c r="C319" s="4" t="s">
        <v>34</v>
      </c>
      <c r="D319" s="4" t="s">
        <v>41</v>
      </c>
      <c r="E319" s="4" t="s">
        <v>50</v>
      </c>
      <c r="F319" s="4" t="s">
        <v>25</v>
      </c>
      <c r="G319" s="4" t="s">
        <v>25</v>
      </c>
      <c r="H319" s="4" t="s">
        <v>35</v>
      </c>
      <c r="I319" s="5">
        <v>44501</v>
      </c>
      <c r="J319" s="6">
        <v>0</v>
      </c>
      <c r="K319" s="6">
        <v>0</v>
      </c>
      <c r="L319" s="6">
        <v>74.503</v>
      </c>
      <c r="M319" s="6">
        <v>71.522880000000001</v>
      </c>
      <c r="N319" s="6">
        <v>74.503</v>
      </c>
      <c r="O319" s="6">
        <v>71.522880000000001</v>
      </c>
      <c r="P319" s="6">
        <v>0</v>
      </c>
      <c r="Q319" s="4" t="s">
        <v>26</v>
      </c>
      <c r="R319" s="4">
        <v>0</v>
      </c>
      <c r="S319" s="4" t="s">
        <v>148</v>
      </c>
      <c r="T319" s="4" t="s">
        <v>281</v>
      </c>
      <c r="U319" s="4">
        <v>0</v>
      </c>
      <c r="V319" s="4">
        <v>66</v>
      </c>
      <c r="W319" s="4">
        <v>6</v>
      </c>
    </row>
    <row r="320" spans="1:23" ht="11.25" customHeight="1" x14ac:dyDescent="0.25">
      <c r="A320" s="4" t="s">
        <v>28</v>
      </c>
      <c r="B320" s="4" t="s">
        <v>33</v>
      </c>
      <c r="C320" s="4" t="s">
        <v>34</v>
      </c>
      <c r="D320" s="4" t="s">
        <v>41</v>
      </c>
      <c r="E320" s="4" t="s">
        <v>50</v>
      </c>
      <c r="F320" s="4" t="s">
        <v>25</v>
      </c>
      <c r="G320" s="4" t="s">
        <v>25</v>
      </c>
      <c r="H320" s="4" t="s">
        <v>35</v>
      </c>
      <c r="I320" s="5">
        <v>44501</v>
      </c>
      <c r="J320" s="6">
        <v>0</v>
      </c>
      <c r="K320" s="6">
        <v>0</v>
      </c>
      <c r="L320" s="6">
        <v>7.4999999999999997E-2</v>
      </c>
      <c r="M320" s="6">
        <v>7.1999999999999995E-2</v>
      </c>
      <c r="N320" s="6">
        <v>7.4999999999999997E-2</v>
      </c>
      <c r="O320" s="6">
        <v>7.1999999999999995E-2</v>
      </c>
      <c r="P320" s="6">
        <v>0</v>
      </c>
      <c r="Q320" s="4" t="s">
        <v>26</v>
      </c>
      <c r="R320" s="4">
        <v>0</v>
      </c>
      <c r="S320" s="4" t="s">
        <v>148</v>
      </c>
      <c r="T320" s="4" t="s">
        <v>281</v>
      </c>
      <c r="U320" s="4">
        <v>0</v>
      </c>
      <c r="V320" s="4">
        <v>66</v>
      </c>
      <c r="W320" s="4">
        <v>6</v>
      </c>
    </row>
    <row r="321" spans="1:23" ht="11.25" customHeight="1" x14ac:dyDescent="0.25">
      <c r="A321" s="4" t="s">
        <v>21</v>
      </c>
      <c r="B321" s="4" t="s">
        <v>33</v>
      </c>
      <c r="C321" s="4" t="s">
        <v>34</v>
      </c>
      <c r="D321" s="4" t="s">
        <v>41</v>
      </c>
      <c r="E321" s="4" t="s">
        <v>50</v>
      </c>
      <c r="F321" s="4" t="s">
        <v>25</v>
      </c>
      <c r="G321" s="4" t="s">
        <v>25</v>
      </c>
      <c r="H321" s="4" t="s">
        <v>35</v>
      </c>
      <c r="I321" s="5">
        <v>44531</v>
      </c>
      <c r="J321" s="6">
        <v>0</v>
      </c>
      <c r="K321" s="6">
        <v>0</v>
      </c>
      <c r="L321" s="6">
        <v>74.665999999999997</v>
      </c>
      <c r="M321" s="6">
        <v>71.679360000000003</v>
      </c>
      <c r="N321" s="6">
        <v>74.665999999999997</v>
      </c>
      <c r="O321" s="6">
        <v>71.679360000000003</v>
      </c>
      <c r="P321" s="6">
        <v>0</v>
      </c>
      <c r="Q321" s="4" t="s">
        <v>26</v>
      </c>
      <c r="R321" s="4">
        <v>0</v>
      </c>
      <c r="S321" s="4" t="s">
        <v>149</v>
      </c>
      <c r="T321" s="4" t="s">
        <v>282</v>
      </c>
      <c r="U321" s="4">
        <v>0</v>
      </c>
      <c r="V321" s="4">
        <v>66</v>
      </c>
      <c r="W321" s="4">
        <v>6</v>
      </c>
    </row>
    <row r="322" spans="1:23" ht="11.25" customHeight="1" x14ac:dyDescent="0.25">
      <c r="A322" s="4" t="s">
        <v>27</v>
      </c>
      <c r="B322" s="4" t="s">
        <v>33</v>
      </c>
      <c r="C322" s="4" t="s">
        <v>34</v>
      </c>
      <c r="D322" s="4" t="s">
        <v>41</v>
      </c>
      <c r="E322" s="4" t="s">
        <v>50</v>
      </c>
      <c r="F322" s="4" t="s">
        <v>25</v>
      </c>
      <c r="G322" s="4" t="s">
        <v>25</v>
      </c>
      <c r="H322" s="4" t="s">
        <v>35</v>
      </c>
      <c r="I322" s="5">
        <v>44531</v>
      </c>
      <c r="J322" s="6">
        <v>0</v>
      </c>
      <c r="K322" s="6">
        <v>0</v>
      </c>
      <c r="L322" s="6">
        <v>-1.665</v>
      </c>
      <c r="M322" s="6">
        <v>-1.5984</v>
      </c>
      <c r="N322" s="6">
        <v>-1.665</v>
      </c>
      <c r="O322" s="6">
        <v>-1.5984</v>
      </c>
      <c r="P322" s="6">
        <v>0</v>
      </c>
      <c r="Q322" s="4" t="s">
        <v>26</v>
      </c>
      <c r="R322" s="4">
        <v>0</v>
      </c>
      <c r="S322" s="4" t="s">
        <v>149</v>
      </c>
      <c r="T322" s="4" t="s">
        <v>282</v>
      </c>
      <c r="U322" s="4">
        <v>0</v>
      </c>
      <c r="V322" s="4">
        <v>66</v>
      </c>
      <c r="W322" s="4">
        <v>6</v>
      </c>
    </row>
    <row r="323" spans="1:23" ht="11.25" customHeight="1" x14ac:dyDescent="0.25">
      <c r="A323" s="4" t="s">
        <v>28</v>
      </c>
      <c r="B323" s="4" t="s">
        <v>33</v>
      </c>
      <c r="C323" s="4" t="s">
        <v>34</v>
      </c>
      <c r="D323" s="4" t="s">
        <v>41</v>
      </c>
      <c r="E323" s="4" t="s">
        <v>50</v>
      </c>
      <c r="F323" s="4" t="s">
        <v>25</v>
      </c>
      <c r="G323" s="4" t="s">
        <v>25</v>
      </c>
      <c r="H323" s="4" t="s">
        <v>35</v>
      </c>
      <c r="I323" s="5">
        <v>44531</v>
      </c>
      <c r="J323" s="6">
        <v>0</v>
      </c>
      <c r="K323" s="6">
        <v>0</v>
      </c>
      <c r="L323" s="6">
        <v>2.3E-2</v>
      </c>
      <c r="M323" s="6">
        <v>2.2079999999999999E-2</v>
      </c>
      <c r="N323" s="6">
        <v>2.3E-2</v>
      </c>
      <c r="O323" s="6">
        <v>2.2079999999999999E-2</v>
      </c>
      <c r="P323" s="6">
        <v>0</v>
      </c>
      <c r="Q323" s="4" t="s">
        <v>26</v>
      </c>
      <c r="R323" s="4">
        <v>0</v>
      </c>
      <c r="S323" s="4" t="s">
        <v>149</v>
      </c>
      <c r="T323" s="4" t="s">
        <v>282</v>
      </c>
      <c r="U323" s="4">
        <v>0</v>
      </c>
      <c r="V323" s="4">
        <v>66</v>
      </c>
      <c r="W323" s="4">
        <v>6</v>
      </c>
    </row>
    <row r="324" spans="1:23" ht="11.25" customHeight="1" x14ac:dyDescent="0.25">
      <c r="A324" s="4" t="s">
        <v>21</v>
      </c>
      <c r="B324" s="4" t="s">
        <v>33</v>
      </c>
      <c r="C324" s="4" t="s">
        <v>34</v>
      </c>
      <c r="D324" s="4" t="s">
        <v>41</v>
      </c>
      <c r="E324" s="4" t="s">
        <v>50</v>
      </c>
      <c r="F324" s="4" t="s">
        <v>25</v>
      </c>
      <c r="G324" s="4" t="s">
        <v>25</v>
      </c>
      <c r="H324" s="4" t="s">
        <v>35</v>
      </c>
      <c r="I324" s="5">
        <v>44562</v>
      </c>
      <c r="J324" s="6">
        <v>0</v>
      </c>
      <c r="K324" s="6">
        <v>0</v>
      </c>
      <c r="L324" s="6">
        <v>42.938000000000002</v>
      </c>
      <c r="M324" s="6">
        <v>41.220480000000002</v>
      </c>
      <c r="N324" s="6">
        <v>42.938000000000002</v>
      </c>
      <c r="O324" s="6">
        <v>41.220480000000002</v>
      </c>
      <c r="P324" s="6">
        <v>0</v>
      </c>
      <c r="Q324" s="4" t="s">
        <v>26</v>
      </c>
      <c r="R324" s="4">
        <v>0</v>
      </c>
      <c r="S324" s="4" t="s">
        <v>150</v>
      </c>
      <c r="T324" s="4" t="s">
        <v>283</v>
      </c>
      <c r="U324" s="4">
        <v>0</v>
      </c>
      <c r="V324" s="4">
        <v>66</v>
      </c>
      <c r="W324" s="4">
        <v>6</v>
      </c>
    </row>
    <row r="325" spans="1:23" ht="11.25" customHeight="1" x14ac:dyDescent="0.25">
      <c r="A325" s="4" t="s">
        <v>21</v>
      </c>
      <c r="B325" s="4" t="s">
        <v>33</v>
      </c>
      <c r="C325" s="4" t="s">
        <v>34</v>
      </c>
      <c r="D325" s="4" t="s">
        <v>41</v>
      </c>
      <c r="E325" s="4" t="s">
        <v>50</v>
      </c>
      <c r="F325" s="4" t="s">
        <v>25</v>
      </c>
      <c r="G325" s="4" t="s">
        <v>25</v>
      </c>
      <c r="H325" s="4" t="s">
        <v>35</v>
      </c>
      <c r="I325" s="5">
        <v>44593</v>
      </c>
      <c r="J325" s="6">
        <v>0</v>
      </c>
      <c r="K325" s="6">
        <v>0</v>
      </c>
      <c r="L325" s="6">
        <v>71.948999999999998</v>
      </c>
      <c r="M325" s="6">
        <v>69.071039999999996</v>
      </c>
      <c r="N325" s="6">
        <v>71.948999999999998</v>
      </c>
      <c r="O325" s="6">
        <v>69.071039999999996</v>
      </c>
      <c r="P325" s="6">
        <v>0</v>
      </c>
      <c r="Q325" s="4" t="s">
        <v>26</v>
      </c>
      <c r="R325" s="4">
        <v>0</v>
      </c>
      <c r="S325" s="4" t="s">
        <v>151</v>
      </c>
      <c r="T325" s="4" t="s">
        <v>284</v>
      </c>
      <c r="U325" s="4">
        <v>0</v>
      </c>
      <c r="V325" s="4">
        <v>66</v>
      </c>
      <c r="W325" s="4">
        <v>6</v>
      </c>
    </row>
    <row r="326" spans="1:23" ht="11.25" customHeight="1" x14ac:dyDescent="0.25">
      <c r="A326" s="4" t="s">
        <v>28</v>
      </c>
      <c r="B326" s="4" t="s">
        <v>33</v>
      </c>
      <c r="C326" s="4" t="s">
        <v>34</v>
      </c>
      <c r="D326" s="4" t="s">
        <v>41</v>
      </c>
      <c r="E326" s="4" t="s">
        <v>50</v>
      </c>
      <c r="F326" s="4" t="s">
        <v>25</v>
      </c>
      <c r="G326" s="4" t="s">
        <v>25</v>
      </c>
      <c r="H326" s="4" t="s">
        <v>35</v>
      </c>
      <c r="I326" s="5">
        <v>44593</v>
      </c>
      <c r="J326" s="6">
        <v>0</v>
      </c>
      <c r="K326" s="6">
        <v>0</v>
      </c>
      <c r="L326" s="6">
        <v>1.2E-2</v>
      </c>
      <c r="M326" s="6">
        <v>1.1519999999999999E-2</v>
      </c>
      <c r="N326" s="6">
        <v>1.2E-2</v>
      </c>
      <c r="O326" s="6">
        <v>1.1519999999999999E-2</v>
      </c>
      <c r="P326" s="6">
        <v>0</v>
      </c>
      <c r="Q326" s="4" t="s">
        <v>26</v>
      </c>
      <c r="R326" s="4">
        <v>0</v>
      </c>
      <c r="S326" s="4" t="s">
        <v>151</v>
      </c>
      <c r="T326" s="4" t="s">
        <v>284</v>
      </c>
      <c r="U326" s="4">
        <v>0</v>
      </c>
      <c r="V326" s="4">
        <v>66</v>
      </c>
      <c r="W326" s="4">
        <v>6</v>
      </c>
    </row>
    <row r="327" spans="1:23" ht="11.25" customHeight="1" x14ac:dyDescent="0.25">
      <c r="A327" s="4" t="s">
        <v>54</v>
      </c>
      <c r="B327" s="4" t="s">
        <v>33</v>
      </c>
      <c r="C327" s="4" t="s">
        <v>34</v>
      </c>
      <c r="D327" s="4" t="s">
        <v>41</v>
      </c>
      <c r="E327" s="4" t="s">
        <v>50</v>
      </c>
      <c r="F327" s="4" t="s">
        <v>25</v>
      </c>
      <c r="G327" s="4" t="s">
        <v>25</v>
      </c>
      <c r="H327" s="4" t="s">
        <v>35</v>
      </c>
      <c r="I327" s="5">
        <v>44621</v>
      </c>
      <c r="J327" s="6">
        <v>0</v>
      </c>
      <c r="K327" s="6">
        <v>0</v>
      </c>
      <c r="L327" s="6">
        <v>71.948999999999998</v>
      </c>
      <c r="M327" s="6">
        <v>69.071039999999996</v>
      </c>
      <c r="N327" s="6">
        <v>71.948999999999998</v>
      </c>
      <c r="O327" s="6">
        <v>69.071039999999996</v>
      </c>
      <c r="P327" s="6">
        <v>0</v>
      </c>
      <c r="Q327" s="4" t="s">
        <v>26</v>
      </c>
      <c r="R327" s="4">
        <v>0</v>
      </c>
      <c r="S327" s="4" t="s">
        <v>152</v>
      </c>
      <c r="T327" s="4" t="s">
        <v>285</v>
      </c>
      <c r="U327" s="4">
        <v>0</v>
      </c>
      <c r="V327" s="4">
        <v>66</v>
      </c>
      <c r="W327" s="4">
        <v>6</v>
      </c>
    </row>
    <row r="328" spans="1:23" ht="11.25" customHeight="1" x14ac:dyDescent="0.25">
      <c r="A328" s="4" t="s">
        <v>54</v>
      </c>
      <c r="B328" s="4" t="s">
        <v>33</v>
      </c>
      <c r="C328" s="4" t="s">
        <v>34</v>
      </c>
      <c r="D328" s="4" t="s">
        <v>41</v>
      </c>
      <c r="E328" s="4" t="s">
        <v>50</v>
      </c>
      <c r="F328" s="4" t="s">
        <v>25</v>
      </c>
      <c r="G328" s="4" t="s">
        <v>25</v>
      </c>
      <c r="H328" s="4" t="s">
        <v>35</v>
      </c>
      <c r="I328" s="5">
        <v>44621</v>
      </c>
      <c r="J328" s="6">
        <v>0</v>
      </c>
      <c r="K328" s="6">
        <v>0</v>
      </c>
      <c r="L328" s="6">
        <v>1.2E-2</v>
      </c>
      <c r="M328" s="6">
        <v>1.1519999999999999E-2</v>
      </c>
      <c r="N328" s="6">
        <v>1.2E-2</v>
      </c>
      <c r="O328" s="6">
        <v>1.1519999999999999E-2</v>
      </c>
      <c r="P328" s="6">
        <v>0</v>
      </c>
      <c r="Q328" s="4" t="s">
        <v>26</v>
      </c>
      <c r="R328" s="4">
        <v>0</v>
      </c>
      <c r="S328" s="4" t="s">
        <v>152</v>
      </c>
      <c r="T328" s="4" t="s">
        <v>285</v>
      </c>
      <c r="U328" s="4">
        <v>0</v>
      </c>
      <c r="V328" s="4">
        <v>66</v>
      </c>
      <c r="W328" s="4">
        <v>6</v>
      </c>
    </row>
    <row r="329" spans="1:23" ht="11.25" customHeight="1" x14ac:dyDescent="0.25">
      <c r="A329" s="4" t="s">
        <v>21</v>
      </c>
      <c r="B329" s="4" t="s">
        <v>33</v>
      </c>
      <c r="C329" s="4" t="s">
        <v>34</v>
      </c>
      <c r="D329" s="4" t="s">
        <v>41</v>
      </c>
      <c r="E329" s="4" t="s">
        <v>25</v>
      </c>
      <c r="F329" s="4" t="s">
        <v>25</v>
      </c>
      <c r="G329" s="4" t="s">
        <v>25</v>
      </c>
      <c r="H329" s="4" t="s">
        <v>36</v>
      </c>
      <c r="I329" s="5">
        <v>44287</v>
      </c>
      <c r="J329" s="6">
        <v>0</v>
      </c>
      <c r="K329" s="6">
        <v>0</v>
      </c>
      <c r="L329" s="6">
        <v>188.108</v>
      </c>
      <c r="M329" s="6">
        <v>180.58367999999999</v>
      </c>
      <c r="N329" s="6">
        <v>188.108</v>
      </c>
      <c r="O329" s="6">
        <v>180.58367999999999</v>
      </c>
      <c r="P329" s="6">
        <v>0</v>
      </c>
      <c r="Q329" s="4" t="s">
        <v>26</v>
      </c>
      <c r="R329" s="4">
        <v>0</v>
      </c>
      <c r="S329" s="4" t="s">
        <v>117</v>
      </c>
      <c r="T329" s="4" t="s">
        <v>262</v>
      </c>
      <c r="U329" s="4">
        <v>0</v>
      </c>
      <c r="V329" s="4">
        <v>47</v>
      </c>
      <c r="W329" s="4">
        <v>27</v>
      </c>
    </row>
    <row r="330" spans="1:23" ht="11.25" customHeight="1" x14ac:dyDescent="0.25">
      <c r="A330" s="4" t="s">
        <v>21</v>
      </c>
      <c r="B330" s="4" t="s">
        <v>33</v>
      </c>
      <c r="C330" s="4" t="s">
        <v>34</v>
      </c>
      <c r="D330" s="4" t="s">
        <v>41</v>
      </c>
      <c r="E330" s="4" t="s">
        <v>25</v>
      </c>
      <c r="F330" s="4" t="s">
        <v>25</v>
      </c>
      <c r="G330" s="4" t="s">
        <v>25</v>
      </c>
      <c r="H330" s="4" t="s">
        <v>36</v>
      </c>
      <c r="I330" s="5">
        <v>44317</v>
      </c>
      <c r="J330" s="6">
        <v>0</v>
      </c>
      <c r="K330" s="6">
        <v>0</v>
      </c>
      <c r="L330" s="6">
        <v>146.77600000000001</v>
      </c>
      <c r="M330" s="6">
        <v>140.61140800000001</v>
      </c>
      <c r="N330" s="6">
        <v>146.77600000000001</v>
      </c>
      <c r="O330" s="6">
        <v>140.61140800000001</v>
      </c>
      <c r="P330" s="6">
        <v>0</v>
      </c>
      <c r="Q330" s="4" t="s">
        <v>26</v>
      </c>
      <c r="R330" s="4">
        <v>0</v>
      </c>
      <c r="S330" s="4" t="s">
        <v>118</v>
      </c>
      <c r="T330" s="4" t="s">
        <v>263</v>
      </c>
      <c r="U330" s="4">
        <v>0</v>
      </c>
      <c r="V330" s="4">
        <v>47</v>
      </c>
      <c r="W330" s="4">
        <v>27</v>
      </c>
    </row>
    <row r="331" spans="1:23" ht="11.25" customHeight="1" x14ac:dyDescent="0.25">
      <c r="A331" s="4" t="s">
        <v>21</v>
      </c>
      <c r="B331" s="4" t="s">
        <v>33</v>
      </c>
      <c r="C331" s="4" t="s">
        <v>34</v>
      </c>
      <c r="D331" s="4" t="s">
        <v>41</v>
      </c>
      <c r="E331" s="4" t="s">
        <v>25</v>
      </c>
      <c r="F331" s="4" t="s">
        <v>25</v>
      </c>
      <c r="G331" s="4" t="s">
        <v>25</v>
      </c>
      <c r="H331" s="4" t="s">
        <v>36</v>
      </c>
      <c r="I331" s="5">
        <v>44348</v>
      </c>
      <c r="J331" s="6">
        <v>0</v>
      </c>
      <c r="K331" s="6">
        <v>0</v>
      </c>
      <c r="L331" s="6">
        <v>133.42400000000001</v>
      </c>
      <c r="M331" s="6">
        <v>128.08704</v>
      </c>
      <c r="N331" s="6">
        <v>133.42400000000001</v>
      </c>
      <c r="O331" s="6">
        <v>128.08704</v>
      </c>
      <c r="P331" s="6">
        <v>0</v>
      </c>
      <c r="Q331" s="4" t="s">
        <v>26</v>
      </c>
      <c r="R331" s="4">
        <v>0</v>
      </c>
      <c r="S331" s="4" t="s">
        <v>119</v>
      </c>
      <c r="T331" s="4" t="s">
        <v>264</v>
      </c>
      <c r="U331" s="4">
        <v>0</v>
      </c>
      <c r="V331" s="4">
        <v>47</v>
      </c>
      <c r="W331" s="4">
        <v>27</v>
      </c>
    </row>
    <row r="332" spans="1:23" ht="11.25" customHeight="1" x14ac:dyDescent="0.25">
      <c r="A332" s="4" t="s">
        <v>21</v>
      </c>
      <c r="B332" s="4" t="s">
        <v>33</v>
      </c>
      <c r="C332" s="4" t="s">
        <v>34</v>
      </c>
      <c r="D332" s="4" t="s">
        <v>41</v>
      </c>
      <c r="E332" s="4" t="s">
        <v>25</v>
      </c>
      <c r="F332" s="4" t="s">
        <v>25</v>
      </c>
      <c r="G332" s="4" t="s">
        <v>25</v>
      </c>
      <c r="H332" s="4" t="s">
        <v>36</v>
      </c>
      <c r="I332" s="5">
        <v>44378</v>
      </c>
      <c r="J332" s="6">
        <v>0</v>
      </c>
      <c r="K332" s="6">
        <v>0</v>
      </c>
      <c r="L332" s="6">
        <v>162.58199999999999</v>
      </c>
      <c r="M332" s="6">
        <v>156.07872</v>
      </c>
      <c r="N332" s="6">
        <v>162.58199999999999</v>
      </c>
      <c r="O332" s="6">
        <v>156.07872</v>
      </c>
      <c r="P332" s="6">
        <v>0</v>
      </c>
      <c r="Q332" s="4" t="s">
        <v>26</v>
      </c>
      <c r="R332" s="4">
        <v>0</v>
      </c>
      <c r="S332" s="4" t="s">
        <v>120</v>
      </c>
      <c r="T332" s="4" t="s">
        <v>265</v>
      </c>
      <c r="U332" s="4">
        <v>0</v>
      </c>
      <c r="V332" s="4">
        <v>47</v>
      </c>
      <c r="W332" s="4">
        <v>27</v>
      </c>
    </row>
    <row r="333" spans="1:23" ht="11.25" customHeight="1" x14ac:dyDescent="0.25">
      <c r="A333" s="4" t="s">
        <v>21</v>
      </c>
      <c r="B333" s="4" t="s">
        <v>33</v>
      </c>
      <c r="C333" s="4" t="s">
        <v>34</v>
      </c>
      <c r="D333" s="4" t="s">
        <v>41</v>
      </c>
      <c r="E333" s="4" t="s">
        <v>25</v>
      </c>
      <c r="F333" s="4" t="s">
        <v>25</v>
      </c>
      <c r="G333" s="4" t="s">
        <v>25</v>
      </c>
      <c r="H333" s="4" t="s">
        <v>36</v>
      </c>
      <c r="I333" s="5">
        <v>44409</v>
      </c>
      <c r="J333" s="6">
        <v>0</v>
      </c>
      <c r="K333" s="6">
        <v>0</v>
      </c>
      <c r="L333" s="6">
        <v>189.41</v>
      </c>
      <c r="M333" s="6">
        <v>181.83359999999999</v>
      </c>
      <c r="N333" s="6">
        <v>189.41</v>
      </c>
      <c r="O333" s="6">
        <v>181.83359999999999</v>
      </c>
      <c r="P333" s="6">
        <v>0</v>
      </c>
      <c r="Q333" s="4" t="s">
        <v>26</v>
      </c>
      <c r="R333" s="4">
        <v>0</v>
      </c>
      <c r="S333" s="4" t="s">
        <v>121</v>
      </c>
      <c r="T333" s="4" t="s">
        <v>266</v>
      </c>
      <c r="U333" s="4">
        <v>0</v>
      </c>
      <c r="V333" s="4">
        <v>47</v>
      </c>
      <c r="W333" s="4">
        <v>27</v>
      </c>
    </row>
    <row r="334" spans="1:23" ht="11.25" customHeight="1" x14ac:dyDescent="0.25">
      <c r="A334" s="4" t="s">
        <v>21</v>
      </c>
      <c r="B334" s="4" t="s">
        <v>33</v>
      </c>
      <c r="C334" s="4" t="s">
        <v>34</v>
      </c>
      <c r="D334" s="4" t="s">
        <v>41</v>
      </c>
      <c r="E334" s="4" t="s">
        <v>25</v>
      </c>
      <c r="F334" s="4" t="s">
        <v>25</v>
      </c>
      <c r="G334" s="4" t="s">
        <v>25</v>
      </c>
      <c r="H334" s="4" t="s">
        <v>36</v>
      </c>
      <c r="I334" s="5">
        <v>44440</v>
      </c>
      <c r="J334" s="6">
        <v>0</v>
      </c>
      <c r="K334" s="6">
        <v>0</v>
      </c>
      <c r="L334" s="6">
        <v>207.28800000000001</v>
      </c>
      <c r="M334" s="6">
        <v>198.99647999999999</v>
      </c>
      <c r="N334" s="6">
        <v>207.28800000000001</v>
      </c>
      <c r="O334" s="6">
        <v>198.99647999999999</v>
      </c>
      <c r="P334" s="6">
        <v>0</v>
      </c>
      <c r="Q334" s="4" t="s">
        <v>26</v>
      </c>
      <c r="R334" s="4">
        <v>0</v>
      </c>
      <c r="S334" s="4" t="s">
        <v>122</v>
      </c>
      <c r="T334" s="4" t="s">
        <v>267</v>
      </c>
      <c r="U334" s="4">
        <v>0</v>
      </c>
      <c r="V334" s="4">
        <v>47</v>
      </c>
      <c r="W334" s="4">
        <v>27</v>
      </c>
    </row>
    <row r="335" spans="1:23" ht="11.25" customHeight="1" x14ac:dyDescent="0.25">
      <c r="A335" s="4" t="s">
        <v>21</v>
      </c>
      <c r="B335" s="4" t="s">
        <v>33</v>
      </c>
      <c r="C335" s="4" t="s">
        <v>34</v>
      </c>
      <c r="D335" s="4" t="s">
        <v>41</v>
      </c>
      <c r="E335" s="4" t="s">
        <v>25</v>
      </c>
      <c r="F335" s="4" t="s">
        <v>25</v>
      </c>
      <c r="G335" s="4" t="s">
        <v>25</v>
      </c>
      <c r="H335" s="4" t="s">
        <v>36</v>
      </c>
      <c r="I335" s="5">
        <v>44470</v>
      </c>
      <c r="J335" s="6">
        <v>0</v>
      </c>
      <c r="K335" s="6">
        <v>0</v>
      </c>
      <c r="L335" s="6">
        <v>183.16399999999999</v>
      </c>
      <c r="M335" s="6">
        <v>175.83743999999999</v>
      </c>
      <c r="N335" s="6">
        <v>183.16399999999999</v>
      </c>
      <c r="O335" s="6">
        <v>175.83743999999999</v>
      </c>
      <c r="P335" s="6">
        <v>0</v>
      </c>
      <c r="Q335" s="4" t="s">
        <v>26</v>
      </c>
      <c r="R335" s="4">
        <v>0</v>
      </c>
      <c r="S335" s="4" t="s">
        <v>123</v>
      </c>
      <c r="T335" s="4" t="s">
        <v>268</v>
      </c>
      <c r="U335" s="4">
        <v>0</v>
      </c>
      <c r="V335" s="4">
        <v>47</v>
      </c>
      <c r="W335" s="4">
        <v>27</v>
      </c>
    </row>
    <row r="336" spans="1:23" ht="11.25" customHeight="1" x14ac:dyDescent="0.25">
      <c r="A336" s="4" t="s">
        <v>21</v>
      </c>
      <c r="B336" s="4" t="s">
        <v>33</v>
      </c>
      <c r="C336" s="4" t="s">
        <v>34</v>
      </c>
      <c r="D336" s="4" t="s">
        <v>41</v>
      </c>
      <c r="E336" s="4" t="s">
        <v>25</v>
      </c>
      <c r="F336" s="4" t="s">
        <v>25</v>
      </c>
      <c r="G336" s="4" t="s">
        <v>25</v>
      </c>
      <c r="H336" s="4" t="s">
        <v>36</v>
      </c>
      <c r="I336" s="5">
        <v>44501</v>
      </c>
      <c r="J336" s="6">
        <v>0</v>
      </c>
      <c r="K336" s="6">
        <v>0</v>
      </c>
      <c r="L336" s="6">
        <v>225.84800000000001</v>
      </c>
      <c r="M336" s="6">
        <v>216.81407999999999</v>
      </c>
      <c r="N336" s="6">
        <v>225.84800000000001</v>
      </c>
      <c r="O336" s="6">
        <v>216.81407999999999</v>
      </c>
      <c r="P336" s="6">
        <v>0</v>
      </c>
      <c r="Q336" s="4" t="s">
        <v>26</v>
      </c>
      <c r="R336" s="4">
        <v>0</v>
      </c>
      <c r="S336" s="4" t="s">
        <v>124</v>
      </c>
      <c r="T336" s="4" t="s">
        <v>269</v>
      </c>
      <c r="U336" s="4">
        <v>0</v>
      </c>
      <c r="V336" s="4">
        <v>47</v>
      </c>
      <c r="W336" s="4">
        <v>27</v>
      </c>
    </row>
    <row r="337" spans="1:23" ht="11.25" customHeight="1" x14ac:dyDescent="0.25">
      <c r="A337" s="4" t="s">
        <v>21</v>
      </c>
      <c r="B337" s="4" t="s">
        <v>33</v>
      </c>
      <c r="C337" s="4" t="s">
        <v>34</v>
      </c>
      <c r="D337" s="4" t="s">
        <v>41</v>
      </c>
      <c r="E337" s="4" t="s">
        <v>25</v>
      </c>
      <c r="F337" s="4" t="s">
        <v>25</v>
      </c>
      <c r="G337" s="4" t="s">
        <v>25</v>
      </c>
      <c r="H337" s="4" t="s">
        <v>36</v>
      </c>
      <c r="I337" s="5">
        <v>44531</v>
      </c>
      <c r="J337" s="6">
        <v>0</v>
      </c>
      <c r="K337" s="6">
        <v>0</v>
      </c>
      <c r="L337" s="6">
        <v>220.56800000000001</v>
      </c>
      <c r="M337" s="6">
        <v>211.74528000000001</v>
      </c>
      <c r="N337" s="6">
        <v>220.56800000000001</v>
      </c>
      <c r="O337" s="6">
        <v>211.74528000000001</v>
      </c>
      <c r="P337" s="6">
        <v>0</v>
      </c>
      <c r="Q337" s="4" t="s">
        <v>26</v>
      </c>
      <c r="R337" s="4">
        <v>0</v>
      </c>
      <c r="S337" s="4" t="s">
        <v>125</v>
      </c>
      <c r="T337" s="4" t="s">
        <v>270</v>
      </c>
      <c r="U337" s="4">
        <v>0</v>
      </c>
      <c r="V337" s="4">
        <v>47</v>
      </c>
      <c r="W337" s="4">
        <v>27</v>
      </c>
    </row>
    <row r="338" spans="1:23" ht="11.25" customHeight="1" x14ac:dyDescent="0.25">
      <c r="A338" s="4" t="s">
        <v>21</v>
      </c>
      <c r="B338" s="4" t="s">
        <v>33</v>
      </c>
      <c r="C338" s="4" t="s">
        <v>34</v>
      </c>
      <c r="D338" s="4" t="s">
        <v>41</v>
      </c>
      <c r="E338" s="4" t="s">
        <v>25</v>
      </c>
      <c r="F338" s="4" t="s">
        <v>25</v>
      </c>
      <c r="G338" s="4" t="s">
        <v>25</v>
      </c>
      <c r="H338" s="4" t="s">
        <v>36</v>
      </c>
      <c r="I338" s="5">
        <v>44562</v>
      </c>
      <c r="J338" s="6">
        <v>0</v>
      </c>
      <c r="K338" s="6">
        <v>0</v>
      </c>
      <c r="L338" s="6">
        <v>219.31399999999999</v>
      </c>
      <c r="M338" s="6">
        <v>210.54143999999999</v>
      </c>
      <c r="N338" s="6">
        <v>219.31399999999999</v>
      </c>
      <c r="O338" s="6">
        <v>210.54143999999999</v>
      </c>
      <c r="P338" s="6">
        <v>0</v>
      </c>
      <c r="Q338" s="4" t="s">
        <v>26</v>
      </c>
      <c r="R338" s="4">
        <v>0</v>
      </c>
      <c r="S338" s="4" t="s">
        <v>126</v>
      </c>
      <c r="T338" s="4" t="s">
        <v>271</v>
      </c>
      <c r="U338" s="4">
        <v>0</v>
      </c>
      <c r="V338" s="4">
        <v>47</v>
      </c>
      <c r="W338" s="4">
        <v>27</v>
      </c>
    </row>
    <row r="339" spans="1:23" ht="11.25" customHeight="1" x14ac:dyDescent="0.25">
      <c r="A339" s="4" t="s">
        <v>21</v>
      </c>
      <c r="B339" s="4" t="s">
        <v>33</v>
      </c>
      <c r="C339" s="4" t="s">
        <v>34</v>
      </c>
      <c r="D339" s="4" t="s">
        <v>41</v>
      </c>
      <c r="E339" s="4" t="s">
        <v>25</v>
      </c>
      <c r="F339" s="4" t="s">
        <v>25</v>
      </c>
      <c r="G339" s="4" t="s">
        <v>25</v>
      </c>
      <c r="H339" s="4" t="s">
        <v>36</v>
      </c>
      <c r="I339" s="5">
        <v>44593</v>
      </c>
      <c r="J339" s="6">
        <v>0</v>
      </c>
      <c r="K339" s="6">
        <v>0</v>
      </c>
      <c r="L339" s="6">
        <v>278.76299999999998</v>
      </c>
      <c r="M339" s="6">
        <v>267.61248000000001</v>
      </c>
      <c r="N339" s="6">
        <v>278.76299999999998</v>
      </c>
      <c r="O339" s="6">
        <v>267.61248000000001</v>
      </c>
      <c r="P339" s="6">
        <v>0</v>
      </c>
      <c r="Q339" s="4" t="s">
        <v>26</v>
      </c>
      <c r="R339" s="4">
        <v>0</v>
      </c>
      <c r="S339" s="4" t="s">
        <v>127</v>
      </c>
      <c r="T339" s="4" t="s">
        <v>272</v>
      </c>
      <c r="U339" s="4">
        <v>0</v>
      </c>
      <c r="V339" s="4">
        <v>47</v>
      </c>
      <c r="W339" s="4">
        <v>27</v>
      </c>
    </row>
    <row r="340" spans="1:23" ht="11.25" customHeight="1" x14ac:dyDescent="0.25">
      <c r="A340" s="4" t="s">
        <v>54</v>
      </c>
      <c r="B340" s="4" t="s">
        <v>33</v>
      </c>
      <c r="C340" s="4" t="s">
        <v>34</v>
      </c>
      <c r="D340" s="4" t="s">
        <v>41</v>
      </c>
      <c r="E340" s="4" t="s">
        <v>25</v>
      </c>
      <c r="F340" s="4" t="s">
        <v>25</v>
      </c>
      <c r="G340" s="4" t="s">
        <v>25</v>
      </c>
      <c r="H340" s="4" t="s">
        <v>36</v>
      </c>
      <c r="I340" s="5">
        <v>44621</v>
      </c>
      <c r="J340" s="6">
        <v>0</v>
      </c>
      <c r="K340" s="6">
        <v>0</v>
      </c>
      <c r="L340" s="6">
        <v>278.76299999999998</v>
      </c>
      <c r="M340" s="6">
        <v>267.61248000000001</v>
      </c>
      <c r="N340" s="6">
        <v>278.76299999999998</v>
      </c>
      <c r="O340" s="6">
        <v>267.61248000000001</v>
      </c>
      <c r="P340" s="6">
        <v>0</v>
      </c>
      <c r="Q340" s="4" t="s">
        <v>26</v>
      </c>
      <c r="R340" s="4">
        <v>0</v>
      </c>
      <c r="S340" s="4" t="s">
        <v>128</v>
      </c>
      <c r="T340" s="4" t="s">
        <v>273</v>
      </c>
      <c r="U340" s="4">
        <v>0</v>
      </c>
      <c r="V340" s="4">
        <v>47</v>
      </c>
      <c r="W340" s="4">
        <v>27</v>
      </c>
    </row>
    <row r="341" spans="1:23" ht="11.25" customHeight="1" x14ac:dyDescent="0.25">
      <c r="A341" s="4" t="s">
        <v>21</v>
      </c>
      <c r="B341" s="4" t="s">
        <v>33</v>
      </c>
      <c r="C341" s="4" t="s">
        <v>34</v>
      </c>
      <c r="D341" s="4" t="s">
        <v>41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44287</v>
      </c>
      <c r="J341" s="6">
        <v>1432</v>
      </c>
      <c r="K341" s="6">
        <v>1374.72</v>
      </c>
      <c r="L341" s="6">
        <v>0</v>
      </c>
      <c r="M341" s="6">
        <v>0</v>
      </c>
      <c r="N341" s="6">
        <v>0</v>
      </c>
      <c r="O341" s="6">
        <v>0</v>
      </c>
      <c r="P341" s="6">
        <v>12</v>
      </c>
      <c r="Q341" s="4" t="s">
        <v>26</v>
      </c>
      <c r="R341" s="4">
        <v>0</v>
      </c>
      <c r="S341" s="4" t="s">
        <v>129</v>
      </c>
      <c r="U341" s="4">
        <v>65</v>
      </c>
      <c r="V341" s="4">
        <v>0</v>
      </c>
      <c r="W341" s="4">
        <v>0</v>
      </c>
    </row>
    <row r="342" spans="1:23" ht="11.25" customHeight="1" x14ac:dyDescent="0.25">
      <c r="A342" s="4" t="s">
        <v>21</v>
      </c>
      <c r="B342" s="4" t="s">
        <v>33</v>
      </c>
      <c r="C342" s="4" t="s">
        <v>34</v>
      </c>
      <c r="D342" s="4" t="s">
        <v>41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44317</v>
      </c>
      <c r="J342" s="6">
        <v>1066</v>
      </c>
      <c r="K342" s="6">
        <v>1021.228</v>
      </c>
      <c r="L342" s="6">
        <v>0</v>
      </c>
      <c r="M342" s="6">
        <v>0</v>
      </c>
      <c r="N342" s="6">
        <v>0</v>
      </c>
      <c r="O342" s="6">
        <v>0</v>
      </c>
      <c r="P342" s="6">
        <v>12</v>
      </c>
      <c r="Q342" s="4" t="s">
        <v>26</v>
      </c>
      <c r="R342" s="4">
        <v>0</v>
      </c>
      <c r="S342" s="4" t="s">
        <v>130</v>
      </c>
      <c r="U342" s="4">
        <v>65</v>
      </c>
      <c r="V342" s="4">
        <v>0</v>
      </c>
      <c r="W342" s="4">
        <v>0</v>
      </c>
    </row>
    <row r="343" spans="1:23" ht="11.25" customHeight="1" x14ac:dyDescent="0.25">
      <c r="A343" s="4" t="s">
        <v>21</v>
      </c>
      <c r="B343" s="4" t="s">
        <v>33</v>
      </c>
      <c r="C343" s="4" t="s">
        <v>34</v>
      </c>
      <c r="D343" s="4" t="s">
        <v>41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44348</v>
      </c>
      <c r="J343" s="6">
        <v>1292</v>
      </c>
      <c r="K343" s="6">
        <v>1240.32</v>
      </c>
      <c r="L343" s="6">
        <v>0</v>
      </c>
      <c r="M343" s="6">
        <v>0</v>
      </c>
      <c r="N343" s="6">
        <v>0</v>
      </c>
      <c r="O343" s="6">
        <v>0</v>
      </c>
      <c r="P343" s="6">
        <v>12</v>
      </c>
      <c r="Q343" s="4" t="s">
        <v>26</v>
      </c>
      <c r="R343" s="4">
        <v>0</v>
      </c>
      <c r="S343" s="4" t="s">
        <v>131</v>
      </c>
      <c r="U343" s="4">
        <v>65</v>
      </c>
      <c r="V343" s="4">
        <v>0</v>
      </c>
      <c r="W343" s="4">
        <v>0</v>
      </c>
    </row>
    <row r="344" spans="1:23" ht="11.25" customHeight="1" x14ac:dyDescent="0.25">
      <c r="A344" s="4" t="s">
        <v>21</v>
      </c>
      <c r="B344" s="4" t="s">
        <v>33</v>
      </c>
      <c r="C344" s="4" t="s">
        <v>34</v>
      </c>
      <c r="D344" s="4" t="s">
        <v>41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44378</v>
      </c>
      <c r="J344" s="6">
        <v>1311</v>
      </c>
      <c r="K344" s="6">
        <v>1258.56</v>
      </c>
      <c r="L344" s="6">
        <v>0</v>
      </c>
      <c r="M344" s="6">
        <v>0</v>
      </c>
      <c r="N344" s="6">
        <v>0</v>
      </c>
      <c r="O344" s="6">
        <v>0</v>
      </c>
      <c r="P344" s="6">
        <v>12</v>
      </c>
      <c r="Q344" s="4" t="s">
        <v>26</v>
      </c>
      <c r="R344" s="4">
        <v>0</v>
      </c>
      <c r="S344" s="4" t="s">
        <v>132</v>
      </c>
      <c r="U344" s="4">
        <v>65</v>
      </c>
      <c r="V344" s="4">
        <v>0</v>
      </c>
      <c r="W344" s="4">
        <v>0</v>
      </c>
    </row>
    <row r="345" spans="1:23" ht="11.25" customHeight="1" x14ac:dyDescent="0.25">
      <c r="A345" s="4" t="s">
        <v>21</v>
      </c>
      <c r="B345" s="4" t="s">
        <v>33</v>
      </c>
      <c r="C345" s="4" t="s">
        <v>34</v>
      </c>
      <c r="D345" s="4" t="s">
        <v>41</v>
      </c>
      <c r="E345" s="4" t="s">
        <v>25</v>
      </c>
      <c r="F345" s="4" t="s">
        <v>25</v>
      </c>
      <c r="G345" s="4" t="s">
        <v>25</v>
      </c>
      <c r="H345" s="4" t="s">
        <v>25</v>
      </c>
      <c r="I345" s="5">
        <v>44409</v>
      </c>
      <c r="J345" s="6">
        <v>1384</v>
      </c>
      <c r="K345" s="6">
        <v>1328.64</v>
      </c>
      <c r="L345" s="6">
        <v>0</v>
      </c>
      <c r="M345" s="6">
        <v>0</v>
      </c>
      <c r="N345" s="6">
        <v>0</v>
      </c>
      <c r="O345" s="6">
        <v>0</v>
      </c>
      <c r="P345" s="6">
        <v>12</v>
      </c>
      <c r="Q345" s="4" t="s">
        <v>26</v>
      </c>
      <c r="R345" s="4">
        <v>0</v>
      </c>
      <c r="S345" s="4" t="s">
        <v>133</v>
      </c>
      <c r="U345" s="4">
        <v>65</v>
      </c>
      <c r="V345" s="4">
        <v>0</v>
      </c>
      <c r="W345" s="4">
        <v>0</v>
      </c>
    </row>
    <row r="346" spans="1:23" ht="11.25" customHeight="1" x14ac:dyDescent="0.25">
      <c r="A346" s="4" t="s">
        <v>21</v>
      </c>
      <c r="B346" s="4" t="s">
        <v>33</v>
      </c>
      <c r="C346" s="4" t="s">
        <v>34</v>
      </c>
      <c r="D346" s="4" t="s">
        <v>41</v>
      </c>
      <c r="E346" s="4" t="s">
        <v>25</v>
      </c>
      <c r="F346" s="4" t="s">
        <v>25</v>
      </c>
      <c r="G346" s="4" t="s">
        <v>25</v>
      </c>
      <c r="H346" s="4" t="s">
        <v>25</v>
      </c>
      <c r="I346" s="5">
        <v>44440</v>
      </c>
      <c r="J346" s="6">
        <v>1484</v>
      </c>
      <c r="K346" s="6">
        <v>1424.64</v>
      </c>
      <c r="L346" s="6">
        <v>0</v>
      </c>
      <c r="M346" s="6">
        <v>0</v>
      </c>
      <c r="N346" s="6">
        <v>0</v>
      </c>
      <c r="O346" s="6">
        <v>0</v>
      </c>
      <c r="P346" s="6">
        <v>13</v>
      </c>
      <c r="Q346" s="4" t="s">
        <v>26</v>
      </c>
      <c r="R346" s="4">
        <v>0</v>
      </c>
      <c r="S346" s="4" t="s">
        <v>134</v>
      </c>
      <c r="U346" s="4">
        <v>65</v>
      </c>
      <c r="V346" s="4">
        <v>0</v>
      </c>
      <c r="W346" s="4">
        <v>0</v>
      </c>
    </row>
    <row r="347" spans="1:23" ht="11.25" customHeight="1" x14ac:dyDescent="0.25">
      <c r="A347" s="4" t="s">
        <v>21</v>
      </c>
      <c r="B347" s="4" t="s">
        <v>33</v>
      </c>
      <c r="C347" s="4" t="s">
        <v>34</v>
      </c>
      <c r="D347" s="4" t="s">
        <v>41</v>
      </c>
      <c r="E347" s="4" t="s">
        <v>25</v>
      </c>
      <c r="F347" s="4" t="s">
        <v>25</v>
      </c>
      <c r="G347" s="4" t="s">
        <v>25</v>
      </c>
      <c r="H347" s="4" t="s">
        <v>25</v>
      </c>
      <c r="I347" s="5">
        <v>44470</v>
      </c>
      <c r="J347" s="6">
        <v>1377</v>
      </c>
      <c r="K347" s="6">
        <v>1321.92</v>
      </c>
      <c r="L347" s="6">
        <v>0</v>
      </c>
      <c r="M347" s="6">
        <v>0</v>
      </c>
      <c r="N347" s="6">
        <v>0</v>
      </c>
      <c r="O347" s="6">
        <v>0</v>
      </c>
      <c r="P347" s="6">
        <v>13</v>
      </c>
      <c r="Q347" s="4" t="s">
        <v>26</v>
      </c>
      <c r="R347" s="4">
        <v>0</v>
      </c>
      <c r="S347" s="4" t="s">
        <v>135</v>
      </c>
      <c r="U347" s="4">
        <v>65</v>
      </c>
      <c r="V347" s="4">
        <v>0</v>
      </c>
      <c r="W347" s="4">
        <v>0</v>
      </c>
    </row>
    <row r="348" spans="1:23" ht="11.25" customHeight="1" x14ac:dyDescent="0.25">
      <c r="A348" s="4" t="s">
        <v>21</v>
      </c>
      <c r="B348" s="4" t="s">
        <v>33</v>
      </c>
      <c r="C348" s="4" t="s">
        <v>34</v>
      </c>
      <c r="D348" s="4" t="s">
        <v>41</v>
      </c>
      <c r="E348" s="4" t="s">
        <v>25</v>
      </c>
      <c r="F348" s="4" t="s">
        <v>25</v>
      </c>
      <c r="G348" s="4" t="s">
        <v>25</v>
      </c>
      <c r="H348" s="4" t="s">
        <v>25</v>
      </c>
      <c r="I348" s="5">
        <v>44501</v>
      </c>
      <c r="J348" s="6">
        <v>1383</v>
      </c>
      <c r="K348" s="6">
        <v>1327.68</v>
      </c>
      <c r="L348" s="6">
        <v>0</v>
      </c>
      <c r="M348" s="6">
        <v>0</v>
      </c>
      <c r="N348" s="6">
        <v>0</v>
      </c>
      <c r="O348" s="6">
        <v>0</v>
      </c>
      <c r="P348" s="6">
        <v>13</v>
      </c>
      <c r="Q348" s="4" t="s">
        <v>26</v>
      </c>
      <c r="R348" s="4">
        <v>0</v>
      </c>
      <c r="S348" s="4" t="s">
        <v>136</v>
      </c>
      <c r="U348" s="4">
        <v>65</v>
      </c>
      <c r="V348" s="4">
        <v>0</v>
      </c>
      <c r="W348" s="4">
        <v>0</v>
      </c>
    </row>
    <row r="349" spans="1:23" ht="11.25" customHeight="1" x14ac:dyDescent="0.25">
      <c r="A349" s="4" t="s">
        <v>21</v>
      </c>
      <c r="B349" s="4" t="s">
        <v>33</v>
      </c>
      <c r="C349" s="4" t="s">
        <v>34</v>
      </c>
      <c r="D349" s="4" t="s">
        <v>41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44531</v>
      </c>
      <c r="J349" s="6">
        <v>1410</v>
      </c>
      <c r="K349" s="6">
        <v>1353.6</v>
      </c>
      <c r="L349" s="6">
        <v>0</v>
      </c>
      <c r="M349" s="6">
        <v>0</v>
      </c>
      <c r="N349" s="6">
        <v>0</v>
      </c>
      <c r="O349" s="6">
        <v>0</v>
      </c>
      <c r="P349" s="6">
        <v>13</v>
      </c>
      <c r="Q349" s="4" t="s">
        <v>26</v>
      </c>
      <c r="R349" s="4">
        <v>0</v>
      </c>
      <c r="S349" s="4" t="s">
        <v>137</v>
      </c>
      <c r="U349" s="4">
        <v>65</v>
      </c>
      <c r="V349" s="4">
        <v>0</v>
      </c>
      <c r="W349" s="4">
        <v>0</v>
      </c>
    </row>
    <row r="350" spans="1:23" ht="11.25" customHeight="1" x14ac:dyDescent="0.25">
      <c r="A350" s="4" t="s">
        <v>21</v>
      </c>
      <c r="B350" s="4" t="s">
        <v>33</v>
      </c>
      <c r="C350" s="4" t="s">
        <v>34</v>
      </c>
      <c r="D350" s="4" t="s">
        <v>41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44562</v>
      </c>
      <c r="J350" s="6">
        <v>1300</v>
      </c>
      <c r="K350" s="6">
        <v>1248</v>
      </c>
      <c r="L350" s="6">
        <v>0</v>
      </c>
      <c r="M350" s="6">
        <v>0</v>
      </c>
      <c r="N350" s="6">
        <v>0</v>
      </c>
      <c r="O350" s="6">
        <v>0</v>
      </c>
      <c r="P350" s="6">
        <v>13</v>
      </c>
      <c r="Q350" s="4" t="s">
        <v>26</v>
      </c>
      <c r="R350" s="4">
        <v>0</v>
      </c>
      <c r="S350" s="4" t="s">
        <v>138</v>
      </c>
      <c r="U350" s="4">
        <v>65</v>
      </c>
      <c r="V350" s="4">
        <v>0</v>
      </c>
      <c r="W350" s="4">
        <v>0</v>
      </c>
    </row>
    <row r="351" spans="1:23" ht="11.25" customHeight="1" x14ac:dyDescent="0.25">
      <c r="A351" s="4" t="s">
        <v>21</v>
      </c>
      <c r="B351" s="4" t="s">
        <v>33</v>
      </c>
      <c r="C351" s="4" t="s">
        <v>34</v>
      </c>
      <c r="D351" s="4" t="s">
        <v>41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44593</v>
      </c>
      <c r="J351" s="6">
        <v>1383</v>
      </c>
      <c r="K351" s="6">
        <v>1327.68</v>
      </c>
      <c r="L351" s="6">
        <v>0</v>
      </c>
      <c r="M351" s="6">
        <v>0</v>
      </c>
      <c r="N351" s="6">
        <v>0</v>
      </c>
      <c r="O351" s="6">
        <v>0</v>
      </c>
      <c r="P351" s="6">
        <v>13</v>
      </c>
      <c r="Q351" s="4" t="s">
        <v>26</v>
      </c>
      <c r="R351" s="4">
        <v>0</v>
      </c>
      <c r="S351" s="4" t="s">
        <v>139</v>
      </c>
      <c r="U351" s="4">
        <v>65</v>
      </c>
      <c r="V351" s="4">
        <v>0</v>
      </c>
      <c r="W351" s="4">
        <v>0</v>
      </c>
    </row>
    <row r="352" spans="1:23" ht="11.25" customHeight="1" x14ac:dyDescent="0.25">
      <c r="A352" s="4" t="s">
        <v>54</v>
      </c>
      <c r="B352" s="4" t="s">
        <v>33</v>
      </c>
      <c r="C352" s="4" t="s">
        <v>34</v>
      </c>
      <c r="D352" s="4" t="s">
        <v>41</v>
      </c>
      <c r="E352" s="4" t="s">
        <v>25</v>
      </c>
      <c r="F352" s="4" t="s">
        <v>25</v>
      </c>
      <c r="G352" s="4" t="s">
        <v>25</v>
      </c>
      <c r="H352" s="4" t="s">
        <v>25</v>
      </c>
      <c r="I352" s="5">
        <v>44621</v>
      </c>
      <c r="J352" s="6">
        <v>1383</v>
      </c>
      <c r="K352" s="6">
        <v>1327.68</v>
      </c>
      <c r="L352" s="6">
        <v>0</v>
      </c>
      <c r="M352" s="6">
        <v>0</v>
      </c>
      <c r="N352" s="6">
        <v>0</v>
      </c>
      <c r="O352" s="6">
        <v>0</v>
      </c>
      <c r="P352" s="6">
        <v>13</v>
      </c>
      <c r="Q352" s="4" t="s">
        <v>26</v>
      </c>
      <c r="R352" s="4">
        <v>0</v>
      </c>
      <c r="S352" s="4" t="s">
        <v>140</v>
      </c>
      <c r="U352" s="4">
        <v>65</v>
      </c>
      <c r="V352" s="4">
        <v>0</v>
      </c>
      <c r="W352" s="4">
        <v>0</v>
      </c>
    </row>
    <row r="353" spans="1:23" ht="11.25" customHeight="1" x14ac:dyDescent="0.25">
      <c r="A353" s="4" t="s">
        <v>21</v>
      </c>
      <c r="B353" s="4" t="s">
        <v>33</v>
      </c>
      <c r="C353" s="4" t="s">
        <v>34</v>
      </c>
      <c r="D353" s="4" t="s">
        <v>41</v>
      </c>
      <c r="E353" s="4" t="s">
        <v>25</v>
      </c>
      <c r="F353" s="4" t="s">
        <v>25</v>
      </c>
      <c r="G353" s="4" t="s">
        <v>25</v>
      </c>
      <c r="H353" s="4" t="s">
        <v>35</v>
      </c>
      <c r="I353" s="5">
        <v>44287</v>
      </c>
      <c r="J353" s="6">
        <v>0</v>
      </c>
      <c r="K353" s="6">
        <v>0</v>
      </c>
      <c r="L353" s="6">
        <v>13.541</v>
      </c>
      <c r="M353" s="6">
        <v>12.999359999999999</v>
      </c>
      <c r="N353" s="6">
        <v>13.541</v>
      </c>
      <c r="O353" s="6">
        <v>12.999359999999999</v>
      </c>
      <c r="P353" s="6">
        <v>0</v>
      </c>
      <c r="Q353" s="4" t="s">
        <v>26</v>
      </c>
      <c r="R353" s="4">
        <v>0</v>
      </c>
      <c r="S353" s="4" t="s">
        <v>141</v>
      </c>
      <c r="T353" s="4" t="s">
        <v>274</v>
      </c>
      <c r="U353" s="4">
        <v>0</v>
      </c>
      <c r="V353" s="4">
        <v>66</v>
      </c>
      <c r="W353" s="4">
        <v>6</v>
      </c>
    </row>
    <row r="354" spans="1:23" ht="11.25" customHeight="1" x14ac:dyDescent="0.25">
      <c r="A354" s="4" t="s">
        <v>21</v>
      </c>
      <c r="B354" s="4" t="s">
        <v>33</v>
      </c>
      <c r="C354" s="4" t="s">
        <v>34</v>
      </c>
      <c r="D354" s="4" t="s">
        <v>41</v>
      </c>
      <c r="E354" s="4" t="s">
        <v>25</v>
      </c>
      <c r="F354" s="4" t="s">
        <v>25</v>
      </c>
      <c r="G354" s="4" t="s">
        <v>25</v>
      </c>
      <c r="H354" s="4" t="s">
        <v>35</v>
      </c>
      <c r="I354" s="5">
        <v>44317</v>
      </c>
      <c r="J354" s="6">
        <v>0</v>
      </c>
      <c r="K354" s="6">
        <v>0</v>
      </c>
      <c r="L354" s="6">
        <v>10.247</v>
      </c>
      <c r="M354" s="6">
        <v>9.8166259999999994</v>
      </c>
      <c r="N354" s="6">
        <v>10.247</v>
      </c>
      <c r="O354" s="6">
        <v>9.8166259999999994</v>
      </c>
      <c r="P354" s="6">
        <v>0</v>
      </c>
      <c r="Q354" s="4" t="s">
        <v>26</v>
      </c>
      <c r="R354" s="4">
        <v>0</v>
      </c>
      <c r="S354" s="4" t="s">
        <v>142</v>
      </c>
      <c r="T354" s="4" t="s">
        <v>275</v>
      </c>
      <c r="U354" s="4">
        <v>0</v>
      </c>
      <c r="V354" s="4">
        <v>66</v>
      </c>
      <c r="W354" s="4">
        <v>6</v>
      </c>
    </row>
    <row r="355" spans="1:23" ht="11.25" customHeight="1" x14ac:dyDescent="0.25">
      <c r="A355" s="4" t="s">
        <v>21</v>
      </c>
      <c r="B355" s="4" t="s">
        <v>33</v>
      </c>
      <c r="C355" s="4" t="s">
        <v>34</v>
      </c>
      <c r="D355" s="4" t="s">
        <v>41</v>
      </c>
      <c r="E355" s="4" t="s">
        <v>25</v>
      </c>
      <c r="F355" s="4" t="s">
        <v>25</v>
      </c>
      <c r="G355" s="4" t="s">
        <v>25</v>
      </c>
      <c r="H355" s="4" t="s">
        <v>35</v>
      </c>
      <c r="I355" s="5">
        <v>44348</v>
      </c>
      <c r="J355" s="6">
        <v>0</v>
      </c>
      <c r="K355" s="6">
        <v>0</v>
      </c>
      <c r="L355" s="6">
        <v>8.9819999999999993</v>
      </c>
      <c r="M355" s="6">
        <v>8.6227199999999993</v>
      </c>
      <c r="N355" s="6">
        <v>8.9819999999999993</v>
      </c>
      <c r="O355" s="6">
        <v>8.6227199999999993</v>
      </c>
      <c r="P355" s="6">
        <v>0</v>
      </c>
      <c r="Q355" s="4" t="s">
        <v>26</v>
      </c>
      <c r="R355" s="4">
        <v>0</v>
      </c>
      <c r="S355" s="4" t="s">
        <v>143</v>
      </c>
      <c r="T355" s="4" t="s">
        <v>276</v>
      </c>
      <c r="U355" s="4">
        <v>0</v>
      </c>
      <c r="V355" s="4">
        <v>66</v>
      </c>
      <c r="W355" s="4">
        <v>6</v>
      </c>
    </row>
    <row r="356" spans="1:23" ht="11.25" customHeight="1" x14ac:dyDescent="0.25">
      <c r="A356" s="4" t="s">
        <v>21</v>
      </c>
      <c r="B356" s="4" t="s">
        <v>33</v>
      </c>
      <c r="C356" s="4" t="s">
        <v>34</v>
      </c>
      <c r="D356" s="4" t="s">
        <v>41</v>
      </c>
      <c r="E356" s="4" t="s">
        <v>25</v>
      </c>
      <c r="F356" s="4" t="s">
        <v>25</v>
      </c>
      <c r="G356" s="4" t="s">
        <v>25</v>
      </c>
      <c r="H356" s="4" t="s">
        <v>35</v>
      </c>
      <c r="I356" s="5">
        <v>44378</v>
      </c>
      <c r="J356" s="6">
        <v>0</v>
      </c>
      <c r="K356" s="6">
        <v>0</v>
      </c>
      <c r="L356" s="6">
        <v>12.948</v>
      </c>
      <c r="M356" s="6">
        <v>12.43008</v>
      </c>
      <c r="N356" s="6">
        <v>12.948</v>
      </c>
      <c r="O356" s="6">
        <v>12.43008</v>
      </c>
      <c r="P356" s="6">
        <v>0</v>
      </c>
      <c r="Q356" s="4" t="s">
        <v>26</v>
      </c>
      <c r="R356" s="4">
        <v>0</v>
      </c>
      <c r="S356" s="4" t="s">
        <v>144</v>
      </c>
      <c r="T356" s="4" t="s">
        <v>277</v>
      </c>
      <c r="U356" s="4">
        <v>0</v>
      </c>
      <c r="V356" s="4">
        <v>66</v>
      </c>
      <c r="W356" s="4">
        <v>6</v>
      </c>
    </row>
    <row r="357" spans="1:23" ht="11.25" customHeight="1" x14ac:dyDescent="0.25">
      <c r="A357" s="4" t="s">
        <v>21</v>
      </c>
      <c r="B357" s="4" t="s">
        <v>33</v>
      </c>
      <c r="C357" s="4" t="s">
        <v>34</v>
      </c>
      <c r="D357" s="4" t="s">
        <v>41</v>
      </c>
      <c r="E357" s="4" t="s">
        <v>25</v>
      </c>
      <c r="F357" s="4" t="s">
        <v>25</v>
      </c>
      <c r="G357" s="4" t="s">
        <v>25</v>
      </c>
      <c r="H357" s="4" t="s">
        <v>35</v>
      </c>
      <c r="I357" s="5">
        <v>44409</v>
      </c>
      <c r="J357" s="6">
        <v>0</v>
      </c>
      <c r="K357" s="6">
        <v>0</v>
      </c>
      <c r="L357" s="6">
        <v>15.106</v>
      </c>
      <c r="M357" s="6">
        <v>14.501760000000001</v>
      </c>
      <c r="N357" s="6">
        <v>15.106</v>
      </c>
      <c r="O357" s="6">
        <v>14.501760000000001</v>
      </c>
      <c r="P357" s="6">
        <v>0</v>
      </c>
      <c r="Q357" s="4" t="s">
        <v>26</v>
      </c>
      <c r="R357" s="4">
        <v>0</v>
      </c>
      <c r="S357" s="4" t="s">
        <v>145</v>
      </c>
      <c r="T357" s="4" t="s">
        <v>278</v>
      </c>
      <c r="U357" s="4">
        <v>0</v>
      </c>
      <c r="V357" s="4">
        <v>66</v>
      </c>
      <c r="W357" s="4">
        <v>6</v>
      </c>
    </row>
    <row r="358" spans="1:23" ht="11.25" customHeight="1" x14ac:dyDescent="0.25">
      <c r="A358" s="4" t="s">
        <v>21</v>
      </c>
      <c r="B358" s="4" t="s">
        <v>33</v>
      </c>
      <c r="C358" s="4" t="s">
        <v>34</v>
      </c>
      <c r="D358" s="4" t="s">
        <v>41</v>
      </c>
      <c r="E358" s="4" t="s">
        <v>25</v>
      </c>
      <c r="F358" s="4" t="s">
        <v>25</v>
      </c>
      <c r="G358" s="4" t="s">
        <v>25</v>
      </c>
      <c r="H358" s="4" t="s">
        <v>35</v>
      </c>
      <c r="I358" s="5">
        <v>44440</v>
      </c>
      <c r="J358" s="6">
        <v>0</v>
      </c>
      <c r="K358" s="6">
        <v>0</v>
      </c>
      <c r="L358" s="6">
        <v>13.499000000000001</v>
      </c>
      <c r="M358" s="6">
        <v>12.95904</v>
      </c>
      <c r="N358" s="6">
        <v>13.499000000000001</v>
      </c>
      <c r="O358" s="6">
        <v>12.95904</v>
      </c>
      <c r="P358" s="6">
        <v>0</v>
      </c>
      <c r="Q358" s="4" t="s">
        <v>26</v>
      </c>
      <c r="R358" s="4">
        <v>0</v>
      </c>
      <c r="S358" s="4" t="s">
        <v>146</v>
      </c>
      <c r="T358" s="4" t="s">
        <v>279</v>
      </c>
      <c r="U358" s="4">
        <v>0</v>
      </c>
      <c r="V358" s="4">
        <v>66</v>
      </c>
      <c r="W358" s="4">
        <v>6</v>
      </c>
    </row>
    <row r="359" spans="1:23" ht="11.25" customHeight="1" x14ac:dyDescent="0.25">
      <c r="A359" s="4" t="s">
        <v>21</v>
      </c>
      <c r="B359" s="4" t="s">
        <v>33</v>
      </c>
      <c r="C359" s="4" t="s">
        <v>34</v>
      </c>
      <c r="D359" s="4" t="s">
        <v>41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44470</v>
      </c>
      <c r="J359" s="6">
        <v>0</v>
      </c>
      <c r="K359" s="6">
        <v>0</v>
      </c>
      <c r="L359" s="6">
        <v>11.019</v>
      </c>
      <c r="M359" s="6">
        <v>10.578239999999999</v>
      </c>
      <c r="N359" s="6">
        <v>11.019</v>
      </c>
      <c r="O359" s="6">
        <v>10.578239999999999</v>
      </c>
      <c r="P359" s="6">
        <v>0</v>
      </c>
      <c r="Q359" s="4" t="s">
        <v>26</v>
      </c>
      <c r="R359" s="4">
        <v>0</v>
      </c>
      <c r="S359" s="4" t="s">
        <v>147</v>
      </c>
      <c r="T359" s="4" t="s">
        <v>280</v>
      </c>
      <c r="U359" s="4">
        <v>0</v>
      </c>
      <c r="V359" s="4">
        <v>66</v>
      </c>
      <c r="W359" s="4">
        <v>6</v>
      </c>
    </row>
    <row r="360" spans="1:23" ht="11.25" customHeight="1" x14ac:dyDescent="0.25">
      <c r="A360" s="4" t="s">
        <v>21</v>
      </c>
      <c r="B360" s="4" t="s">
        <v>33</v>
      </c>
      <c r="C360" s="4" t="s">
        <v>34</v>
      </c>
      <c r="D360" s="4" t="s">
        <v>41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44501</v>
      </c>
      <c r="J360" s="6">
        <v>0</v>
      </c>
      <c r="K360" s="6">
        <v>0</v>
      </c>
      <c r="L360" s="6">
        <v>14.958</v>
      </c>
      <c r="M360" s="6">
        <v>14.359680000000001</v>
      </c>
      <c r="N360" s="6">
        <v>14.958</v>
      </c>
      <c r="O360" s="6">
        <v>14.359680000000001</v>
      </c>
      <c r="P360" s="6">
        <v>0</v>
      </c>
      <c r="Q360" s="4" t="s">
        <v>26</v>
      </c>
      <c r="R360" s="4">
        <v>0</v>
      </c>
      <c r="S360" s="4" t="s">
        <v>148</v>
      </c>
      <c r="T360" s="4" t="s">
        <v>281</v>
      </c>
      <c r="U360" s="4">
        <v>0</v>
      </c>
      <c r="V360" s="4">
        <v>66</v>
      </c>
      <c r="W360" s="4">
        <v>6</v>
      </c>
    </row>
    <row r="361" spans="1:23" ht="11.25" customHeight="1" x14ac:dyDescent="0.25">
      <c r="A361" s="4" t="s">
        <v>21</v>
      </c>
      <c r="B361" s="4" t="s">
        <v>33</v>
      </c>
      <c r="C361" s="4" t="s">
        <v>34</v>
      </c>
      <c r="D361" s="4" t="s">
        <v>41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44531</v>
      </c>
      <c r="J361" s="6">
        <v>0</v>
      </c>
      <c r="K361" s="6">
        <v>0</v>
      </c>
      <c r="L361" s="6">
        <v>15.686</v>
      </c>
      <c r="M361" s="6">
        <v>15.05856</v>
      </c>
      <c r="N361" s="6">
        <v>15.686</v>
      </c>
      <c r="O361" s="6">
        <v>15.05856</v>
      </c>
      <c r="P361" s="6">
        <v>0</v>
      </c>
      <c r="Q361" s="4" t="s">
        <v>26</v>
      </c>
      <c r="R361" s="4">
        <v>0</v>
      </c>
      <c r="S361" s="4" t="s">
        <v>149</v>
      </c>
      <c r="T361" s="4" t="s">
        <v>282</v>
      </c>
      <c r="U361" s="4">
        <v>0</v>
      </c>
      <c r="V361" s="4">
        <v>66</v>
      </c>
      <c r="W361" s="4">
        <v>6</v>
      </c>
    </row>
    <row r="362" spans="1:23" ht="11.25" customHeight="1" x14ac:dyDescent="0.25">
      <c r="A362" s="4" t="s">
        <v>21</v>
      </c>
      <c r="B362" s="4" t="s">
        <v>33</v>
      </c>
      <c r="C362" s="4" t="s">
        <v>34</v>
      </c>
      <c r="D362" s="4" t="s">
        <v>41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44562</v>
      </c>
      <c r="J362" s="6">
        <v>0</v>
      </c>
      <c r="K362" s="6">
        <v>0</v>
      </c>
      <c r="L362" s="6">
        <v>16.434999999999999</v>
      </c>
      <c r="M362" s="6">
        <v>15.7776</v>
      </c>
      <c r="N362" s="6">
        <v>16.434999999999999</v>
      </c>
      <c r="O362" s="6">
        <v>15.7776</v>
      </c>
      <c r="P362" s="6">
        <v>0</v>
      </c>
      <c r="Q362" s="4" t="s">
        <v>26</v>
      </c>
      <c r="R362" s="4">
        <v>0</v>
      </c>
      <c r="S362" s="4" t="s">
        <v>150</v>
      </c>
      <c r="T362" s="4" t="s">
        <v>283</v>
      </c>
      <c r="U362" s="4">
        <v>0</v>
      </c>
      <c r="V362" s="4">
        <v>66</v>
      </c>
      <c r="W362" s="4">
        <v>6</v>
      </c>
    </row>
    <row r="363" spans="1:23" ht="11.25" customHeight="1" x14ac:dyDescent="0.25">
      <c r="A363" s="4" t="s">
        <v>21</v>
      </c>
      <c r="B363" s="4" t="s">
        <v>33</v>
      </c>
      <c r="C363" s="4" t="s">
        <v>34</v>
      </c>
      <c r="D363" s="4" t="s">
        <v>41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44593</v>
      </c>
      <c r="J363" s="6">
        <v>0</v>
      </c>
      <c r="K363" s="6">
        <v>0</v>
      </c>
      <c r="L363" s="6">
        <v>25.297999999999998</v>
      </c>
      <c r="M363" s="6">
        <v>24.286079999999998</v>
      </c>
      <c r="N363" s="6">
        <v>25.297999999999998</v>
      </c>
      <c r="O363" s="6">
        <v>24.286079999999998</v>
      </c>
      <c r="P363" s="6">
        <v>0</v>
      </c>
      <c r="Q363" s="4" t="s">
        <v>26</v>
      </c>
      <c r="R363" s="4">
        <v>0</v>
      </c>
      <c r="S363" s="4" t="s">
        <v>151</v>
      </c>
      <c r="T363" s="4" t="s">
        <v>284</v>
      </c>
      <c r="U363" s="4">
        <v>0</v>
      </c>
      <c r="V363" s="4">
        <v>66</v>
      </c>
      <c r="W363" s="4">
        <v>6</v>
      </c>
    </row>
    <row r="364" spans="1:23" ht="11.25" customHeight="1" x14ac:dyDescent="0.25">
      <c r="A364" s="4" t="s">
        <v>54</v>
      </c>
      <c r="B364" s="4" t="s">
        <v>33</v>
      </c>
      <c r="C364" s="4" t="s">
        <v>34</v>
      </c>
      <c r="D364" s="4" t="s">
        <v>41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44621</v>
      </c>
      <c r="J364" s="6">
        <v>0</v>
      </c>
      <c r="K364" s="6">
        <v>0</v>
      </c>
      <c r="L364" s="6">
        <v>25.297999999999998</v>
      </c>
      <c r="M364" s="6">
        <v>24.286079999999998</v>
      </c>
      <c r="N364" s="6">
        <v>25.297999999999998</v>
      </c>
      <c r="O364" s="6">
        <v>24.286079999999998</v>
      </c>
      <c r="P364" s="6">
        <v>0</v>
      </c>
      <c r="Q364" s="4" t="s">
        <v>26</v>
      </c>
      <c r="R364" s="4">
        <v>0</v>
      </c>
      <c r="S364" s="4" t="s">
        <v>152</v>
      </c>
      <c r="T364" s="4" t="s">
        <v>285</v>
      </c>
      <c r="U364" s="4">
        <v>0</v>
      </c>
      <c r="V364" s="4">
        <v>66</v>
      </c>
      <c r="W364" s="4">
        <v>6</v>
      </c>
    </row>
    <row r="365" spans="1:23" ht="11.25" customHeight="1" x14ac:dyDescent="0.25">
      <c r="A365" s="4" t="s">
        <v>21</v>
      </c>
      <c r="B365" s="4" t="s">
        <v>33</v>
      </c>
      <c r="C365" s="4" t="s">
        <v>34</v>
      </c>
      <c r="D365" s="4" t="s">
        <v>48</v>
      </c>
      <c r="E365" s="4" t="s">
        <v>49</v>
      </c>
      <c r="F365" s="4" t="s">
        <v>25</v>
      </c>
      <c r="G365" s="4" t="s">
        <v>25</v>
      </c>
      <c r="H365" s="4" t="s">
        <v>36</v>
      </c>
      <c r="I365" s="5">
        <v>44287</v>
      </c>
      <c r="J365" s="6">
        <v>0</v>
      </c>
      <c r="K365" s="6">
        <v>0</v>
      </c>
      <c r="L365" s="6">
        <v>130.72300000000001</v>
      </c>
      <c r="M365" s="6">
        <v>122.87962</v>
      </c>
      <c r="N365" s="6">
        <v>130.72300000000001</v>
      </c>
      <c r="O365" s="6">
        <v>122.87962</v>
      </c>
      <c r="P365" s="6">
        <v>0</v>
      </c>
      <c r="Q365" s="4" t="s">
        <v>26</v>
      </c>
      <c r="R365" s="4">
        <v>0</v>
      </c>
      <c r="S365" s="4" t="s">
        <v>117</v>
      </c>
      <c r="T365" s="4" t="s">
        <v>262</v>
      </c>
      <c r="U365" s="4">
        <v>0</v>
      </c>
      <c r="V365" s="4">
        <v>47</v>
      </c>
      <c r="W365" s="4">
        <v>27</v>
      </c>
    </row>
    <row r="366" spans="1:23" ht="11.25" customHeight="1" x14ac:dyDescent="0.25">
      <c r="A366" s="4" t="s">
        <v>21</v>
      </c>
      <c r="B366" s="4" t="s">
        <v>33</v>
      </c>
      <c r="C366" s="4" t="s">
        <v>34</v>
      </c>
      <c r="D366" s="4" t="s">
        <v>48</v>
      </c>
      <c r="E366" s="4" t="s">
        <v>49</v>
      </c>
      <c r="F366" s="4" t="s">
        <v>25</v>
      </c>
      <c r="G366" s="4" t="s">
        <v>25</v>
      </c>
      <c r="H366" s="4" t="s">
        <v>36</v>
      </c>
      <c r="I366" s="5">
        <v>44317</v>
      </c>
      <c r="J366" s="6">
        <v>0</v>
      </c>
      <c r="K366" s="6">
        <v>0</v>
      </c>
      <c r="L366" s="6">
        <v>120.06699999999999</v>
      </c>
      <c r="M366" s="6">
        <v>112.502779</v>
      </c>
      <c r="N366" s="6">
        <v>120.06699999999999</v>
      </c>
      <c r="O366" s="6">
        <v>112.502779</v>
      </c>
      <c r="P366" s="6">
        <v>0</v>
      </c>
      <c r="Q366" s="4" t="s">
        <v>26</v>
      </c>
      <c r="R366" s="4">
        <v>0</v>
      </c>
      <c r="S366" s="4" t="s">
        <v>118</v>
      </c>
      <c r="T366" s="4" t="s">
        <v>263</v>
      </c>
      <c r="U366" s="4">
        <v>0</v>
      </c>
      <c r="V366" s="4">
        <v>47</v>
      </c>
      <c r="W366" s="4">
        <v>27</v>
      </c>
    </row>
    <row r="367" spans="1:23" ht="11.25" customHeight="1" x14ac:dyDescent="0.25">
      <c r="A367" s="4" t="s">
        <v>21</v>
      </c>
      <c r="B367" s="4" t="s">
        <v>33</v>
      </c>
      <c r="C367" s="4" t="s">
        <v>34</v>
      </c>
      <c r="D367" s="4" t="s">
        <v>48</v>
      </c>
      <c r="E367" s="4" t="s">
        <v>49</v>
      </c>
      <c r="F367" s="4" t="s">
        <v>25</v>
      </c>
      <c r="G367" s="4" t="s">
        <v>25</v>
      </c>
      <c r="H367" s="4" t="s">
        <v>36</v>
      </c>
      <c r="I367" s="5">
        <v>44348</v>
      </c>
      <c r="J367" s="6">
        <v>0</v>
      </c>
      <c r="K367" s="6">
        <v>0</v>
      </c>
      <c r="L367" s="6">
        <v>116.58799999999999</v>
      </c>
      <c r="M367" s="6">
        <v>109.59272</v>
      </c>
      <c r="N367" s="6">
        <v>116.58799999999999</v>
      </c>
      <c r="O367" s="6">
        <v>109.59272</v>
      </c>
      <c r="P367" s="6">
        <v>0</v>
      </c>
      <c r="Q367" s="4" t="s">
        <v>26</v>
      </c>
      <c r="R367" s="4">
        <v>0</v>
      </c>
      <c r="S367" s="4" t="s">
        <v>119</v>
      </c>
      <c r="T367" s="4" t="s">
        <v>264</v>
      </c>
      <c r="U367" s="4">
        <v>0</v>
      </c>
      <c r="V367" s="4">
        <v>47</v>
      </c>
      <c r="W367" s="4">
        <v>27</v>
      </c>
    </row>
    <row r="368" spans="1:23" ht="11.25" customHeight="1" x14ac:dyDescent="0.25">
      <c r="A368" s="4" t="s">
        <v>21</v>
      </c>
      <c r="B368" s="4" t="s">
        <v>33</v>
      </c>
      <c r="C368" s="4" t="s">
        <v>34</v>
      </c>
      <c r="D368" s="4" t="s">
        <v>48</v>
      </c>
      <c r="E368" s="4" t="s">
        <v>49</v>
      </c>
      <c r="F368" s="4" t="s">
        <v>25</v>
      </c>
      <c r="G368" s="4" t="s">
        <v>25</v>
      </c>
      <c r="H368" s="4" t="s">
        <v>36</v>
      </c>
      <c r="I368" s="5">
        <v>44378</v>
      </c>
      <c r="J368" s="6">
        <v>0</v>
      </c>
      <c r="K368" s="6">
        <v>0</v>
      </c>
      <c r="L368" s="6">
        <v>112.50700000000001</v>
      </c>
      <c r="M368" s="6">
        <v>105.75658</v>
      </c>
      <c r="N368" s="6">
        <v>112.50700000000001</v>
      </c>
      <c r="O368" s="6">
        <v>105.75658</v>
      </c>
      <c r="P368" s="6">
        <v>0</v>
      </c>
      <c r="Q368" s="4" t="s">
        <v>26</v>
      </c>
      <c r="R368" s="4">
        <v>0</v>
      </c>
      <c r="S368" s="4" t="s">
        <v>120</v>
      </c>
      <c r="T368" s="4" t="s">
        <v>265</v>
      </c>
      <c r="U368" s="4">
        <v>0</v>
      </c>
      <c r="V368" s="4">
        <v>47</v>
      </c>
      <c r="W368" s="4">
        <v>27</v>
      </c>
    </row>
    <row r="369" spans="1:23" ht="11.25" customHeight="1" x14ac:dyDescent="0.25">
      <c r="A369" s="4" t="s">
        <v>21</v>
      </c>
      <c r="B369" s="4" t="s">
        <v>33</v>
      </c>
      <c r="C369" s="4" t="s">
        <v>34</v>
      </c>
      <c r="D369" s="4" t="s">
        <v>48</v>
      </c>
      <c r="E369" s="4" t="s">
        <v>49</v>
      </c>
      <c r="F369" s="4" t="s">
        <v>25</v>
      </c>
      <c r="G369" s="4" t="s">
        <v>25</v>
      </c>
      <c r="H369" s="4" t="s">
        <v>36</v>
      </c>
      <c r="I369" s="5">
        <v>44409</v>
      </c>
      <c r="J369" s="6">
        <v>0</v>
      </c>
      <c r="K369" s="6">
        <v>0</v>
      </c>
      <c r="L369" s="6">
        <v>112.31399999999999</v>
      </c>
      <c r="M369" s="6">
        <v>105.57516</v>
      </c>
      <c r="N369" s="6">
        <v>112.31399999999999</v>
      </c>
      <c r="O369" s="6">
        <v>105.57516</v>
      </c>
      <c r="P369" s="6">
        <v>0</v>
      </c>
      <c r="Q369" s="4" t="s">
        <v>26</v>
      </c>
      <c r="R369" s="4">
        <v>0</v>
      </c>
      <c r="S369" s="4" t="s">
        <v>121</v>
      </c>
      <c r="T369" s="4" t="s">
        <v>266</v>
      </c>
      <c r="U369" s="4">
        <v>0</v>
      </c>
      <c r="V369" s="4">
        <v>47</v>
      </c>
      <c r="W369" s="4">
        <v>27</v>
      </c>
    </row>
    <row r="370" spans="1:23" ht="11.25" customHeight="1" x14ac:dyDescent="0.25">
      <c r="A370" s="4" t="s">
        <v>21</v>
      </c>
      <c r="B370" s="4" t="s">
        <v>33</v>
      </c>
      <c r="C370" s="4" t="s">
        <v>34</v>
      </c>
      <c r="D370" s="4" t="s">
        <v>48</v>
      </c>
      <c r="E370" s="4" t="s">
        <v>49</v>
      </c>
      <c r="F370" s="4" t="s">
        <v>25</v>
      </c>
      <c r="G370" s="4" t="s">
        <v>25</v>
      </c>
      <c r="H370" s="4" t="s">
        <v>36</v>
      </c>
      <c r="I370" s="5">
        <v>44440</v>
      </c>
      <c r="J370" s="6">
        <v>0</v>
      </c>
      <c r="K370" s="6">
        <v>0</v>
      </c>
      <c r="L370" s="6">
        <v>116.23399999999999</v>
      </c>
      <c r="M370" s="6">
        <v>109.25996000000001</v>
      </c>
      <c r="N370" s="6">
        <v>116.23399999999999</v>
      </c>
      <c r="O370" s="6">
        <v>109.25996000000001</v>
      </c>
      <c r="P370" s="6">
        <v>0</v>
      </c>
      <c r="Q370" s="4" t="s">
        <v>26</v>
      </c>
      <c r="R370" s="4">
        <v>0</v>
      </c>
      <c r="S370" s="4" t="s">
        <v>122</v>
      </c>
      <c r="T370" s="4" t="s">
        <v>267</v>
      </c>
      <c r="U370" s="4">
        <v>0</v>
      </c>
      <c r="V370" s="4">
        <v>47</v>
      </c>
      <c r="W370" s="4">
        <v>27</v>
      </c>
    </row>
    <row r="371" spans="1:23" ht="11.25" customHeight="1" x14ac:dyDescent="0.25">
      <c r="A371" s="4" t="s">
        <v>21</v>
      </c>
      <c r="B371" s="4" t="s">
        <v>33</v>
      </c>
      <c r="C371" s="4" t="s">
        <v>34</v>
      </c>
      <c r="D371" s="4" t="s">
        <v>48</v>
      </c>
      <c r="E371" s="4" t="s">
        <v>49</v>
      </c>
      <c r="F371" s="4" t="s">
        <v>25</v>
      </c>
      <c r="G371" s="4" t="s">
        <v>25</v>
      </c>
      <c r="H371" s="4" t="s">
        <v>36</v>
      </c>
      <c r="I371" s="5">
        <v>44470</v>
      </c>
      <c r="J371" s="6">
        <v>0</v>
      </c>
      <c r="K371" s="6">
        <v>0</v>
      </c>
      <c r="L371" s="6">
        <v>113.712</v>
      </c>
      <c r="M371" s="6">
        <v>106.88928</v>
      </c>
      <c r="N371" s="6">
        <v>113.712</v>
      </c>
      <c r="O371" s="6">
        <v>106.88928</v>
      </c>
      <c r="P371" s="6">
        <v>0</v>
      </c>
      <c r="Q371" s="4" t="s">
        <v>26</v>
      </c>
      <c r="R371" s="4">
        <v>0</v>
      </c>
      <c r="S371" s="4" t="s">
        <v>123</v>
      </c>
      <c r="T371" s="4" t="s">
        <v>268</v>
      </c>
      <c r="U371" s="4">
        <v>0</v>
      </c>
      <c r="V371" s="4">
        <v>47</v>
      </c>
      <c r="W371" s="4">
        <v>27</v>
      </c>
    </row>
    <row r="372" spans="1:23" ht="11.25" customHeight="1" x14ac:dyDescent="0.25">
      <c r="A372" s="4" t="s">
        <v>21</v>
      </c>
      <c r="B372" s="4" t="s">
        <v>33</v>
      </c>
      <c r="C372" s="4" t="s">
        <v>34</v>
      </c>
      <c r="D372" s="4" t="s">
        <v>48</v>
      </c>
      <c r="E372" s="4" t="s">
        <v>49</v>
      </c>
      <c r="F372" s="4" t="s">
        <v>25</v>
      </c>
      <c r="G372" s="4" t="s">
        <v>25</v>
      </c>
      <c r="H372" s="4" t="s">
        <v>36</v>
      </c>
      <c r="I372" s="5">
        <v>44501</v>
      </c>
      <c r="J372" s="6">
        <v>0</v>
      </c>
      <c r="K372" s="6">
        <v>0</v>
      </c>
      <c r="L372" s="6">
        <v>114.208</v>
      </c>
      <c r="M372" s="6">
        <v>107.35552</v>
      </c>
      <c r="N372" s="6">
        <v>114.208</v>
      </c>
      <c r="O372" s="6">
        <v>107.35552</v>
      </c>
      <c r="P372" s="6">
        <v>0</v>
      </c>
      <c r="Q372" s="4" t="s">
        <v>26</v>
      </c>
      <c r="R372" s="4">
        <v>0</v>
      </c>
      <c r="S372" s="4" t="s">
        <v>124</v>
      </c>
      <c r="T372" s="4" t="s">
        <v>269</v>
      </c>
      <c r="U372" s="4">
        <v>0</v>
      </c>
      <c r="V372" s="4">
        <v>47</v>
      </c>
      <c r="W372" s="4">
        <v>27</v>
      </c>
    </row>
    <row r="373" spans="1:23" ht="11.25" customHeight="1" x14ac:dyDescent="0.25">
      <c r="A373" s="4" t="s">
        <v>21</v>
      </c>
      <c r="B373" s="4" t="s">
        <v>33</v>
      </c>
      <c r="C373" s="4" t="s">
        <v>34</v>
      </c>
      <c r="D373" s="4" t="s">
        <v>48</v>
      </c>
      <c r="E373" s="4" t="s">
        <v>49</v>
      </c>
      <c r="F373" s="4" t="s">
        <v>25</v>
      </c>
      <c r="G373" s="4" t="s">
        <v>25</v>
      </c>
      <c r="H373" s="4" t="s">
        <v>36</v>
      </c>
      <c r="I373" s="5">
        <v>44531</v>
      </c>
      <c r="J373" s="6">
        <v>0</v>
      </c>
      <c r="K373" s="6">
        <v>0</v>
      </c>
      <c r="L373" s="6">
        <v>111.374</v>
      </c>
      <c r="M373" s="6">
        <v>104.69156</v>
      </c>
      <c r="N373" s="6">
        <v>111.374</v>
      </c>
      <c r="O373" s="6">
        <v>104.69156</v>
      </c>
      <c r="P373" s="6">
        <v>0</v>
      </c>
      <c r="Q373" s="4" t="s">
        <v>26</v>
      </c>
      <c r="R373" s="4">
        <v>0</v>
      </c>
      <c r="S373" s="4" t="s">
        <v>125</v>
      </c>
      <c r="T373" s="4" t="s">
        <v>270</v>
      </c>
      <c r="U373" s="4">
        <v>0</v>
      </c>
      <c r="V373" s="4">
        <v>47</v>
      </c>
      <c r="W373" s="4">
        <v>27</v>
      </c>
    </row>
    <row r="374" spans="1:23" ht="11.25" customHeight="1" x14ac:dyDescent="0.25">
      <c r="A374" s="4" t="s">
        <v>21</v>
      </c>
      <c r="B374" s="4" t="s">
        <v>33</v>
      </c>
      <c r="C374" s="4" t="s">
        <v>34</v>
      </c>
      <c r="D374" s="4" t="s">
        <v>48</v>
      </c>
      <c r="E374" s="4" t="s">
        <v>49</v>
      </c>
      <c r="F374" s="4" t="s">
        <v>25</v>
      </c>
      <c r="G374" s="4" t="s">
        <v>25</v>
      </c>
      <c r="H374" s="4" t="s">
        <v>36</v>
      </c>
      <c r="I374" s="5">
        <v>44562</v>
      </c>
      <c r="J374" s="6">
        <v>0</v>
      </c>
      <c r="K374" s="6">
        <v>0</v>
      </c>
      <c r="L374" s="6">
        <v>117.708</v>
      </c>
      <c r="M374" s="6">
        <v>110.64552</v>
      </c>
      <c r="N374" s="6">
        <v>117.708</v>
      </c>
      <c r="O374" s="6">
        <v>110.64552</v>
      </c>
      <c r="P374" s="6">
        <v>0</v>
      </c>
      <c r="Q374" s="4" t="s">
        <v>26</v>
      </c>
      <c r="R374" s="4">
        <v>0</v>
      </c>
      <c r="S374" s="4" t="s">
        <v>126</v>
      </c>
      <c r="T374" s="4" t="s">
        <v>271</v>
      </c>
      <c r="U374" s="4">
        <v>0</v>
      </c>
      <c r="V374" s="4">
        <v>47</v>
      </c>
      <c r="W374" s="4">
        <v>27</v>
      </c>
    </row>
    <row r="375" spans="1:23" ht="11.25" customHeight="1" x14ac:dyDescent="0.25">
      <c r="A375" s="4" t="s">
        <v>21</v>
      </c>
      <c r="B375" s="4" t="s">
        <v>33</v>
      </c>
      <c r="C375" s="4" t="s">
        <v>34</v>
      </c>
      <c r="D375" s="4" t="s">
        <v>48</v>
      </c>
      <c r="E375" s="4" t="s">
        <v>49</v>
      </c>
      <c r="F375" s="4" t="s">
        <v>25</v>
      </c>
      <c r="G375" s="4" t="s">
        <v>25</v>
      </c>
      <c r="H375" s="4" t="s">
        <v>36</v>
      </c>
      <c r="I375" s="5">
        <v>44593</v>
      </c>
      <c r="J375" s="6">
        <v>0</v>
      </c>
      <c r="K375" s="6">
        <v>0</v>
      </c>
      <c r="L375" s="6">
        <v>132.66999999999999</v>
      </c>
      <c r="M375" s="6">
        <v>124.7098</v>
      </c>
      <c r="N375" s="6">
        <v>132.66999999999999</v>
      </c>
      <c r="O375" s="6">
        <v>124.7098</v>
      </c>
      <c r="P375" s="6">
        <v>0</v>
      </c>
      <c r="Q375" s="4" t="s">
        <v>26</v>
      </c>
      <c r="R375" s="4">
        <v>0</v>
      </c>
      <c r="S375" s="4" t="s">
        <v>127</v>
      </c>
      <c r="T375" s="4" t="s">
        <v>272</v>
      </c>
      <c r="U375" s="4">
        <v>0</v>
      </c>
      <c r="V375" s="4">
        <v>47</v>
      </c>
      <c r="W375" s="4">
        <v>27</v>
      </c>
    </row>
    <row r="376" spans="1:23" ht="11.25" customHeight="1" x14ac:dyDescent="0.25">
      <c r="A376" s="4" t="s">
        <v>54</v>
      </c>
      <c r="B376" s="4" t="s">
        <v>33</v>
      </c>
      <c r="C376" s="4" t="s">
        <v>34</v>
      </c>
      <c r="D376" s="4" t="s">
        <v>48</v>
      </c>
      <c r="E376" s="4" t="s">
        <v>49</v>
      </c>
      <c r="F376" s="4" t="s">
        <v>25</v>
      </c>
      <c r="G376" s="4" t="s">
        <v>25</v>
      </c>
      <c r="H376" s="4" t="s">
        <v>36</v>
      </c>
      <c r="I376" s="5">
        <v>44621</v>
      </c>
      <c r="J376" s="6">
        <v>0</v>
      </c>
      <c r="K376" s="6">
        <v>0</v>
      </c>
      <c r="L376" s="6">
        <v>132.66999999999999</v>
      </c>
      <c r="M376" s="6">
        <v>124.7098</v>
      </c>
      <c r="N376" s="6">
        <v>132.66999999999999</v>
      </c>
      <c r="O376" s="6">
        <v>124.7098</v>
      </c>
      <c r="P376" s="6">
        <v>0</v>
      </c>
      <c r="Q376" s="4" t="s">
        <v>26</v>
      </c>
      <c r="R376" s="4">
        <v>0</v>
      </c>
      <c r="S376" s="4" t="s">
        <v>128</v>
      </c>
      <c r="T376" s="4" t="s">
        <v>273</v>
      </c>
      <c r="U376" s="4">
        <v>0</v>
      </c>
      <c r="V376" s="4">
        <v>47</v>
      </c>
      <c r="W376" s="4">
        <v>27</v>
      </c>
    </row>
    <row r="377" spans="1:23" ht="11.25" customHeight="1" x14ac:dyDescent="0.25">
      <c r="A377" s="4" t="s">
        <v>21</v>
      </c>
      <c r="B377" s="4" t="s">
        <v>33</v>
      </c>
      <c r="C377" s="4" t="s">
        <v>34</v>
      </c>
      <c r="D377" s="4" t="s">
        <v>48</v>
      </c>
      <c r="E377" s="4" t="s">
        <v>49</v>
      </c>
      <c r="F377" s="4" t="s">
        <v>25</v>
      </c>
      <c r="G377" s="4" t="s">
        <v>25</v>
      </c>
      <c r="H377" s="4" t="s">
        <v>25</v>
      </c>
      <c r="I377" s="5">
        <v>44287</v>
      </c>
      <c r="J377" s="6">
        <v>325</v>
      </c>
      <c r="K377" s="6">
        <v>305.5</v>
      </c>
      <c r="L377" s="6">
        <v>0</v>
      </c>
      <c r="M377" s="6">
        <v>0</v>
      </c>
      <c r="N377" s="6">
        <v>0</v>
      </c>
      <c r="O377" s="6">
        <v>0</v>
      </c>
      <c r="P377" s="6">
        <v>3</v>
      </c>
      <c r="Q377" s="4" t="s">
        <v>26</v>
      </c>
      <c r="R377" s="4">
        <v>0</v>
      </c>
      <c r="S377" s="4" t="s">
        <v>129</v>
      </c>
      <c r="U377" s="4">
        <v>65</v>
      </c>
      <c r="V377" s="4">
        <v>0</v>
      </c>
      <c r="W377" s="4">
        <v>0</v>
      </c>
    </row>
    <row r="378" spans="1:23" ht="11.25" customHeight="1" x14ac:dyDescent="0.25">
      <c r="A378" s="4" t="s">
        <v>21</v>
      </c>
      <c r="B378" s="4" t="s">
        <v>33</v>
      </c>
      <c r="C378" s="4" t="s">
        <v>34</v>
      </c>
      <c r="D378" s="4" t="s">
        <v>48</v>
      </c>
      <c r="E378" s="4" t="s">
        <v>49</v>
      </c>
      <c r="F378" s="4" t="s">
        <v>25</v>
      </c>
      <c r="G378" s="4" t="s">
        <v>25</v>
      </c>
      <c r="H378" s="4" t="s">
        <v>25</v>
      </c>
      <c r="I378" s="5">
        <v>44317</v>
      </c>
      <c r="J378" s="6">
        <v>324</v>
      </c>
      <c r="K378" s="6">
        <v>303.58800000000002</v>
      </c>
      <c r="L378" s="6">
        <v>0</v>
      </c>
      <c r="M378" s="6">
        <v>0</v>
      </c>
      <c r="N378" s="6">
        <v>0</v>
      </c>
      <c r="O378" s="6">
        <v>0</v>
      </c>
      <c r="P378" s="6">
        <v>3</v>
      </c>
      <c r="Q378" s="4" t="s">
        <v>26</v>
      </c>
      <c r="R378" s="4">
        <v>0</v>
      </c>
      <c r="S378" s="4" t="s">
        <v>130</v>
      </c>
      <c r="U378" s="4">
        <v>65</v>
      </c>
      <c r="V378" s="4">
        <v>0</v>
      </c>
      <c r="W378" s="4">
        <v>0</v>
      </c>
    </row>
    <row r="379" spans="1:23" ht="11.25" customHeight="1" x14ac:dyDescent="0.25">
      <c r="A379" s="4" t="s">
        <v>21</v>
      </c>
      <c r="B379" s="4" t="s">
        <v>33</v>
      </c>
      <c r="C379" s="4" t="s">
        <v>34</v>
      </c>
      <c r="D379" s="4" t="s">
        <v>48</v>
      </c>
      <c r="E379" s="4" t="s">
        <v>49</v>
      </c>
      <c r="F379" s="4" t="s">
        <v>25</v>
      </c>
      <c r="G379" s="4" t="s">
        <v>25</v>
      </c>
      <c r="H379" s="4" t="s">
        <v>25</v>
      </c>
      <c r="I379" s="5">
        <v>44348</v>
      </c>
      <c r="J379" s="6">
        <v>324</v>
      </c>
      <c r="K379" s="6">
        <v>304.56</v>
      </c>
      <c r="L379" s="6">
        <v>0</v>
      </c>
      <c r="M379" s="6">
        <v>0</v>
      </c>
      <c r="N379" s="6">
        <v>0</v>
      </c>
      <c r="O379" s="6">
        <v>0</v>
      </c>
      <c r="P379" s="6">
        <v>3</v>
      </c>
      <c r="Q379" s="4" t="s">
        <v>26</v>
      </c>
      <c r="R379" s="4">
        <v>0</v>
      </c>
      <c r="S379" s="4" t="s">
        <v>131</v>
      </c>
      <c r="U379" s="4">
        <v>65</v>
      </c>
      <c r="V379" s="4">
        <v>0</v>
      </c>
      <c r="W379" s="4">
        <v>0</v>
      </c>
    </row>
    <row r="380" spans="1:23" ht="11.25" customHeight="1" x14ac:dyDescent="0.25">
      <c r="A380" s="4" t="s">
        <v>21</v>
      </c>
      <c r="B380" s="4" t="s">
        <v>33</v>
      </c>
      <c r="C380" s="4" t="s">
        <v>34</v>
      </c>
      <c r="D380" s="4" t="s">
        <v>48</v>
      </c>
      <c r="E380" s="4" t="s">
        <v>49</v>
      </c>
      <c r="F380" s="4" t="s">
        <v>25</v>
      </c>
      <c r="G380" s="4" t="s">
        <v>25</v>
      </c>
      <c r="H380" s="4" t="s">
        <v>25</v>
      </c>
      <c r="I380" s="5">
        <v>44378</v>
      </c>
      <c r="J380" s="6">
        <v>336</v>
      </c>
      <c r="K380" s="6">
        <v>315.83999999999997</v>
      </c>
      <c r="L380" s="6">
        <v>0</v>
      </c>
      <c r="M380" s="6">
        <v>0</v>
      </c>
      <c r="N380" s="6">
        <v>0</v>
      </c>
      <c r="O380" s="6">
        <v>0</v>
      </c>
      <c r="P380" s="6">
        <v>3</v>
      </c>
      <c r="Q380" s="4" t="s">
        <v>26</v>
      </c>
      <c r="R380" s="4">
        <v>0</v>
      </c>
      <c r="S380" s="4" t="s">
        <v>132</v>
      </c>
      <c r="U380" s="4">
        <v>65</v>
      </c>
      <c r="V380" s="4">
        <v>0</v>
      </c>
      <c r="W380" s="4">
        <v>0</v>
      </c>
    </row>
    <row r="381" spans="1:23" ht="11.25" customHeight="1" x14ac:dyDescent="0.25">
      <c r="A381" s="4" t="s">
        <v>21</v>
      </c>
      <c r="B381" s="4" t="s">
        <v>33</v>
      </c>
      <c r="C381" s="4" t="s">
        <v>34</v>
      </c>
      <c r="D381" s="4" t="s">
        <v>48</v>
      </c>
      <c r="E381" s="4" t="s">
        <v>49</v>
      </c>
      <c r="F381" s="4" t="s">
        <v>25</v>
      </c>
      <c r="G381" s="4" t="s">
        <v>25</v>
      </c>
      <c r="H381" s="4" t="s">
        <v>25</v>
      </c>
      <c r="I381" s="5">
        <v>44409</v>
      </c>
      <c r="J381" s="6">
        <v>329</v>
      </c>
      <c r="K381" s="6">
        <v>309.26</v>
      </c>
      <c r="L381" s="6">
        <v>0</v>
      </c>
      <c r="M381" s="6">
        <v>0</v>
      </c>
      <c r="N381" s="6">
        <v>0</v>
      </c>
      <c r="O381" s="6">
        <v>0</v>
      </c>
      <c r="P381" s="6">
        <v>3</v>
      </c>
      <c r="Q381" s="4" t="s">
        <v>26</v>
      </c>
      <c r="R381" s="4">
        <v>0</v>
      </c>
      <c r="S381" s="4" t="s">
        <v>133</v>
      </c>
      <c r="U381" s="4">
        <v>65</v>
      </c>
      <c r="V381" s="4">
        <v>0</v>
      </c>
      <c r="W381" s="4">
        <v>0</v>
      </c>
    </row>
    <row r="382" spans="1:23" ht="11.25" customHeight="1" x14ac:dyDescent="0.25">
      <c r="A382" s="4" t="s">
        <v>21</v>
      </c>
      <c r="B382" s="4" t="s">
        <v>33</v>
      </c>
      <c r="C382" s="4" t="s">
        <v>34</v>
      </c>
      <c r="D382" s="4" t="s">
        <v>48</v>
      </c>
      <c r="E382" s="4" t="s">
        <v>49</v>
      </c>
      <c r="F382" s="4" t="s">
        <v>25</v>
      </c>
      <c r="G382" s="4" t="s">
        <v>25</v>
      </c>
      <c r="H382" s="4" t="s">
        <v>25</v>
      </c>
      <c r="I382" s="5">
        <v>44440</v>
      </c>
      <c r="J382" s="6">
        <v>313</v>
      </c>
      <c r="K382" s="6">
        <v>294.22000000000003</v>
      </c>
      <c r="L382" s="6">
        <v>0</v>
      </c>
      <c r="M382" s="6">
        <v>0</v>
      </c>
      <c r="N382" s="6">
        <v>0</v>
      </c>
      <c r="O382" s="6">
        <v>0</v>
      </c>
      <c r="P382" s="6">
        <v>3</v>
      </c>
      <c r="Q382" s="4" t="s">
        <v>26</v>
      </c>
      <c r="R382" s="4">
        <v>0</v>
      </c>
      <c r="S382" s="4" t="s">
        <v>134</v>
      </c>
      <c r="U382" s="4">
        <v>65</v>
      </c>
      <c r="V382" s="4">
        <v>0</v>
      </c>
      <c r="W382" s="4">
        <v>0</v>
      </c>
    </row>
    <row r="383" spans="1:23" ht="11.25" customHeight="1" x14ac:dyDescent="0.25">
      <c r="A383" s="4" t="s">
        <v>21</v>
      </c>
      <c r="B383" s="4" t="s">
        <v>33</v>
      </c>
      <c r="C383" s="4" t="s">
        <v>34</v>
      </c>
      <c r="D383" s="4" t="s">
        <v>48</v>
      </c>
      <c r="E383" s="4" t="s">
        <v>49</v>
      </c>
      <c r="F383" s="4" t="s">
        <v>25</v>
      </c>
      <c r="G383" s="4" t="s">
        <v>25</v>
      </c>
      <c r="H383" s="4" t="s">
        <v>25</v>
      </c>
      <c r="I383" s="5">
        <v>44470</v>
      </c>
      <c r="J383" s="6">
        <v>313</v>
      </c>
      <c r="K383" s="6">
        <v>294.22000000000003</v>
      </c>
      <c r="L383" s="6">
        <v>0</v>
      </c>
      <c r="M383" s="6">
        <v>0</v>
      </c>
      <c r="N383" s="6">
        <v>0</v>
      </c>
      <c r="O383" s="6">
        <v>0</v>
      </c>
      <c r="P383" s="6">
        <v>3</v>
      </c>
      <c r="Q383" s="4" t="s">
        <v>26</v>
      </c>
      <c r="R383" s="4">
        <v>0</v>
      </c>
      <c r="S383" s="4" t="s">
        <v>135</v>
      </c>
      <c r="U383" s="4">
        <v>65</v>
      </c>
      <c r="V383" s="4">
        <v>0</v>
      </c>
      <c r="W383" s="4">
        <v>0</v>
      </c>
    </row>
    <row r="384" spans="1:23" ht="11.25" customHeight="1" x14ac:dyDescent="0.25">
      <c r="A384" s="4" t="s">
        <v>21</v>
      </c>
      <c r="B384" s="4" t="s">
        <v>33</v>
      </c>
      <c r="C384" s="4" t="s">
        <v>34</v>
      </c>
      <c r="D384" s="4" t="s">
        <v>48</v>
      </c>
      <c r="E384" s="4" t="s">
        <v>49</v>
      </c>
      <c r="F384" s="4" t="s">
        <v>25</v>
      </c>
      <c r="G384" s="4" t="s">
        <v>25</v>
      </c>
      <c r="H384" s="4" t="s">
        <v>25</v>
      </c>
      <c r="I384" s="5">
        <v>44501</v>
      </c>
      <c r="J384" s="6">
        <v>321</v>
      </c>
      <c r="K384" s="6">
        <v>301.74</v>
      </c>
      <c r="L384" s="6">
        <v>0</v>
      </c>
      <c r="M384" s="6">
        <v>0</v>
      </c>
      <c r="N384" s="6">
        <v>0</v>
      </c>
      <c r="O384" s="6">
        <v>0</v>
      </c>
      <c r="P384" s="6">
        <v>3</v>
      </c>
      <c r="Q384" s="4" t="s">
        <v>26</v>
      </c>
      <c r="R384" s="4">
        <v>0</v>
      </c>
      <c r="S384" s="4" t="s">
        <v>136</v>
      </c>
      <c r="U384" s="4">
        <v>65</v>
      </c>
      <c r="V384" s="4">
        <v>0</v>
      </c>
      <c r="W384" s="4">
        <v>0</v>
      </c>
    </row>
    <row r="385" spans="1:23" ht="11.25" customHeight="1" x14ac:dyDescent="0.25">
      <c r="A385" s="4" t="s">
        <v>21</v>
      </c>
      <c r="B385" s="4" t="s">
        <v>33</v>
      </c>
      <c r="C385" s="4" t="s">
        <v>34</v>
      </c>
      <c r="D385" s="4" t="s">
        <v>48</v>
      </c>
      <c r="E385" s="4" t="s">
        <v>49</v>
      </c>
      <c r="F385" s="4" t="s">
        <v>25</v>
      </c>
      <c r="G385" s="4" t="s">
        <v>25</v>
      </c>
      <c r="H385" s="4" t="s">
        <v>25</v>
      </c>
      <c r="I385" s="5">
        <v>44531</v>
      </c>
      <c r="J385" s="6">
        <v>323</v>
      </c>
      <c r="K385" s="6">
        <v>303.62</v>
      </c>
      <c r="L385" s="6">
        <v>0</v>
      </c>
      <c r="M385" s="6">
        <v>0</v>
      </c>
      <c r="N385" s="6">
        <v>0</v>
      </c>
      <c r="O385" s="6">
        <v>0</v>
      </c>
      <c r="P385" s="6">
        <v>3</v>
      </c>
      <c r="Q385" s="4" t="s">
        <v>26</v>
      </c>
      <c r="R385" s="4">
        <v>0</v>
      </c>
      <c r="S385" s="4" t="s">
        <v>137</v>
      </c>
      <c r="U385" s="4">
        <v>65</v>
      </c>
      <c r="V385" s="4">
        <v>0</v>
      </c>
      <c r="W385" s="4">
        <v>0</v>
      </c>
    </row>
    <row r="386" spans="1:23" ht="11.25" customHeight="1" x14ac:dyDescent="0.25">
      <c r="A386" s="4" t="s">
        <v>21</v>
      </c>
      <c r="B386" s="4" t="s">
        <v>33</v>
      </c>
      <c r="C386" s="4" t="s">
        <v>34</v>
      </c>
      <c r="D386" s="4" t="s">
        <v>48</v>
      </c>
      <c r="E386" s="4" t="s">
        <v>49</v>
      </c>
      <c r="F386" s="4" t="s">
        <v>25</v>
      </c>
      <c r="G386" s="4" t="s">
        <v>25</v>
      </c>
      <c r="H386" s="4" t="s">
        <v>25</v>
      </c>
      <c r="I386" s="5">
        <v>44562</v>
      </c>
      <c r="J386" s="6">
        <v>322</v>
      </c>
      <c r="K386" s="6">
        <v>302.68</v>
      </c>
      <c r="L386" s="6">
        <v>0</v>
      </c>
      <c r="M386" s="6">
        <v>0</v>
      </c>
      <c r="N386" s="6">
        <v>0</v>
      </c>
      <c r="O386" s="6">
        <v>0</v>
      </c>
      <c r="P386" s="6">
        <v>3</v>
      </c>
      <c r="Q386" s="4" t="s">
        <v>26</v>
      </c>
      <c r="R386" s="4">
        <v>0</v>
      </c>
      <c r="S386" s="4" t="s">
        <v>138</v>
      </c>
      <c r="U386" s="4">
        <v>65</v>
      </c>
      <c r="V386" s="4">
        <v>0</v>
      </c>
      <c r="W386" s="4">
        <v>0</v>
      </c>
    </row>
    <row r="387" spans="1:23" ht="11.25" customHeight="1" x14ac:dyDescent="0.25">
      <c r="A387" s="4" t="s">
        <v>21</v>
      </c>
      <c r="B387" s="4" t="s">
        <v>33</v>
      </c>
      <c r="C387" s="4" t="s">
        <v>34</v>
      </c>
      <c r="D387" s="4" t="s">
        <v>48</v>
      </c>
      <c r="E387" s="4" t="s">
        <v>49</v>
      </c>
      <c r="F387" s="4" t="s">
        <v>25</v>
      </c>
      <c r="G387" s="4" t="s">
        <v>25</v>
      </c>
      <c r="H387" s="4" t="s">
        <v>25</v>
      </c>
      <c r="I387" s="5">
        <v>44593</v>
      </c>
      <c r="J387" s="6">
        <v>313</v>
      </c>
      <c r="K387" s="6">
        <v>294.22000000000003</v>
      </c>
      <c r="L387" s="6">
        <v>0</v>
      </c>
      <c r="M387" s="6">
        <v>0</v>
      </c>
      <c r="N387" s="6">
        <v>0</v>
      </c>
      <c r="O387" s="6">
        <v>0</v>
      </c>
      <c r="P387" s="6">
        <v>3</v>
      </c>
      <c r="Q387" s="4" t="s">
        <v>26</v>
      </c>
      <c r="R387" s="4">
        <v>0</v>
      </c>
      <c r="S387" s="4" t="s">
        <v>139</v>
      </c>
      <c r="U387" s="4">
        <v>65</v>
      </c>
      <c r="V387" s="4">
        <v>0</v>
      </c>
      <c r="W387" s="4">
        <v>0</v>
      </c>
    </row>
    <row r="388" spans="1:23" ht="11.25" customHeight="1" x14ac:dyDescent="0.25">
      <c r="A388" s="4" t="s">
        <v>54</v>
      </c>
      <c r="B388" s="4" t="s">
        <v>33</v>
      </c>
      <c r="C388" s="4" t="s">
        <v>34</v>
      </c>
      <c r="D388" s="4" t="s">
        <v>48</v>
      </c>
      <c r="E388" s="4" t="s">
        <v>49</v>
      </c>
      <c r="F388" s="4" t="s">
        <v>25</v>
      </c>
      <c r="G388" s="4" t="s">
        <v>25</v>
      </c>
      <c r="H388" s="4" t="s">
        <v>25</v>
      </c>
      <c r="I388" s="5">
        <v>44621</v>
      </c>
      <c r="J388" s="6">
        <v>313</v>
      </c>
      <c r="K388" s="6">
        <v>294.22000000000003</v>
      </c>
      <c r="L388" s="6">
        <v>0</v>
      </c>
      <c r="M388" s="6">
        <v>0</v>
      </c>
      <c r="N388" s="6">
        <v>0</v>
      </c>
      <c r="O388" s="6">
        <v>0</v>
      </c>
      <c r="P388" s="6">
        <v>3</v>
      </c>
      <c r="Q388" s="4" t="s">
        <v>26</v>
      </c>
      <c r="R388" s="4">
        <v>0</v>
      </c>
      <c r="S388" s="4" t="s">
        <v>140</v>
      </c>
      <c r="U388" s="4">
        <v>65</v>
      </c>
      <c r="V388" s="4">
        <v>0</v>
      </c>
      <c r="W388" s="4">
        <v>0</v>
      </c>
    </row>
    <row r="389" spans="1:23" ht="11.25" customHeight="1" x14ac:dyDescent="0.25">
      <c r="A389" s="4" t="s">
        <v>21</v>
      </c>
      <c r="B389" s="4" t="s">
        <v>33</v>
      </c>
      <c r="C389" s="4" t="s">
        <v>34</v>
      </c>
      <c r="D389" s="4" t="s">
        <v>48</v>
      </c>
      <c r="E389" s="4" t="s">
        <v>49</v>
      </c>
      <c r="F389" s="4" t="s">
        <v>25</v>
      </c>
      <c r="G389" s="4" t="s">
        <v>25</v>
      </c>
      <c r="H389" s="4" t="s">
        <v>35</v>
      </c>
      <c r="I389" s="5">
        <v>44287</v>
      </c>
      <c r="J389" s="6">
        <v>0</v>
      </c>
      <c r="K389" s="6">
        <v>0</v>
      </c>
      <c r="L389" s="6">
        <v>14.055</v>
      </c>
      <c r="M389" s="6">
        <v>13.211699999999999</v>
      </c>
      <c r="N389" s="6">
        <v>14.055</v>
      </c>
      <c r="O389" s="6">
        <v>13.211699999999999</v>
      </c>
      <c r="P389" s="6">
        <v>0</v>
      </c>
      <c r="Q389" s="4" t="s">
        <v>26</v>
      </c>
      <c r="R389" s="4">
        <v>0</v>
      </c>
      <c r="S389" s="4" t="s">
        <v>141</v>
      </c>
      <c r="T389" s="4" t="s">
        <v>274</v>
      </c>
      <c r="U389" s="4">
        <v>0</v>
      </c>
      <c r="V389" s="4">
        <v>66</v>
      </c>
      <c r="W389" s="4">
        <v>6</v>
      </c>
    </row>
    <row r="390" spans="1:23" ht="11.25" customHeight="1" x14ac:dyDescent="0.25">
      <c r="A390" s="4" t="s">
        <v>21</v>
      </c>
      <c r="B390" s="4" t="s">
        <v>33</v>
      </c>
      <c r="C390" s="4" t="s">
        <v>34</v>
      </c>
      <c r="D390" s="4" t="s">
        <v>48</v>
      </c>
      <c r="E390" s="4" t="s">
        <v>49</v>
      </c>
      <c r="F390" s="4" t="s">
        <v>25</v>
      </c>
      <c r="G390" s="4" t="s">
        <v>25</v>
      </c>
      <c r="H390" s="4" t="s">
        <v>35</v>
      </c>
      <c r="I390" s="5">
        <v>44317</v>
      </c>
      <c r="J390" s="6">
        <v>0</v>
      </c>
      <c r="K390" s="6">
        <v>0</v>
      </c>
      <c r="L390" s="6">
        <v>14.256</v>
      </c>
      <c r="M390" s="6">
        <v>13.357872</v>
      </c>
      <c r="N390" s="6">
        <v>14.256</v>
      </c>
      <c r="O390" s="6">
        <v>13.357872</v>
      </c>
      <c r="P390" s="6">
        <v>0</v>
      </c>
      <c r="Q390" s="4" t="s">
        <v>26</v>
      </c>
      <c r="R390" s="4">
        <v>0</v>
      </c>
      <c r="S390" s="4" t="s">
        <v>142</v>
      </c>
      <c r="T390" s="4" t="s">
        <v>275</v>
      </c>
      <c r="U390" s="4">
        <v>0</v>
      </c>
      <c r="V390" s="4">
        <v>66</v>
      </c>
      <c r="W390" s="4">
        <v>6</v>
      </c>
    </row>
    <row r="391" spans="1:23" ht="11.25" customHeight="1" x14ac:dyDescent="0.25">
      <c r="A391" s="4" t="s">
        <v>21</v>
      </c>
      <c r="B391" s="4" t="s">
        <v>33</v>
      </c>
      <c r="C391" s="4" t="s">
        <v>34</v>
      </c>
      <c r="D391" s="4" t="s">
        <v>48</v>
      </c>
      <c r="E391" s="4" t="s">
        <v>49</v>
      </c>
      <c r="F391" s="4" t="s">
        <v>25</v>
      </c>
      <c r="G391" s="4" t="s">
        <v>25</v>
      </c>
      <c r="H391" s="4" t="s">
        <v>35</v>
      </c>
      <c r="I391" s="5">
        <v>44348</v>
      </c>
      <c r="J391" s="6">
        <v>0</v>
      </c>
      <c r="K391" s="6">
        <v>0</v>
      </c>
      <c r="L391" s="6">
        <v>12.856</v>
      </c>
      <c r="M391" s="6">
        <v>12.08464</v>
      </c>
      <c r="N391" s="6">
        <v>12.856</v>
      </c>
      <c r="O391" s="6">
        <v>12.08464</v>
      </c>
      <c r="P391" s="6">
        <v>0</v>
      </c>
      <c r="Q391" s="4" t="s">
        <v>26</v>
      </c>
      <c r="R391" s="4">
        <v>0</v>
      </c>
      <c r="S391" s="4" t="s">
        <v>143</v>
      </c>
      <c r="T391" s="4" t="s">
        <v>276</v>
      </c>
      <c r="U391" s="4">
        <v>0</v>
      </c>
      <c r="V391" s="4">
        <v>66</v>
      </c>
      <c r="W391" s="4">
        <v>6</v>
      </c>
    </row>
    <row r="392" spans="1:23" ht="11.25" customHeight="1" x14ac:dyDescent="0.25">
      <c r="A392" s="4" t="s">
        <v>21</v>
      </c>
      <c r="B392" s="4" t="s">
        <v>33</v>
      </c>
      <c r="C392" s="4" t="s">
        <v>34</v>
      </c>
      <c r="D392" s="4" t="s">
        <v>48</v>
      </c>
      <c r="E392" s="4" t="s">
        <v>49</v>
      </c>
      <c r="F392" s="4" t="s">
        <v>25</v>
      </c>
      <c r="G392" s="4" t="s">
        <v>25</v>
      </c>
      <c r="H392" s="4" t="s">
        <v>35</v>
      </c>
      <c r="I392" s="5">
        <v>44378</v>
      </c>
      <c r="J392" s="6">
        <v>0</v>
      </c>
      <c r="K392" s="6">
        <v>0</v>
      </c>
      <c r="L392" s="6">
        <v>12.365</v>
      </c>
      <c r="M392" s="6">
        <v>11.623100000000001</v>
      </c>
      <c r="N392" s="6">
        <v>12.365</v>
      </c>
      <c r="O392" s="6">
        <v>11.623100000000001</v>
      </c>
      <c r="P392" s="6">
        <v>0</v>
      </c>
      <c r="Q392" s="4" t="s">
        <v>26</v>
      </c>
      <c r="R392" s="4">
        <v>0</v>
      </c>
      <c r="S392" s="4" t="s">
        <v>144</v>
      </c>
      <c r="T392" s="4" t="s">
        <v>277</v>
      </c>
      <c r="U392" s="4">
        <v>0</v>
      </c>
      <c r="V392" s="4">
        <v>66</v>
      </c>
      <c r="W392" s="4">
        <v>6</v>
      </c>
    </row>
    <row r="393" spans="1:23" ht="11.25" customHeight="1" x14ac:dyDescent="0.25">
      <c r="A393" s="4" t="s">
        <v>21</v>
      </c>
      <c r="B393" s="4" t="s">
        <v>33</v>
      </c>
      <c r="C393" s="4" t="s">
        <v>34</v>
      </c>
      <c r="D393" s="4" t="s">
        <v>48</v>
      </c>
      <c r="E393" s="4" t="s">
        <v>49</v>
      </c>
      <c r="F393" s="4" t="s">
        <v>25</v>
      </c>
      <c r="G393" s="4" t="s">
        <v>25</v>
      </c>
      <c r="H393" s="4" t="s">
        <v>35</v>
      </c>
      <c r="I393" s="5">
        <v>44409</v>
      </c>
      <c r="J393" s="6">
        <v>0</v>
      </c>
      <c r="K393" s="6">
        <v>0</v>
      </c>
      <c r="L393" s="6">
        <v>13.507999999999999</v>
      </c>
      <c r="M393" s="6">
        <v>12.697520000000001</v>
      </c>
      <c r="N393" s="6">
        <v>13.507999999999999</v>
      </c>
      <c r="O393" s="6">
        <v>12.697520000000001</v>
      </c>
      <c r="P393" s="6">
        <v>0</v>
      </c>
      <c r="Q393" s="4" t="s">
        <v>26</v>
      </c>
      <c r="R393" s="4">
        <v>0</v>
      </c>
      <c r="S393" s="4" t="s">
        <v>145</v>
      </c>
      <c r="T393" s="4" t="s">
        <v>278</v>
      </c>
      <c r="U393" s="4">
        <v>0</v>
      </c>
      <c r="V393" s="4">
        <v>66</v>
      </c>
      <c r="W393" s="4">
        <v>6</v>
      </c>
    </row>
    <row r="394" spans="1:23" ht="11.25" customHeight="1" x14ac:dyDescent="0.25">
      <c r="A394" s="4" t="s">
        <v>21</v>
      </c>
      <c r="B394" s="4" t="s">
        <v>33</v>
      </c>
      <c r="C394" s="4" t="s">
        <v>34</v>
      </c>
      <c r="D394" s="4" t="s">
        <v>48</v>
      </c>
      <c r="E394" s="4" t="s">
        <v>49</v>
      </c>
      <c r="F394" s="4" t="s">
        <v>25</v>
      </c>
      <c r="G394" s="4" t="s">
        <v>25</v>
      </c>
      <c r="H394" s="4" t="s">
        <v>35</v>
      </c>
      <c r="I394" s="5">
        <v>44440</v>
      </c>
      <c r="J394" s="6">
        <v>0</v>
      </c>
      <c r="K394" s="6">
        <v>0</v>
      </c>
      <c r="L394" s="6">
        <v>13.199</v>
      </c>
      <c r="M394" s="6">
        <v>12.40706</v>
      </c>
      <c r="N394" s="6">
        <v>13.199</v>
      </c>
      <c r="O394" s="6">
        <v>12.40706</v>
      </c>
      <c r="P394" s="6">
        <v>0</v>
      </c>
      <c r="Q394" s="4" t="s">
        <v>26</v>
      </c>
      <c r="R394" s="4">
        <v>0</v>
      </c>
      <c r="S394" s="4" t="s">
        <v>146</v>
      </c>
      <c r="T394" s="4" t="s">
        <v>279</v>
      </c>
      <c r="U394" s="4">
        <v>0</v>
      </c>
      <c r="V394" s="4">
        <v>66</v>
      </c>
      <c r="W394" s="4">
        <v>6</v>
      </c>
    </row>
    <row r="395" spans="1:23" ht="11.25" customHeight="1" x14ac:dyDescent="0.25">
      <c r="A395" s="4" t="s">
        <v>21</v>
      </c>
      <c r="B395" s="4" t="s">
        <v>33</v>
      </c>
      <c r="C395" s="4" t="s">
        <v>34</v>
      </c>
      <c r="D395" s="4" t="s">
        <v>48</v>
      </c>
      <c r="E395" s="4" t="s">
        <v>49</v>
      </c>
      <c r="F395" s="4" t="s">
        <v>25</v>
      </c>
      <c r="G395" s="4" t="s">
        <v>25</v>
      </c>
      <c r="H395" s="4" t="s">
        <v>35</v>
      </c>
      <c r="I395" s="5">
        <v>44470</v>
      </c>
      <c r="J395" s="6">
        <v>0</v>
      </c>
      <c r="K395" s="6">
        <v>0</v>
      </c>
      <c r="L395" s="6">
        <v>12.122999999999999</v>
      </c>
      <c r="M395" s="6">
        <v>11.395619999999999</v>
      </c>
      <c r="N395" s="6">
        <v>12.122999999999999</v>
      </c>
      <c r="O395" s="6">
        <v>11.395619999999999</v>
      </c>
      <c r="P395" s="6">
        <v>0</v>
      </c>
      <c r="Q395" s="4" t="s">
        <v>26</v>
      </c>
      <c r="R395" s="4">
        <v>0</v>
      </c>
      <c r="S395" s="4" t="s">
        <v>147</v>
      </c>
      <c r="T395" s="4" t="s">
        <v>280</v>
      </c>
      <c r="U395" s="4">
        <v>0</v>
      </c>
      <c r="V395" s="4">
        <v>66</v>
      </c>
      <c r="W395" s="4">
        <v>6</v>
      </c>
    </row>
    <row r="396" spans="1:23" ht="11.25" customHeight="1" x14ac:dyDescent="0.25">
      <c r="A396" s="4" t="s">
        <v>21</v>
      </c>
      <c r="B396" s="4" t="s">
        <v>33</v>
      </c>
      <c r="C396" s="4" t="s">
        <v>34</v>
      </c>
      <c r="D396" s="4" t="s">
        <v>48</v>
      </c>
      <c r="E396" s="4" t="s">
        <v>49</v>
      </c>
      <c r="F396" s="4" t="s">
        <v>25</v>
      </c>
      <c r="G396" s="4" t="s">
        <v>25</v>
      </c>
      <c r="H396" s="4" t="s">
        <v>35</v>
      </c>
      <c r="I396" s="5">
        <v>44501</v>
      </c>
      <c r="J396" s="6">
        <v>0</v>
      </c>
      <c r="K396" s="6">
        <v>0</v>
      </c>
      <c r="L396" s="6">
        <v>13.7</v>
      </c>
      <c r="M396" s="6">
        <v>12.878</v>
      </c>
      <c r="N396" s="6">
        <v>13.7</v>
      </c>
      <c r="O396" s="6">
        <v>12.878</v>
      </c>
      <c r="P396" s="6">
        <v>0</v>
      </c>
      <c r="Q396" s="4" t="s">
        <v>26</v>
      </c>
      <c r="R396" s="4">
        <v>0</v>
      </c>
      <c r="S396" s="4" t="s">
        <v>148</v>
      </c>
      <c r="T396" s="4" t="s">
        <v>281</v>
      </c>
      <c r="U396" s="4">
        <v>0</v>
      </c>
      <c r="V396" s="4">
        <v>66</v>
      </c>
      <c r="W396" s="4">
        <v>6</v>
      </c>
    </row>
    <row r="397" spans="1:23" ht="11.25" customHeight="1" x14ac:dyDescent="0.25">
      <c r="A397" s="4" t="s">
        <v>21</v>
      </c>
      <c r="B397" s="4" t="s">
        <v>33</v>
      </c>
      <c r="C397" s="4" t="s">
        <v>34</v>
      </c>
      <c r="D397" s="4" t="s">
        <v>48</v>
      </c>
      <c r="E397" s="4" t="s">
        <v>49</v>
      </c>
      <c r="F397" s="4" t="s">
        <v>25</v>
      </c>
      <c r="G397" s="4" t="s">
        <v>25</v>
      </c>
      <c r="H397" s="4" t="s">
        <v>35</v>
      </c>
      <c r="I397" s="5">
        <v>44531</v>
      </c>
      <c r="J397" s="6">
        <v>0</v>
      </c>
      <c r="K397" s="6">
        <v>0</v>
      </c>
      <c r="L397" s="6">
        <v>14.138</v>
      </c>
      <c r="M397" s="6">
        <v>13.289720000000001</v>
      </c>
      <c r="N397" s="6">
        <v>14.138</v>
      </c>
      <c r="O397" s="6">
        <v>13.289720000000001</v>
      </c>
      <c r="P397" s="6">
        <v>0</v>
      </c>
      <c r="Q397" s="4" t="s">
        <v>26</v>
      </c>
      <c r="R397" s="4">
        <v>0</v>
      </c>
      <c r="S397" s="4" t="s">
        <v>149</v>
      </c>
      <c r="T397" s="4" t="s">
        <v>282</v>
      </c>
      <c r="U397" s="4">
        <v>0</v>
      </c>
      <c r="V397" s="4">
        <v>66</v>
      </c>
      <c r="W397" s="4">
        <v>6</v>
      </c>
    </row>
    <row r="398" spans="1:23" ht="11.25" customHeight="1" x14ac:dyDescent="0.25">
      <c r="A398" s="4" t="s">
        <v>21</v>
      </c>
      <c r="B398" s="4" t="s">
        <v>33</v>
      </c>
      <c r="C398" s="4" t="s">
        <v>34</v>
      </c>
      <c r="D398" s="4" t="s">
        <v>48</v>
      </c>
      <c r="E398" s="4" t="s">
        <v>49</v>
      </c>
      <c r="F398" s="4" t="s">
        <v>25</v>
      </c>
      <c r="G398" s="4" t="s">
        <v>25</v>
      </c>
      <c r="H398" s="4" t="s">
        <v>35</v>
      </c>
      <c r="I398" s="5">
        <v>44562</v>
      </c>
      <c r="J398" s="6">
        <v>0</v>
      </c>
      <c r="K398" s="6">
        <v>0</v>
      </c>
      <c r="L398" s="6">
        <v>13.545</v>
      </c>
      <c r="M398" s="6">
        <v>12.7323</v>
      </c>
      <c r="N398" s="6">
        <v>13.545</v>
      </c>
      <c r="O398" s="6">
        <v>12.7323</v>
      </c>
      <c r="P398" s="6">
        <v>0</v>
      </c>
      <c r="Q398" s="4" t="s">
        <v>26</v>
      </c>
      <c r="R398" s="4">
        <v>0</v>
      </c>
      <c r="S398" s="4" t="s">
        <v>150</v>
      </c>
      <c r="T398" s="4" t="s">
        <v>283</v>
      </c>
      <c r="U398" s="4">
        <v>0</v>
      </c>
      <c r="V398" s="4">
        <v>66</v>
      </c>
      <c r="W398" s="4">
        <v>6</v>
      </c>
    </row>
    <row r="399" spans="1:23" ht="11.25" customHeight="1" x14ac:dyDescent="0.25">
      <c r="A399" s="4" t="s">
        <v>21</v>
      </c>
      <c r="B399" s="4" t="s">
        <v>33</v>
      </c>
      <c r="C399" s="4" t="s">
        <v>34</v>
      </c>
      <c r="D399" s="4" t="s">
        <v>48</v>
      </c>
      <c r="E399" s="4" t="s">
        <v>49</v>
      </c>
      <c r="F399" s="4" t="s">
        <v>25</v>
      </c>
      <c r="G399" s="4" t="s">
        <v>25</v>
      </c>
      <c r="H399" s="4" t="s">
        <v>35</v>
      </c>
      <c r="I399" s="5">
        <v>44593</v>
      </c>
      <c r="J399" s="6">
        <v>0</v>
      </c>
      <c r="K399" s="6">
        <v>0</v>
      </c>
      <c r="L399" s="6">
        <v>16.222000000000001</v>
      </c>
      <c r="M399" s="6">
        <v>15.24868</v>
      </c>
      <c r="N399" s="6">
        <v>16.222000000000001</v>
      </c>
      <c r="O399" s="6">
        <v>15.24868</v>
      </c>
      <c r="P399" s="6">
        <v>0</v>
      </c>
      <c r="Q399" s="4" t="s">
        <v>26</v>
      </c>
      <c r="R399" s="4">
        <v>0</v>
      </c>
      <c r="S399" s="4" t="s">
        <v>151</v>
      </c>
      <c r="T399" s="4" t="s">
        <v>284</v>
      </c>
      <c r="U399" s="4">
        <v>0</v>
      </c>
      <c r="V399" s="4">
        <v>66</v>
      </c>
      <c r="W399" s="4">
        <v>6</v>
      </c>
    </row>
    <row r="400" spans="1:23" ht="11.25" customHeight="1" x14ac:dyDescent="0.25">
      <c r="A400" s="4" t="s">
        <v>54</v>
      </c>
      <c r="B400" s="4" t="s">
        <v>33</v>
      </c>
      <c r="C400" s="4" t="s">
        <v>34</v>
      </c>
      <c r="D400" s="4" t="s">
        <v>48</v>
      </c>
      <c r="E400" s="4" t="s">
        <v>49</v>
      </c>
      <c r="F400" s="4" t="s">
        <v>25</v>
      </c>
      <c r="G400" s="4" t="s">
        <v>25</v>
      </c>
      <c r="H400" s="4" t="s">
        <v>35</v>
      </c>
      <c r="I400" s="5">
        <v>44621</v>
      </c>
      <c r="J400" s="6">
        <v>0</v>
      </c>
      <c r="K400" s="6">
        <v>0</v>
      </c>
      <c r="L400" s="6">
        <v>16.222000000000001</v>
      </c>
      <c r="M400" s="6">
        <v>15.24868</v>
      </c>
      <c r="N400" s="6">
        <v>16.222000000000001</v>
      </c>
      <c r="O400" s="6">
        <v>15.24868</v>
      </c>
      <c r="P400" s="6">
        <v>0</v>
      </c>
      <c r="Q400" s="4" t="s">
        <v>26</v>
      </c>
      <c r="R400" s="4">
        <v>0</v>
      </c>
      <c r="S400" s="4" t="s">
        <v>152</v>
      </c>
      <c r="T400" s="4" t="s">
        <v>285</v>
      </c>
      <c r="U400" s="4">
        <v>0</v>
      </c>
      <c r="V400" s="4">
        <v>66</v>
      </c>
      <c r="W400" s="4">
        <v>6</v>
      </c>
    </row>
    <row r="401" spans="1:23" ht="11.25" customHeight="1" x14ac:dyDescent="0.25">
      <c r="A401" s="4" t="s">
        <v>21</v>
      </c>
      <c r="B401" s="4" t="s">
        <v>22</v>
      </c>
      <c r="C401" s="4" t="s">
        <v>23</v>
      </c>
      <c r="D401" s="4" t="s">
        <v>24</v>
      </c>
      <c r="E401" s="4" t="s">
        <v>24</v>
      </c>
      <c r="F401" s="4" t="s">
        <v>25</v>
      </c>
      <c r="G401" s="4" t="s">
        <v>25</v>
      </c>
      <c r="H401" s="4" t="s">
        <v>25</v>
      </c>
      <c r="I401" s="5">
        <v>44287</v>
      </c>
      <c r="J401" s="6">
        <v>0</v>
      </c>
      <c r="K401" s="6">
        <v>0</v>
      </c>
      <c r="L401" s="6">
        <v>2193.27</v>
      </c>
      <c r="M401" s="6">
        <v>2193.27</v>
      </c>
      <c r="N401" s="6">
        <v>2193.27</v>
      </c>
      <c r="O401" s="6">
        <v>2193.27</v>
      </c>
      <c r="P401" s="6">
        <v>8530</v>
      </c>
      <c r="Q401" s="4" t="s">
        <v>26</v>
      </c>
      <c r="R401" s="4">
        <v>0</v>
      </c>
      <c r="S401" s="4" t="s">
        <v>153</v>
      </c>
      <c r="T401" s="4" t="s">
        <v>290</v>
      </c>
      <c r="U401" s="4">
        <v>0</v>
      </c>
      <c r="V401" s="4">
        <v>53</v>
      </c>
      <c r="W401" s="4">
        <v>9</v>
      </c>
    </row>
    <row r="402" spans="1:23" ht="11.25" customHeight="1" x14ac:dyDescent="0.25">
      <c r="A402" s="4" t="s">
        <v>27</v>
      </c>
      <c r="B402" s="4" t="s">
        <v>22</v>
      </c>
      <c r="C402" s="4" t="s">
        <v>23</v>
      </c>
      <c r="D402" s="4" t="s">
        <v>24</v>
      </c>
      <c r="E402" s="4" t="s">
        <v>24</v>
      </c>
      <c r="F402" s="4" t="s">
        <v>25</v>
      </c>
      <c r="G402" s="4" t="s">
        <v>25</v>
      </c>
      <c r="H402" s="4" t="s">
        <v>25</v>
      </c>
      <c r="I402" s="5">
        <v>44287</v>
      </c>
      <c r="J402" s="6">
        <v>0</v>
      </c>
      <c r="K402" s="6">
        <v>0</v>
      </c>
      <c r="L402" s="6">
        <v>-1.77</v>
      </c>
      <c r="M402" s="6">
        <v>-1.77</v>
      </c>
      <c r="N402" s="6">
        <v>-1.77</v>
      </c>
      <c r="O402" s="6">
        <v>-1.77</v>
      </c>
      <c r="P402" s="6">
        <v>0</v>
      </c>
      <c r="Q402" s="4" t="s">
        <v>26</v>
      </c>
      <c r="R402" s="4">
        <v>0</v>
      </c>
      <c r="S402" s="4" t="s">
        <v>153</v>
      </c>
      <c r="T402" s="4" t="s">
        <v>290</v>
      </c>
      <c r="U402" s="4">
        <v>0</v>
      </c>
      <c r="V402" s="4">
        <v>53</v>
      </c>
      <c r="W402" s="4">
        <v>9</v>
      </c>
    </row>
    <row r="403" spans="1:23" ht="11.25" customHeight="1" x14ac:dyDescent="0.25">
      <c r="A403" s="4" t="s">
        <v>28</v>
      </c>
      <c r="B403" s="4" t="s">
        <v>22</v>
      </c>
      <c r="C403" s="4" t="s">
        <v>23</v>
      </c>
      <c r="D403" s="4" t="s">
        <v>24</v>
      </c>
      <c r="E403" s="4" t="s">
        <v>24</v>
      </c>
      <c r="F403" s="4" t="s">
        <v>25</v>
      </c>
      <c r="G403" s="4" t="s">
        <v>25</v>
      </c>
      <c r="H403" s="4" t="s">
        <v>25</v>
      </c>
      <c r="I403" s="5">
        <v>44287</v>
      </c>
      <c r="J403" s="6">
        <v>0</v>
      </c>
      <c r="K403" s="6">
        <v>0</v>
      </c>
      <c r="L403" s="6">
        <v>19.829000000000001</v>
      </c>
      <c r="M403" s="6">
        <v>19.829000000000001</v>
      </c>
      <c r="N403" s="6">
        <v>19.829000000000001</v>
      </c>
      <c r="O403" s="6">
        <v>19.829000000000001</v>
      </c>
      <c r="P403" s="6">
        <v>60</v>
      </c>
      <c r="Q403" s="4" t="s">
        <v>26</v>
      </c>
      <c r="R403" s="4">
        <v>0</v>
      </c>
      <c r="S403" s="4" t="s">
        <v>153</v>
      </c>
      <c r="T403" s="4" t="s">
        <v>290</v>
      </c>
      <c r="U403" s="4">
        <v>0</v>
      </c>
      <c r="V403" s="4">
        <v>53</v>
      </c>
      <c r="W403" s="4">
        <v>9</v>
      </c>
    </row>
    <row r="404" spans="1:23" ht="11.25" customHeight="1" x14ac:dyDescent="0.25">
      <c r="A404" s="4" t="s">
        <v>21</v>
      </c>
      <c r="B404" s="4" t="s">
        <v>22</v>
      </c>
      <c r="C404" s="4" t="s">
        <v>23</v>
      </c>
      <c r="D404" s="4" t="s">
        <v>24</v>
      </c>
      <c r="E404" s="4" t="s">
        <v>24</v>
      </c>
      <c r="F404" s="4" t="s">
        <v>25</v>
      </c>
      <c r="G404" s="4" t="s">
        <v>25</v>
      </c>
      <c r="H404" s="4" t="s">
        <v>25</v>
      </c>
      <c r="I404" s="5">
        <v>44317</v>
      </c>
      <c r="J404" s="6">
        <v>0</v>
      </c>
      <c r="K404" s="6">
        <v>0</v>
      </c>
      <c r="L404" s="6">
        <v>1905.6780000000001</v>
      </c>
      <c r="M404" s="6">
        <v>1905.6780000000001</v>
      </c>
      <c r="N404" s="6">
        <v>1905.6780000000001</v>
      </c>
      <c r="O404" s="6">
        <v>1905.6780000000001</v>
      </c>
      <c r="P404" s="6">
        <v>8589</v>
      </c>
      <c r="Q404" s="4" t="s">
        <v>26</v>
      </c>
      <c r="R404" s="4">
        <v>0</v>
      </c>
      <c r="S404" s="4" t="s">
        <v>154</v>
      </c>
      <c r="T404" s="4" t="s">
        <v>291</v>
      </c>
      <c r="U404" s="4">
        <v>0</v>
      </c>
      <c r="V404" s="4">
        <v>53</v>
      </c>
      <c r="W404" s="4">
        <v>9</v>
      </c>
    </row>
    <row r="405" spans="1:23" ht="11.25" customHeight="1" x14ac:dyDescent="0.25">
      <c r="A405" s="4" t="s">
        <v>27</v>
      </c>
      <c r="B405" s="4" t="s">
        <v>22</v>
      </c>
      <c r="C405" s="4" t="s">
        <v>23</v>
      </c>
      <c r="D405" s="4" t="s">
        <v>24</v>
      </c>
      <c r="E405" s="4" t="s">
        <v>24</v>
      </c>
      <c r="F405" s="4" t="s">
        <v>25</v>
      </c>
      <c r="G405" s="4" t="s">
        <v>25</v>
      </c>
      <c r="H405" s="4" t="s">
        <v>25</v>
      </c>
      <c r="I405" s="5">
        <v>44317</v>
      </c>
      <c r="J405" s="6">
        <v>0</v>
      </c>
      <c r="K405" s="6">
        <v>0</v>
      </c>
      <c r="L405" s="6">
        <v>-4.58</v>
      </c>
      <c r="M405" s="6">
        <v>-4.58</v>
      </c>
      <c r="N405" s="6">
        <v>-4.58</v>
      </c>
      <c r="O405" s="6">
        <v>-4.58</v>
      </c>
      <c r="P405" s="6">
        <v>0</v>
      </c>
      <c r="Q405" s="4" t="s">
        <v>26</v>
      </c>
      <c r="R405" s="4">
        <v>0</v>
      </c>
      <c r="S405" s="4" t="s">
        <v>154</v>
      </c>
      <c r="T405" s="4" t="s">
        <v>291</v>
      </c>
      <c r="U405" s="4">
        <v>0</v>
      </c>
      <c r="V405" s="4">
        <v>53</v>
      </c>
      <c r="W405" s="4">
        <v>9</v>
      </c>
    </row>
    <row r="406" spans="1:23" ht="11.25" customHeight="1" x14ac:dyDescent="0.25">
      <c r="A406" s="4" t="s">
        <v>28</v>
      </c>
      <c r="B406" s="4" t="s">
        <v>22</v>
      </c>
      <c r="C406" s="4" t="s">
        <v>23</v>
      </c>
      <c r="D406" s="4" t="s">
        <v>24</v>
      </c>
      <c r="E406" s="4" t="s">
        <v>24</v>
      </c>
      <c r="F406" s="4" t="s">
        <v>25</v>
      </c>
      <c r="G406" s="4" t="s">
        <v>25</v>
      </c>
      <c r="H406" s="4" t="s">
        <v>25</v>
      </c>
      <c r="I406" s="5">
        <v>44317</v>
      </c>
      <c r="J406" s="6">
        <v>0</v>
      </c>
      <c r="K406" s="6">
        <v>0</v>
      </c>
      <c r="L406" s="6">
        <v>21.742000000000001</v>
      </c>
      <c r="M406" s="6">
        <v>21.742000000000001</v>
      </c>
      <c r="N406" s="6">
        <v>21.742000000000001</v>
      </c>
      <c r="O406" s="6">
        <v>21.742000000000001</v>
      </c>
      <c r="P406" s="6">
        <v>63</v>
      </c>
      <c r="Q406" s="4" t="s">
        <v>26</v>
      </c>
      <c r="R406" s="4">
        <v>0</v>
      </c>
      <c r="S406" s="4" t="s">
        <v>154</v>
      </c>
      <c r="T406" s="4" t="s">
        <v>291</v>
      </c>
      <c r="U406" s="4">
        <v>0</v>
      </c>
      <c r="V406" s="4">
        <v>53</v>
      </c>
      <c r="W406" s="4">
        <v>9</v>
      </c>
    </row>
    <row r="407" spans="1:23" ht="11.25" customHeight="1" x14ac:dyDescent="0.25">
      <c r="A407" s="4" t="s">
        <v>21</v>
      </c>
      <c r="B407" s="4" t="s">
        <v>22</v>
      </c>
      <c r="C407" s="4" t="s">
        <v>23</v>
      </c>
      <c r="D407" s="4" t="s">
        <v>24</v>
      </c>
      <c r="E407" s="4" t="s">
        <v>24</v>
      </c>
      <c r="F407" s="4" t="s">
        <v>25</v>
      </c>
      <c r="G407" s="4" t="s">
        <v>25</v>
      </c>
      <c r="H407" s="4" t="s">
        <v>25</v>
      </c>
      <c r="I407" s="5">
        <v>44348</v>
      </c>
      <c r="J407" s="6">
        <v>0</v>
      </c>
      <c r="K407" s="6">
        <v>0</v>
      </c>
      <c r="L407" s="6">
        <v>1775.2840000000001</v>
      </c>
      <c r="M407" s="6">
        <v>1775.2840000000001</v>
      </c>
      <c r="N407" s="6">
        <v>1775.2840000000001</v>
      </c>
      <c r="O407" s="6">
        <v>1775.2840000000001</v>
      </c>
      <c r="P407" s="6">
        <v>8695</v>
      </c>
      <c r="Q407" s="4" t="s">
        <v>26</v>
      </c>
      <c r="R407" s="4">
        <v>0</v>
      </c>
      <c r="S407" s="4" t="s">
        <v>155</v>
      </c>
      <c r="T407" s="4" t="s">
        <v>292</v>
      </c>
      <c r="U407" s="4">
        <v>0</v>
      </c>
      <c r="V407" s="4">
        <v>53</v>
      </c>
      <c r="W407" s="4">
        <v>9</v>
      </c>
    </row>
    <row r="408" spans="1:23" ht="11.25" customHeight="1" x14ac:dyDescent="0.25">
      <c r="A408" s="4" t="s">
        <v>27</v>
      </c>
      <c r="B408" s="4" t="s">
        <v>22</v>
      </c>
      <c r="C408" s="4" t="s">
        <v>23</v>
      </c>
      <c r="D408" s="4" t="s">
        <v>24</v>
      </c>
      <c r="E408" s="4" t="s">
        <v>24</v>
      </c>
      <c r="F408" s="4" t="s">
        <v>25</v>
      </c>
      <c r="G408" s="4" t="s">
        <v>25</v>
      </c>
      <c r="H408" s="4" t="s">
        <v>25</v>
      </c>
      <c r="I408" s="5">
        <v>44348</v>
      </c>
      <c r="J408" s="6">
        <v>0</v>
      </c>
      <c r="K408" s="6">
        <v>0</v>
      </c>
      <c r="L408" s="6">
        <v>-0.875</v>
      </c>
      <c r="M408" s="6">
        <v>-0.875</v>
      </c>
      <c r="N408" s="6">
        <v>-0.875</v>
      </c>
      <c r="O408" s="6">
        <v>-0.875</v>
      </c>
      <c r="P408" s="6">
        <v>0</v>
      </c>
      <c r="Q408" s="4" t="s">
        <v>26</v>
      </c>
      <c r="R408" s="4">
        <v>0</v>
      </c>
      <c r="S408" s="4" t="s">
        <v>155</v>
      </c>
      <c r="T408" s="4" t="s">
        <v>292</v>
      </c>
      <c r="U408" s="4">
        <v>0</v>
      </c>
      <c r="V408" s="4">
        <v>53</v>
      </c>
      <c r="W408" s="4">
        <v>9</v>
      </c>
    </row>
    <row r="409" spans="1:23" ht="11.25" customHeight="1" x14ac:dyDescent="0.25">
      <c r="A409" s="4" t="s">
        <v>28</v>
      </c>
      <c r="B409" s="4" t="s">
        <v>22</v>
      </c>
      <c r="C409" s="4" t="s">
        <v>23</v>
      </c>
      <c r="D409" s="4" t="s">
        <v>24</v>
      </c>
      <c r="E409" s="4" t="s">
        <v>24</v>
      </c>
      <c r="F409" s="4" t="s">
        <v>25</v>
      </c>
      <c r="G409" s="4" t="s">
        <v>25</v>
      </c>
      <c r="H409" s="4" t="s">
        <v>25</v>
      </c>
      <c r="I409" s="5">
        <v>44348</v>
      </c>
      <c r="J409" s="6">
        <v>0</v>
      </c>
      <c r="K409" s="6">
        <v>0</v>
      </c>
      <c r="L409" s="6">
        <v>21.11</v>
      </c>
      <c r="M409" s="6">
        <v>21.11</v>
      </c>
      <c r="N409" s="6">
        <v>21.11</v>
      </c>
      <c r="O409" s="6">
        <v>21.11</v>
      </c>
      <c r="P409" s="6">
        <v>63</v>
      </c>
      <c r="Q409" s="4" t="s">
        <v>26</v>
      </c>
      <c r="R409" s="4">
        <v>0</v>
      </c>
      <c r="S409" s="4" t="s">
        <v>155</v>
      </c>
      <c r="T409" s="4" t="s">
        <v>292</v>
      </c>
      <c r="U409" s="4">
        <v>0</v>
      </c>
      <c r="V409" s="4">
        <v>53</v>
      </c>
      <c r="W409" s="4">
        <v>9</v>
      </c>
    </row>
    <row r="410" spans="1:23" ht="11.25" customHeight="1" x14ac:dyDescent="0.25">
      <c r="A410" s="4" t="s">
        <v>21</v>
      </c>
      <c r="B410" s="4" t="s">
        <v>22</v>
      </c>
      <c r="C410" s="4" t="s">
        <v>23</v>
      </c>
      <c r="D410" s="4" t="s">
        <v>24</v>
      </c>
      <c r="E410" s="4" t="s">
        <v>24</v>
      </c>
      <c r="F410" s="4" t="s">
        <v>25</v>
      </c>
      <c r="G410" s="4" t="s">
        <v>25</v>
      </c>
      <c r="H410" s="4" t="s">
        <v>25</v>
      </c>
      <c r="I410" s="5">
        <v>44378</v>
      </c>
      <c r="J410" s="6">
        <v>0</v>
      </c>
      <c r="K410" s="6">
        <v>0</v>
      </c>
      <c r="L410" s="6">
        <v>1794.009</v>
      </c>
      <c r="M410" s="6">
        <v>1794.009</v>
      </c>
      <c r="N410" s="6">
        <v>1794.009</v>
      </c>
      <c r="O410" s="6">
        <v>1794.009</v>
      </c>
      <c r="P410" s="6">
        <v>8747</v>
      </c>
      <c r="Q410" s="4" t="s">
        <v>26</v>
      </c>
      <c r="R410" s="4">
        <v>0</v>
      </c>
      <c r="S410" s="4" t="s">
        <v>156</v>
      </c>
      <c r="T410" s="4" t="s">
        <v>293</v>
      </c>
      <c r="U410" s="4">
        <v>0</v>
      </c>
      <c r="V410" s="4">
        <v>53</v>
      </c>
      <c r="W410" s="4">
        <v>9</v>
      </c>
    </row>
    <row r="411" spans="1:23" ht="11.25" customHeight="1" x14ac:dyDescent="0.25">
      <c r="A411" s="4" t="s">
        <v>27</v>
      </c>
      <c r="B411" s="4" t="s">
        <v>22</v>
      </c>
      <c r="C411" s="4" t="s">
        <v>23</v>
      </c>
      <c r="D411" s="4" t="s">
        <v>24</v>
      </c>
      <c r="E411" s="4" t="s">
        <v>24</v>
      </c>
      <c r="F411" s="4" t="s">
        <v>25</v>
      </c>
      <c r="G411" s="4" t="s">
        <v>25</v>
      </c>
      <c r="H411" s="4" t="s">
        <v>25</v>
      </c>
      <c r="I411" s="5">
        <v>44378</v>
      </c>
      <c r="J411" s="6">
        <v>0</v>
      </c>
      <c r="K411" s="6">
        <v>0</v>
      </c>
      <c r="L411" s="6">
        <v>-1.389</v>
      </c>
      <c r="M411" s="6">
        <v>-1.389</v>
      </c>
      <c r="N411" s="6">
        <v>-1.389</v>
      </c>
      <c r="O411" s="6">
        <v>-1.389</v>
      </c>
      <c r="P411" s="6">
        <v>0</v>
      </c>
      <c r="Q411" s="4" t="s">
        <v>26</v>
      </c>
      <c r="R411" s="4">
        <v>0</v>
      </c>
      <c r="S411" s="4" t="s">
        <v>156</v>
      </c>
      <c r="T411" s="4" t="s">
        <v>293</v>
      </c>
      <c r="U411" s="4">
        <v>0</v>
      </c>
      <c r="V411" s="4">
        <v>53</v>
      </c>
      <c r="W411" s="4">
        <v>9</v>
      </c>
    </row>
    <row r="412" spans="1:23" ht="11.25" customHeight="1" x14ac:dyDescent="0.25">
      <c r="A412" s="4" t="s">
        <v>28</v>
      </c>
      <c r="B412" s="4" t="s">
        <v>22</v>
      </c>
      <c r="C412" s="4" t="s">
        <v>23</v>
      </c>
      <c r="D412" s="4" t="s">
        <v>24</v>
      </c>
      <c r="E412" s="4" t="s">
        <v>24</v>
      </c>
      <c r="F412" s="4" t="s">
        <v>25</v>
      </c>
      <c r="G412" s="4" t="s">
        <v>25</v>
      </c>
      <c r="H412" s="4" t="s">
        <v>25</v>
      </c>
      <c r="I412" s="5">
        <v>44378</v>
      </c>
      <c r="J412" s="6">
        <v>0</v>
      </c>
      <c r="K412" s="6">
        <v>0</v>
      </c>
      <c r="L412" s="6">
        <v>21.29</v>
      </c>
      <c r="M412" s="6">
        <v>21.29</v>
      </c>
      <c r="N412" s="6">
        <v>21.29</v>
      </c>
      <c r="O412" s="6">
        <v>21.29</v>
      </c>
      <c r="P412" s="6">
        <v>72</v>
      </c>
      <c r="Q412" s="4" t="s">
        <v>26</v>
      </c>
      <c r="R412" s="4">
        <v>0</v>
      </c>
      <c r="S412" s="4" t="s">
        <v>156</v>
      </c>
      <c r="T412" s="4" t="s">
        <v>293</v>
      </c>
      <c r="U412" s="4">
        <v>0</v>
      </c>
      <c r="V412" s="4">
        <v>53</v>
      </c>
      <c r="W412" s="4">
        <v>9</v>
      </c>
    </row>
    <row r="413" spans="1:23" ht="11.25" customHeight="1" x14ac:dyDescent="0.25">
      <c r="A413" s="4" t="s">
        <v>28</v>
      </c>
      <c r="B413" s="4" t="s">
        <v>22</v>
      </c>
      <c r="C413" s="4" t="s">
        <v>23</v>
      </c>
      <c r="D413" s="4" t="s">
        <v>24</v>
      </c>
      <c r="E413" s="4" t="s">
        <v>24</v>
      </c>
      <c r="F413" s="4" t="s">
        <v>25</v>
      </c>
      <c r="G413" s="4" t="s">
        <v>25</v>
      </c>
      <c r="H413" s="4" t="s">
        <v>25</v>
      </c>
      <c r="I413" s="5">
        <v>44378</v>
      </c>
      <c r="J413" s="6">
        <v>0</v>
      </c>
      <c r="K413" s="6">
        <v>0</v>
      </c>
      <c r="L413" s="6">
        <v>-3.9E-2</v>
      </c>
      <c r="M413" s="6">
        <v>-3.9E-2</v>
      </c>
      <c r="N413" s="6">
        <v>-3.9E-2</v>
      </c>
      <c r="O413" s="6">
        <v>-3.9E-2</v>
      </c>
      <c r="P413" s="6">
        <v>9</v>
      </c>
      <c r="Q413" s="4" t="s">
        <v>26</v>
      </c>
      <c r="R413" s="4">
        <v>0</v>
      </c>
      <c r="S413" s="4" t="s">
        <v>156</v>
      </c>
      <c r="T413" s="4" t="s">
        <v>293</v>
      </c>
      <c r="U413" s="4">
        <v>0</v>
      </c>
      <c r="V413" s="4">
        <v>53</v>
      </c>
      <c r="W413" s="4">
        <v>9</v>
      </c>
    </row>
    <row r="414" spans="1:23" ht="11.25" customHeight="1" x14ac:dyDescent="0.25">
      <c r="A414" s="4" t="s">
        <v>21</v>
      </c>
      <c r="B414" s="4" t="s">
        <v>22</v>
      </c>
      <c r="C414" s="4" t="s">
        <v>23</v>
      </c>
      <c r="D414" s="4" t="s">
        <v>24</v>
      </c>
      <c r="E414" s="4" t="s">
        <v>24</v>
      </c>
      <c r="F414" s="4" t="s">
        <v>25</v>
      </c>
      <c r="G414" s="4" t="s">
        <v>25</v>
      </c>
      <c r="H414" s="4" t="s">
        <v>25</v>
      </c>
      <c r="I414" s="5">
        <v>44409</v>
      </c>
      <c r="J414" s="6">
        <v>0</v>
      </c>
      <c r="K414" s="6">
        <v>0</v>
      </c>
      <c r="L414" s="6">
        <v>1843.434</v>
      </c>
      <c r="M414" s="6">
        <v>1843.434</v>
      </c>
      <c r="N414" s="6">
        <v>1843.434</v>
      </c>
      <c r="O414" s="6">
        <v>1843.434</v>
      </c>
      <c r="P414" s="6">
        <v>8818</v>
      </c>
      <c r="Q414" s="4" t="s">
        <v>26</v>
      </c>
      <c r="R414" s="4">
        <v>0</v>
      </c>
      <c r="S414" s="4" t="s">
        <v>157</v>
      </c>
      <c r="T414" s="4" t="s">
        <v>294</v>
      </c>
      <c r="U414" s="4">
        <v>0</v>
      </c>
      <c r="V414" s="4">
        <v>53</v>
      </c>
      <c r="W414" s="4">
        <v>9</v>
      </c>
    </row>
    <row r="415" spans="1:23" ht="11.25" customHeight="1" x14ac:dyDescent="0.25">
      <c r="A415" s="4" t="s">
        <v>27</v>
      </c>
      <c r="B415" s="4" t="s">
        <v>22</v>
      </c>
      <c r="C415" s="4" t="s">
        <v>23</v>
      </c>
      <c r="D415" s="4" t="s">
        <v>24</v>
      </c>
      <c r="E415" s="4" t="s">
        <v>24</v>
      </c>
      <c r="F415" s="4" t="s">
        <v>25</v>
      </c>
      <c r="G415" s="4" t="s">
        <v>25</v>
      </c>
      <c r="H415" s="4" t="s">
        <v>25</v>
      </c>
      <c r="I415" s="5">
        <v>44409</v>
      </c>
      <c r="J415" s="6">
        <v>0</v>
      </c>
      <c r="K415" s="6">
        <v>0</v>
      </c>
      <c r="L415" s="6">
        <v>-7.4560000000000004</v>
      </c>
      <c r="M415" s="6">
        <v>-7.4560000000000004</v>
      </c>
      <c r="N415" s="6">
        <v>-7.4560000000000004</v>
      </c>
      <c r="O415" s="6">
        <v>-7.4560000000000004</v>
      </c>
      <c r="P415" s="6">
        <v>0</v>
      </c>
      <c r="Q415" s="4" t="s">
        <v>26</v>
      </c>
      <c r="R415" s="4">
        <v>0</v>
      </c>
      <c r="S415" s="4" t="s">
        <v>157</v>
      </c>
      <c r="T415" s="4" t="s">
        <v>294</v>
      </c>
      <c r="U415" s="4">
        <v>0</v>
      </c>
      <c r="V415" s="4">
        <v>53</v>
      </c>
      <c r="W415" s="4">
        <v>9</v>
      </c>
    </row>
    <row r="416" spans="1:23" ht="11.25" customHeight="1" x14ac:dyDescent="0.25">
      <c r="A416" s="4" t="s">
        <v>28</v>
      </c>
      <c r="B416" s="4" t="s">
        <v>22</v>
      </c>
      <c r="C416" s="4" t="s">
        <v>23</v>
      </c>
      <c r="D416" s="4" t="s">
        <v>24</v>
      </c>
      <c r="E416" s="4" t="s">
        <v>24</v>
      </c>
      <c r="F416" s="4" t="s">
        <v>25</v>
      </c>
      <c r="G416" s="4" t="s">
        <v>25</v>
      </c>
      <c r="H416" s="4" t="s">
        <v>25</v>
      </c>
      <c r="I416" s="5">
        <v>44409</v>
      </c>
      <c r="J416" s="6">
        <v>0</v>
      </c>
      <c r="K416" s="6">
        <v>0</v>
      </c>
      <c r="L416" s="6">
        <v>19.457999999999998</v>
      </c>
      <c r="M416" s="6">
        <v>19.457999999999998</v>
      </c>
      <c r="N416" s="6">
        <v>19.457999999999998</v>
      </c>
      <c r="O416" s="6">
        <v>19.457999999999998</v>
      </c>
      <c r="P416" s="6">
        <v>75</v>
      </c>
      <c r="Q416" s="4" t="s">
        <v>26</v>
      </c>
      <c r="R416" s="4">
        <v>0</v>
      </c>
      <c r="S416" s="4" t="s">
        <v>157</v>
      </c>
      <c r="T416" s="4" t="s">
        <v>294</v>
      </c>
      <c r="U416" s="4">
        <v>0</v>
      </c>
      <c r="V416" s="4">
        <v>53</v>
      </c>
      <c r="W416" s="4">
        <v>9</v>
      </c>
    </row>
    <row r="417" spans="1:23" ht="11.25" customHeight="1" x14ac:dyDescent="0.25">
      <c r="A417" s="4" t="s">
        <v>21</v>
      </c>
      <c r="B417" s="4" t="s">
        <v>22</v>
      </c>
      <c r="C417" s="4" t="s">
        <v>23</v>
      </c>
      <c r="D417" s="4" t="s">
        <v>24</v>
      </c>
      <c r="E417" s="4" t="s">
        <v>24</v>
      </c>
      <c r="F417" s="4" t="s">
        <v>25</v>
      </c>
      <c r="G417" s="4" t="s">
        <v>25</v>
      </c>
      <c r="H417" s="4" t="s">
        <v>25</v>
      </c>
      <c r="I417" s="5">
        <v>44440</v>
      </c>
      <c r="J417" s="6">
        <v>0</v>
      </c>
      <c r="K417" s="6">
        <v>0</v>
      </c>
      <c r="L417" s="6">
        <v>1945.261</v>
      </c>
      <c r="M417" s="6">
        <v>1945.261</v>
      </c>
      <c r="N417" s="6">
        <v>1945.261</v>
      </c>
      <c r="O417" s="6">
        <v>1945.261</v>
      </c>
      <c r="P417" s="6">
        <v>8866</v>
      </c>
      <c r="Q417" s="4" t="s">
        <v>26</v>
      </c>
      <c r="R417" s="4">
        <v>0</v>
      </c>
      <c r="S417" s="4" t="s">
        <v>158</v>
      </c>
      <c r="T417" s="4" t="s">
        <v>295</v>
      </c>
      <c r="U417" s="4">
        <v>0</v>
      </c>
      <c r="V417" s="4">
        <v>53</v>
      </c>
      <c r="W417" s="4">
        <v>9</v>
      </c>
    </row>
    <row r="418" spans="1:23" ht="11.25" customHeight="1" x14ac:dyDescent="0.25">
      <c r="A418" s="4" t="s">
        <v>27</v>
      </c>
      <c r="B418" s="4" t="s">
        <v>22</v>
      </c>
      <c r="C418" s="4" t="s">
        <v>23</v>
      </c>
      <c r="D418" s="4" t="s">
        <v>24</v>
      </c>
      <c r="E418" s="4" t="s">
        <v>24</v>
      </c>
      <c r="F418" s="4" t="s">
        <v>25</v>
      </c>
      <c r="G418" s="4" t="s">
        <v>25</v>
      </c>
      <c r="H418" s="4" t="s">
        <v>25</v>
      </c>
      <c r="I418" s="5">
        <v>44440</v>
      </c>
      <c r="J418" s="6">
        <v>0</v>
      </c>
      <c r="K418" s="6">
        <v>0</v>
      </c>
      <c r="L418" s="6">
        <v>-1.0069999999999999</v>
      </c>
      <c r="M418" s="6">
        <v>-1.0069999999999999</v>
      </c>
      <c r="N418" s="6">
        <v>-1.0069999999999999</v>
      </c>
      <c r="O418" s="6">
        <v>-1.0069999999999999</v>
      </c>
      <c r="P418" s="6">
        <v>0</v>
      </c>
      <c r="Q418" s="4" t="s">
        <v>26</v>
      </c>
      <c r="R418" s="4">
        <v>0</v>
      </c>
      <c r="S418" s="4" t="s">
        <v>158</v>
      </c>
      <c r="T418" s="4" t="s">
        <v>295</v>
      </c>
      <c r="U418" s="4">
        <v>0</v>
      </c>
      <c r="V418" s="4">
        <v>53</v>
      </c>
      <c r="W418" s="4">
        <v>9</v>
      </c>
    </row>
    <row r="419" spans="1:23" ht="11.25" customHeight="1" x14ac:dyDescent="0.25">
      <c r="A419" s="4" t="s">
        <v>28</v>
      </c>
      <c r="B419" s="4" t="s">
        <v>22</v>
      </c>
      <c r="C419" s="4" t="s">
        <v>23</v>
      </c>
      <c r="D419" s="4" t="s">
        <v>24</v>
      </c>
      <c r="E419" s="4" t="s">
        <v>24</v>
      </c>
      <c r="F419" s="4" t="s">
        <v>25</v>
      </c>
      <c r="G419" s="4" t="s">
        <v>25</v>
      </c>
      <c r="H419" s="4" t="s">
        <v>25</v>
      </c>
      <c r="I419" s="5">
        <v>44440</v>
      </c>
      <c r="J419" s="6">
        <v>0</v>
      </c>
      <c r="K419" s="6">
        <v>0</v>
      </c>
      <c r="L419" s="6">
        <v>22.57</v>
      </c>
      <c r="M419" s="6">
        <v>22.57</v>
      </c>
      <c r="N419" s="6">
        <v>22.57</v>
      </c>
      <c r="O419" s="6">
        <v>22.57</v>
      </c>
      <c r="P419" s="6">
        <v>83</v>
      </c>
      <c r="Q419" s="4" t="s">
        <v>26</v>
      </c>
      <c r="R419" s="4">
        <v>0</v>
      </c>
      <c r="S419" s="4" t="s">
        <v>158</v>
      </c>
      <c r="T419" s="4" t="s">
        <v>295</v>
      </c>
      <c r="U419" s="4">
        <v>0</v>
      </c>
      <c r="V419" s="4">
        <v>53</v>
      </c>
      <c r="W419" s="4">
        <v>9</v>
      </c>
    </row>
    <row r="420" spans="1:23" ht="11.25" customHeight="1" x14ac:dyDescent="0.25">
      <c r="A420" s="4" t="s">
        <v>28</v>
      </c>
      <c r="B420" s="4" t="s">
        <v>22</v>
      </c>
      <c r="C420" s="4" t="s">
        <v>23</v>
      </c>
      <c r="D420" s="4" t="s">
        <v>24</v>
      </c>
      <c r="E420" s="4" t="s">
        <v>24</v>
      </c>
      <c r="F420" s="4" t="s">
        <v>25</v>
      </c>
      <c r="G420" s="4" t="s">
        <v>25</v>
      </c>
      <c r="H420" s="4" t="s">
        <v>25</v>
      </c>
      <c r="I420" s="5">
        <v>44440</v>
      </c>
      <c r="J420" s="6">
        <v>0</v>
      </c>
      <c r="K420" s="6">
        <v>0</v>
      </c>
      <c r="L420" s="6">
        <v>0.114</v>
      </c>
      <c r="M420" s="6">
        <v>0.114</v>
      </c>
      <c r="N420" s="6">
        <v>0.114</v>
      </c>
      <c r="O420" s="6">
        <v>0.114</v>
      </c>
      <c r="P420" s="6">
        <v>1</v>
      </c>
      <c r="Q420" s="4" t="s">
        <v>26</v>
      </c>
      <c r="R420" s="4">
        <v>0</v>
      </c>
      <c r="S420" s="4" t="s">
        <v>158</v>
      </c>
      <c r="T420" s="4" t="s">
        <v>295</v>
      </c>
      <c r="U420" s="4">
        <v>0</v>
      </c>
      <c r="V420" s="4">
        <v>53</v>
      </c>
      <c r="W420" s="4">
        <v>9</v>
      </c>
    </row>
    <row r="421" spans="1:23" ht="11.25" customHeight="1" x14ac:dyDescent="0.25">
      <c r="A421" s="4" t="s">
        <v>21</v>
      </c>
      <c r="B421" s="4" t="s">
        <v>22</v>
      </c>
      <c r="C421" s="4" t="s">
        <v>23</v>
      </c>
      <c r="D421" s="4" t="s">
        <v>24</v>
      </c>
      <c r="E421" s="4" t="s">
        <v>24</v>
      </c>
      <c r="F421" s="4" t="s">
        <v>25</v>
      </c>
      <c r="G421" s="4" t="s">
        <v>25</v>
      </c>
      <c r="H421" s="4" t="s">
        <v>25</v>
      </c>
      <c r="I421" s="5">
        <v>44470</v>
      </c>
      <c r="J421" s="6">
        <v>0</v>
      </c>
      <c r="K421" s="6">
        <v>0</v>
      </c>
      <c r="L421" s="6">
        <v>1757.075</v>
      </c>
      <c r="M421" s="6">
        <v>1757.075</v>
      </c>
      <c r="N421" s="6">
        <v>1757.075</v>
      </c>
      <c r="O421" s="6">
        <v>1757.075</v>
      </c>
      <c r="P421" s="6">
        <v>8922</v>
      </c>
      <c r="Q421" s="4" t="s">
        <v>26</v>
      </c>
      <c r="R421" s="4">
        <v>0</v>
      </c>
      <c r="S421" s="4" t="s">
        <v>159</v>
      </c>
      <c r="T421" s="4" t="s">
        <v>296</v>
      </c>
      <c r="U421" s="4">
        <v>0</v>
      </c>
      <c r="V421" s="4">
        <v>53</v>
      </c>
      <c r="W421" s="4">
        <v>9</v>
      </c>
    </row>
    <row r="422" spans="1:23" ht="11.25" customHeight="1" x14ac:dyDescent="0.25">
      <c r="A422" s="4" t="s">
        <v>27</v>
      </c>
      <c r="B422" s="4" t="s">
        <v>22</v>
      </c>
      <c r="C422" s="4" t="s">
        <v>23</v>
      </c>
      <c r="D422" s="4" t="s">
        <v>24</v>
      </c>
      <c r="E422" s="4" t="s">
        <v>24</v>
      </c>
      <c r="F422" s="4" t="s">
        <v>25</v>
      </c>
      <c r="G422" s="4" t="s">
        <v>25</v>
      </c>
      <c r="H422" s="4" t="s">
        <v>25</v>
      </c>
      <c r="I422" s="5">
        <v>44470</v>
      </c>
      <c r="J422" s="6">
        <v>0</v>
      </c>
      <c r="K422" s="6">
        <v>0</v>
      </c>
      <c r="L422" s="6">
        <v>-2.9000000000000001E-2</v>
      </c>
      <c r="M422" s="6">
        <v>-2.9000000000000001E-2</v>
      </c>
      <c r="N422" s="6">
        <v>-2.9000000000000001E-2</v>
      </c>
      <c r="O422" s="6">
        <v>-2.9000000000000001E-2</v>
      </c>
      <c r="P422" s="6">
        <v>0</v>
      </c>
      <c r="Q422" s="4" t="s">
        <v>26</v>
      </c>
      <c r="R422" s="4">
        <v>0</v>
      </c>
      <c r="S422" s="4" t="s">
        <v>159</v>
      </c>
      <c r="T422" s="4" t="s">
        <v>296</v>
      </c>
      <c r="U422" s="4">
        <v>0</v>
      </c>
      <c r="V422" s="4">
        <v>53</v>
      </c>
      <c r="W422" s="4">
        <v>9</v>
      </c>
    </row>
    <row r="423" spans="1:23" ht="11.25" customHeight="1" x14ac:dyDescent="0.25">
      <c r="A423" s="4" t="s">
        <v>28</v>
      </c>
      <c r="B423" s="4" t="s">
        <v>22</v>
      </c>
      <c r="C423" s="4" t="s">
        <v>23</v>
      </c>
      <c r="D423" s="4" t="s">
        <v>24</v>
      </c>
      <c r="E423" s="4" t="s">
        <v>24</v>
      </c>
      <c r="F423" s="4" t="s">
        <v>25</v>
      </c>
      <c r="G423" s="4" t="s">
        <v>25</v>
      </c>
      <c r="H423" s="4" t="s">
        <v>25</v>
      </c>
      <c r="I423" s="5">
        <v>44470</v>
      </c>
      <c r="J423" s="6">
        <v>0</v>
      </c>
      <c r="K423" s="6">
        <v>0</v>
      </c>
      <c r="L423" s="6">
        <v>24.212</v>
      </c>
      <c r="M423" s="6">
        <v>24.212</v>
      </c>
      <c r="N423" s="6">
        <v>24.212</v>
      </c>
      <c r="O423" s="6">
        <v>24.212</v>
      </c>
      <c r="P423" s="6">
        <v>100</v>
      </c>
      <c r="Q423" s="4" t="s">
        <v>26</v>
      </c>
      <c r="R423" s="4">
        <v>0</v>
      </c>
      <c r="S423" s="4" t="s">
        <v>159</v>
      </c>
      <c r="T423" s="4" t="s">
        <v>296</v>
      </c>
      <c r="U423" s="4">
        <v>0</v>
      </c>
      <c r="V423" s="4">
        <v>53</v>
      </c>
      <c r="W423" s="4">
        <v>9</v>
      </c>
    </row>
    <row r="424" spans="1:23" ht="11.25" customHeight="1" x14ac:dyDescent="0.25">
      <c r="A424" s="4" t="s">
        <v>21</v>
      </c>
      <c r="B424" s="4" t="s">
        <v>22</v>
      </c>
      <c r="C424" s="4" t="s">
        <v>23</v>
      </c>
      <c r="D424" s="4" t="s">
        <v>24</v>
      </c>
      <c r="E424" s="4" t="s">
        <v>24</v>
      </c>
      <c r="F424" s="4" t="s">
        <v>25</v>
      </c>
      <c r="G424" s="4" t="s">
        <v>25</v>
      </c>
      <c r="H424" s="4" t="s">
        <v>25</v>
      </c>
      <c r="I424" s="5">
        <v>44501</v>
      </c>
      <c r="J424" s="6">
        <v>0</v>
      </c>
      <c r="K424" s="6">
        <v>0</v>
      </c>
      <c r="L424" s="6">
        <v>1970.489</v>
      </c>
      <c r="M424" s="6">
        <v>1970.489</v>
      </c>
      <c r="N424" s="6">
        <v>1970.489</v>
      </c>
      <c r="O424" s="6">
        <v>1970.489</v>
      </c>
      <c r="P424" s="6">
        <v>8956</v>
      </c>
      <c r="Q424" s="4" t="s">
        <v>26</v>
      </c>
      <c r="R424" s="4">
        <v>0</v>
      </c>
      <c r="S424" s="4" t="s">
        <v>160</v>
      </c>
      <c r="T424" s="4" t="s">
        <v>297</v>
      </c>
      <c r="U424" s="4">
        <v>0</v>
      </c>
      <c r="V424" s="4">
        <v>53</v>
      </c>
      <c r="W424" s="4">
        <v>9</v>
      </c>
    </row>
    <row r="425" spans="1:23" ht="11.25" customHeight="1" x14ac:dyDescent="0.25">
      <c r="A425" s="4" t="s">
        <v>27</v>
      </c>
      <c r="B425" s="4" t="s">
        <v>22</v>
      </c>
      <c r="C425" s="4" t="s">
        <v>23</v>
      </c>
      <c r="D425" s="4" t="s">
        <v>24</v>
      </c>
      <c r="E425" s="4" t="s">
        <v>24</v>
      </c>
      <c r="F425" s="4" t="s">
        <v>25</v>
      </c>
      <c r="G425" s="4" t="s">
        <v>25</v>
      </c>
      <c r="H425" s="4" t="s">
        <v>25</v>
      </c>
      <c r="I425" s="5">
        <v>44501</v>
      </c>
      <c r="J425" s="6">
        <v>0</v>
      </c>
      <c r="K425" s="6">
        <v>0</v>
      </c>
      <c r="L425" s="6">
        <v>-0.65</v>
      </c>
      <c r="M425" s="6">
        <v>-0.65</v>
      </c>
      <c r="N425" s="6">
        <v>-0.65</v>
      </c>
      <c r="O425" s="6">
        <v>-0.65</v>
      </c>
      <c r="P425" s="6">
        <v>0</v>
      </c>
      <c r="Q425" s="4" t="s">
        <v>26</v>
      </c>
      <c r="R425" s="4">
        <v>0</v>
      </c>
      <c r="S425" s="4" t="s">
        <v>160</v>
      </c>
      <c r="T425" s="4" t="s">
        <v>297</v>
      </c>
      <c r="U425" s="4">
        <v>0</v>
      </c>
      <c r="V425" s="4">
        <v>53</v>
      </c>
      <c r="W425" s="4">
        <v>9</v>
      </c>
    </row>
    <row r="426" spans="1:23" ht="11.25" customHeight="1" x14ac:dyDescent="0.25">
      <c r="A426" s="4" t="s">
        <v>28</v>
      </c>
      <c r="B426" s="4" t="s">
        <v>22</v>
      </c>
      <c r="C426" s="4" t="s">
        <v>23</v>
      </c>
      <c r="D426" s="4" t="s">
        <v>24</v>
      </c>
      <c r="E426" s="4" t="s">
        <v>24</v>
      </c>
      <c r="F426" s="4" t="s">
        <v>25</v>
      </c>
      <c r="G426" s="4" t="s">
        <v>25</v>
      </c>
      <c r="H426" s="4" t="s">
        <v>25</v>
      </c>
      <c r="I426" s="5">
        <v>44501</v>
      </c>
      <c r="J426" s="6">
        <v>0</v>
      </c>
      <c r="K426" s="6">
        <v>0</v>
      </c>
      <c r="L426" s="6">
        <v>21.847000000000001</v>
      </c>
      <c r="M426" s="6">
        <v>21.847000000000001</v>
      </c>
      <c r="N426" s="6">
        <v>21.847000000000001</v>
      </c>
      <c r="O426" s="6">
        <v>21.847000000000001</v>
      </c>
      <c r="P426" s="6">
        <v>107</v>
      </c>
      <c r="Q426" s="4" t="s">
        <v>26</v>
      </c>
      <c r="R426" s="4">
        <v>0</v>
      </c>
      <c r="S426" s="4" t="s">
        <v>160</v>
      </c>
      <c r="T426" s="4" t="s">
        <v>297</v>
      </c>
      <c r="U426" s="4">
        <v>0</v>
      </c>
      <c r="V426" s="4">
        <v>53</v>
      </c>
      <c r="W426" s="4">
        <v>9</v>
      </c>
    </row>
    <row r="427" spans="1:23" ht="11.25" customHeight="1" x14ac:dyDescent="0.25">
      <c r="A427" s="4" t="s">
        <v>21</v>
      </c>
      <c r="B427" s="4" t="s">
        <v>22</v>
      </c>
      <c r="C427" s="4" t="s">
        <v>23</v>
      </c>
      <c r="D427" s="4" t="s">
        <v>24</v>
      </c>
      <c r="E427" s="4" t="s">
        <v>24</v>
      </c>
      <c r="F427" s="4" t="s">
        <v>25</v>
      </c>
      <c r="G427" s="4" t="s">
        <v>25</v>
      </c>
      <c r="H427" s="4" t="s">
        <v>25</v>
      </c>
      <c r="I427" s="5">
        <v>44531</v>
      </c>
      <c r="J427" s="6">
        <v>0</v>
      </c>
      <c r="K427" s="6">
        <v>0</v>
      </c>
      <c r="L427" s="6">
        <v>1846.473</v>
      </c>
      <c r="M427" s="6">
        <v>1846.473</v>
      </c>
      <c r="N427" s="6">
        <v>1846.473</v>
      </c>
      <c r="O427" s="6">
        <v>1846.473</v>
      </c>
      <c r="P427" s="6">
        <v>8994</v>
      </c>
      <c r="Q427" s="4" t="s">
        <v>26</v>
      </c>
      <c r="R427" s="4">
        <v>0</v>
      </c>
      <c r="S427" s="4" t="s">
        <v>161</v>
      </c>
      <c r="T427" s="4" t="s">
        <v>298</v>
      </c>
      <c r="U427" s="4">
        <v>0</v>
      </c>
      <c r="V427" s="4">
        <v>53</v>
      </c>
      <c r="W427" s="4">
        <v>9</v>
      </c>
    </row>
    <row r="428" spans="1:23" ht="11.25" customHeight="1" x14ac:dyDescent="0.25">
      <c r="A428" s="4" t="s">
        <v>27</v>
      </c>
      <c r="B428" s="4" t="s">
        <v>22</v>
      </c>
      <c r="C428" s="4" t="s">
        <v>23</v>
      </c>
      <c r="D428" s="4" t="s">
        <v>24</v>
      </c>
      <c r="E428" s="4" t="s">
        <v>24</v>
      </c>
      <c r="F428" s="4" t="s">
        <v>25</v>
      </c>
      <c r="G428" s="4" t="s">
        <v>25</v>
      </c>
      <c r="H428" s="4" t="s">
        <v>25</v>
      </c>
      <c r="I428" s="5">
        <v>44531</v>
      </c>
      <c r="J428" s="6">
        <v>0</v>
      </c>
      <c r="K428" s="6">
        <v>0</v>
      </c>
      <c r="L428" s="6">
        <v>-1.097</v>
      </c>
      <c r="M428" s="6">
        <v>-1.097</v>
      </c>
      <c r="N428" s="6">
        <v>-1.097</v>
      </c>
      <c r="O428" s="6">
        <v>-1.097</v>
      </c>
      <c r="P428" s="6">
        <v>0</v>
      </c>
      <c r="Q428" s="4" t="s">
        <v>26</v>
      </c>
      <c r="R428" s="4">
        <v>0</v>
      </c>
      <c r="S428" s="4" t="s">
        <v>161</v>
      </c>
      <c r="T428" s="4" t="s">
        <v>298</v>
      </c>
      <c r="U428" s="4">
        <v>0</v>
      </c>
      <c r="V428" s="4">
        <v>53</v>
      </c>
      <c r="W428" s="4">
        <v>9</v>
      </c>
    </row>
    <row r="429" spans="1:23" ht="11.25" customHeight="1" x14ac:dyDescent="0.25">
      <c r="A429" s="4" t="s">
        <v>28</v>
      </c>
      <c r="B429" s="4" t="s">
        <v>22</v>
      </c>
      <c r="C429" s="4" t="s">
        <v>23</v>
      </c>
      <c r="D429" s="4" t="s">
        <v>24</v>
      </c>
      <c r="E429" s="4" t="s">
        <v>24</v>
      </c>
      <c r="F429" s="4" t="s">
        <v>25</v>
      </c>
      <c r="G429" s="4" t="s">
        <v>25</v>
      </c>
      <c r="H429" s="4" t="s">
        <v>25</v>
      </c>
      <c r="I429" s="5">
        <v>44531</v>
      </c>
      <c r="J429" s="6">
        <v>0</v>
      </c>
      <c r="K429" s="6">
        <v>0</v>
      </c>
      <c r="L429" s="6">
        <v>18.452000000000002</v>
      </c>
      <c r="M429" s="6">
        <v>18.452000000000002</v>
      </c>
      <c r="N429" s="6">
        <v>18.452000000000002</v>
      </c>
      <c r="O429" s="6">
        <v>18.452000000000002</v>
      </c>
      <c r="P429" s="6">
        <v>111</v>
      </c>
      <c r="Q429" s="4" t="s">
        <v>26</v>
      </c>
      <c r="R429" s="4">
        <v>0</v>
      </c>
      <c r="S429" s="4" t="s">
        <v>161</v>
      </c>
      <c r="T429" s="4" t="s">
        <v>298</v>
      </c>
      <c r="U429" s="4">
        <v>0</v>
      </c>
      <c r="V429" s="4">
        <v>53</v>
      </c>
      <c r="W429" s="4">
        <v>9</v>
      </c>
    </row>
    <row r="430" spans="1:23" ht="11.25" customHeight="1" x14ac:dyDescent="0.25">
      <c r="A430" s="4" t="s">
        <v>28</v>
      </c>
      <c r="B430" s="4" t="s">
        <v>22</v>
      </c>
      <c r="C430" s="4" t="s">
        <v>23</v>
      </c>
      <c r="D430" s="4" t="s">
        <v>24</v>
      </c>
      <c r="E430" s="4" t="s">
        <v>24</v>
      </c>
      <c r="F430" s="4" t="s">
        <v>25</v>
      </c>
      <c r="G430" s="4" t="s">
        <v>25</v>
      </c>
      <c r="H430" s="4" t="s">
        <v>25</v>
      </c>
      <c r="I430" s="5">
        <v>44531</v>
      </c>
      <c r="J430" s="6">
        <v>0</v>
      </c>
      <c r="K430" s="6">
        <v>0</v>
      </c>
      <c r="L430" s="6">
        <v>-3.0000000000000001E-3</v>
      </c>
      <c r="M430" s="6">
        <v>-3.0000000000000001E-3</v>
      </c>
      <c r="N430" s="6">
        <v>-3.0000000000000001E-3</v>
      </c>
      <c r="O430" s="6">
        <v>-3.0000000000000001E-3</v>
      </c>
      <c r="P430" s="6">
        <v>2</v>
      </c>
      <c r="Q430" s="4" t="s">
        <v>26</v>
      </c>
      <c r="R430" s="4">
        <v>0</v>
      </c>
      <c r="S430" s="4" t="s">
        <v>161</v>
      </c>
      <c r="T430" s="4" t="s">
        <v>298</v>
      </c>
      <c r="U430" s="4">
        <v>0</v>
      </c>
      <c r="V430" s="4">
        <v>53</v>
      </c>
      <c r="W430" s="4">
        <v>9</v>
      </c>
    </row>
    <row r="431" spans="1:23" ht="11.25" customHeight="1" x14ac:dyDescent="0.25">
      <c r="A431" s="4" t="s">
        <v>21</v>
      </c>
      <c r="B431" s="4" t="s">
        <v>22</v>
      </c>
      <c r="C431" s="4" t="s">
        <v>23</v>
      </c>
      <c r="D431" s="4" t="s">
        <v>24</v>
      </c>
      <c r="E431" s="4" t="s">
        <v>24</v>
      </c>
      <c r="F431" s="4" t="s">
        <v>25</v>
      </c>
      <c r="G431" s="4" t="s">
        <v>25</v>
      </c>
      <c r="H431" s="4" t="s">
        <v>25</v>
      </c>
      <c r="I431" s="5">
        <v>44562</v>
      </c>
      <c r="J431" s="6">
        <v>0</v>
      </c>
      <c r="K431" s="6">
        <v>0</v>
      </c>
      <c r="L431" s="6">
        <v>2384.5169999999998</v>
      </c>
      <c r="M431" s="6">
        <v>2384.5169999999998</v>
      </c>
      <c r="N431" s="6">
        <v>2384.5169999999998</v>
      </c>
      <c r="O431" s="6">
        <v>2384.5169999999998</v>
      </c>
      <c r="P431" s="6">
        <v>9026</v>
      </c>
      <c r="Q431" s="4" t="s">
        <v>26</v>
      </c>
      <c r="R431" s="4">
        <v>0</v>
      </c>
      <c r="S431" s="4" t="s">
        <v>162</v>
      </c>
      <c r="T431" s="4" t="s">
        <v>299</v>
      </c>
      <c r="U431" s="4">
        <v>0</v>
      </c>
      <c r="V431" s="4">
        <v>53</v>
      </c>
      <c r="W431" s="4">
        <v>9</v>
      </c>
    </row>
    <row r="432" spans="1:23" ht="11.25" customHeight="1" x14ac:dyDescent="0.25">
      <c r="A432" s="4" t="s">
        <v>27</v>
      </c>
      <c r="B432" s="4" t="s">
        <v>22</v>
      </c>
      <c r="C432" s="4" t="s">
        <v>23</v>
      </c>
      <c r="D432" s="4" t="s">
        <v>24</v>
      </c>
      <c r="E432" s="4" t="s">
        <v>24</v>
      </c>
      <c r="F432" s="4" t="s">
        <v>25</v>
      </c>
      <c r="G432" s="4" t="s">
        <v>25</v>
      </c>
      <c r="H432" s="4" t="s">
        <v>25</v>
      </c>
      <c r="I432" s="5">
        <v>44562</v>
      </c>
      <c r="J432" s="6">
        <v>0</v>
      </c>
      <c r="K432" s="6">
        <v>0</v>
      </c>
      <c r="L432" s="6">
        <v>-1.196</v>
      </c>
      <c r="M432" s="6">
        <v>-1.196</v>
      </c>
      <c r="N432" s="6">
        <v>-1.196</v>
      </c>
      <c r="O432" s="6">
        <v>-1.196</v>
      </c>
      <c r="P432" s="6">
        <v>0</v>
      </c>
      <c r="Q432" s="4" t="s">
        <v>26</v>
      </c>
      <c r="R432" s="4">
        <v>0</v>
      </c>
      <c r="S432" s="4" t="s">
        <v>162</v>
      </c>
      <c r="T432" s="4" t="s">
        <v>299</v>
      </c>
      <c r="U432" s="4">
        <v>0</v>
      </c>
      <c r="V432" s="4">
        <v>53</v>
      </c>
      <c r="W432" s="4">
        <v>9</v>
      </c>
    </row>
    <row r="433" spans="1:23" ht="11.25" customHeight="1" x14ac:dyDescent="0.25">
      <c r="A433" s="4" t="s">
        <v>28</v>
      </c>
      <c r="B433" s="4" t="s">
        <v>22</v>
      </c>
      <c r="C433" s="4" t="s">
        <v>23</v>
      </c>
      <c r="D433" s="4" t="s">
        <v>24</v>
      </c>
      <c r="E433" s="4" t="s">
        <v>24</v>
      </c>
      <c r="F433" s="4" t="s">
        <v>25</v>
      </c>
      <c r="G433" s="4" t="s">
        <v>25</v>
      </c>
      <c r="H433" s="4" t="s">
        <v>25</v>
      </c>
      <c r="I433" s="5">
        <v>44562</v>
      </c>
      <c r="J433" s="6">
        <v>0</v>
      </c>
      <c r="K433" s="6">
        <v>0</v>
      </c>
      <c r="L433" s="6">
        <v>34.837000000000003</v>
      </c>
      <c r="M433" s="6">
        <v>34.837000000000003</v>
      </c>
      <c r="N433" s="6">
        <v>34.837000000000003</v>
      </c>
      <c r="O433" s="6">
        <v>34.837000000000003</v>
      </c>
      <c r="P433" s="6">
        <v>119</v>
      </c>
      <c r="Q433" s="4" t="s">
        <v>26</v>
      </c>
      <c r="R433" s="4">
        <v>0</v>
      </c>
      <c r="S433" s="4" t="s">
        <v>162</v>
      </c>
      <c r="T433" s="4" t="s">
        <v>299</v>
      </c>
      <c r="U433" s="4">
        <v>0</v>
      </c>
      <c r="V433" s="4">
        <v>53</v>
      </c>
      <c r="W433" s="4">
        <v>9</v>
      </c>
    </row>
    <row r="434" spans="1:23" ht="11.25" customHeight="1" x14ac:dyDescent="0.25">
      <c r="A434" s="4" t="s">
        <v>21</v>
      </c>
      <c r="B434" s="4" t="s">
        <v>22</v>
      </c>
      <c r="C434" s="4" t="s">
        <v>23</v>
      </c>
      <c r="D434" s="4" t="s">
        <v>24</v>
      </c>
      <c r="E434" s="4" t="s">
        <v>24</v>
      </c>
      <c r="F434" s="4" t="s">
        <v>25</v>
      </c>
      <c r="G434" s="4" t="s">
        <v>25</v>
      </c>
      <c r="H434" s="4" t="s">
        <v>25</v>
      </c>
      <c r="I434" s="5">
        <v>44593</v>
      </c>
      <c r="J434" s="6">
        <v>0</v>
      </c>
      <c r="K434" s="6">
        <v>0</v>
      </c>
      <c r="L434" s="6">
        <v>2147.5990000000002</v>
      </c>
      <c r="M434" s="6">
        <v>2147.5990000000002</v>
      </c>
      <c r="N434" s="6">
        <v>2147.5990000000002</v>
      </c>
      <c r="O434" s="6">
        <v>2147.5990000000002</v>
      </c>
      <c r="P434" s="6">
        <v>9086</v>
      </c>
      <c r="Q434" s="4" t="s">
        <v>26</v>
      </c>
      <c r="R434" s="4">
        <v>0</v>
      </c>
      <c r="S434" s="4" t="s">
        <v>163</v>
      </c>
      <c r="T434" s="4" t="s">
        <v>300</v>
      </c>
      <c r="U434" s="4">
        <v>0</v>
      </c>
      <c r="V434" s="4">
        <v>53</v>
      </c>
      <c r="W434" s="4">
        <v>9</v>
      </c>
    </row>
    <row r="435" spans="1:23" ht="11.25" customHeight="1" x14ac:dyDescent="0.25">
      <c r="A435" s="4" t="s">
        <v>27</v>
      </c>
      <c r="B435" s="4" t="s">
        <v>22</v>
      </c>
      <c r="C435" s="4" t="s">
        <v>23</v>
      </c>
      <c r="D435" s="4" t="s">
        <v>24</v>
      </c>
      <c r="E435" s="4" t="s">
        <v>24</v>
      </c>
      <c r="F435" s="4" t="s">
        <v>25</v>
      </c>
      <c r="G435" s="4" t="s">
        <v>25</v>
      </c>
      <c r="H435" s="4" t="s">
        <v>25</v>
      </c>
      <c r="I435" s="5">
        <v>44593</v>
      </c>
      <c r="J435" s="6">
        <v>0</v>
      </c>
      <c r="K435" s="6">
        <v>0</v>
      </c>
      <c r="L435" s="6">
        <v>-30.757999999999999</v>
      </c>
      <c r="M435" s="6">
        <v>-30.757999999999999</v>
      </c>
      <c r="N435" s="6">
        <v>-30.757999999999999</v>
      </c>
      <c r="O435" s="6">
        <v>-30.757999999999999</v>
      </c>
      <c r="P435" s="6">
        <v>0</v>
      </c>
      <c r="Q435" s="4" t="s">
        <v>26</v>
      </c>
      <c r="R435" s="4">
        <v>0</v>
      </c>
      <c r="S435" s="4" t="s">
        <v>163</v>
      </c>
      <c r="T435" s="4" t="s">
        <v>300</v>
      </c>
      <c r="U435" s="4">
        <v>0</v>
      </c>
      <c r="V435" s="4">
        <v>53</v>
      </c>
      <c r="W435" s="4">
        <v>9</v>
      </c>
    </row>
    <row r="436" spans="1:23" ht="11.25" customHeight="1" x14ac:dyDescent="0.25">
      <c r="A436" s="4" t="s">
        <v>28</v>
      </c>
      <c r="B436" s="4" t="s">
        <v>22</v>
      </c>
      <c r="C436" s="4" t="s">
        <v>23</v>
      </c>
      <c r="D436" s="4" t="s">
        <v>24</v>
      </c>
      <c r="E436" s="4" t="s">
        <v>24</v>
      </c>
      <c r="F436" s="4" t="s">
        <v>25</v>
      </c>
      <c r="G436" s="4" t="s">
        <v>25</v>
      </c>
      <c r="H436" s="4" t="s">
        <v>25</v>
      </c>
      <c r="I436" s="5">
        <v>44593</v>
      </c>
      <c r="J436" s="6">
        <v>0</v>
      </c>
      <c r="K436" s="6">
        <v>0</v>
      </c>
      <c r="L436" s="6">
        <v>24.695</v>
      </c>
      <c r="M436" s="6">
        <v>24.695</v>
      </c>
      <c r="N436" s="6">
        <v>24.695</v>
      </c>
      <c r="O436" s="6">
        <v>24.695</v>
      </c>
      <c r="P436" s="6">
        <v>128</v>
      </c>
      <c r="Q436" s="4" t="s">
        <v>26</v>
      </c>
      <c r="R436" s="4">
        <v>0</v>
      </c>
      <c r="S436" s="4" t="s">
        <v>163</v>
      </c>
      <c r="T436" s="4" t="s">
        <v>300</v>
      </c>
      <c r="U436" s="4">
        <v>0</v>
      </c>
      <c r="V436" s="4">
        <v>53</v>
      </c>
      <c r="W436" s="4">
        <v>9</v>
      </c>
    </row>
    <row r="437" spans="1:23" ht="11.25" customHeight="1" x14ac:dyDescent="0.25">
      <c r="A437" s="4" t="s">
        <v>54</v>
      </c>
      <c r="B437" s="4" t="s">
        <v>22</v>
      </c>
      <c r="C437" s="4" t="s">
        <v>23</v>
      </c>
      <c r="D437" s="4" t="s">
        <v>24</v>
      </c>
      <c r="E437" s="4" t="s">
        <v>24</v>
      </c>
      <c r="F437" s="4" t="s">
        <v>25</v>
      </c>
      <c r="G437" s="4" t="s">
        <v>25</v>
      </c>
      <c r="H437" s="4" t="s">
        <v>25</v>
      </c>
      <c r="I437" s="5">
        <v>44621</v>
      </c>
      <c r="J437" s="6">
        <v>0</v>
      </c>
      <c r="K437" s="6">
        <v>0</v>
      </c>
      <c r="L437" s="6">
        <v>2147.5990000000002</v>
      </c>
      <c r="M437" s="6">
        <v>2147.5990000000002</v>
      </c>
      <c r="N437" s="6">
        <v>2147.5990000000002</v>
      </c>
      <c r="O437" s="6">
        <v>2147.5990000000002</v>
      </c>
      <c r="P437" s="6">
        <v>9086</v>
      </c>
      <c r="Q437" s="4" t="s">
        <v>26</v>
      </c>
      <c r="R437" s="4">
        <v>0</v>
      </c>
      <c r="S437" s="4" t="s">
        <v>164</v>
      </c>
      <c r="T437" s="4" t="s">
        <v>301</v>
      </c>
      <c r="U437" s="4">
        <v>0</v>
      </c>
      <c r="V437" s="4">
        <v>53</v>
      </c>
      <c r="W437" s="4">
        <v>9</v>
      </c>
    </row>
    <row r="438" spans="1:23" ht="11.25" customHeight="1" x14ac:dyDescent="0.25">
      <c r="A438" s="4" t="s">
        <v>54</v>
      </c>
      <c r="B438" s="4" t="s">
        <v>22</v>
      </c>
      <c r="C438" s="4" t="s">
        <v>23</v>
      </c>
      <c r="D438" s="4" t="s">
        <v>24</v>
      </c>
      <c r="E438" s="4" t="s">
        <v>24</v>
      </c>
      <c r="F438" s="4" t="s">
        <v>25</v>
      </c>
      <c r="G438" s="4" t="s">
        <v>25</v>
      </c>
      <c r="H438" s="4" t="s">
        <v>25</v>
      </c>
      <c r="I438" s="5">
        <v>44621</v>
      </c>
      <c r="J438" s="6">
        <v>0</v>
      </c>
      <c r="K438" s="6">
        <v>0</v>
      </c>
      <c r="L438" s="6">
        <v>-30.757999999999999</v>
      </c>
      <c r="M438" s="6">
        <v>-30.757999999999999</v>
      </c>
      <c r="N438" s="6">
        <v>-30.757999999999999</v>
      </c>
      <c r="O438" s="6">
        <v>-30.757999999999999</v>
      </c>
      <c r="P438" s="6">
        <v>0</v>
      </c>
      <c r="Q438" s="4" t="s">
        <v>26</v>
      </c>
      <c r="R438" s="4">
        <v>0</v>
      </c>
      <c r="S438" s="4" t="s">
        <v>164</v>
      </c>
      <c r="T438" s="4" t="s">
        <v>301</v>
      </c>
      <c r="U438" s="4">
        <v>0</v>
      </c>
      <c r="V438" s="4">
        <v>53</v>
      </c>
      <c r="W438" s="4">
        <v>9</v>
      </c>
    </row>
    <row r="439" spans="1:23" ht="11.25" customHeight="1" x14ac:dyDescent="0.25">
      <c r="A439" s="4" t="s">
        <v>54</v>
      </c>
      <c r="B439" s="4" t="s">
        <v>22</v>
      </c>
      <c r="C439" s="4" t="s">
        <v>23</v>
      </c>
      <c r="D439" s="4" t="s">
        <v>24</v>
      </c>
      <c r="E439" s="4" t="s">
        <v>24</v>
      </c>
      <c r="F439" s="4" t="s">
        <v>25</v>
      </c>
      <c r="G439" s="4" t="s">
        <v>25</v>
      </c>
      <c r="H439" s="4" t="s">
        <v>25</v>
      </c>
      <c r="I439" s="5">
        <v>44621</v>
      </c>
      <c r="J439" s="6">
        <v>0</v>
      </c>
      <c r="K439" s="6">
        <v>0</v>
      </c>
      <c r="L439" s="6">
        <v>24.695</v>
      </c>
      <c r="M439" s="6">
        <v>24.695</v>
      </c>
      <c r="N439" s="6">
        <v>24.695</v>
      </c>
      <c r="O439" s="6">
        <v>24.695</v>
      </c>
      <c r="P439" s="6">
        <v>128</v>
      </c>
      <c r="Q439" s="4" t="s">
        <v>26</v>
      </c>
      <c r="R439" s="4">
        <v>0</v>
      </c>
      <c r="S439" s="4" t="s">
        <v>164</v>
      </c>
      <c r="T439" s="4" t="s">
        <v>301</v>
      </c>
      <c r="U439" s="4">
        <v>0</v>
      </c>
      <c r="V439" s="4">
        <v>53</v>
      </c>
      <c r="W439" s="4">
        <v>9</v>
      </c>
    </row>
    <row r="440" spans="1:23" ht="11.25" customHeight="1" x14ac:dyDescent="0.25">
      <c r="A440" s="4" t="s">
        <v>21</v>
      </c>
      <c r="B440" s="4" t="s">
        <v>22</v>
      </c>
      <c r="C440" s="4" t="s">
        <v>23</v>
      </c>
      <c r="D440" s="4" t="s">
        <v>24</v>
      </c>
      <c r="E440" s="4" t="s">
        <v>29</v>
      </c>
      <c r="F440" s="4" t="s">
        <v>25</v>
      </c>
      <c r="G440" s="4" t="s">
        <v>25</v>
      </c>
      <c r="H440" s="4" t="s">
        <v>25</v>
      </c>
      <c r="I440" s="5">
        <v>44287</v>
      </c>
      <c r="J440" s="6">
        <v>0</v>
      </c>
      <c r="K440" s="6">
        <v>0</v>
      </c>
      <c r="L440" s="6">
        <v>1.32</v>
      </c>
      <c r="M440" s="6">
        <v>1.32</v>
      </c>
      <c r="N440" s="6">
        <v>1.32</v>
      </c>
      <c r="O440" s="6">
        <v>1.32</v>
      </c>
      <c r="P440" s="6">
        <v>0</v>
      </c>
      <c r="Q440" s="4" t="s">
        <v>26</v>
      </c>
      <c r="R440" s="4">
        <v>0</v>
      </c>
      <c r="S440" s="4" t="s">
        <v>165</v>
      </c>
      <c r="T440" s="4" t="s">
        <v>302</v>
      </c>
      <c r="U440" s="4">
        <v>0</v>
      </c>
      <c r="V440" s="4">
        <v>69</v>
      </c>
      <c r="W440" s="4">
        <v>10</v>
      </c>
    </row>
    <row r="441" spans="1:23" ht="11.25" customHeight="1" x14ac:dyDescent="0.25">
      <c r="A441" s="4" t="s">
        <v>21</v>
      </c>
      <c r="B441" s="4" t="s">
        <v>22</v>
      </c>
      <c r="C441" s="4" t="s">
        <v>23</v>
      </c>
      <c r="D441" s="4" t="s">
        <v>24</v>
      </c>
      <c r="E441" s="4" t="s">
        <v>29</v>
      </c>
      <c r="F441" s="4" t="s">
        <v>25</v>
      </c>
      <c r="G441" s="4" t="s">
        <v>25</v>
      </c>
      <c r="H441" s="4" t="s">
        <v>25</v>
      </c>
      <c r="I441" s="5">
        <v>44317</v>
      </c>
      <c r="J441" s="6">
        <v>0</v>
      </c>
      <c r="K441" s="6">
        <v>0</v>
      </c>
      <c r="L441" s="6">
        <v>1.35</v>
      </c>
      <c r="M441" s="6">
        <v>1.35</v>
      </c>
      <c r="N441" s="6">
        <v>1.35</v>
      </c>
      <c r="O441" s="6">
        <v>1.35</v>
      </c>
      <c r="P441" s="6">
        <v>0</v>
      </c>
      <c r="Q441" s="4" t="s">
        <v>26</v>
      </c>
      <c r="R441" s="4">
        <v>0</v>
      </c>
      <c r="S441" s="4" t="s">
        <v>166</v>
      </c>
      <c r="T441" s="4" t="s">
        <v>303</v>
      </c>
      <c r="U441" s="4">
        <v>0</v>
      </c>
      <c r="V441" s="4">
        <v>69</v>
      </c>
      <c r="W441" s="4">
        <v>10</v>
      </c>
    </row>
    <row r="442" spans="1:23" ht="11.25" customHeight="1" x14ac:dyDescent="0.25">
      <c r="A442" s="4" t="s">
        <v>21</v>
      </c>
      <c r="B442" s="4" t="s">
        <v>22</v>
      </c>
      <c r="C442" s="4" t="s">
        <v>23</v>
      </c>
      <c r="D442" s="4" t="s">
        <v>24</v>
      </c>
      <c r="E442" s="4" t="s">
        <v>29</v>
      </c>
      <c r="F442" s="4" t="s">
        <v>25</v>
      </c>
      <c r="G442" s="4" t="s">
        <v>25</v>
      </c>
      <c r="H442" s="4" t="s">
        <v>25</v>
      </c>
      <c r="I442" s="5">
        <v>44348</v>
      </c>
      <c r="J442" s="6">
        <v>0</v>
      </c>
      <c r="K442" s="6">
        <v>0</v>
      </c>
      <c r="L442" s="6">
        <v>1.38</v>
      </c>
      <c r="M442" s="6">
        <v>1.38</v>
      </c>
      <c r="N442" s="6">
        <v>1.38</v>
      </c>
      <c r="O442" s="6">
        <v>1.38</v>
      </c>
      <c r="P442" s="6">
        <v>0</v>
      </c>
      <c r="Q442" s="4" t="s">
        <v>26</v>
      </c>
      <c r="R442" s="4">
        <v>0</v>
      </c>
      <c r="S442" s="4" t="s">
        <v>167</v>
      </c>
      <c r="T442" s="4" t="s">
        <v>304</v>
      </c>
      <c r="U442" s="4">
        <v>0</v>
      </c>
      <c r="V442" s="4">
        <v>69</v>
      </c>
      <c r="W442" s="4">
        <v>10</v>
      </c>
    </row>
    <row r="443" spans="1:23" ht="11.25" customHeight="1" x14ac:dyDescent="0.25">
      <c r="A443" s="4" t="s">
        <v>21</v>
      </c>
      <c r="B443" s="4" t="s">
        <v>22</v>
      </c>
      <c r="C443" s="4" t="s">
        <v>23</v>
      </c>
      <c r="D443" s="4" t="s">
        <v>24</v>
      </c>
      <c r="E443" s="4" t="s">
        <v>29</v>
      </c>
      <c r="F443" s="4" t="s">
        <v>25</v>
      </c>
      <c r="G443" s="4" t="s">
        <v>25</v>
      </c>
      <c r="H443" s="4" t="s">
        <v>25</v>
      </c>
      <c r="I443" s="5">
        <v>44378</v>
      </c>
      <c r="J443" s="6">
        <v>0</v>
      </c>
      <c r="K443" s="6">
        <v>0</v>
      </c>
      <c r="L443" s="6">
        <v>1.38</v>
      </c>
      <c r="M443" s="6">
        <v>1.38</v>
      </c>
      <c r="N443" s="6">
        <v>1.38</v>
      </c>
      <c r="O443" s="6">
        <v>1.38</v>
      </c>
      <c r="P443" s="6">
        <v>0</v>
      </c>
      <c r="Q443" s="4" t="s">
        <v>26</v>
      </c>
      <c r="R443" s="4">
        <v>0</v>
      </c>
      <c r="S443" s="4" t="s">
        <v>168</v>
      </c>
      <c r="T443" s="4" t="s">
        <v>305</v>
      </c>
      <c r="U443" s="4">
        <v>0</v>
      </c>
      <c r="V443" s="4">
        <v>69</v>
      </c>
      <c r="W443" s="4">
        <v>10</v>
      </c>
    </row>
    <row r="444" spans="1:23" ht="11.25" customHeight="1" x14ac:dyDescent="0.25">
      <c r="A444" s="4" t="s">
        <v>21</v>
      </c>
      <c r="B444" s="4" t="s">
        <v>22</v>
      </c>
      <c r="C444" s="4" t="s">
        <v>23</v>
      </c>
      <c r="D444" s="4" t="s">
        <v>24</v>
      </c>
      <c r="E444" s="4" t="s">
        <v>29</v>
      </c>
      <c r="F444" s="4" t="s">
        <v>25</v>
      </c>
      <c r="G444" s="4" t="s">
        <v>25</v>
      </c>
      <c r="H444" s="4" t="s">
        <v>25</v>
      </c>
      <c r="I444" s="5">
        <v>44409</v>
      </c>
      <c r="J444" s="6">
        <v>0</v>
      </c>
      <c r="K444" s="6">
        <v>0</v>
      </c>
      <c r="L444" s="6">
        <v>1.47</v>
      </c>
      <c r="M444" s="6">
        <v>1.47</v>
      </c>
      <c r="N444" s="6">
        <v>1.47</v>
      </c>
      <c r="O444" s="6">
        <v>1.47</v>
      </c>
      <c r="P444" s="6">
        <v>0</v>
      </c>
      <c r="Q444" s="4" t="s">
        <v>26</v>
      </c>
      <c r="R444" s="4">
        <v>0</v>
      </c>
      <c r="S444" s="4" t="s">
        <v>169</v>
      </c>
      <c r="T444" s="4" t="s">
        <v>306</v>
      </c>
      <c r="U444" s="4">
        <v>0</v>
      </c>
      <c r="V444" s="4">
        <v>69</v>
      </c>
      <c r="W444" s="4">
        <v>10</v>
      </c>
    </row>
    <row r="445" spans="1:23" ht="11.25" customHeight="1" x14ac:dyDescent="0.25">
      <c r="A445" s="4" t="s">
        <v>21</v>
      </c>
      <c r="B445" s="4" t="s">
        <v>22</v>
      </c>
      <c r="C445" s="4" t="s">
        <v>23</v>
      </c>
      <c r="D445" s="4" t="s">
        <v>24</v>
      </c>
      <c r="E445" s="4" t="s">
        <v>29</v>
      </c>
      <c r="F445" s="4" t="s">
        <v>25</v>
      </c>
      <c r="G445" s="4" t="s">
        <v>25</v>
      </c>
      <c r="H445" s="4" t="s">
        <v>25</v>
      </c>
      <c r="I445" s="5">
        <v>44440</v>
      </c>
      <c r="J445" s="6">
        <v>0</v>
      </c>
      <c r="K445" s="6">
        <v>0</v>
      </c>
      <c r="L445" s="6">
        <v>1.44</v>
      </c>
      <c r="M445" s="6">
        <v>1.44</v>
      </c>
      <c r="N445" s="6">
        <v>1.44</v>
      </c>
      <c r="O445" s="6">
        <v>1.44</v>
      </c>
      <c r="P445" s="6">
        <v>0</v>
      </c>
      <c r="Q445" s="4" t="s">
        <v>26</v>
      </c>
      <c r="R445" s="4">
        <v>0</v>
      </c>
      <c r="S445" s="4" t="s">
        <v>170</v>
      </c>
      <c r="T445" s="4" t="s">
        <v>307</v>
      </c>
      <c r="U445" s="4">
        <v>0</v>
      </c>
      <c r="V445" s="4">
        <v>69</v>
      </c>
      <c r="W445" s="4">
        <v>10</v>
      </c>
    </row>
    <row r="446" spans="1:23" ht="11.25" customHeight="1" x14ac:dyDescent="0.25">
      <c r="A446" s="4" t="s">
        <v>21</v>
      </c>
      <c r="B446" s="4" t="s">
        <v>22</v>
      </c>
      <c r="C446" s="4" t="s">
        <v>23</v>
      </c>
      <c r="D446" s="4" t="s">
        <v>24</v>
      </c>
      <c r="E446" s="4" t="s">
        <v>29</v>
      </c>
      <c r="F446" s="4" t="s">
        <v>25</v>
      </c>
      <c r="G446" s="4" t="s">
        <v>25</v>
      </c>
      <c r="H446" s="4" t="s">
        <v>25</v>
      </c>
      <c r="I446" s="5">
        <v>44470</v>
      </c>
      <c r="J446" s="6">
        <v>0</v>
      </c>
      <c r="K446" s="6">
        <v>0</v>
      </c>
      <c r="L446" s="6">
        <v>1.44</v>
      </c>
      <c r="M446" s="6">
        <v>1.44</v>
      </c>
      <c r="N446" s="6">
        <v>1.44</v>
      </c>
      <c r="O446" s="6">
        <v>1.44</v>
      </c>
      <c r="P446" s="6">
        <v>0</v>
      </c>
      <c r="Q446" s="4" t="s">
        <v>26</v>
      </c>
      <c r="R446" s="4">
        <v>0</v>
      </c>
      <c r="S446" s="4" t="s">
        <v>171</v>
      </c>
      <c r="T446" s="4" t="s">
        <v>308</v>
      </c>
      <c r="U446" s="4">
        <v>0</v>
      </c>
      <c r="V446" s="4">
        <v>69</v>
      </c>
      <c r="W446" s="4">
        <v>10</v>
      </c>
    </row>
    <row r="447" spans="1:23" ht="11.25" customHeight="1" x14ac:dyDescent="0.25">
      <c r="A447" s="4" t="s">
        <v>21</v>
      </c>
      <c r="B447" s="4" t="s">
        <v>22</v>
      </c>
      <c r="C447" s="4" t="s">
        <v>23</v>
      </c>
      <c r="D447" s="4" t="s">
        <v>24</v>
      </c>
      <c r="E447" s="4" t="s">
        <v>29</v>
      </c>
      <c r="F447" s="4" t="s">
        <v>25</v>
      </c>
      <c r="G447" s="4" t="s">
        <v>25</v>
      </c>
      <c r="H447" s="4" t="s">
        <v>25</v>
      </c>
      <c r="I447" s="5">
        <v>44501</v>
      </c>
      <c r="J447" s="6">
        <v>0</v>
      </c>
      <c r="K447" s="6">
        <v>0</v>
      </c>
      <c r="L447" s="6">
        <v>1.47</v>
      </c>
      <c r="M447" s="6">
        <v>1.47</v>
      </c>
      <c r="N447" s="6">
        <v>1.47</v>
      </c>
      <c r="O447" s="6">
        <v>1.47</v>
      </c>
      <c r="P447" s="6">
        <v>0</v>
      </c>
      <c r="Q447" s="4" t="s">
        <v>26</v>
      </c>
      <c r="R447" s="4">
        <v>0</v>
      </c>
      <c r="S447" s="4" t="s">
        <v>172</v>
      </c>
      <c r="T447" s="4" t="s">
        <v>309</v>
      </c>
      <c r="U447" s="4">
        <v>0</v>
      </c>
      <c r="V447" s="4">
        <v>69</v>
      </c>
      <c r="W447" s="4">
        <v>10</v>
      </c>
    </row>
    <row r="448" spans="1:23" ht="11.25" customHeight="1" x14ac:dyDescent="0.25">
      <c r="A448" s="4" t="s">
        <v>21</v>
      </c>
      <c r="B448" s="4" t="s">
        <v>22</v>
      </c>
      <c r="C448" s="4" t="s">
        <v>23</v>
      </c>
      <c r="D448" s="4" t="s">
        <v>24</v>
      </c>
      <c r="E448" s="4" t="s">
        <v>29</v>
      </c>
      <c r="F448" s="4" t="s">
        <v>25</v>
      </c>
      <c r="G448" s="4" t="s">
        <v>25</v>
      </c>
      <c r="H448" s="4" t="s">
        <v>25</v>
      </c>
      <c r="I448" s="5">
        <v>44531</v>
      </c>
      <c r="J448" s="6">
        <v>0</v>
      </c>
      <c r="K448" s="6">
        <v>0</v>
      </c>
      <c r="L448" s="6">
        <v>1.47</v>
      </c>
      <c r="M448" s="6">
        <v>1.47</v>
      </c>
      <c r="N448" s="6">
        <v>1.47</v>
      </c>
      <c r="O448" s="6">
        <v>1.47</v>
      </c>
      <c r="P448" s="6">
        <v>0</v>
      </c>
      <c r="Q448" s="4" t="s">
        <v>26</v>
      </c>
      <c r="R448" s="4">
        <v>0</v>
      </c>
      <c r="S448" s="4" t="s">
        <v>173</v>
      </c>
      <c r="T448" s="4" t="s">
        <v>310</v>
      </c>
      <c r="U448" s="4">
        <v>0</v>
      </c>
      <c r="V448" s="4">
        <v>69</v>
      </c>
      <c r="W448" s="4">
        <v>10</v>
      </c>
    </row>
    <row r="449" spans="1:23" ht="11.25" customHeight="1" x14ac:dyDescent="0.25">
      <c r="A449" s="4" t="s">
        <v>21</v>
      </c>
      <c r="B449" s="4" t="s">
        <v>22</v>
      </c>
      <c r="C449" s="4" t="s">
        <v>23</v>
      </c>
      <c r="D449" s="4" t="s">
        <v>24</v>
      </c>
      <c r="E449" s="4" t="s">
        <v>29</v>
      </c>
      <c r="F449" s="4" t="s">
        <v>25</v>
      </c>
      <c r="G449" s="4" t="s">
        <v>25</v>
      </c>
      <c r="H449" s="4" t="s">
        <v>25</v>
      </c>
      <c r="I449" s="5">
        <v>44562</v>
      </c>
      <c r="J449" s="6">
        <v>0</v>
      </c>
      <c r="K449" s="6">
        <v>0</v>
      </c>
      <c r="L449" s="6">
        <v>1.44</v>
      </c>
      <c r="M449" s="6">
        <v>1.44</v>
      </c>
      <c r="N449" s="6">
        <v>1.44</v>
      </c>
      <c r="O449" s="6">
        <v>1.44</v>
      </c>
      <c r="P449" s="6">
        <v>0</v>
      </c>
      <c r="Q449" s="4" t="s">
        <v>26</v>
      </c>
      <c r="R449" s="4">
        <v>0</v>
      </c>
      <c r="S449" s="4" t="s">
        <v>174</v>
      </c>
      <c r="T449" s="4" t="s">
        <v>311</v>
      </c>
      <c r="U449" s="4">
        <v>0</v>
      </c>
      <c r="V449" s="4">
        <v>69</v>
      </c>
      <c r="W449" s="4">
        <v>10</v>
      </c>
    </row>
    <row r="450" spans="1:23" ht="11.25" customHeight="1" x14ac:dyDescent="0.25">
      <c r="A450" s="4" t="s">
        <v>21</v>
      </c>
      <c r="B450" s="4" t="s">
        <v>22</v>
      </c>
      <c r="C450" s="4" t="s">
        <v>23</v>
      </c>
      <c r="D450" s="4" t="s">
        <v>24</v>
      </c>
      <c r="E450" s="4" t="s">
        <v>29</v>
      </c>
      <c r="F450" s="4" t="s">
        <v>25</v>
      </c>
      <c r="G450" s="4" t="s">
        <v>25</v>
      </c>
      <c r="H450" s="4" t="s">
        <v>25</v>
      </c>
      <c r="I450" s="5">
        <v>44593</v>
      </c>
      <c r="J450" s="6">
        <v>0</v>
      </c>
      <c r="K450" s="6">
        <v>0</v>
      </c>
      <c r="L450" s="6">
        <v>1.44</v>
      </c>
      <c r="M450" s="6">
        <v>1.44</v>
      </c>
      <c r="N450" s="6">
        <v>1.44</v>
      </c>
      <c r="O450" s="6">
        <v>1.44</v>
      </c>
      <c r="P450" s="6">
        <v>0</v>
      </c>
      <c r="Q450" s="4" t="s">
        <v>26</v>
      </c>
      <c r="R450" s="4">
        <v>0</v>
      </c>
      <c r="S450" s="4" t="s">
        <v>175</v>
      </c>
      <c r="T450" s="4" t="s">
        <v>312</v>
      </c>
      <c r="U450" s="4">
        <v>0</v>
      </c>
      <c r="V450" s="4">
        <v>69</v>
      </c>
      <c r="W450" s="4">
        <v>10</v>
      </c>
    </row>
    <row r="451" spans="1:23" ht="11.25" customHeight="1" x14ac:dyDescent="0.25">
      <c r="A451" s="4" t="s">
        <v>54</v>
      </c>
      <c r="B451" s="4" t="s">
        <v>22</v>
      </c>
      <c r="C451" s="4" t="s">
        <v>23</v>
      </c>
      <c r="D451" s="4" t="s">
        <v>24</v>
      </c>
      <c r="E451" s="4" t="s">
        <v>29</v>
      </c>
      <c r="F451" s="4" t="s">
        <v>25</v>
      </c>
      <c r="G451" s="4" t="s">
        <v>25</v>
      </c>
      <c r="H451" s="4" t="s">
        <v>25</v>
      </c>
      <c r="I451" s="5">
        <v>44621</v>
      </c>
      <c r="J451" s="6">
        <v>0</v>
      </c>
      <c r="K451" s="6">
        <v>0</v>
      </c>
      <c r="L451" s="6">
        <v>1.44</v>
      </c>
      <c r="M451" s="6">
        <v>1.44</v>
      </c>
      <c r="N451" s="6">
        <v>1.44</v>
      </c>
      <c r="O451" s="6">
        <v>1.44</v>
      </c>
      <c r="P451" s="6">
        <v>0</v>
      </c>
      <c r="Q451" s="4" t="s">
        <v>26</v>
      </c>
      <c r="R451" s="4">
        <v>0</v>
      </c>
      <c r="S451" s="4" t="s">
        <v>176</v>
      </c>
      <c r="T451" s="4" t="s">
        <v>313</v>
      </c>
      <c r="U451" s="4">
        <v>0</v>
      </c>
      <c r="V451" s="4">
        <v>69</v>
      </c>
      <c r="W451" s="4">
        <v>10</v>
      </c>
    </row>
    <row r="452" spans="1:23" ht="11.25" customHeight="1" x14ac:dyDescent="0.25">
      <c r="A452" s="4" t="s">
        <v>21</v>
      </c>
      <c r="B452" s="4" t="s">
        <v>22</v>
      </c>
      <c r="C452" s="4" t="s">
        <v>23</v>
      </c>
      <c r="D452" s="4" t="s">
        <v>24</v>
      </c>
      <c r="E452" s="4" t="s">
        <v>30</v>
      </c>
      <c r="F452" s="4" t="s">
        <v>25</v>
      </c>
      <c r="G452" s="4" t="s">
        <v>25</v>
      </c>
      <c r="H452" s="4" t="s">
        <v>25</v>
      </c>
      <c r="I452" s="5">
        <v>44287</v>
      </c>
      <c r="J452" s="6">
        <v>0</v>
      </c>
      <c r="K452" s="6">
        <v>0</v>
      </c>
      <c r="L452" s="6">
        <v>2.7629999999999999</v>
      </c>
      <c r="M452" s="6">
        <v>2.7629999999999999</v>
      </c>
      <c r="N452" s="6">
        <v>2.7629999999999999</v>
      </c>
      <c r="O452" s="6">
        <v>2.7629999999999999</v>
      </c>
      <c r="P452" s="6">
        <v>12</v>
      </c>
      <c r="Q452" s="4" t="s">
        <v>26</v>
      </c>
      <c r="R452" s="4">
        <v>0</v>
      </c>
      <c r="S452" s="4" t="s">
        <v>177</v>
      </c>
      <c r="T452" s="4" t="s">
        <v>314</v>
      </c>
      <c r="U452" s="4">
        <v>0</v>
      </c>
      <c r="V452" s="4">
        <v>70</v>
      </c>
      <c r="W452" s="4">
        <v>29</v>
      </c>
    </row>
    <row r="453" spans="1:23" ht="11.25" customHeight="1" x14ac:dyDescent="0.25">
      <c r="A453" s="4" t="s">
        <v>21</v>
      </c>
      <c r="B453" s="4" t="s">
        <v>22</v>
      </c>
      <c r="C453" s="4" t="s">
        <v>23</v>
      </c>
      <c r="D453" s="4" t="s">
        <v>24</v>
      </c>
      <c r="E453" s="4" t="s">
        <v>30</v>
      </c>
      <c r="F453" s="4" t="s">
        <v>25</v>
      </c>
      <c r="G453" s="4" t="s">
        <v>25</v>
      </c>
      <c r="H453" s="4" t="s">
        <v>25</v>
      </c>
      <c r="I453" s="5">
        <v>44317</v>
      </c>
      <c r="J453" s="6">
        <v>0</v>
      </c>
      <c r="K453" s="6">
        <v>0</v>
      </c>
      <c r="L453" s="6">
        <v>2.8559999999999999</v>
      </c>
      <c r="M453" s="6">
        <v>2.8559999999999999</v>
      </c>
      <c r="N453" s="6">
        <v>2.8559999999999999</v>
      </c>
      <c r="O453" s="6">
        <v>2.8559999999999999</v>
      </c>
      <c r="P453" s="6">
        <v>12</v>
      </c>
      <c r="Q453" s="4" t="s">
        <v>26</v>
      </c>
      <c r="R453" s="4">
        <v>0</v>
      </c>
      <c r="S453" s="4" t="s">
        <v>178</v>
      </c>
      <c r="T453" s="4" t="s">
        <v>315</v>
      </c>
      <c r="U453" s="4">
        <v>0</v>
      </c>
      <c r="V453" s="4">
        <v>70</v>
      </c>
      <c r="W453" s="4">
        <v>29</v>
      </c>
    </row>
    <row r="454" spans="1:23" ht="11.25" customHeight="1" x14ac:dyDescent="0.25">
      <c r="A454" s="4" t="s">
        <v>21</v>
      </c>
      <c r="B454" s="4" t="s">
        <v>22</v>
      </c>
      <c r="C454" s="4" t="s">
        <v>23</v>
      </c>
      <c r="D454" s="4" t="s">
        <v>24</v>
      </c>
      <c r="E454" s="4" t="s">
        <v>30</v>
      </c>
      <c r="F454" s="4" t="s">
        <v>25</v>
      </c>
      <c r="G454" s="4" t="s">
        <v>25</v>
      </c>
      <c r="H454" s="4" t="s">
        <v>25</v>
      </c>
      <c r="I454" s="5">
        <v>44348</v>
      </c>
      <c r="J454" s="6">
        <v>0</v>
      </c>
      <c r="K454" s="6">
        <v>0</v>
      </c>
      <c r="L454" s="6">
        <v>2.8679999999999999</v>
      </c>
      <c r="M454" s="6">
        <v>2.8679999999999999</v>
      </c>
      <c r="N454" s="6">
        <v>2.8679999999999999</v>
      </c>
      <c r="O454" s="6">
        <v>2.8679999999999999</v>
      </c>
      <c r="P454" s="6">
        <v>10</v>
      </c>
      <c r="Q454" s="4" t="s">
        <v>26</v>
      </c>
      <c r="R454" s="4">
        <v>0</v>
      </c>
      <c r="S454" s="4" t="s">
        <v>179</v>
      </c>
      <c r="T454" s="4" t="s">
        <v>316</v>
      </c>
      <c r="U454" s="4">
        <v>0</v>
      </c>
      <c r="V454" s="4">
        <v>70</v>
      </c>
      <c r="W454" s="4">
        <v>29</v>
      </c>
    </row>
    <row r="455" spans="1:23" ht="11.25" customHeight="1" x14ac:dyDescent="0.25">
      <c r="A455" s="4" t="s">
        <v>21</v>
      </c>
      <c r="B455" s="4" t="s">
        <v>22</v>
      </c>
      <c r="C455" s="4" t="s">
        <v>23</v>
      </c>
      <c r="D455" s="4" t="s">
        <v>24</v>
      </c>
      <c r="E455" s="4" t="s">
        <v>30</v>
      </c>
      <c r="F455" s="4" t="s">
        <v>25</v>
      </c>
      <c r="G455" s="4" t="s">
        <v>25</v>
      </c>
      <c r="H455" s="4" t="s">
        <v>25</v>
      </c>
      <c r="I455" s="5">
        <v>44378</v>
      </c>
      <c r="J455" s="6">
        <v>0</v>
      </c>
      <c r="K455" s="6">
        <v>0</v>
      </c>
      <c r="L455" s="6">
        <v>2.835</v>
      </c>
      <c r="M455" s="6">
        <v>2.835</v>
      </c>
      <c r="N455" s="6">
        <v>2.835</v>
      </c>
      <c r="O455" s="6">
        <v>2.835</v>
      </c>
      <c r="P455" s="6">
        <v>14</v>
      </c>
      <c r="Q455" s="4" t="s">
        <v>26</v>
      </c>
      <c r="R455" s="4">
        <v>0</v>
      </c>
      <c r="S455" s="4" t="s">
        <v>180</v>
      </c>
      <c r="T455" s="4" t="s">
        <v>317</v>
      </c>
      <c r="U455" s="4">
        <v>0</v>
      </c>
      <c r="V455" s="4">
        <v>70</v>
      </c>
      <c r="W455" s="4">
        <v>29</v>
      </c>
    </row>
    <row r="456" spans="1:23" ht="11.25" customHeight="1" x14ac:dyDescent="0.25">
      <c r="A456" s="4" t="s">
        <v>21</v>
      </c>
      <c r="B456" s="4" t="s">
        <v>22</v>
      </c>
      <c r="C456" s="4" t="s">
        <v>23</v>
      </c>
      <c r="D456" s="4" t="s">
        <v>24</v>
      </c>
      <c r="E456" s="4" t="s">
        <v>30</v>
      </c>
      <c r="F456" s="4" t="s">
        <v>25</v>
      </c>
      <c r="G456" s="4" t="s">
        <v>25</v>
      </c>
      <c r="H456" s="4" t="s">
        <v>25</v>
      </c>
      <c r="I456" s="5">
        <v>44409</v>
      </c>
      <c r="J456" s="6">
        <v>0</v>
      </c>
      <c r="K456" s="6">
        <v>0</v>
      </c>
      <c r="L456" s="6">
        <v>3.1</v>
      </c>
      <c r="M456" s="6">
        <v>3.1</v>
      </c>
      <c r="N456" s="6">
        <v>3.1</v>
      </c>
      <c r="O456" s="6">
        <v>3.1</v>
      </c>
      <c r="P456" s="6">
        <v>11</v>
      </c>
      <c r="Q456" s="4" t="s">
        <v>26</v>
      </c>
      <c r="R456" s="4">
        <v>0</v>
      </c>
      <c r="S456" s="4" t="s">
        <v>181</v>
      </c>
      <c r="T456" s="4" t="s">
        <v>318</v>
      </c>
      <c r="U456" s="4">
        <v>0</v>
      </c>
      <c r="V456" s="4">
        <v>70</v>
      </c>
      <c r="W456" s="4">
        <v>29</v>
      </c>
    </row>
    <row r="457" spans="1:23" ht="11.25" customHeight="1" x14ac:dyDescent="0.25">
      <c r="A457" s="4" t="s">
        <v>21</v>
      </c>
      <c r="B457" s="4" t="s">
        <v>22</v>
      </c>
      <c r="C457" s="4" t="s">
        <v>23</v>
      </c>
      <c r="D457" s="4" t="s">
        <v>24</v>
      </c>
      <c r="E457" s="4" t="s">
        <v>30</v>
      </c>
      <c r="F457" s="4" t="s">
        <v>25</v>
      </c>
      <c r="G457" s="4" t="s">
        <v>25</v>
      </c>
      <c r="H457" s="4" t="s">
        <v>25</v>
      </c>
      <c r="I457" s="5">
        <v>44440</v>
      </c>
      <c r="J457" s="6">
        <v>0</v>
      </c>
      <c r="K457" s="6">
        <v>0</v>
      </c>
      <c r="L457" s="6">
        <v>3.0750000000000002</v>
      </c>
      <c r="M457" s="6">
        <v>3.0750000000000002</v>
      </c>
      <c r="N457" s="6">
        <v>3.0750000000000002</v>
      </c>
      <c r="O457" s="6">
        <v>3.0750000000000002</v>
      </c>
      <c r="P457" s="6">
        <v>12</v>
      </c>
      <c r="Q457" s="4" t="s">
        <v>26</v>
      </c>
      <c r="R457" s="4">
        <v>0</v>
      </c>
      <c r="S457" s="4" t="s">
        <v>182</v>
      </c>
      <c r="T457" s="4" t="s">
        <v>319</v>
      </c>
      <c r="U457" s="4">
        <v>0</v>
      </c>
      <c r="V457" s="4">
        <v>70</v>
      </c>
      <c r="W457" s="4">
        <v>29</v>
      </c>
    </row>
    <row r="458" spans="1:23" ht="11.25" customHeight="1" x14ac:dyDescent="0.25">
      <c r="A458" s="4" t="s">
        <v>21</v>
      </c>
      <c r="B458" s="4" t="s">
        <v>22</v>
      </c>
      <c r="C458" s="4" t="s">
        <v>23</v>
      </c>
      <c r="D458" s="4" t="s">
        <v>24</v>
      </c>
      <c r="E458" s="4" t="s">
        <v>30</v>
      </c>
      <c r="F458" s="4" t="s">
        <v>25</v>
      </c>
      <c r="G458" s="4" t="s">
        <v>25</v>
      </c>
      <c r="H458" s="4" t="s">
        <v>25</v>
      </c>
      <c r="I458" s="5">
        <v>44470</v>
      </c>
      <c r="J458" s="6">
        <v>0</v>
      </c>
      <c r="K458" s="6">
        <v>0</v>
      </c>
      <c r="L458" s="6">
        <v>3.0350000000000001</v>
      </c>
      <c r="M458" s="6">
        <v>3.0350000000000001</v>
      </c>
      <c r="N458" s="6">
        <v>3.0350000000000001</v>
      </c>
      <c r="O458" s="6">
        <v>3.0350000000000001</v>
      </c>
      <c r="P458" s="6">
        <v>14</v>
      </c>
      <c r="Q458" s="4" t="s">
        <v>26</v>
      </c>
      <c r="R458" s="4">
        <v>0</v>
      </c>
      <c r="S458" s="4" t="s">
        <v>183</v>
      </c>
      <c r="T458" s="4" t="s">
        <v>320</v>
      </c>
      <c r="U458" s="4">
        <v>0</v>
      </c>
      <c r="V458" s="4">
        <v>70</v>
      </c>
      <c r="W458" s="4">
        <v>29</v>
      </c>
    </row>
    <row r="459" spans="1:23" ht="11.25" customHeight="1" x14ac:dyDescent="0.25">
      <c r="A459" s="4" t="s">
        <v>21</v>
      </c>
      <c r="B459" s="4" t="s">
        <v>22</v>
      </c>
      <c r="C459" s="4" t="s">
        <v>23</v>
      </c>
      <c r="D459" s="4" t="s">
        <v>24</v>
      </c>
      <c r="E459" s="4" t="s">
        <v>30</v>
      </c>
      <c r="F459" s="4" t="s">
        <v>25</v>
      </c>
      <c r="G459" s="4" t="s">
        <v>25</v>
      </c>
      <c r="H459" s="4" t="s">
        <v>25</v>
      </c>
      <c r="I459" s="5">
        <v>44501</v>
      </c>
      <c r="J459" s="6">
        <v>0</v>
      </c>
      <c r="K459" s="6">
        <v>0</v>
      </c>
      <c r="L459" s="6">
        <v>3.1309999999999998</v>
      </c>
      <c r="M459" s="6">
        <v>3.1309999999999998</v>
      </c>
      <c r="N459" s="6">
        <v>3.1309999999999998</v>
      </c>
      <c r="O459" s="6">
        <v>3.1309999999999998</v>
      </c>
      <c r="P459" s="6">
        <v>11</v>
      </c>
      <c r="Q459" s="4" t="s">
        <v>26</v>
      </c>
      <c r="R459" s="4">
        <v>0</v>
      </c>
      <c r="S459" s="4" t="s">
        <v>184</v>
      </c>
      <c r="T459" s="4" t="s">
        <v>321</v>
      </c>
      <c r="U459" s="4">
        <v>0</v>
      </c>
      <c r="V459" s="4">
        <v>70</v>
      </c>
      <c r="W459" s="4">
        <v>29</v>
      </c>
    </row>
    <row r="460" spans="1:23" ht="11.25" customHeight="1" x14ac:dyDescent="0.25">
      <c r="A460" s="4" t="s">
        <v>21</v>
      </c>
      <c r="B460" s="4" t="s">
        <v>22</v>
      </c>
      <c r="C460" s="4" t="s">
        <v>23</v>
      </c>
      <c r="D460" s="4" t="s">
        <v>24</v>
      </c>
      <c r="E460" s="4" t="s">
        <v>30</v>
      </c>
      <c r="F460" s="4" t="s">
        <v>25</v>
      </c>
      <c r="G460" s="4" t="s">
        <v>25</v>
      </c>
      <c r="H460" s="4" t="s">
        <v>25</v>
      </c>
      <c r="I460" s="5">
        <v>44531</v>
      </c>
      <c r="J460" s="6">
        <v>0</v>
      </c>
      <c r="K460" s="6">
        <v>0</v>
      </c>
      <c r="L460" s="6">
        <v>3.0840000000000001</v>
      </c>
      <c r="M460" s="6">
        <v>3.0840000000000001</v>
      </c>
      <c r="N460" s="6">
        <v>3.0840000000000001</v>
      </c>
      <c r="O460" s="6">
        <v>3.0840000000000001</v>
      </c>
      <c r="P460" s="6">
        <v>14</v>
      </c>
      <c r="Q460" s="4" t="s">
        <v>26</v>
      </c>
      <c r="R460" s="4">
        <v>0</v>
      </c>
      <c r="S460" s="4" t="s">
        <v>185</v>
      </c>
      <c r="T460" s="4" t="s">
        <v>322</v>
      </c>
      <c r="U460" s="4">
        <v>0</v>
      </c>
      <c r="V460" s="4">
        <v>70</v>
      </c>
      <c r="W460" s="4">
        <v>29</v>
      </c>
    </row>
    <row r="461" spans="1:23" ht="11.25" customHeight="1" x14ac:dyDescent="0.25">
      <c r="A461" s="4" t="s">
        <v>21</v>
      </c>
      <c r="B461" s="4" t="s">
        <v>22</v>
      </c>
      <c r="C461" s="4" t="s">
        <v>23</v>
      </c>
      <c r="D461" s="4" t="s">
        <v>24</v>
      </c>
      <c r="E461" s="4" t="s">
        <v>30</v>
      </c>
      <c r="F461" s="4" t="s">
        <v>25</v>
      </c>
      <c r="G461" s="4" t="s">
        <v>25</v>
      </c>
      <c r="H461" s="4" t="s">
        <v>25</v>
      </c>
      <c r="I461" s="5">
        <v>44562</v>
      </c>
      <c r="J461" s="6">
        <v>0</v>
      </c>
      <c r="K461" s="6">
        <v>0</v>
      </c>
      <c r="L461" s="6">
        <v>3.0219999999999998</v>
      </c>
      <c r="M461" s="6">
        <v>3.0219999999999998</v>
      </c>
      <c r="N461" s="6">
        <v>3.0219999999999998</v>
      </c>
      <c r="O461" s="6">
        <v>3.0219999999999998</v>
      </c>
      <c r="P461" s="6">
        <v>12</v>
      </c>
      <c r="Q461" s="4" t="s">
        <v>26</v>
      </c>
      <c r="R461" s="4">
        <v>0</v>
      </c>
      <c r="S461" s="4" t="s">
        <v>186</v>
      </c>
      <c r="T461" s="4" t="s">
        <v>323</v>
      </c>
      <c r="U461" s="4">
        <v>0</v>
      </c>
      <c r="V461" s="4">
        <v>70</v>
      </c>
      <c r="W461" s="4">
        <v>29</v>
      </c>
    </row>
    <row r="462" spans="1:23" ht="11.25" customHeight="1" x14ac:dyDescent="0.25">
      <c r="A462" s="4" t="s">
        <v>21</v>
      </c>
      <c r="B462" s="4" t="s">
        <v>22</v>
      </c>
      <c r="C462" s="4" t="s">
        <v>23</v>
      </c>
      <c r="D462" s="4" t="s">
        <v>24</v>
      </c>
      <c r="E462" s="4" t="s">
        <v>30</v>
      </c>
      <c r="F462" s="4" t="s">
        <v>25</v>
      </c>
      <c r="G462" s="4" t="s">
        <v>25</v>
      </c>
      <c r="H462" s="4" t="s">
        <v>25</v>
      </c>
      <c r="I462" s="5">
        <v>44593</v>
      </c>
      <c r="J462" s="6">
        <v>0</v>
      </c>
      <c r="K462" s="6">
        <v>0</v>
      </c>
      <c r="L462" s="6">
        <v>3.14</v>
      </c>
      <c r="M462" s="6">
        <v>3.14</v>
      </c>
      <c r="N462" s="6">
        <v>3.14</v>
      </c>
      <c r="O462" s="6">
        <v>3.14</v>
      </c>
      <c r="P462" s="6">
        <v>9</v>
      </c>
      <c r="Q462" s="4" t="s">
        <v>26</v>
      </c>
      <c r="R462" s="4">
        <v>0</v>
      </c>
      <c r="S462" s="4" t="s">
        <v>187</v>
      </c>
      <c r="T462" s="4" t="s">
        <v>324</v>
      </c>
      <c r="U462" s="4">
        <v>0</v>
      </c>
      <c r="V462" s="4">
        <v>70</v>
      </c>
      <c r="W462" s="4">
        <v>29</v>
      </c>
    </row>
    <row r="463" spans="1:23" ht="11.25" customHeight="1" x14ac:dyDescent="0.25">
      <c r="A463" s="4" t="s">
        <v>54</v>
      </c>
      <c r="B463" s="4" t="s">
        <v>22</v>
      </c>
      <c r="C463" s="4" t="s">
        <v>23</v>
      </c>
      <c r="D463" s="4" t="s">
        <v>24</v>
      </c>
      <c r="E463" s="4" t="s">
        <v>30</v>
      </c>
      <c r="F463" s="4" t="s">
        <v>25</v>
      </c>
      <c r="G463" s="4" t="s">
        <v>25</v>
      </c>
      <c r="H463" s="4" t="s">
        <v>25</v>
      </c>
      <c r="I463" s="5">
        <v>44621</v>
      </c>
      <c r="J463" s="6">
        <v>0</v>
      </c>
      <c r="K463" s="6">
        <v>0</v>
      </c>
      <c r="L463" s="6">
        <v>3.14</v>
      </c>
      <c r="M463" s="6">
        <v>3.14</v>
      </c>
      <c r="N463" s="6">
        <v>3.14</v>
      </c>
      <c r="O463" s="6">
        <v>3.14</v>
      </c>
      <c r="P463" s="6">
        <v>9</v>
      </c>
      <c r="Q463" s="4" t="s">
        <v>26</v>
      </c>
      <c r="R463" s="4">
        <v>0</v>
      </c>
      <c r="S463" s="4" t="s">
        <v>188</v>
      </c>
      <c r="T463" s="4" t="s">
        <v>325</v>
      </c>
      <c r="U463" s="4">
        <v>0</v>
      </c>
      <c r="V463" s="4">
        <v>70</v>
      </c>
      <c r="W463" s="4">
        <v>29</v>
      </c>
    </row>
    <row r="464" spans="1:23" ht="11.25" customHeight="1" x14ac:dyDescent="0.25">
      <c r="A464" s="4" t="s">
        <v>21</v>
      </c>
      <c r="B464" s="4" t="s">
        <v>22</v>
      </c>
      <c r="C464" s="4" t="s">
        <v>23</v>
      </c>
      <c r="D464" s="4" t="s">
        <v>24</v>
      </c>
      <c r="E464" s="4" t="s">
        <v>31</v>
      </c>
      <c r="F464" s="4" t="s">
        <v>25</v>
      </c>
      <c r="G464" s="4" t="s">
        <v>25</v>
      </c>
      <c r="H464" s="4" t="s">
        <v>25</v>
      </c>
      <c r="I464" s="5">
        <v>44287</v>
      </c>
      <c r="J464" s="6">
        <v>0</v>
      </c>
      <c r="K464" s="6">
        <v>0</v>
      </c>
      <c r="L464" s="6">
        <v>2.3380000000000001</v>
      </c>
      <c r="M464" s="6">
        <v>2.3380000000000001</v>
      </c>
      <c r="N464" s="6">
        <v>2.3380000000000001</v>
      </c>
      <c r="O464" s="6">
        <v>2.3380000000000001</v>
      </c>
      <c r="P464" s="6">
        <v>22</v>
      </c>
      <c r="Q464" s="4" t="s">
        <v>26</v>
      </c>
      <c r="R464" s="4">
        <v>0</v>
      </c>
      <c r="S464" s="4" t="s">
        <v>189</v>
      </c>
      <c r="T464" s="4" t="s">
        <v>326</v>
      </c>
      <c r="U464" s="4">
        <v>0</v>
      </c>
      <c r="V464" s="4">
        <v>54</v>
      </c>
      <c r="W464" s="4">
        <v>30</v>
      </c>
    </row>
    <row r="465" spans="1:23" ht="11.25" customHeight="1" x14ac:dyDescent="0.25">
      <c r="A465" s="4" t="s">
        <v>21</v>
      </c>
      <c r="B465" s="4" t="s">
        <v>22</v>
      </c>
      <c r="C465" s="4" t="s">
        <v>23</v>
      </c>
      <c r="D465" s="4" t="s">
        <v>24</v>
      </c>
      <c r="E465" s="4" t="s">
        <v>31</v>
      </c>
      <c r="F465" s="4" t="s">
        <v>25</v>
      </c>
      <c r="G465" s="4" t="s">
        <v>25</v>
      </c>
      <c r="H465" s="4" t="s">
        <v>25</v>
      </c>
      <c r="I465" s="5">
        <v>44317</v>
      </c>
      <c r="J465" s="6">
        <v>0</v>
      </c>
      <c r="K465" s="6">
        <v>0</v>
      </c>
      <c r="L465" s="6">
        <v>2.4510000000000001</v>
      </c>
      <c r="M465" s="6">
        <v>2.4510000000000001</v>
      </c>
      <c r="N465" s="6">
        <v>2.4510000000000001</v>
      </c>
      <c r="O465" s="6">
        <v>2.4510000000000001</v>
      </c>
      <c r="P465" s="6">
        <v>24</v>
      </c>
      <c r="Q465" s="4" t="s">
        <v>26</v>
      </c>
      <c r="R465" s="4">
        <v>0</v>
      </c>
      <c r="S465" s="4" t="s">
        <v>190</v>
      </c>
      <c r="T465" s="4" t="s">
        <v>327</v>
      </c>
      <c r="U465" s="4">
        <v>0</v>
      </c>
      <c r="V465" s="4">
        <v>54</v>
      </c>
      <c r="W465" s="4">
        <v>30</v>
      </c>
    </row>
    <row r="466" spans="1:23" ht="11.25" customHeight="1" x14ac:dyDescent="0.25">
      <c r="A466" s="4" t="s">
        <v>21</v>
      </c>
      <c r="B466" s="4" t="s">
        <v>22</v>
      </c>
      <c r="C466" s="4" t="s">
        <v>23</v>
      </c>
      <c r="D466" s="4" t="s">
        <v>24</v>
      </c>
      <c r="E466" s="4" t="s">
        <v>31</v>
      </c>
      <c r="F466" s="4" t="s">
        <v>25</v>
      </c>
      <c r="G466" s="4" t="s">
        <v>25</v>
      </c>
      <c r="H466" s="4" t="s">
        <v>25</v>
      </c>
      <c r="I466" s="5">
        <v>44348</v>
      </c>
      <c r="J466" s="6">
        <v>0</v>
      </c>
      <c r="K466" s="6">
        <v>0</v>
      </c>
      <c r="L466" s="6">
        <v>2.5870000000000002</v>
      </c>
      <c r="M466" s="6">
        <v>2.5870000000000002</v>
      </c>
      <c r="N466" s="6">
        <v>2.5870000000000002</v>
      </c>
      <c r="O466" s="6">
        <v>2.5870000000000002</v>
      </c>
      <c r="P466" s="6">
        <v>26</v>
      </c>
      <c r="Q466" s="4" t="s">
        <v>26</v>
      </c>
      <c r="R466" s="4">
        <v>0</v>
      </c>
      <c r="S466" s="4" t="s">
        <v>191</v>
      </c>
      <c r="T466" s="4" t="s">
        <v>328</v>
      </c>
      <c r="U466" s="4">
        <v>0</v>
      </c>
      <c r="V466" s="4">
        <v>54</v>
      </c>
      <c r="W466" s="4">
        <v>30</v>
      </c>
    </row>
    <row r="467" spans="1:23" ht="11.25" customHeight="1" x14ac:dyDescent="0.25">
      <c r="A467" s="4" t="s">
        <v>21</v>
      </c>
      <c r="B467" s="4" t="s">
        <v>22</v>
      </c>
      <c r="C467" s="4" t="s">
        <v>23</v>
      </c>
      <c r="D467" s="4" t="s">
        <v>24</v>
      </c>
      <c r="E467" s="4" t="s">
        <v>31</v>
      </c>
      <c r="F467" s="4" t="s">
        <v>25</v>
      </c>
      <c r="G467" s="4" t="s">
        <v>25</v>
      </c>
      <c r="H467" s="4" t="s">
        <v>25</v>
      </c>
      <c r="I467" s="5">
        <v>44378</v>
      </c>
      <c r="J467" s="6">
        <v>0</v>
      </c>
      <c r="K467" s="6">
        <v>0</v>
      </c>
      <c r="L467" s="6">
        <v>2.5099999999999998</v>
      </c>
      <c r="M467" s="6">
        <v>2.5099999999999998</v>
      </c>
      <c r="N467" s="6">
        <v>2.5099999999999998</v>
      </c>
      <c r="O467" s="6">
        <v>2.5099999999999998</v>
      </c>
      <c r="P467" s="6">
        <v>23</v>
      </c>
      <c r="Q467" s="4" t="s">
        <v>26</v>
      </c>
      <c r="R467" s="4">
        <v>0</v>
      </c>
      <c r="S467" s="4" t="s">
        <v>192</v>
      </c>
      <c r="T467" s="4" t="s">
        <v>329</v>
      </c>
      <c r="U467" s="4">
        <v>0</v>
      </c>
      <c r="V467" s="4">
        <v>54</v>
      </c>
      <c r="W467" s="4">
        <v>30</v>
      </c>
    </row>
    <row r="468" spans="1:23" ht="11.25" customHeight="1" x14ac:dyDescent="0.25">
      <c r="A468" s="4" t="s">
        <v>27</v>
      </c>
      <c r="B468" s="4" t="s">
        <v>22</v>
      </c>
      <c r="C468" s="4" t="s">
        <v>23</v>
      </c>
      <c r="D468" s="4" t="s">
        <v>24</v>
      </c>
      <c r="E468" s="4" t="s">
        <v>31</v>
      </c>
      <c r="F468" s="4" t="s">
        <v>25</v>
      </c>
      <c r="G468" s="4" t="s">
        <v>25</v>
      </c>
      <c r="H468" s="4" t="s">
        <v>25</v>
      </c>
      <c r="I468" s="5">
        <v>44378</v>
      </c>
      <c r="J468" s="6">
        <v>0</v>
      </c>
      <c r="K468" s="6">
        <v>0</v>
      </c>
      <c r="L468" s="6">
        <v>-1.0999999999999999E-2</v>
      </c>
      <c r="M468" s="6">
        <v>-1.0999999999999999E-2</v>
      </c>
      <c r="N468" s="6">
        <v>-1.0999999999999999E-2</v>
      </c>
      <c r="O468" s="6">
        <v>-1.0999999999999999E-2</v>
      </c>
      <c r="P468" s="6">
        <v>0</v>
      </c>
      <c r="Q468" s="4" t="s">
        <v>26</v>
      </c>
      <c r="R468" s="4">
        <v>0</v>
      </c>
      <c r="S468" s="4" t="s">
        <v>192</v>
      </c>
      <c r="T468" s="4" t="s">
        <v>329</v>
      </c>
      <c r="U468" s="4">
        <v>0</v>
      </c>
      <c r="V468" s="4">
        <v>54</v>
      </c>
      <c r="W468" s="4">
        <v>30</v>
      </c>
    </row>
    <row r="469" spans="1:23" ht="11.25" customHeight="1" x14ac:dyDescent="0.25">
      <c r="A469" s="4" t="s">
        <v>21</v>
      </c>
      <c r="B469" s="4" t="s">
        <v>22</v>
      </c>
      <c r="C469" s="4" t="s">
        <v>23</v>
      </c>
      <c r="D469" s="4" t="s">
        <v>24</v>
      </c>
      <c r="E469" s="4" t="s">
        <v>31</v>
      </c>
      <c r="F469" s="4" t="s">
        <v>25</v>
      </c>
      <c r="G469" s="4" t="s">
        <v>25</v>
      </c>
      <c r="H469" s="4" t="s">
        <v>25</v>
      </c>
      <c r="I469" s="5">
        <v>44409</v>
      </c>
      <c r="J469" s="6">
        <v>0</v>
      </c>
      <c r="K469" s="6">
        <v>0</v>
      </c>
      <c r="L469" s="6">
        <v>2.9670000000000001</v>
      </c>
      <c r="M469" s="6">
        <v>2.9670000000000001</v>
      </c>
      <c r="N469" s="6">
        <v>2.9670000000000001</v>
      </c>
      <c r="O469" s="6">
        <v>2.9670000000000001</v>
      </c>
      <c r="P469" s="6">
        <v>27</v>
      </c>
      <c r="Q469" s="4" t="s">
        <v>26</v>
      </c>
      <c r="R469" s="4">
        <v>0</v>
      </c>
      <c r="S469" s="4" t="s">
        <v>193</v>
      </c>
      <c r="T469" s="4" t="s">
        <v>330</v>
      </c>
      <c r="U469" s="4">
        <v>0</v>
      </c>
      <c r="V469" s="4">
        <v>54</v>
      </c>
      <c r="W469" s="4">
        <v>30</v>
      </c>
    </row>
    <row r="470" spans="1:23" ht="11.25" customHeight="1" x14ac:dyDescent="0.25">
      <c r="A470" s="4" t="s">
        <v>21</v>
      </c>
      <c r="B470" s="4" t="s">
        <v>22</v>
      </c>
      <c r="C470" s="4" t="s">
        <v>23</v>
      </c>
      <c r="D470" s="4" t="s">
        <v>24</v>
      </c>
      <c r="E470" s="4" t="s">
        <v>31</v>
      </c>
      <c r="F470" s="4" t="s">
        <v>25</v>
      </c>
      <c r="G470" s="4" t="s">
        <v>25</v>
      </c>
      <c r="H470" s="4" t="s">
        <v>25</v>
      </c>
      <c r="I470" s="5">
        <v>44440</v>
      </c>
      <c r="J470" s="6">
        <v>0</v>
      </c>
      <c r="K470" s="6">
        <v>0</v>
      </c>
      <c r="L470" s="6">
        <v>2.8450000000000002</v>
      </c>
      <c r="M470" s="6">
        <v>2.8450000000000002</v>
      </c>
      <c r="N470" s="6">
        <v>2.8450000000000002</v>
      </c>
      <c r="O470" s="6">
        <v>2.8450000000000002</v>
      </c>
      <c r="P470" s="6">
        <v>23</v>
      </c>
      <c r="Q470" s="4" t="s">
        <v>26</v>
      </c>
      <c r="R470" s="4">
        <v>0</v>
      </c>
      <c r="S470" s="4" t="s">
        <v>194</v>
      </c>
      <c r="T470" s="4" t="s">
        <v>331</v>
      </c>
      <c r="U470" s="4">
        <v>0</v>
      </c>
      <c r="V470" s="4">
        <v>54</v>
      </c>
      <c r="W470" s="4">
        <v>30</v>
      </c>
    </row>
    <row r="471" spans="1:23" ht="11.25" customHeight="1" x14ac:dyDescent="0.25">
      <c r="A471" s="4" t="s">
        <v>21</v>
      </c>
      <c r="B471" s="4" t="s">
        <v>22</v>
      </c>
      <c r="C471" s="4" t="s">
        <v>23</v>
      </c>
      <c r="D471" s="4" t="s">
        <v>24</v>
      </c>
      <c r="E471" s="4" t="s">
        <v>31</v>
      </c>
      <c r="F471" s="4" t="s">
        <v>25</v>
      </c>
      <c r="G471" s="4" t="s">
        <v>25</v>
      </c>
      <c r="H471" s="4" t="s">
        <v>25</v>
      </c>
      <c r="I471" s="5">
        <v>44470</v>
      </c>
      <c r="J471" s="6">
        <v>0</v>
      </c>
      <c r="K471" s="6">
        <v>0</v>
      </c>
      <c r="L471" s="6">
        <v>2.8010000000000002</v>
      </c>
      <c r="M471" s="6">
        <v>2.8010000000000002</v>
      </c>
      <c r="N471" s="6">
        <v>2.8010000000000002</v>
      </c>
      <c r="O471" s="6">
        <v>2.8010000000000002</v>
      </c>
      <c r="P471" s="6">
        <v>26</v>
      </c>
      <c r="Q471" s="4" t="s">
        <v>26</v>
      </c>
      <c r="R471" s="4">
        <v>0</v>
      </c>
      <c r="S471" s="4" t="s">
        <v>195</v>
      </c>
      <c r="T471" s="4" t="s">
        <v>332</v>
      </c>
      <c r="U471" s="4">
        <v>0</v>
      </c>
      <c r="V471" s="4">
        <v>54</v>
      </c>
      <c r="W471" s="4">
        <v>30</v>
      </c>
    </row>
    <row r="472" spans="1:23" ht="11.25" customHeight="1" x14ac:dyDescent="0.25">
      <c r="A472" s="4" t="s">
        <v>21</v>
      </c>
      <c r="B472" s="4" t="s">
        <v>22</v>
      </c>
      <c r="C472" s="4" t="s">
        <v>23</v>
      </c>
      <c r="D472" s="4" t="s">
        <v>24</v>
      </c>
      <c r="E472" s="4" t="s">
        <v>31</v>
      </c>
      <c r="F472" s="4" t="s">
        <v>25</v>
      </c>
      <c r="G472" s="4" t="s">
        <v>25</v>
      </c>
      <c r="H472" s="4" t="s">
        <v>25</v>
      </c>
      <c r="I472" s="5">
        <v>44501</v>
      </c>
      <c r="J472" s="6">
        <v>0</v>
      </c>
      <c r="K472" s="6">
        <v>0</v>
      </c>
      <c r="L472" s="6">
        <v>2.819</v>
      </c>
      <c r="M472" s="6">
        <v>2.819</v>
      </c>
      <c r="N472" s="6">
        <v>2.819</v>
      </c>
      <c r="O472" s="6">
        <v>2.819</v>
      </c>
      <c r="P472" s="6">
        <v>24</v>
      </c>
      <c r="Q472" s="4" t="s">
        <v>26</v>
      </c>
      <c r="R472" s="4">
        <v>0</v>
      </c>
      <c r="S472" s="4" t="s">
        <v>196</v>
      </c>
      <c r="T472" s="4" t="s">
        <v>333</v>
      </c>
      <c r="U472" s="4">
        <v>0</v>
      </c>
      <c r="V472" s="4">
        <v>54</v>
      </c>
      <c r="W472" s="4">
        <v>30</v>
      </c>
    </row>
    <row r="473" spans="1:23" ht="11.25" customHeight="1" x14ac:dyDescent="0.25">
      <c r="A473" s="4" t="s">
        <v>21</v>
      </c>
      <c r="B473" s="4" t="s">
        <v>22</v>
      </c>
      <c r="C473" s="4" t="s">
        <v>23</v>
      </c>
      <c r="D473" s="4" t="s">
        <v>24</v>
      </c>
      <c r="E473" s="4" t="s">
        <v>31</v>
      </c>
      <c r="F473" s="4" t="s">
        <v>25</v>
      </c>
      <c r="G473" s="4" t="s">
        <v>25</v>
      </c>
      <c r="H473" s="4" t="s">
        <v>25</v>
      </c>
      <c r="I473" s="5">
        <v>44531</v>
      </c>
      <c r="J473" s="6">
        <v>0</v>
      </c>
      <c r="K473" s="6">
        <v>0</v>
      </c>
      <c r="L473" s="6">
        <v>2.585</v>
      </c>
      <c r="M473" s="6">
        <v>2.585</v>
      </c>
      <c r="N473" s="6">
        <v>2.585</v>
      </c>
      <c r="O473" s="6">
        <v>2.585</v>
      </c>
      <c r="P473" s="6">
        <v>25</v>
      </c>
      <c r="Q473" s="4" t="s">
        <v>26</v>
      </c>
      <c r="R473" s="4">
        <v>0</v>
      </c>
      <c r="S473" s="4" t="s">
        <v>197</v>
      </c>
      <c r="T473" s="4" t="s">
        <v>334</v>
      </c>
      <c r="U473" s="4">
        <v>0</v>
      </c>
      <c r="V473" s="4">
        <v>54</v>
      </c>
      <c r="W473" s="4">
        <v>30</v>
      </c>
    </row>
    <row r="474" spans="1:23" ht="11.25" customHeight="1" x14ac:dyDescent="0.25">
      <c r="A474" s="4" t="s">
        <v>21</v>
      </c>
      <c r="B474" s="4" t="s">
        <v>22</v>
      </c>
      <c r="C474" s="4" t="s">
        <v>23</v>
      </c>
      <c r="D474" s="4" t="s">
        <v>24</v>
      </c>
      <c r="E474" s="4" t="s">
        <v>31</v>
      </c>
      <c r="F474" s="4" t="s">
        <v>25</v>
      </c>
      <c r="G474" s="4" t="s">
        <v>25</v>
      </c>
      <c r="H474" s="4" t="s">
        <v>25</v>
      </c>
      <c r="I474" s="5">
        <v>44562</v>
      </c>
      <c r="J474" s="6">
        <v>0</v>
      </c>
      <c r="K474" s="6">
        <v>0</v>
      </c>
      <c r="L474" s="6">
        <v>2.6150000000000002</v>
      </c>
      <c r="M474" s="6">
        <v>2.6150000000000002</v>
      </c>
      <c r="N474" s="6">
        <v>2.6150000000000002</v>
      </c>
      <c r="O474" s="6">
        <v>2.6150000000000002</v>
      </c>
      <c r="P474" s="6">
        <v>27</v>
      </c>
      <c r="Q474" s="4" t="s">
        <v>26</v>
      </c>
      <c r="R474" s="4">
        <v>0</v>
      </c>
      <c r="S474" s="4" t="s">
        <v>198</v>
      </c>
      <c r="T474" s="4" t="s">
        <v>335</v>
      </c>
      <c r="U474" s="4">
        <v>0</v>
      </c>
      <c r="V474" s="4">
        <v>54</v>
      </c>
      <c r="W474" s="4">
        <v>30</v>
      </c>
    </row>
    <row r="475" spans="1:23" ht="11.25" customHeight="1" x14ac:dyDescent="0.25">
      <c r="A475" s="4" t="s">
        <v>21</v>
      </c>
      <c r="B475" s="4" t="s">
        <v>22</v>
      </c>
      <c r="C475" s="4" t="s">
        <v>23</v>
      </c>
      <c r="D475" s="4" t="s">
        <v>24</v>
      </c>
      <c r="E475" s="4" t="s">
        <v>31</v>
      </c>
      <c r="F475" s="4" t="s">
        <v>25</v>
      </c>
      <c r="G475" s="4" t="s">
        <v>25</v>
      </c>
      <c r="H475" s="4" t="s">
        <v>25</v>
      </c>
      <c r="I475" s="5">
        <v>44593</v>
      </c>
      <c r="J475" s="6">
        <v>0</v>
      </c>
      <c r="K475" s="6">
        <v>0</v>
      </c>
      <c r="L475" s="6">
        <v>3.1640000000000001</v>
      </c>
      <c r="M475" s="6">
        <v>3.1640000000000001</v>
      </c>
      <c r="N475" s="6">
        <v>3.1640000000000001</v>
      </c>
      <c r="O475" s="6">
        <v>3.1640000000000001</v>
      </c>
      <c r="P475" s="6">
        <v>23</v>
      </c>
      <c r="Q475" s="4" t="s">
        <v>26</v>
      </c>
      <c r="R475" s="4">
        <v>0</v>
      </c>
      <c r="S475" s="4" t="s">
        <v>199</v>
      </c>
      <c r="T475" s="4" t="s">
        <v>336</v>
      </c>
      <c r="U475" s="4">
        <v>0</v>
      </c>
      <c r="V475" s="4">
        <v>54</v>
      </c>
      <c r="W475" s="4">
        <v>30</v>
      </c>
    </row>
    <row r="476" spans="1:23" ht="11.25" customHeight="1" x14ac:dyDescent="0.25">
      <c r="A476" s="4" t="s">
        <v>54</v>
      </c>
      <c r="B476" s="4" t="s">
        <v>22</v>
      </c>
      <c r="C476" s="4" t="s">
        <v>23</v>
      </c>
      <c r="D476" s="4" t="s">
        <v>24</v>
      </c>
      <c r="E476" s="4" t="s">
        <v>31</v>
      </c>
      <c r="F476" s="4" t="s">
        <v>25</v>
      </c>
      <c r="G476" s="4" t="s">
        <v>25</v>
      </c>
      <c r="H476" s="4" t="s">
        <v>25</v>
      </c>
      <c r="I476" s="5">
        <v>44621</v>
      </c>
      <c r="J476" s="6">
        <v>0</v>
      </c>
      <c r="K476" s="6">
        <v>0</v>
      </c>
      <c r="L476" s="6">
        <v>3.1640000000000001</v>
      </c>
      <c r="M476" s="6">
        <v>3.1640000000000001</v>
      </c>
      <c r="N476" s="6">
        <v>3.1640000000000001</v>
      </c>
      <c r="O476" s="6">
        <v>3.1640000000000001</v>
      </c>
      <c r="P476" s="6">
        <v>23</v>
      </c>
      <c r="Q476" s="4" t="s">
        <v>26</v>
      </c>
      <c r="R476" s="4">
        <v>0</v>
      </c>
      <c r="S476" s="4" t="s">
        <v>200</v>
      </c>
      <c r="T476" s="4" t="s">
        <v>337</v>
      </c>
      <c r="U476" s="4">
        <v>0</v>
      </c>
      <c r="V476" s="4">
        <v>54</v>
      </c>
      <c r="W476" s="4">
        <v>30</v>
      </c>
    </row>
    <row r="477" spans="1:23" ht="11.25" customHeight="1" x14ac:dyDescent="0.25">
      <c r="A477" s="4" t="s">
        <v>21</v>
      </c>
      <c r="B477" s="4" t="s">
        <v>22</v>
      </c>
      <c r="C477" s="4" t="s">
        <v>23</v>
      </c>
      <c r="D477" s="4" t="s">
        <v>24</v>
      </c>
      <c r="E477" s="4" t="s">
        <v>32</v>
      </c>
      <c r="F477" s="4" t="s">
        <v>25</v>
      </c>
      <c r="G477" s="4" t="s">
        <v>25</v>
      </c>
      <c r="H477" s="4" t="s">
        <v>25</v>
      </c>
      <c r="I477" s="5">
        <v>44287</v>
      </c>
      <c r="J477" s="6">
        <v>0</v>
      </c>
      <c r="K477" s="6">
        <v>0</v>
      </c>
      <c r="L477" s="6">
        <v>0.67500000000000004</v>
      </c>
      <c r="M477" s="6">
        <v>0.67500000000000004</v>
      </c>
      <c r="N477" s="6">
        <v>0.67500000000000004</v>
      </c>
      <c r="O477" s="6">
        <v>0.67500000000000004</v>
      </c>
      <c r="P477" s="6">
        <v>10</v>
      </c>
      <c r="Q477" s="4" t="s">
        <v>26</v>
      </c>
      <c r="R477" s="4">
        <v>0</v>
      </c>
      <c r="S477" s="4" t="s">
        <v>201</v>
      </c>
      <c r="T477" s="4" t="s">
        <v>338</v>
      </c>
      <c r="U477" s="4">
        <v>0</v>
      </c>
      <c r="V477" s="4">
        <v>55</v>
      </c>
      <c r="W477" s="4">
        <v>31</v>
      </c>
    </row>
    <row r="478" spans="1:23" ht="11.25" customHeight="1" x14ac:dyDescent="0.25">
      <c r="A478" s="4" t="s">
        <v>21</v>
      </c>
      <c r="B478" s="4" t="s">
        <v>22</v>
      </c>
      <c r="C478" s="4" t="s">
        <v>23</v>
      </c>
      <c r="D478" s="4" t="s">
        <v>24</v>
      </c>
      <c r="E478" s="4" t="s">
        <v>32</v>
      </c>
      <c r="F478" s="4" t="s">
        <v>25</v>
      </c>
      <c r="G478" s="4" t="s">
        <v>25</v>
      </c>
      <c r="H478" s="4" t="s">
        <v>25</v>
      </c>
      <c r="I478" s="5">
        <v>44317</v>
      </c>
      <c r="J478" s="6">
        <v>0</v>
      </c>
      <c r="K478" s="6">
        <v>0</v>
      </c>
      <c r="L478" s="6">
        <v>0.72299999999999998</v>
      </c>
      <c r="M478" s="6">
        <v>0.72299999999999998</v>
      </c>
      <c r="N478" s="6">
        <v>0.72299999999999998</v>
      </c>
      <c r="O478" s="6">
        <v>0.72299999999999998</v>
      </c>
      <c r="P478" s="6">
        <v>9</v>
      </c>
      <c r="Q478" s="4" t="s">
        <v>26</v>
      </c>
      <c r="R478" s="4">
        <v>0</v>
      </c>
      <c r="S478" s="4" t="s">
        <v>202</v>
      </c>
      <c r="T478" s="4" t="s">
        <v>339</v>
      </c>
      <c r="U478" s="4">
        <v>0</v>
      </c>
      <c r="V478" s="4">
        <v>55</v>
      </c>
      <c r="W478" s="4">
        <v>31</v>
      </c>
    </row>
    <row r="479" spans="1:23" ht="11.25" customHeight="1" x14ac:dyDescent="0.25">
      <c r="A479" s="4" t="s">
        <v>21</v>
      </c>
      <c r="B479" s="4" t="s">
        <v>22</v>
      </c>
      <c r="C479" s="4" t="s">
        <v>23</v>
      </c>
      <c r="D479" s="4" t="s">
        <v>24</v>
      </c>
      <c r="E479" s="4" t="s">
        <v>32</v>
      </c>
      <c r="F479" s="4" t="s">
        <v>25</v>
      </c>
      <c r="G479" s="4" t="s">
        <v>25</v>
      </c>
      <c r="H479" s="4" t="s">
        <v>25</v>
      </c>
      <c r="I479" s="5">
        <v>44348</v>
      </c>
      <c r="J479" s="6">
        <v>0</v>
      </c>
      <c r="K479" s="6">
        <v>0</v>
      </c>
      <c r="L479" s="6">
        <v>1.0489999999999999</v>
      </c>
      <c r="M479" s="6">
        <v>1.0489999999999999</v>
      </c>
      <c r="N479" s="6">
        <v>1.0489999999999999</v>
      </c>
      <c r="O479" s="6">
        <v>1.0489999999999999</v>
      </c>
      <c r="P479" s="6">
        <v>10</v>
      </c>
      <c r="Q479" s="4" t="s">
        <v>26</v>
      </c>
      <c r="R479" s="4">
        <v>0</v>
      </c>
      <c r="S479" s="4" t="s">
        <v>203</v>
      </c>
      <c r="T479" s="4" t="s">
        <v>340</v>
      </c>
      <c r="U479" s="4">
        <v>0</v>
      </c>
      <c r="V479" s="4">
        <v>55</v>
      </c>
      <c r="W479" s="4">
        <v>31</v>
      </c>
    </row>
    <row r="480" spans="1:23" ht="11.25" customHeight="1" x14ac:dyDescent="0.25">
      <c r="A480" s="4" t="s">
        <v>21</v>
      </c>
      <c r="B480" s="4" t="s">
        <v>22</v>
      </c>
      <c r="C480" s="4" t="s">
        <v>23</v>
      </c>
      <c r="D480" s="4" t="s">
        <v>24</v>
      </c>
      <c r="E480" s="4" t="s">
        <v>32</v>
      </c>
      <c r="F480" s="4" t="s">
        <v>25</v>
      </c>
      <c r="G480" s="4" t="s">
        <v>25</v>
      </c>
      <c r="H480" s="4" t="s">
        <v>25</v>
      </c>
      <c r="I480" s="5">
        <v>44378</v>
      </c>
      <c r="J480" s="6">
        <v>0</v>
      </c>
      <c r="K480" s="6">
        <v>0</v>
      </c>
      <c r="L480" s="6">
        <v>0.41299999999999998</v>
      </c>
      <c r="M480" s="6">
        <v>0.41299999999999998</v>
      </c>
      <c r="N480" s="6">
        <v>0.41299999999999998</v>
      </c>
      <c r="O480" s="6">
        <v>0.41299999999999998</v>
      </c>
      <c r="P480" s="6">
        <v>9</v>
      </c>
      <c r="Q480" s="4" t="s">
        <v>26</v>
      </c>
      <c r="R480" s="4">
        <v>0</v>
      </c>
      <c r="S480" s="4" t="s">
        <v>204</v>
      </c>
      <c r="T480" s="4" t="s">
        <v>341</v>
      </c>
      <c r="U480" s="4">
        <v>0</v>
      </c>
      <c r="V480" s="4">
        <v>55</v>
      </c>
      <c r="W480" s="4">
        <v>31</v>
      </c>
    </row>
    <row r="481" spans="1:23" ht="11.25" customHeight="1" x14ac:dyDescent="0.25">
      <c r="A481" s="4" t="s">
        <v>27</v>
      </c>
      <c r="B481" s="4" t="s">
        <v>22</v>
      </c>
      <c r="C481" s="4" t="s">
        <v>23</v>
      </c>
      <c r="D481" s="4" t="s">
        <v>24</v>
      </c>
      <c r="E481" s="4" t="s">
        <v>32</v>
      </c>
      <c r="F481" s="4" t="s">
        <v>25</v>
      </c>
      <c r="G481" s="4" t="s">
        <v>25</v>
      </c>
      <c r="H481" s="4" t="s">
        <v>25</v>
      </c>
      <c r="I481" s="5">
        <v>44378</v>
      </c>
      <c r="J481" s="6">
        <v>0</v>
      </c>
      <c r="K481" s="6">
        <v>0</v>
      </c>
      <c r="L481" s="6">
        <v>-0.29499999999999998</v>
      </c>
      <c r="M481" s="6">
        <v>-0.29499999999999998</v>
      </c>
      <c r="N481" s="6">
        <v>-0.29499999999999998</v>
      </c>
      <c r="O481" s="6">
        <v>-0.29499999999999998</v>
      </c>
      <c r="P481" s="6">
        <v>0</v>
      </c>
      <c r="Q481" s="4" t="s">
        <v>26</v>
      </c>
      <c r="R481" s="4">
        <v>0</v>
      </c>
      <c r="S481" s="4" t="s">
        <v>204</v>
      </c>
      <c r="T481" s="4" t="s">
        <v>341</v>
      </c>
      <c r="U481" s="4">
        <v>0</v>
      </c>
      <c r="V481" s="4">
        <v>55</v>
      </c>
      <c r="W481" s="4">
        <v>31</v>
      </c>
    </row>
    <row r="482" spans="1:23" ht="11.25" customHeight="1" x14ac:dyDescent="0.25">
      <c r="A482" s="4" t="s">
        <v>21</v>
      </c>
      <c r="B482" s="4" t="s">
        <v>22</v>
      </c>
      <c r="C482" s="4" t="s">
        <v>23</v>
      </c>
      <c r="D482" s="4" t="s">
        <v>24</v>
      </c>
      <c r="E482" s="4" t="s">
        <v>32</v>
      </c>
      <c r="F482" s="4" t="s">
        <v>25</v>
      </c>
      <c r="G482" s="4" t="s">
        <v>25</v>
      </c>
      <c r="H482" s="4" t="s">
        <v>25</v>
      </c>
      <c r="I482" s="5">
        <v>44409</v>
      </c>
      <c r="J482" s="6">
        <v>0</v>
      </c>
      <c r="K482" s="6">
        <v>0</v>
      </c>
      <c r="L482" s="6">
        <v>0.92400000000000004</v>
      </c>
      <c r="M482" s="6">
        <v>0.92400000000000004</v>
      </c>
      <c r="N482" s="6">
        <v>0.92400000000000004</v>
      </c>
      <c r="O482" s="6">
        <v>0.92400000000000004</v>
      </c>
      <c r="P482" s="6">
        <v>11</v>
      </c>
      <c r="Q482" s="4" t="s">
        <v>26</v>
      </c>
      <c r="R482" s="4">
        <v>0</v>
      </c>
      <c r="S482" s="4" t="s">
        <v>205</v>
      </c>
      <c r="T482" s="4" t="s">
        <v>342</v>
      </c>
      <c r="U482" s="4">
        <v>0</v>
      </c>
      <c r="V482" s="4">
        <v>55</v>
      </c>
      <c r="W482" s="4">
        <v>31</v>
      </c>
    </row>
    <row r="483" spans="1:23" ht="11.25" customHeight="1" x14ac:dyDescent="0.25">
      <c r="A483" s="4" t="s">
        <v>21</v>
      </c>
      <c r="B483" s="4" t="s">
        <v>22</v>
      </c>
      <c r="C483" s="4" t="s">
        <v>23</v>
      </c>
      <c r="D483" s="4" t="s">
        <v>24</v>
      </c>
      <c r="E483" s="4" t="s">
        <v>32</v>
      </c>
      <c r="F483" s="4" t="s">
        <v>25</v>
      </c>
      <c r="G483" s="4" t="s">
        <v>25</v>
      </c>
      <c r="H483" s="4" t="s">
        <v>25</v>
      </c>
      <c r="I483" s="5">
        <v>44440</v>
      </c>
      <c r="J483" s="6">
        <v>0</v>
      </c>
      <c r="K483" s="6">
        <v>0</v>
      </c>
      <c r="L483" s="6">
        <v>0.90300000000000002</v>
      </c>
      <c r="M483" s="6">
        <v>0.90300000000000002</v>
      </c>
      <c r="N483" s="6">
        <v>0.90300000000000002</v>
      </c>
      <c r="O483" s="6">
        <v>0.90300000000000002</v>
      </c>
      <c r="P483" s="6">
        <v>13</v>
      </c>
      <c r="Q483" s="4" t="s">
        <v>26</v>
      </c>
      <c r="R483" s="4">
        <v>0</v>
      </c>
      <c r="S483" s="4" t="s">
        <v>206</v>
      </c>
      <c r="T483" s="4" t="s">
        <v>343</v>
      </c>
      <c r="U483" s="4">
        <v>0</v>
      </c>
      <c r="V483" s="4">
        <v>55</v>
      </c>
      <c r="W483" s="4">
        <v>31</v>
      </c>
    </row>
    <row r="484" spans="1:23" ht="11.25" customHeight="1" x14ac:dyDescent="0.25">
      <c r="A484" s="4" t="s">
        <v>21</v>
      </c>
      <c r="B484" s="4" t="s">
        <v>22</v>
      </c>
      <c r="C484" s="4" t="s">
        <v>23</v>
      </c>
      <c r="D484" s="4" t="s">
        <v>24</v>
      </c>
      <c r="E484" s="4" t="s">
        <v>32</v>
      </c>
      <c r="F484" s="4" t="s">
        <v>25</v>
      </c>
      <c r="G484" s="4" t="s">
        <v>25</v>
      </c>
      <c r="H484" s="4" t="s">
        <v>25</v>
      </c>
      <c r="I484" s="5">
        <v>44470</v>
      </c>
      <c r="J484" s="6">
        <v>0</v>
      </c>
      <c r="K484" s="6">
        <v>0</v>
      </c>
      <c r="L484" s="6">
        <v>0.79</v>
      </c>
      <c r="M484" s="6">
        <v>0.79</v>
      </c>
      <c r="N484" s="6">
        <v>0.79</v>
      </c>
      <c r="O484" s="6">
        <v>0.79</v>
      </c>
      <c r="P484" s="6">
        <v>8</v>
      </c>
      <c r="Q484" s="4" t="s">
        <v>26</v>
      </c>
      <c r="R484" s="4">
        <v>0</v>
      </c>
      <c r="S484" s="4" t="s">
        <v>207</v>
      </c>
      <c r="T484" s="4" t="s">
        <v>344</v>
      </c>
      <c r="U484" s="4">
        <v>0</v>
      </c>
      <c r="V484" s="4">
        <v>55</v>
      </c>
      <c r="W484" s="4">
        <v>31</v>
      </c>
    </row>
    <row r="485" spans="1:23" ht="11.25" customHeight="1" x14ac:dyDescent="0.25">
      <c r="A485" s="4" t="s">
        <v>21</v>
      </c>
      <c r="B485" s="4" t="s">
        <v>22</v>
      </c>
      <c r="C485" s="4" t="s">
        <v>23</v>
      </c>
      <c r="D485" s="4" t="s">
        <v>24</v>
      </c>
      <c r="E485" s="4" t="s">
        <v>32</v>
      </c>
      <c r="F485" s="4" t="s">
        <v>25</v>
      </c>
      <c r="G485" s="4" t="s">
        <v>25</v>
      </c>
      <c r="H485" s="4" t="s">
        <v>25</v>
      </c>
      <c r="I485" s="5">
        <v>44501</v>
      </c>
      <c r="J485" s="6">
        <v>0</v>
      </c>
      <c r="K485" s="6">
        <v>0</v>
      </c>
      <c r="L485" s="6">
        <v>1.0900000000000001</v>
      </c>
      <c r="M485" s="6">
        <v>1.0900000000000001</v>
      </c>
      <c r="N485" s="6">
        <v>1.0900000000000001</v>
      </c>
      <c r="O485" s="6">
        <v>1.0900000000000001</v>
      </c>
      <c r="P485" s="6">
        <v>14</v>
      </c>
      <c r="Q485" s="4" t="s">
        <v>26</v>
      </c>
      <c r="R485" s="4">
        <v>0</v>
      </c>
      <c r="S485" s="4" t="s">
        <v>208</v>
      </c>
      <c r="T485" s="4" t="s">
        <v>345</v>
      </c>
      <c r="U485" s="4">
        <v>0</v>
      </c>
      <c r="V485" s="4">
        <v>55</v>
      </c>
      <c r="W485" s="4">
        <v>31</v>
      </c>
    </row>
    <row r="486" spans="1:23" ht="11.25" customHeight="1" x14ac:dyDescent="0.25">
      <c r="A486" s="4" t="s">
        <v>21</v>
      </c>
      <c r="B486" s="4" t="s">
        <v>22</v>
      </c>
      <c r="C486" s="4" t="s">
        <v>23</v>
      </c>
      <c r="D486" s="4" t="s">
        <v>24</v>
      </c>
      <c r="E486" s="4" t="s">
        <v>32</v>
      </c>
      <c r="F486" s="4" t="s">
        <v>25</v>
      </c>
      <c r="G486" s="4" t="s">
        <v>25</v>
      </c>
      <c r="H486" s="4" t="s">
        <v>25</v>
      </c>
      <c r="I486" s="5">
        <v>44531</v>
      </c>
      <c r="J486" s="6">
        <v>0</v>
      </c>
      <c r="K486" s="6">
        <v>0</v>
      </c>
      <c r="L486" s="6">
        <v>0.83899999999999997</v>
      </c>
      <c r="M486" s="6">
        <v>0.83899999999999997</v>
      </c>
      <c r="N486" s="6">
        <v>0.83899999999999997</v>
      </c>
      <c r="O486" s="6">
        <v>0.83899999999999997</v>
      </c>
      <c r="P486" s="6">
        <v>10</v>
      </c>
      <c r="Q486" s="4" t="s">
        <v>26</v>
      </c>
      <c r="R486" s="4">
        <v>0</v>
      </c>
      <c r="S486" s="4" t="s">
        <v>209</v>
      </c>
      <c r="T486" s="4" t="s">
        <v>346</v>
      </c>
      <c r="U486" s="4">
        <v>0</v>
      </c>
      <c r="V486" s="4">
        <v>55</v>
      </c>
      <c r="W486" s="4">
        <v>31</v>
      </c>
    </row>
    <row r="487" spans="1:23" ht="11.25" customHeight="1" x14ac:dyDescent="0.25">
      <c r="A487" s="4" t="s">
        <v>21</v>
      </c>
      <c r="B487" s="4" t="s">
        <v>22</v>
      </c>
      <c r="C487" s="4" t="s">
        <v>23</v>
      </c>
      <c r="D487" s="4" t="s">
        <v>24</v>
      </c>
      <c r="E487" s="4" t="s">
        <v>32</v>
      </c>
      <c r="F487" s="4" t="s">
        <v>25</v>
      </c>
      <c r="G487" s="4" t="s">
        <v>25</v>
      </c>
      <c r="H487" s="4" t="s">
        <v>25</v>
      </c>
      <c r="I487" s="5">
        <v>44562</v>
      </c>
      <c r="J487" s="6">
        <v>0</v>
      </c>
      <c r="K487" s="6">
        <v>0</v>
      </c>
      <c r="L487" s="6">
        <v>0.78500000000000003</v>
      </c>
      <c r="M487" s="6">
        <v>0.78500000000000003</v>
      </c>
      <c r="N487" s="6">
        <v>0.78500000000000003</v>
      </c>
      <c r="O487" s="6">
        <v>0.78500000000000003</v>
      </c>
      <c r="P487" s="6">
        <v>9</v>
      </c>
      <c r="Q487" s="4" t="s">
        <v>26</v>
      </c>
      <c r="R487" s="4">
        <v>0</v>
      </c>
      <c r="S487" s="4" t="s">
        <v>210</v>
      </c>
      <c r="T487" s="4" t="s">
        <v>347</v>
      </c>
      <c r="U487" s="4">
        <v>0</v>
      </c>
      <c r="V487" s="4">
        <v>55</v>
      </c>
      <c r="W487" s="4">
        <v>31</v>
      </c>
    </row>
    <row r="488" spans="1:23" ht="11.25" customHeight="1" x14ac:dyDescent="0.25">
      <c r="A488" s="4" t="s">
        <v>21</v>
      </c>
      <c r="B488" s="4" t="s">
        <v>22</v>
      </c>
      <c r="C488" s="4" t="s">
        <v>23</v>
      </c>
      <c r="D488" s="4" t="s">
        <v>24</v>
      </c>
      <c r="E488" s="4" t="s">
        <v>32</v>
      </c>
      <c r="F488" s="4" t="s">
        <v>25</v>
      </c>
      <c r="G488" s="4" t="s">
        <v>25</v>
      </c>
      <c r="H488" s="4" t="s">
        <v>25</v>
      </c>
      <c r="I488" s="5">
        <v>44593</v>
      </c>
      <c r="J488" s="6">
        <v>0</v>
      </c>
      <c r="K488" s="6">
        <v>0</v>
      </c>
      <c r="L488" s="6">
        <v>1.3360000000000001</v>
      </c>
      <c r="M488" s="6">
        <v>1.3360000000000001</v>
      </c>
      <c r="N488" s="6">
        <v>1.3360000000000001</v>
      </c>
      <c r="O488" s="6">
        <v>1.3360000000000001</v>
      </c>
      <c r="P488" s="6">
        <v>16</v>
      </c>
      <c r="Q488" s="4" t="s">
        <v>26</v>
      </c>
      <c r="R488" s="4">
        <v>0</v>
      </c>
      <c r="S488" s="4" t="s">
        <v>211</v>
      </c>
      <c r="T488" s="4" t="s">
        <v>348</v>
      </c>
      <c r="U488" s="4">
        <v>0</v>
      </c>
      <c r="V488" s="4">
        <v>55</v>
      </c>
      <c r="W488" s="4">
        <v>31</v>
      </c>
    </row>
    <row r="489" spans="1:23" ht="11.25" customHeight="1" x14ac:dyDescent="0.25">
      <c r="A489" s="4" t="s">
        <v>54</v>
      </c>
      <c r="B489" s="4" t="s">
        <v>22</v>
      </c>
      <c r="C489" s="4" t="s">
        <v>23</v>
      </c>
      <c r="D489" s="4" t="s">
        <v>24</v>
      </c>
      <c r="E489" s="4" t="s">
        <v>32</v>
      </c>
      <c r="F489" s="4" t="s">
        <v>25</v>
      </c>
      <c r="G489" s="4" t="s">
        <v>25</v>
      </c>
      <c r="H489" s="4" t="s">
        <v>25</v>
      </c>
      <c r="I489" s="5">
        <v>44621</v>
      </c>
      <c r="J489" s="6">
        <v>0</v>
      </c>
      <c r="K489" s="6">
        <v>0</v>
      </c>
      <c r="L489" s="6">
        <v>1.3360000000000001</v>
      </c>
      <c r="M489" s="6">
        <v>1.3360000000000001</v>
      </c>
      <c r="N489" s="6">
        <v>1.3360000000000001</v>
      </c>
      <c r="O489" s="6">
        <v>1.3360000000000001</v>
      </c>
      <c r="P489" s="6">
        <v>16</v>
      </c>
      <c r="Q489" s="4" t="s">
        <v>26</v>
      </c>
      <c r="R489" s="4">
        <v>0</v>
      </c>
      <c r="S489" s="4" t="s">
        <v>212</v>
      </c>
      <c r="T489" s="4" t="s">
        <v>349</v>
      </c>
      <c r="U489" s="4">
        <v>0</v>
      </c>
      <c r="V489" s="4">
        <v>55</v>
      </c>
      <c r="W489" s="4">
        <v>31</v>
      </c>
    </row>
    <row r="490" spans="1:23" ht="11.25" customHeight="1" x14ac:dyDescent="0.25">
      <c r="A490" s="4" t="s">
        <v>21</v>
      </c>
      <c r="B490" s="4" t="s">
        <v>40</v>
      </c>
      <c r="C490" s="4" t="s">
        <v>23</v>
      </c>
      <c r="D490" s="4" t="s">
        <v>41</v>
      </c>
      <c r="E490" s="4" t="s">
        <v>50</v>
      </c>
      <c r="F490" s="4" t="s">
        <v>51</v>
      </c>
      <c r="G490" s="4" t="s">
        <v>25</v>
      </c>
      <c r="H490" s="4" t="s">
        <v>25</v>
      </c>
      <c r="I490" s="5">
        <v>44287</v>
      </c>
      <c r="J490" s="6">
        <v>0</v>
      </c>
      <c r="K490" s="6">
        <v>0</v>
      </c>
      <c r="L490" s="6">
        <v>1925.53</v>
      </c>
      <c r="M490" s="6">
        <v>1925.53</v>
      </c>
      <c r="N490" s="6">
        <v>1925.53</v>
      </c>
      <c r="O490" s="6">
        <v>1925.53</v>
      </c>
      <c r="P490" s="6">
        <v>0</v>
      </c>
      <c r="Q490" s="4" t="s">
        <v>26</v>
      </c>
      <c r="R490" s="4">
        <v>0</v>
      </c>
      <c r="S490" s="4" t="s">
        <v>213</v>
      </c>
      <c r="T490" s="4" t="s">
        <v>350</v>
      </c>
      <c r="U490" s="4">
        <v>0</v>
      </c>
      <c r="V490" s="4">
        <v>60</v>
      </c>
      <c r="W490" s="4">
        <v>16</v>
      </c>
    </row>
    <row r="491" spans="1:23" ht="11.25" customHeight="1" x14ac:dyDescent="0.25">
      <c r="A491" s="4" t="s">
        <v>28</v>
      </c>
      <c r="B491" s="4" t="s">
        <v>40</v>
      </c>
      <c r="C491" s="4" t="s">
        <v>23</v>
      </c>
      <c r="D491" s="4" t="s">
        <v>41</v>
      </c>
      <c r="E491" s="4" t="s">
        <v>50</v>
      </c>
      <c r="F491" s="4" t="s">
        <v>51</v>
      </c>
      <c r="G491" s="4" t="s">
        <v>25</v>
      </c>
      <c r="H491" s="4" t="s">
        <v>25</v>
      </c>
      <c r="I491" s="5">
        <v>44287</v>
      </c>
      <c r="J491" s="6">
        <v>0</v>
      </c>
      <c r="K491" s="6">
        <v>0</v>
      </c>
      <c r="L491" s="6">
        <v>0.1</v>
      </c>
      <c r="M491" s="6">
        <v>0.1</v>
      </c>
      <c r="N491" s="6">
        <v>0.1</v>
      </c>
      <c r="O491" s="6">
        <v>0.1</v>
      </c>
      <c r="P491" s="6">
        <v>0</v>
      </c>
      <c r="Q491" s="4" t="s">
        <v>26</v>
      </c>
      <c r="R491" s="4">
        <v>0</v>
      </c>
      <c r="S491" s="4" t="s">
        <v>213</v>
      </c>
      <c r="T491" s="4" t="s">
        <v>350</v>
      </c>
      <c r="U491" s="4">
        <v>0</v>
      </c>
      <c r="V491" s="4">
        <v>60</v>
      </c>
      <c r="W491" s="4">
        <v>16</v>
      </c>
    </row>
    <row r="492" spans="1:23" ht="11.25" customHeight="1" x14ac:dyDescent="0.25">
      <c r="A492" s="4" t="s">
        <v>21</v>
      </c>
      <c r="B492" s="4" t="s">
        <v>40</v>
      </c>
      <c r="C492" s="4" t="s">
        <v>23</v>
      </c>
      <c r="D492" s="4" t="s">
        <v>41</v>
      </c>
      <c r="E492" s="4" t="s">
        <v>50</v>
      </c>
      <c r="F492" s="4" t="s">
        <v>51</v>
      </c>
      <c r="G492" s="4" t="s">
        <v>25</v>
      </c>
      <c r="H492" s="4" t="s">
        <v>25</v>
      </c>
      <c r="I492" s="5">
        <v>44317</v>
      </c>
      <c r="J492" s="6">
        <v>0</v>
      </c>
      <c r="K492" s="6">
        <v>0</v>
      </c>
      <c r="L492" s="6">
        <v>2103.8020000000001</v>
      </c>
      <c r="M492" s="6">
        <v>2103.8020000000001</v>
      </c>
      <c r="N492" s="6">
        <v>2103.8020000000001</v>
      </c>
      <c r="O492" s="6">
        <v>2103.8020000000001</v>
      </c>
      <c r="P492" s="6">
        <v>0</v>
      </c>
      <c r="Q492" s="4" t="s">
        <v>26</v>
      </c>
      <c r="R492" s="4">
        <v>0</v>
      </c>
      <c r="S492" s="4" t="s">
        <v>214</v>
      </c>
      <c r="T492" s="4" t="s">
        <v>351</v>
      </c>
      <c r="U492" s="4">
        <v>0</v>
      </c>
      <c r="V492" s="4">
        <v>60</v>
      </c>
      <c r="W492" s="4">
        <v>16</v>
      </c>
    </row>
    <row r="493" spans="1:23" ht="11.25" customHeight="1" x14ac:dyDescent="0.25">
      <c r="A493" s="4" t="s">
        <v>28</v>
      </c>
      <c r="B493" s="4" t="s">
        <v>40</v>
      </c>
      <c r="C493" s="4" t="s">
        <v>23</v>
      </c>
      <c r="D493" s="4" t="s">
        <v>41</v>
      </c>
      <c r="E493" s="4" t="s">
        <v>50</v>
      </c>
      <c r="F493" s="4" t="s">
        <v>51</v>
      </c>
      <c r="G493" s="4" t="s">
        <v>25</v>
      </c>
      <c r="H493" s="4" t="s">
        <v>25</v>
      </c>
      <c r="I493" s="5">
        <v>44317</v>
      </c>
      <c r="J493" s="6">
        <v>0</v>
      </c>
      <c r="K493" s="6">
        <v>0</v>
      </c>
      <c r="L493" s="6">
        <v>18.318000000000001</v>
      </c>
      <c r="M493" s="6">
        <v>18.318000000000001</v>
      </c>
      <c r="N493" s="6">
        <v>18.318000000000001</v>
      </c>
      <c r="O493" s="6">
        <v>18.318000000000001</v>
      </c>
      <c r="P493" s="6">
        <v>0</v>
      </c>
      <c r="Q493" s="4" t="s">
        <v>26</v>
      </c>
      <c r="R493" s="4">
        <v>0</v>
      </c>
      <c r="S493" s="4" t="s">
        <v>214</v>
      </c>
      <c r="T493" s="4" t="s">
        <v>351</v>
      </c>
      <c r="U493" s="4">
        <v>0</v>
      </c>
      <c r="V493" s="4">
        <v>60</v>
      </c>
      <c r="W493" s="4">
        <v>16</v>
      </c>
    </row>
    <row r="494" spans="1:23" ht="11.25" customHeight="1" x14ac:dyDescent="0.25">
      <c r="A494" s="4" t="s">
        <v>21</v>
      </c>
      <c r="B494" s="4" t="s">
        <v>40</v>
      </c>
      <c r="C494" s="4" t="s">
        <v>23</v>
      </c>
      <c r="D494" s="4" t="s">
        <v>41</v>
      </c>
      <c r="E494" s="4" t="s">
        <v>50</v>
      </c>
      <c r="F494" s="4" t="s">
        <v>51</v>
      </c>
      <c r="G494" s="4" t="s">
        <v>25</v>
      </c>
      <c r="H494" s="4" t="s">
        <v>25</v>
      </c>
      <c r="I494" s="5">
        <v>44348</v>
      </c>
      <c r="J494" s="6">
        <v>0</v>
      </c>
      <c r="K494" s="6">
        <v>0</v>
      </c>
      <c r="L494" s="6">
        <v>712.08299999999997</v>
      </c>
      <c r="M494" s="6">
        <v>712.08299999999997</v>
      </c>
      <c r="N494" s="6">
        <v>712.08299999999997</v>
      </c>
      <c r="O494" s="6">
        <v>712.08299999999997</v>
      </c>
      <c r="P494" s="6">
        <v>0</v>
      </c>
      <c r="Q494" s="4" t="s">
        <v>26</v>
      </c>
      <c r="R494" s="4">
        <v>0</v>
      </c>
      <c r="S494" s="4" t="s">
        <v>215</v>
      </c>
      <c r="T494" s="4" t="s">
        <v>352</v>
      </c>
      <c r="U494" s="4">
        <v>0</v>
      </c>
      <c r="V494" s="4">
        <v>60</v>
      </c>
      <c r="W494" s="4">
        <v>16</v>
      </c>
    </row>
    <row r="495" spans="1:23" ht="11.25" customHeight="1" x14ac:dyDescent="0.25">
      <c r="A495" s="4" t="s">
        <v>28</v>
      </c>
      <c r="B495" s="4" t="s">
        <v>40</v>
      </c>
      <c r="C495" s="4" t="s">
        <v>23</v>
      </c>
      <c r="D495" s="4" t="s">
        <v>41</v>
      </c>
      <c r="E495" s="4" t="s">
        <v>50</v>
      </c>
      <c r="F495" s="4" t="s">
        <v>51</v>
      </c>
      <c r="G495" s="4" t="s">
        <v>25</v>
      </c>
      <c r="H495" s="4" t="s">
        <v>25</v>
      </c>
      <c r="I495" s="5">
        <v>44348</v>
      </c>
      <c r="J495" s="6">
        <v>0</v>
      </c>
      <c r="K495" s="6">
        <v>0</v>
      </c>
      <c r="L495" s="6">
        <v>0.1</v>
      </c>
      <c r="M495" s="6">
        <v>0.1</v>
      </c>
      <c r="N495" s="6">
        <v>0.1</v>
      </c>
      <c r="O495" s="6">
        <v>0.1</v>
      </c>
      <c r="P495" s="6">
        <v>0</v>
      </c>
      <c r="Q495" s="4" t="s">
        <v>26</v>
      </c>
      <c r="R495" s="4">
        <v>0</v>
      </c>
      <c r="S495" s="4" t="s">
        <v>215</v>
      </c>
      <c r="T495" s="4" t="s">
        <v>352</v>
      </c>
      <c r="U495" s="4">
        <v>0</v>
      </c>
      <c r="V495" s="4">
        <v>60</v>
      </c>
      <c r="W495" s="4">
        <v>16</v>
      </c>
    </row>
    <row r="496" spans="1:23" ht="11.25" customHeight="1" x14ac:dyDescent="0.25">
      <c r="A496" s="4" t="s">
        <v>21</v>
      </c>
      <c r="B496" s="4" t="s">
        <v>40</v>
      </c>
      <c r="C496" s="4" t="s">
        <v>23</v>
      </c>
      <c r="D496" s="4" t="s">
        <v>41</v>
      </c>
      <c r="E496" s="4" t="s">
        <v>50</v>
      </c>
      <c r="F496" s="4" t="s">
        <v>51</v>
      </c>
      <c r="G496" s="4" t="s">
        <v>25</v>
      </c>
      <c r="H496" s="4" t="s">
        <v>25</v>
      </c>
      <c r="I496" s="5">
        <v>44378</v>
      </c>
      <c r="J496" s="6">
        <v>0</v>
      </c>
      <c r="K496" s="6">
        <v>0</v>
      </c>
      <c r="L496" s="6">
        <v>5156.4939999999997</v>
      </c>
      <c r="M496" s="6">
        <v>5156.4939999999997</v>
      </c>
      <c r="N496" s="6">
        <v>5156.4939999999997</v>
      </c>
      <c r="O496" s="6">
        <v>5156.4939999999997</v>
      </c>
      <c r="P496" s="6">
        <v>0</v>
      </c>
      <c r="Q496" s="4" t="s">
        <v>26</v>
      </c>
      <c r="R496" s="4">
        <v>0</v>
      </c>
      <c r="S496" s="4" t="s">
        <v>216</v>
      </c>
      <c r="T496" s="4" t="s">
        <v>353</v>
      </c>
      <c r="U496" s="4">
        <v>0</v>
      </c>
      <c r="V496" s="4">
        <v>60</v>
      </c>
      <c r="W496" s="4">
        <v>16</v>
      </c>
    </row>
    <row r="497" spans="1:23" ht="11.25" customHeight="1" x14ac:dyDescent="0.25">
      <c r="A497" s="4" t="s">
        <v>27</v>
      </c>
      <c r="B497" s="4" t="s">
        <v>40</v>
      </c>
      <c r="C497" s="4" t="s">
        <v>23</v>
      </c>
      <c r="D497" s="4" t="s">
        <v>41</v>
      </c>
      <c r="E497" s="4" t="s">
        <v>50</v>
      </c>
      <c r="F497" s="4" t="s">
        <v>51</v>
      </c>
      <c r="G497" s="4" t="s">
        <v>25</v>
      </c>
      <c r="H497" s="4" t="s">
        <v>25</v>
      </c>
      <c r="I497" s="5">
        <v>44378</v>
      </c>
      <c r="J497" s="6">
        <v>0</v>
      </c>
      <c r="K497" s="6">
        <v>0</v>
      </c>
      <c r="L497" s="6">
        <v>-3.8</v>
      </c>
      <c r="M497" s="6">
        <v>-3.8</v>
      </c>
      <c r="N497" s="6">
        <v>-3.8</v>
      </c>
      <c r="O497" s="6">
        <v>-3.8</v>
      </c>
      <c r="P497" s="6">
        <v>0</v>
      </c>
      <c r="Q497" s="4" t="s">
        <v>26</v>
      </c>
      <c r="R497" s="4">
        <v>0</v>
      </c>
      <c r="S497" s="4" t="s">
        <v>216</v>
      </c>
      <c r="T497" s="4" t="s">
        <v>353</v>
      </c>
      <c r="U497" s="4">
        <v>0</v>
      </c>
      <c r="V497" s="4">
        <v>60</v>
      </c>
      <c r="W497" s="4">
        <v>16</v>
      </c>
    </row>
    <row r="498" spans="1:23" ht="11.25" customHeight="1" x14ac:dyDescent="0.25">
      <c r="A498" s="4" t="s">
        <v>28</v>
      </c>
      <c r="B498" s="4" t="s">
        <v>40</v>
      </c>
      <c r="C498" s="4" t="s">
        <v>23</v>
      </c>
      <c r="D498" s="4" t="s">
        <v>41</v>
      </c>
      <c r="E498" s="4" t="s">
        <v>50</v>
      </c>
      <c r="F498" s="4" t="s">
        <v>51</v>
      </c>
      <c r="G498" s="4" t="s">
        <v>25</v>
      </c>
      <c r="H498" s="4" t="s">
        <v>25</v>
      </c>
      <c r="I498" s="5">
        <v>44378</v>
      </c>
      <c r="J498" s="6">
        <v>0</v>
      </c>
      <c r="K498" s="6">
        <v>0</v>
      </c>
      <c r="L498" s="6">
        <v>0.2</v>
      </c>
      <c r="M498" s="6">
        <v>0.2</v>
      </c>
      <c r="N498" s="6">
        <v>0.2</v>
      </c>
      <c r="O498" s="6">
        <v>0.2</v>
      </c>
      <c r="P498" s="6">
        <v>0</v>
      </c>
      <c r="Q498" s="4" t="s">
        <v>26</v>
      </c>
      <c r="R498" s="4">
        <v>0</v>
      </c>
      <c r="S498" s="4" t="s">
        <v>216</v>
      </c>
      <c r="T498" s="4" t="s">
        <v>353</v>
      </c>
      <c r="U498" s="4">
        <v>0</v>
      </c>
      <c r="V498" s="4">
        <v>60</v>
      </c>
      <c r="W498" s="4">
        <v>16</v>
      </c>
    </row>
    <row r="499" spans="1:23" ht="11.25" customHeight="1" x14ac:dyDescent="0.25">
      <c r="A499" s="4" t="s">
        <v>21</v>
      </c>
      <c r="B499" s="4" t="s">
        <v>40</v>
      </c>
      <c r="C499" s="4" t="s">
        <v>23</v>
      </c>
      <c r="D499" s="4" t="s">
        <v>41</v>
      </c>
      <c r="E499" s="4" t="s">
        <v>50</v>
      </c>
      <c r="F499" s="4" t="s">
        <v>51</v>
      </c>
      <c r="G499" s="4" t="s">
        <v>25</v>
      </c>
      <c r="H499" s="4" t="s">
        <v>25</v>
      </c>
      <c r="I499" s="5">
        <v>44409</v>
      </c>
      <c r="J499" s="6">
        <v>0</v>
      </c>
      <c r="K499" s="6">
        <v>0</v>
      </c>
      <c r="L499" s="6">
        <v>1334.6210000000001</v>
      </c>
      <c r="M499" s="6">
        <v>1334.6210000000001</v>
      </c>
      <c r="N499" s="6">
        <v>1334.6210000000001</v>
      </c>
      <c r="O499" s="6">
        <v>1334.6210000000001</v>
      </c>
      <c r="P499" s="6">
        <v>0</v>
      </c>
      <c r="Q499" s="4" t="s">
        <v>26</v>
      </c>
      <c r="R499" s="4">
        <v>0</v>
      </c>
      <c r="S499" s="4" t="s">
        <v>217</v>
      </c>
      <c r="T499" s="4" t="s">
        <v>354</v>
      </c>
      <c r="U499" s="4">
        <v>0</v>
      </c>
      <c r="V499" s="4">
        <v>60</v>
      </c>
      <c r="W499" s="4">
        <v>16</v>
      </c>
    </row>
    <row r="500" spans="1:23" ht="11.25" customHeight="1" x14ac:dyDescent="0.25">
      <c r="A500" s="4" t="s">
        <v>27</v>
      </c>
      <c r="B500" s="4" t="s">
        <v>40</v>
      </c>
      <c r="C500" s="4" t="s">
        <v>23</v>
      </c>
      <c r="D500" s="4" t="s">
        <v>41</v>
      </c>
      <c r="E500" s="4" t="s">
        <v>50</v>
      </c>
      <c r="F500" s="4" t="s">
        <v>51</v>
      </c>
      <c r="G500" s="4" t="s">
        <v>25</v>
      </c>
      <c r="H500" s="4" t="s">
        <v>25</v>
      </c>
      <c r="I500" s="5">
        <v>44409</v>
      </c>
      <c r="J500" s="6">
        <v>0</v>
      </c>
      <c r="K500" s="6">
        <v>0</v>
      </c>
      <c r="L500" s="6">
        <v>-4000.4</v>
      </c>
      <c r="M500" s="6">
        <v>-4000.4</v>
      </c>
      <c r="N500" s="6">
        <v>-4000.4</v>
      </c>
      <c r="O500" s="6">
        <v>-4000.4</v>
      </c>
      <c r="P500" s="6">
        <v>0</v>
      </c>
      <c r="Q500" s="4" t="s">
        <v>26</v>
      </c>
      <c r="R500" s="4">
        <v>0</v>
      </c>
      <c r="S500" s="4" t="s">
        <v>217</v>
      </c>
      <c r="T500" s="4" t="s">
        <v>354</v>
      </c>
      <c r="U500" s="4">
        <v>0</v>
      </c>
      <c r="V500" s="4">
        <v>60</v>
      </c>
      <c r="W500" s="4">
        <v>16</v>
      </c>
    </row>
    <row r="501" spans="1:23" ht="11.25" customHeight="1" x14ac:dyDescent="0.25">
      <c r="A501" s="4" t="s">
        <v>28</v>
      </c>
      <c r="B501" s="4" t="s">
        <v>40</v>
      </c>
      <c r="C501" s="4" t="s">
        <v>23</v>
      </c>
      <c r="D501" s="4" t="s">
        <v>41</v>
      </c>
      <c r="E501" s="4" t="s">
        <v>50</v>
      </c>
      <c r="F501" s="4" t="s">
        <v>51</v>
      </c>
      <c r="G501" s="4" t="s">
        <v>25</v>
      </c>
      <c r="H501" s="4" t="s">
        <v>25</v>
      </c>
      <c r="I501" s="5">
        <v>44409</v>
      </c>
      <c r="J501" s="6">
        <v>0</v>
      </c>
      <c r="K501" s="6">
        <v>0</v>
      </c>
      <c r="L501" s="6">
        <v>1.9319999999999999</v>
      </c>
      <c r="M501" s="6">
        <v>1.9319999999999999</v>
      </c>
      <c r="N501" s="6">
        <v>1.9319999999999999</v>
      </c>
      <c r="O501" s="6">
        <v>1.9319999999999999</v>
      </c>
      <c r="P501" s="6">
        <v>0</v>
      </c>
      <c r="Q501" s="4" t="s">
        <v>26</v>
      </c>
      <c r="R501" s="4">
        <v>0</v>
      </c>
      <c r="S501" s="4" t="s">
        <v>217</v>
      </c>
      <c r="T501" s="4" t="s">
        <v>354</v>
      </c>
      <c r="U501" s="4">
        <v>0</v>
      </c>
      <c r="V501" s="4">
        <v>60</v>
      </c>
      <c r="W501" s="4">
        <v>16</v>
      </c>
    </row>
    <row r="502" spans="1:23" ht="11.25" customHeight="1" x14ac:dyDescent="0.25">
      <c r="A502" s="4" t="s">
        <v>21</v>
      </c>
      <c r="B502" s="4" t="s">
        <v>40</v>
      </c>
      <c r="C502" s="4" t="s">
        <v>23</v>
      </c>
      <c r="D502" s="4" t="s">
        <v>41</v>
      </c>
      <c r="E502" s="4" t="s">
        <v>50</v>
      </c>
      <c r="F502" s="4" t="s">
        <v>51</v>
      </c>
      <c r="G502" s="4" t="s">
        <v>25</v>
      </c>
      <c r="H502" s="4" t="s">
        <v>25</v>
      </c>
      <c r="I502" s="5">
        <v>44440</v>
      </c>
      <c r="J502" s="6">
        <v>0</v>
      </c>
      <c r="K502" s="6">
        <v>0</v>
      </c>
      <c r="L502" s="6">
        <v>1521.9469999999999</v>
      </c>
      <c r="M502" s="6">
        <v>1521.9469999999999</v>
      </c>
      <c r="N502" s="6">
        <v>1521.9469999999999</v>
      </c>
      <c r="O502" s="6">
        <v>1521.9469999999999</v>
      </c>
      <c r="P502" s="6">
        <v>0</v>
      </c>
      <c r="Q502" s="4" t="s">
        <v>26</v>
      </c>
      <c r="R502" s="4">
        <v>0</v>
      </c>
      <c r="S502" s="4" t="s">
        <v>218</v>
      </c>
      <c r="T502" s="4" t="s">
        <v>355</v>
      </c>
      <c r="U502" s="4">
        <v>0</v>
      </c>
      <c r="V502" s="4">
        <v>60</v>
      </c>
      <c r="W502" s="4">
        <v>16</v>
      </c>
    </row>
    <row r="503" spans="1:23" ht="11.25" customHeight="1" x14ac:dyDescent="0.25">
      <c r="A503" s="4" t="s">
        <v>28</v>
      </c>
      <c r="B503" s="4" t="s">
        <v>40</v>
      </c>
      <c r="C503" s="4" t="s">
        <v>23</v>
      </c>
      <c r="D503" s="4" t="s">
        <v>41</v>
      </c>
      <c r="E503" s="4" t="s">
        <v>50</v>
      </c>
      <c r="F503" s="4" t="s">
        <v>51</v>
      </c>
      <c r="G503" s="4" t="s">
        <v>25</v>
      </c>
      <c r="H503" s="4" t="s">
        <v>25</v>
      </c>
      <c r="I503" s="5">
        <v>44440</v>
      </c>
      <c r="J503" s="6">
        <v>0</v>
      </c>
      <c r="K503" s="6">
        <v>0</v>
      </c>
      <c r="L503" s="6">
        <v>0.1</v>
      </c>
      <c r="M503" s="6">
        <v>0.1</v>
      </c>
      <c r="N503" s="6">
        <v>0.1</v>
      </c>
      <c r="O503" s="6">
        <v>0.1</v>
      </c>
      <c r="P503" s="6">
        <v>0</v>
      </c>
      <c r="Q503" s="4" t="s">
        <v>26</v>
      </c>
      <c r="R503" s="4">
        <v>0</v>
      </c>
      <c r="S503" s="4" t="s">
        <v>218</v>
      </c>
      <c r="T503" s="4" t="s">
        <v>355</v>
      </c>
      <c r="U503" s="4">
        <v>0</v>
      </c>
      <c r="V503" s="4">
        <v>60</v>
      </c>
      <c r="W503" s="4">
        <v>16</v>
      </c>
    </row>
    <row r="504" spans="1:23" ht="11.25" customHeight="1" x14ac:dyDescent="0.25">
      <c r="A504" s="4" t="s">
        <v>21</v>
      </c>
      <c r="B504" s="4" t="s">
        <v>40</v>
      </c>
      <c r="C504" s="4" t="s">
        <v>23</v>
      </c>
      <c r="D504" s="4" t="s">
        <v>41</v>
      </c>
      <c r="E504" s="4" t="s">
        <v>50</v>
      </c>
      <c r="F504" s="4" t="s">
        <v>51</v>
      </c>
      <c r="G504" s="4" t="s">
        <v>25</v>
      </c>
      <c r="H504" s="4" t="s">
        <v>25</v>
      </c>
      <c r="I504" s="5">
        <v>44470</v>
      </c>
      <c r="J504" s="6">
        <v>0</v>
      </c>
      <c r="K504" s="6">
        <v>0</v>
      </c>
      <c r="L504" s="6">
        <v>1443.8409999999999</v>
      </c>
      <c r="M504" s="6">
        <v>1443.8409999999999</v>
      </c>
      <c r="N504" s="6">
        <v>1443.8409999999999</v>
      </c>
      <c r="O504" s="6">
        <v>1443.8409999999999</v>
      </c>
      <c r="P504" s="6">
        <v>0</v>
      </c>
      <c r="Q504" s="4" t="s">
        <v>26</v>
      </c>
      <c r="R504" s="4">
        <v>0</v>
      </c>
      <c r="S504" s="4" t="s">
        <v>219</v>
      </c>
      <c r="T504" s="4" t="s">
        <v>356</v>
      </c>
      <c r="U504" s="4">
        <v>0</v>
      </c>
      <c r="V504" s="4">
        <v>60</v>
      </c>
      <c r="W504" s="4">
        <v>16</v>
      </c>
    </row>
    <row r="505" spans="1:23" ht="11.25" customHeight="1" x14ac:dyDescent="0.25">
      <c r="A505" s="4" t="s">
        <v>28</v>
      </c>
      <c r="B505" s="4" t="s">
        <v>40</v>
      </c>
      <c r="C505" s="4" t="s">
        <v>23</v>
      </c>
      <c r="D505" s="4" t="s">
        <v>41</v>
      </c>
      <c r="E505" s="4" t="s">
        <v>50</v>
      </c>
      <c r="F505" s="4" t="s">
        <v>51</v>
      </c>
      <c r="G505" s="4" t="s">
        <v>25</v>
      </c>
      <c r="H505" s="4" t="s">
        <v>25</v>
      </c>
      <c r="I505" s="5">
        <v>44470</v>
      </c>
      <c r="J505" s="6">
        <v>0</v>
      </c>
      <c r="K505" s="6">
        <v>0</v>
      </c>
      <c r="L505" s="6">
        <v>7.3</v>
      </c>
      <c r="M505" s="6">
        <v>7.3</v>
      </c>
      <c r="N505" s="6">
        <v>7.3</v>
      </c>
      <c r="O505" s="6">
        <v>7.3</v>
      </c>
      <c r="P505" s="6">
        <v>0</v>
      </c>
      <c r="Q505" s="4" t="s">
        <v>26</v>
      </c>
      <c r="R505" s="4">
        <v>0</v>
      </c>
      <c r="S505" s="4" t="s">
        <v>219</v>
      </c>
      <c r="T505" s="4" t="s">
        <v>356</v>
      </c>
      <c r="U505" s="4">
        <v>0</v>
      </c>
      <c r="V505" s="4">
        <v>60</v>
      </c>
      <c r="W505" s="4">
        <v>16</v>
      </c>
    </row>
    <row r="506" spans="1:23" ht="11.25" customHeight="1" x14ac:dyDescent="0.25">
      <c r="A506" s="4" t="s">
        <v>21</v>
      </c>
      <c r="B506" s="4" t="s">
        <v>40</v>
      </c>
      <c r="C506" s="4" t="s">
        <v>23</v>
      </c>
      <c r="D506" s="4" t="s">
        <v>41</v>
      </c>
      <c r="E506" s="4" t="s">
        <v>50</v>
      </c>
      <c r="F506" s="4" t="s">
        <v>51</v>
      </c>
      <c r="G506" s="4" t="s">
        <v>25</v>
      </c>
      <c r="H506" s="4" t="s">
        <v>25</v>
      </c>
      <c r="I506" s="5">
        <v>44501</v>
      </c>
      <c r="J506" s="6">
        <v>0</v>
      </c>
      <c r="K506" s="6">
        <v>0</v>
      </c>
      <c r="L506" s="6">
        <v>1907.675</v>
      </c>
      <c r="M506" s="6">
        <v>1907.675</v>
      </c>
      <c r="N506" s="6">
        <v>1907.675</v>
      </c>
      <c r="O506" s="6">
        <v>1907.675</v>
      </c>
      <c r="P506" s="6">
        <v>0</v>
      </c>
      <c r="Q506" s="4" t="s">
        <v>26</v>
      </c>
      <c r="R506" s="4">
        <v>0</v>
      </c>
      <c r="S506" s="4" t="s">
        <v>220</v>
      </c>
      <c r="T506" s="4" t="s">
        <v>357</v>
      </c>
      <c r="U506" s="4">
        <v>0</v>
      </c>
      <c r="V506" s="4">
        <v>60</v>
      </c>
      <c r="W506" s="4">
        <v>16</v>
      </c>
    </row>
    <row r="507" spans="1:23" ht="11.25" customHeight="1" x14ac:dyDescent="0.25">
      <c r="A507" s="4" t="s">
        <v>28</v>
      </c>
      <c r="B507" s="4" t="s">
        <v>40</v>
      </c>
      <c r="C507" s="4" t="s">
        <v>23</v>
      </c>
      <c r="D507" s="4" t="s">
        <v>41</v>
      </c>
      <c r="E507" s="4" t="s">
        <v>50</v>
      </c>
      <c r="F507" s="4" t="s">
        <v>51</v>
      </c>
      <c r="G507" s="4" t="s">
        <v>25</v>
      </c>
      <c r="H507" s="4" t="s">
        <v>25</v>
      </c>
      <c r="I507" s="5">
        <v>44501</v>
      </c>
      <c r="J507" s="6">
        <v>0</v>
      </c>
      <c r="K507" s="6">
        <v>0</v>
      </c>
      <c r="L507" s="6">
        <v>25.234000000000002</v>
      </c>
      <c r="M507" s="6">
        <v>25.234000000000002</v>
      </c>
      <c r="N507" s="6">
        <v>25.234000000000002</v>
      </c>
      <c r="O507" s="6">
        <v>25.234000000000002</v>
      </c>
      <c r="P507" s="6">
        <v>0</v>
      </c>
      <c r="Q507" s="4" t="s">
        <v>26</v>
      </c>
      <c r="R507" s="4">
        <v>0</v>
      </c>
      <c r="S507" s="4" t="s">
        <v>220</v>
      </c>
      <c r="T507" s="4" t="s">
        <v>357</v>
      </c>
      <c r="U507" s="4">
        <v>0</v>
      </c>
      <c r="V507" s="4">
        <v>60</v>
      </c>
      <c r="W507" s="4">
        <v>16</v>
      </c>
    </row>
    <row r="508" spans="1:23" ht="11.25" customHeight="1" x14ac:dyDescent="0.25">
      <c r="A508" s="4" t="s">
        <v>21</v>
      </c>
      <c r="B508" s="4" t="s">
        <v>40</v>
      </c>
      <c r="C508" s="4" t="s">
        <v>23</v>
      </c>
      <c r="D508" s="4" t="s">
        <v>41</v>
      </c>
      <c r="E508" s="4" t="s">
        <v>50</v>
      </c>
      <c r="F508" s="4" t="s">
        <v>51</v>
      </c>
      <c r="G508" s="4" t="s">
        <v>25</v>
      </c>
      <c r="H508" s="4" t="s">
        <v>25</v>
      </c>
      <c r="I508" s="5">
        <v>44531</v>
      </c>
      <c r="J508" s="6">
        <v>0</v>
      </c>
      <c r="K508" s="6">
        <v>0</v>
      </c>
      <c r="L508" s="6">
        <v>1652.027</v>
      </c>
      <c r="M508" s="6">
        <v>1652.027</v>
      </c>
      <c r="N508" s="6">
        <v>1652.027</v>
      </c>
      <c r="O508" s="6">
        <v>1652.027</v>
      </c>
      <c r="P508" s="6">
        <v>0</v>
      </c>
      <c r="Q508" s="4" t="s">
        <v>26</v>
      </c>
      <c r="R508" s="4">
        <v>0</v>
      </c>
      <c r="S508" s="4" t="s">
        <v>221</v>
      </c>
      <c r="T508" s="4" t="s">
        <v>358</v>
      </c>
      <c r="U508" s="4">
        <v>0</v>
      </c>
      <c r="V508" s="4">
        <v>60</v>
      </c>
      <c r="W508" s="4">
        <v>16</v>
      </c>
    </row>
    <row r="509" spans="1:23" ht="11.25" customHeight="1" x14ac:dyDescent="0.25">
      <c r="A509" s="4" t="s">
        <v>27</v>
      </c>
      <c r="B509" s="4" t="s">
        <v>40</v>
      </c>
      <c r="C509" s="4" t="s">
        <v>23</v>
      </c>
      <c r="D509" s="4" t="s">
        <v>41</v>
      </c>
      <c r="E509" s="4" t="s">
        <v>50</v>
      </c>
      <c r="F509" s="4" t="s">
        <v>51</v>
      </c>
      <c r="G509" s="4" t="s">
        <v>25</v>
      </c>
      <c r="H509" s="4" t="s">
        <v>25</v>
      </c>
      <c r="I509" s="5">
        <v>44531</v>
      </c>
      <c r="J509" s="6">
        <v>0</v>
      </c>
      <c r="K509" s="6">
        <v>0</v>
      </c>
      <c r="L509" s="6">
        <v>120.685</v>
      </c>
      <c r="M509" s="6">
        <v>120.685</v>
      </c>
      <c r="N509" s="6">
        <v>120.685</v>
      </c>
      <c r="O509" s="6">
        <v>120.685</v>
      </c>
      <c r="P509" s="6">
        <v>0</v>
      </c>
      <c r="Q509" s="4" t="s">
        <v>26</v>
      </c>
      <c r="R509" s="4">
        <v>0</v>
      </c>
      <c r="S509" s="4" t="s">
        <v>221</v>
      </c>
      <c r="T509" s="4" t="s">
        <v>358</v>
      </c>
      <c r="U509" s="4">
        <v>0</v>
      </c>
      <c r="V509" s="4">
        <v>60</v>
      </c>
      <c r="W509" s="4">
        <v>16</v>
      </c>
    </row>
    <row r="510" spans="1:23" ht="11.25" customHeight="1" x14ac:dyDescent="0.25">
      <c r="A510" s="4" t="s">
        <v>28</v>
      </c>
      <c r="B510" s="4" t="s">
        <v>40</v>
      </c>
      <c r="C510" s="4" t="s">
        <v>23</v>
      </c>
      <c r="D510" s="4" t="s">
        <v>41</v>
      </c>
      <c r="E510" s="4" t="s">
        <v>50</v>
      </c>
      <c r="F510" s="4" t="s">
        <v>51</v>
      </c>
      <c r="G510" s="4" t="s">
        <v>25</v>
      </c>
      <c r="H510" s="4" t="s">
        <v>25</v>
      </c>
      <c r="I510" s="5">
        <v>44531</v>
      </c>
      <c r="J510" s="6">
        <v>0</v>
      </c>
      <c r="K510" s="6">
        <v>0</v>
      </c>
      <c r="L510" s="6">
        <v>24.227</v>
      </c>
      <c r="M510" s="6">
        <v>24.227</v>
      </c>
      <c r="N510" s="6">
        <v>24.227</v>
      </c>
      <c r="O510" s="6">
        <v>24.227</v>
      </c>
      <c r="P510" s="6">
        <v>0</v>
      </c>
      <c r="Q510" s="4" t="s">
        <v>26</v>
      </c>
      <c r="R510" s="4">
        <v>0</v>
      </c>
      <c r="S510" s="4" t="s">
        <v>221</v>
      </c>
      <c r="T510" s="4" t="s">
        <v>358</v>
      </c>
      <c r="U510" s="4">
        <v>0</v>
      </c>
      <c r="V510" s="4">
        <v>60</v>
      </c>
      <c r="W510" s="4">
        <v>16</v>
      </c>
    </row>
    <row r="511" spans="1:23" ht="11.25" customHeight="1" x14ac:dyDescent="0.25">
      <c r="A511" s="4" t="s">
        <v>21</v>
      </c>
      <c r="B511" s="4" t="s">
        <v>40</v>
      </c>
      <c r="C511" s="4" t="s">
        <v>23</v>
      </c>
      <c r="D511" s="4" t="s">
        <v>41</v>
      </c>
      <c r="E511" s="4" t="s">
        <v>50</v>
      </c>
      <c r="F511" s="4" t="s">
        <v>51</v>
      </c>
      <c r="G511" s="4" t="s">
        <v>25</v>
      </c>
      <c r="H511" s="4" t="s">
        <v>25</v>
      </c>
      <c r="I511" s="5">
        <v>44562</v>
      </c>
      <c r="J511" s="6">
        <v>0</v>
      </c>
      <c r="K511" s="6">
        <v>0</v>
      </c>
      <c r="L511" s="6">
        <v>1415.28</v>
      </c>
      <c r="M511" s="6">
        <v>1415.28</v>
      </c>
      <c r="N511" s="6">
        <v>1415.28</v>
      </c>
      <c r="O511" s="6">
        <v>1415.28</v>
      </c>
      <c r="P511" s="6">
        <v>0</v>
      </c>
      <c r="Q511" s="4" t="s">
        <v>26</v>
      </c>
      <c r="R511" s="4">
        <v>0</v>
      </c>
      <c r="S511" s="4" t="s">
        <v>222</v>
      </c>
      <c r="T511" s="4" t="s">
        <v>359</v>
      </c>
      <c r="U511" s="4">
        <v>0</v>
      </c>
      <c r="V511" s="4">
        <v>60</v>
      </c>
      <c r="W511" s="4">
        <v>16</v>
      </c>
    </row>
    <row r="512" spans="1:23" ht="11.25" customHeight="1" x14ac:dyDescent="0.25">
      <c r="A512" s="4" t="s">
        <v>28</v>
      </c>
      <c r="B512" s="4" t="s">
        <v>40</v>
      </c>
      <c r="C512" s="4" t="s">
        <v>23</v>
      </c>
      <c r="D512" s="4" t="s">
        <v>41</v>
      </c>
      <c r="E512" s="4" t="s">
        <v>50</v>
      </c>
      <c r="F512" s="4" t="s">
        <v>51</v>
      </c>
      <c r="G512" s="4" t="s">
        <v>25</v>
      </c>
      <c r="H512" s="4" t="s">
        <v>25</v>
      </c>
      <c r="I512" s="5">
        <v>44562</v>
      </c>
      <c r="J512" s="6">
        <v>0</v>
      </c>
      <c r="K512" s="6">
        <v>0</v>
      </c>
      <c r="L512" s="6">
        <v>10.531000000000001</v>
      </c>
      <c r="M512" s="6">
        <v>10.531000000000001</v>
      </c>
      <c r="N512" s="6">
        <v>10.531000000000001</v>
      </c>
      <c r="O512" s="6">
        <v>10.531000000000001</v>
      </c>
      <c r="P512" s="6">
        <v>0</v>
      </c>
      <c r="Q512" s="4" t="s">
        <v>26</v>
      </c>
      <c r="R512" s="4">
        <v>0</v>
      </c>
      <c r="S512" s="4" t="s">
        <v>222</v>
      </c>
      <c r="T512" s="4" t="s">
        <v>359</v>
      </c>
      <c r="U512" s="4">
        <v>0</v>
      </c>
      <c r="V512" s="4">
        <v>60</v>
      </c>
      <c r="W512" s="4">
        <v>16</v>
      </c>
    </row>
    <row r="513" spans="1:23" ht="11.25" customHeight="1" x14ac:dyDescent="0.25">
      <c r="A513" s="4" t="s">
        <v>21</v>
      </c>
      <c r="B513" s="4" t="s">
        <v>40</v>
      </c>
      <c r="C513" s="4" t="s">
        <v>23</v>
      </c>
      <c r="D513" s="4" t="s">
        <v>41</v>
      </c>
      <c r="E513" s="4" t="s">
        <v>50</v>
      </c>
      <c r="F513" s="4" t="s">
        <v>51</v>
      </c>
      <c r="G513" s="4" t="s">
        <v>25</v>
      </c>
      <c r="H513" s="4" t="s">
        <v>25</v>
      </c>
      <c r="I513" s="5">
        <v>44593</v>
      </c>
      <c r="J513" s="6">
        <v>0</v>
      </c>
      <c r="K513" s="6">
        <v>0</v>
      </c>
      <c r="L513" s="6">
        <v>1298.3779999999999</v>
      </c>
      <c r="M513" s="6">
        <v>1298.3779999999999</v>
      </c>
      <c r="N513" s="6">
        <v>1298.3779999999999</v>
      </c>
      <c r="O513" s="6">
        <v>1298.3779999999999</v>
      </c>
      <c r="P513" s="6">
        <v>0</v>
      </c>
      <c r="Q513" s="4" t="s">
        <v>26</v>
      </c>
      <c r="R513" s="4">
        <v>0</v>
      </c>
      <c r="S513" s="4" t="s">
        <v>223</v>
      </c>
      <c r="T513" s="4" t="s">
        <v>360</v>
      </c>
      <c r="U513" s="4">
        <v>0</v>
      </c>
      <c r="V513" s="4">
        <v>60</v>
      </c>
      <c r="W513" s="4">
        <v>16</v>
      </c>
    </row>
    <row r="514" spans="1:23" ht="11.25" customHeight="1" x14ac:dyDescent="0.25">
      <c r="A514" s="4" t="s">
        <v>28</v>
      </c>
      <c r="B514" s="4" t="s">
        <v>40</v>
      </c>
      <c r="C514" s="4" t="s">
        <v>23</v>
      </c>
      <c r="D514" s="4" t="s">
        <v>41</v>
      </c>
      <c r="E514" s="4" t="s">
        <v>50</v>
      </c>
      <c r="F514" s="4" t="s">
        <v>51</v>
      </c>
      <c r="G514" s="4" t="s">
        <v>25</v>
      </c>
      <c r="H514" s="4" t="s">
        <v>25</v>
      </c>
      <c r="I514" s="5">
        <v>44593</v>
      </c>
      <c r="J514" s="6">
        <v>0</v>
      </c>
      <c r="K514" s="6">
        <v>0</v>
      </c>
      <c r="L514" s="6">
        <v>17.302</v>
      </c>
      <c r="M514" s="6">
        <v>17.302</v>
      </c>
      <c r="N514" s="6">
        <v>17.302</v>
      </c>
      <c r="O514" s="6">
        <v>17.302</v>
      </c>
      <c r="P514" s="6">
        <v>0</v>
      </c>
      <c r="Q514" s="4" t="s">
        <v>26</v>
      </c>
      <c r="R514" s="4">
        <v>0</v>
      </c>
      <c r="S514" s="4" t="s">
        <v>223</v>
      </c>
      <c r="T514" s="4" t="s">
        <v>360</v>
      </c>
      <c r="U514" s="4">
        <v>0</v>
      </c>
      <c r="V514" s="4">
        <v>60</v>
      </c>
      <c r="W514" s="4">
        <v>16</v>
      </c>
    </row>
    <row r="515" spans="1:23" ht="11.25" customHeight="1" x14ac:dyDescent="0.25">
      <c r="A515" s="4" t="s">
        <v>54</v>
      </c>
      <c r="B515" s="4" t="s">
        <v>40</v>
      </c>
      <c r="C515" s="4" t="s">
        <v>23</v>
      </c>
      <c r="D515" s="4" t="s">
        <v>41</v>
      </c>
      <c r="E515" s="4" t="s">
        <v>50</v>
      </c>
      <c r="F515" s="4" t="s">
        <v>51</v>
      </c>
      <c r="G515" s="4" t="s">
        <v>25</v>
      </c>
      <c r="H515" s="4" t="s">
        <v>25</v>
      </c>
      <c r="I515" s="5">
        <v>44621</v>
      </c>
      <c r="J515" s="6">
        <v>0</v>
      </c>
      <c r="K515" s="6">
        <v>0</v>
      </c>
      <c r="L515" s="6">
        <v>1298.3779999999999</v>
      </c>
      <c r="M515" s="6">
        <v>1298.3779999999999</v>
      </c>
      <c r="N515" s="6">
        <v>1298.3779999999999</v>
      </c>
      <c r="O515" s="6">
        <v>1298.3779999999999</v>
      </c>
      <c r="P515" s="6">
        <v>0</v>
      </c>
      <c r="Q515" s="4" t="s">
        <v>26</v>
      </c>
      <c r="R515" s="4">
        <v>0</v>
      </c>
      <c r="S515" s="4" t="s">
        <v>224</v>
      </c>
      <c r="T515" s="4" t="s">
        <v>361</v>
      </c>
      <c r="U515" s="4">
        <v>0</v>
      </c>
      <c r="V515" s="4">
        <v>60</v>
      </c>
      <c r="W515" s="4">
        <v>16</v>
      </c>
    </row>
    <row r="516" spans="1:23" ht="11.25" customHeight="1" x14ac:dyDescent="0.25">
      <c r="A516" s="4" t="s">
        <v>54</v>
      </c>
      <c r="B516" s="4" t="s">
        <v>40</v>
      </c>
      <c r="C516" s="4" t="s">
        <v>23</v>
      </c>
      <c r="D516" s="4" t="s">
        <v>41</v>
      </c>
      <c r="E516" s="4" t="s">
        <v>50</v>
      </c>
      <c r="F516" s="4" t="s">
        <v>51</v>
      </c>
      <c r="G516" s="4" t="s">
        <v>25</v>
      </c>
      <c r="H516" s="4" t="s">
        <v>25</v>
      </c>
      <c r="I516" s="5">
        <v>44621</v>
      </c>
      <c r="J516" s="6">
        <v>0</v>
      </c>
      <c r="K516" s="6">
        <v>0</v>
      </c>
      <c r="L516" s="6">
        <v>17.302</v>
      </c>
      <c r="M516" s="6">
        <v>17.302</v>
      </c>
      <c r="N516" s="6">
        <v>17.302</v>
      </c>
      <c r="O516" s="6">
        <v>17.302</v>
      </c>
      <c r="P516" s="6">
        <v>0</v>
      </c>
      <c r="Q516" s="4" t="s">
        <v>26</v>
      </c>
      <c r="R516" s="4">
        <v>0</v>
      </c>
      <c r="S516" s="4" t="s">
        <v>224</v>
      </c>
      <c r="T516" s="4" t="s">
        <v>361</v>
      </c>
      <c r="U516" s="4">
        <v>0</v>
      </c>
      <c r="V516" s="4">
        <v>60</v>
      </c>
      <c r="W516" s="4">
        <v>16</v>
      </c>
    </row>
    <row r="517" spans="1:23" ht="11.25" customHeight="1" x14ac:dyDescent="0.25">
      <c r="A517" s="4" t="s">
        <v>21</v>
      </c>
      <c r="B517" s="4" t="s">
        <v>40</v>
      </c>
      <c r="C517" s="4" t="s">
        <v>23</v>
      </c>
      <c r="D517" s="4" t="s">
        <v>41</v>
      </c>
      <c r="E517" s="4" t="s">
        <v>50</v>
      </c>
      <c r="F517" s="4" t="s">
        <v>52</v>
      </c>
      <c r="G517" s="4" t="s">
        <v>25</v>
      </c>
      <c r="H517" s="4" t="s">
        <v>25</v>
      </c>
      <c r="I517" s="5">
        <v>44287</v>
      </c>
      <c r="J517" s="6">
        <v>0</v>
      </c>
      <c r="K517" s="6">
        <v>0</v>
      </c>
      <c r="L517" s="6">
        <v>1064.1079999999999</v>
      </c>
      <c r="M517" s="6">
        <v>425.64319999999998</v>
      </c>
      <c r="N517" s="6">
        <v>1064.1079999999999</v>
      </c>
      <c r="O517" s="6">
        <v>425.64319999999998</v>
      </c>
      <c r="P517" s="6">
        <v>0</v>
      </c>
      <c r="Q517" s="4" t="s">
        <v>26</v>
      </c>
      <c r="R517" s="4">
        <v>0</v>
      </c>
      <c r="S517" s="4" t="s">
        <v>213</v>
      </c>
      <c r="T517" s="4" t="s">
        <v>350</v>
      </c>
      <c r="U517" s="4">
        <v>0</v>
      </c>
      <c r="V517" s="4">
        <v>60</v>
      </c>
      <c r="W517" s="4">
        <v>16</v>
      </c>
    </row>
    <row r="518" spans="1:23" ht="11.25" customHeight="1" x14ac:dyDescent="0.25">
      <c r="A518" s="4" t="s">
        <v>21</v>
      </c>
      <c r="B518" s="4" t="s">
        <v>40</v>
      </c>
      <c r="C518" s="4" t="s">
        <v>23</v>
      </c>
      <c r="D518" s="4" t="s">
        <v>41</v>
      </c>
      <c r="E518" s="4" t="s">
        <v>50</v>
      </c>
      <c r="F518" s="4" t="s">
        <v>52</v>
      </c>
      <c r="G518" s="4" t="s">
        <v>25</v>
      </c>
      <c r="H518" s="4" t="s">
        <v>25</v>
      </c>
      <c r="I518" s="5">
        <v>44317</v>
      </c>
      <c r="J518" s="6">
        <v>0</v>
      </c>
      <c r="K518" s="6">
        <v>0</v>
      </c>
      <c r="L518" s="6">
        <v>1083.645</v>
      </c>
      <c r="M518" s="6">
        <v>433.45800000000003</v>
      </c>
      <c r="N518" s="6">
        <v>1083.645</v>
      </c>
      <c r="O518" s="6">
        <v>433.45800000000003</v>
      </c>
      <c r="P518" s="6">
        <v>0</v>
      </c>
      <c r="Q518" s="4" t="s">
        <v>26</v>
      </c>
      <c r="R518" s="4">
        <v>0</v>
      </c>
      <c r="S518" s="4" t="s">
        <v>214</v>
      </c>
      <c r="T518" s="4" t="s">
        <v>351</v>
      </c>
      <c r="U518" s="4">
        <v>0</v>
      </c>
      <c r="V518" s="4">
        <v>60</v>
      </c>
      <c r="W518" s="4">
        <v>16</v>
      </c>
    </row>
    <row r="519" spans="1:23" ht="11.25" customHeight="1" x14ac:dyDescent="0.25">
      <c r="A519" s="4" t="s">
        <v>28</v>
      </c>
      <c r="B519" s="4" t="s">
        <v>40</v>
      </c>
      <c r="C519" s="4" t="s">
        <v>23</v>
      </c>
      <c r="D519" s="4" t="s">
        <v>41</v>
      </c>
      <c r="E519" s="4" t="s">
        <v>50</v>
      </c>
      <c r="F519" s="4" t="s">
        <v>52</v>
      </c>
      <c r="G519" s="4" t="s">
        <v>25</v>
      </c>
      <c r="H519" s="4" t="s">
        <v>25</v>
      </c>
      <c r="I519" s="5">
        <v>44317</v>
      </c>
      <c r="J519" s="6">
        <v>0</v>
      </c>
      <c r="K519" s="6">
        <v>0</v>
      </c>
      <c r="L519" s="6">
        <v>10.56</v>
      </c>
      <c r="M519" s="6">
        <v>10.56</v>
      </c>
      <c r="N519" s="6">
        <v>10.56</v>
      </c>
      <c r="O519" s="6">
        <v>10.56</v>
      </c>
      <c r="P519" s="6">
        <v>0</v>
      </c>
      <c r="Q519" s="4" t="s">
        <v>26</v>
      </c>
      <c r="R519" s="4">
        <v>0</v>
      </c>
      <c r="S519" s="4" t="s">
        <v>214</v>
      </c>
      <c r="T519" s="4" t="s">
        <v>351</v>
      </c>
      <c r="U519" s="4">
        <v>0</v>
      </c>
      <c r="V519" s="4">
        <v>60</v>
      </c>
      <c r="W519" s="4">
        <v>16</v>
      </c>
    </row>
    <row r="520" spans="1:23" ht="11.25" customHeight="1" x14ac:dyDescent="0.25">
      <c r="A520" s="4" t="s">
        <v>21</v>
      </c>
      <c r="B520" s="4" t="s">
        <v>40</v>
      </c>
      <c r="C520" s="4" t="s">
        <v>23</v>
      </c>
      <c r="D520" s="4" t="s">
        <v>41</v>
      </c>
      <c r="E520" s="4" t="s">
        <v>50</v>
      </c>
      <c r="F520" s="4" t="s">
        <v>52</v>
      </c>
      <c r="G520" s="4" t="s">
        <v>25</v>
      </c>
      <c r="H520" s="4" t="s">
        <v>25</v>
      </c>
      <c r="I520" s="5">
        <v>44348</v>
      </c>
      <c r="J520" s="6">
        <v>0</v>
      </c>
      <c r="K520" s="6">
        <v>0</v>
      </c>
      <c r="L520" s="6">
        <v>398.53300000000002</v>
      </c>
      <c r="M520" s="6">
        <v>159.41319999999999</v>
      </c>
      <c r="N520" s="6">
        <v>398.53300000000002</v>
      </c>
      <c r="O520" s="6">
        <v>159.41319999999999</v>
      </c>
      <c r="P520" s="6">
        <v>0</v>
      </c>
      <c r="Q520" s="4" t="s">
        <v>26</v>
      </c>
      <c r="R520" s="4">
        <v>0</v>
      </c>
      <c r="S520" s="4" t="s">
        <v>215</v>
      </c>
      <c r="T520" s="4" t="s">
        <v>352</v>
      </c>
      <c r="U520" s="4">
        <v>0</v>
      </c>
      <c r="V520" s="4">
        <v>60</v>
      </c>
      <c r="W520" s="4">
        <v>16</v>
      </c>
    </row>
    <row r="521" spans="1:23" ht="11.25" customHeight="1" x14ac:dyDescent="0.25">
      <c r="A521" s="4" t="s">
        <v>21</v>
      </c>
      <c r="B521" s="4" t="s">
        <v>40</v>
      </c>
      <c r="C521" s="4" t="s">
        <v>23</v>
      </c>
      <c r="D521" s="4" t="s">
        <v>41</v>
      </c>
      <c r="E521" s="4" t="s">
        <v>50</v>
      </c>
      <c r="F521" s="4" t="s">
        <v>52</v>
      </c>
      <c r="G521" s="4" t="s">
        <v>25</v>
      </c>
      <c r="H521" s="4" t="s">
        <v>25</v>
      </c>
      <c r="I521" s="5">
        <v>44378</v>
      </c>
      <c r="J521" s="6">
        <v>0</v>
      </c>
      <c r="K521" s="6">
        <v>0</v>
      </c>
      <c r="L521" s="6">
        <v>710.33799999999997</v>
      </c>
      <c r="M521" s="6">
        <v>284.1352</v>
      </c>
      <c r="N521" s="6">
        <v>710.33799999999997</v>
      </c>
      <c r="O521" s="6">
        <v>284.1352</v>
      </c>
      <c r="P521" s="6">
        <v>0</v>
      </c>
      <c r="Q521" s="4" t="s">
        <v>26</v>
      </c>
      <c r="R521" s="4">
        <v>0</v>
      </c>
      <c r="S521" s="4" t="s">
        <v>216</v>
      </c>
      <c r="T521" s="4" t="s">
        <v>353</v>
      </c>
      <c r="U521" s="4">
        <v>0</v>
      </c>
      <c r="V521" s="4">
        <v>60</v>
      </c>
      <c r="W521" s="4">
        <v>16</v>
      </c>
    </row>
    <row r="522" spans="1:23" ht="11.25" customHeight="1" x14ac:dyDescent="0.25">
      <c r="A522" s="4" t="s">
        <v>27</v>
      </c>
      <c r="B522" s="4" t="s">
        <v>40</v>
      </c>
      <c r="C522" s="4" t="s">
        <v>23</v>
      </c>
      <c r="D522" s="4" t="s">
        <v>41</v>
      </c>
      <c r="E522" s="4" t="s">
        <v>50</v>
      </c>
      <c r="F522" s="4" t="s">
        <v>52</v>
      </c>
      <c r="G522" s="4" t="s">
        <v>25</v>
      </c>
      <c r="H522" s="4" t="s">
        <v>25</v>
      </c>
      <c r="I522" s="5">
        <v>44378</v>
      </c>
      <c r="J522" s="6">
        <v>0</v>
      </c>
      <c r="K522" s="6">
        <v>0</v>
      </c>
      <c r="L522" s="6">
        <v>-1.8</v>
      </c>
      <c r="M522" s="6">
        <v>-0.72</v>
      </c>
      <c r="N522" s="6">
        <v>-1.8</v>
      </c>
      <c r="O522" s="6">
        <v>-0.72</v>
      </c>
      <c r="P522" s="6">
        <v>0</v>
      </c>
      <c r="Q522" s="4" t="s">
        <v>26</v>
      </c>
      <c r="R522" s="4">
        <v>0</v>
      </c>
      <c r="S522" s="4" t="s">
        <v>216</v>
      </c>
      <c r="T522" s="4" t="s">
        <v>353</v>
      </c>
      <c r="U522" s="4">
        <v>0</v>
      </c>
      <c r="V522" s="4">
        <v>60</v>
      </c>
      <c r="W522" s="4">
        <v>16</v>
      </c>
    </row>
    <row r="523" spans="1:23" ht="11.25" customHeight="1" x14ac:dyDescent="0.25">
      <c r="A523" s="4" t="s">
        <v>21</v>
      </c>
      <c r="B523" s="4" t="s">
        <v>40</v>
      </c>
      <c r="C523" s="4" t="s">
        <v>23</v>
      </c>
      <c r="D523" s="4" t="s">
        <v>41</v>
      </c>
      <c r="E523" s="4" t="s">
        <v>50</v>
      </c>
      <c r="F523" s="4" t="s">
        <v>52</v>
      </c>
      <c r="G523" s="4" t="s">
        <v>25</v>
      </c>
      <c r="H523" s="4" t="s">
        <v>25</v>
      </c>
      <c r="I523" s="5">
        <v>44409</v>
      </c>
      <c r="J523" s="6">
        <v>0</v>
      </c>
      <c r="K523" s="6">
        <v>0</v>
      </c>
      <c r="L523" s="6">
        <v>788.05499999999995</v>
      </c>
      <c r="M523" s="6">
        <v>315.22199999999998</v>
      </c>
      <c r="N523" s="6">
        <v>788.05499999999995</v>
      </c>
      <c r="O523" s="6">
        <v>315.22199999999998</v>
      </c>
      <c r="P523" s="6">
        <v>0</v>
      </c>
      <c r="Q523" s="4" t="s">
        <v>26</v>
      </c>
      <c r="R523" s="4">
        <v>0</v>
      </c>
      <c r="S523" s="4" t="s">
        <v>217</v>
      </c>
      <c r="T523" s="4" t="s">
        <v>354</v>
      </c>
      <c r="U523" s="4">
        <v>0</v>
      </c>
      <c r="V523" s="4">
        <v>60</v>
      </c>
      <c r="W523" s="4">
        <v>16</v>
      </c>
    </row>
    <row r="524" spans="1:23" ht="11.25" customHeight="1" x14ac:dyDescent="0.25">
      <c r="A524" s="4" t="s">
        <v>28</v>
      </c>
      <c r="B524" s="4" t="s">
        <v>40</v>
      </c>
      <c r="C524" s="4" t="s">
        <v>23</v>
      </c>
      <c r="D524" s="4" t="s">
        <v>41</v>
      </c>
      <c r="E524" s="4" t="s">
        <v>50</v>
      </c>
      <c r="F524" s="4" t="s">
        <v>52</v>
      </c>
      <c r="G524" s="4" t="s">
        <v>25</v>
      </c>
      <c r="H524" s="4" t="s">
        <v>25</v>
      </c>
      <c r="I524" s="5">
        <v>44409</v>
      </c>
      <c r="J524" s="6">
        <v>0</v>
      </c>
      <c r="K524" s="6">
        <v>0</v>
      </c>
      <c r="L524" s="6">
        <v>4.92</v>
      </c>
      <c r="M524" s="6">
        <v>4.92</v>
      </c>
      <c r="N524" s="6">
        <v>4.92</v>
      </c>
      <c r="O524" s="6">
        <v>4.92</v>
      </c>
      <c r="P524" s="6">
        <v>0</v>
      </c>
      <c r="Q524" s="4" t="s">
        <v>26</v>
      </c>
      <c r="R524" s="4">
        <v>0</v>
      </c>
      <c r="S524" s="4" t="s">
        <v>217</v>
      </c>
      <c r="T524" s="4" t="s">
        <v>354</v>
      </c>
      <c r="U524" s="4">
        <v>0</v>
      </c>
      <c r="V524" s="4">
        <v>60</v>
      </c>
      <c r="W524" s="4">
        <v>16</v>
      </c>
    </row>
    <row r="525" spans="1:23" ht="11.25" customHeight="1" x14ac:dyDescent="0.25">
      <c r="A525" s="4" t="s">
        <v>21</v>
      </c>
      <c r="B525" s="4" t="s">
        <v>40</v>
      </c>
      <c r="C525" s="4" t="s">
        <v>23</v>
      </c>
      <c r="D525" s="4" t="s">
        <v>41</v>
      </c>
      <c r="E525" s="4" t="s">
        <v>50</v>
      </c>
      <c r="F525" s="4" t="s">
        <v>52</v>
      </c>
      <c r="G525" s="4" t="s">
        <v>25</v>
      </c>
      <c r="H525" s="4" t="s">
        <v>25</v>
      </c>
      <c r="I525" s="5">
        <v>44440</v>
      </c>
      <c r="J525" s="6">
        <v>0</v>
      </c>
      <c r="K525" s="6">
        <v>0</v>
      </c>
      <c r="L525" s="6">
        <v>785.18899999999996</v>
      </c>
      <c r="M525" s="6">
        <v>314.07560000000001</v>
      </c>
      <c r="N525" s="6">
        <v>785.18899999999996</v>
      </c>
      <c r="O525" s="6">
        <v>314.07560000000001</v>
      </c>
      <c r="P525" s="6">
        <v>0</v>
      </c>
      <c r="Q525" s="4" t="s">
        <v>26</v>
      </c>
      <c r="R525" s="4">
        <v>0</v>
      </c>
      <c r="S525" s="4" t="s">
        <v>218</v>
      </c>
      <c r="T525" s="4" t="s">
        <v>355</v>
      </c>
      <c r="U525" s="4">
        <v>0</v>
      </c>
      <c r="V525" s="4">
        <v>60</v>
      </c>
      <c r="W525" s="4">
        <v>16</v>
      </c>
    </row>
    <row r="526" spans="1:23" ht="11.25" customHeight="1" x14ac:dyDescent="0.25">
      <c r="A526" s="4" t="s">
        <v>28</v>
      </c>
      <c r="B526" s="4" t="s">
        <v>40</v>
      </c>
      <c r="C526" s="4" t="s">
        <v>23</v>
      </c>
      <c r="D526" s="4" t="s">
        <v>41</v>
      </c>
      <c r="E526" s="4" t="s">
        <v>50</v>
      </c>
      <c r="F526" s="4" t="s">
        <v>52</v>
      </c>
      <c r="G526" s="4" t="s">
        <v>25</v>
      </c>
      <c r="H526" s="4" t="s">
        <v>25</v>
      </c>
      <c r="I526" s="5">
        <v>44440</v>
      </c>
      <c r="J526" s="6">
        <v>0</v>
      </c>
      <c r="K526" s="6">
        <v>0</v>
      </c>
      <c r="L526" s="6">
        <v>4.2850000000000001</v>
      </c>
      <c r="M526" s="6">
        <v>4.2850000000000001</v>
      </c>
      <c r="N526" s="6">
        <v>4.2850000000000001</v>
      </c>
      <c r="O526" s="6">
        <v>4.2850000000000001</v>
      </c>
      <c r="P526" s="6">
        <v>0</v>
      </c>
      <c r="Q526" s="4" t="s">
        <v>26</v>
      </c>
      <c r="R526" s="4">
        <v>0</v>
      </c>
      <c r="S526" s="4" t="s">
        <v>218</v>
      </c>
      <c r="T526" s="4" t="s">
        <v>355</v>
      </c>
      <c r="U526" s="4">
        <v>0</v>
      </c>
      <c r="V526" s="4">
        <v>60</v>
      </c>
      <c r="W526" s="4">
        <v>16</v>
      </c>
    </row>
    <row r="527" spans="1:23" ht="11.25" customHeight="1" x14ac:dyDescent="0.25">
      <c r="A527" s="4" t="s">
        <v>21</v>
      </c>
      <c r="B527" s="4" t="s">
        <v>40</v>
      </c>
      <c r="C527" s="4" t="s">
        <v>23</v>
      </c>
      <c r="D527" s="4" t="s">
        <v>41</v>
      </c>
      <c r="E527" s="4" t="s">
        <v>50</v>
      </c>
      <c r="F527" s="4" t="s">
        <v>52</v>
      </c>
      <c r="G527" s="4" t="s">
        <v>25</v>
      </c>
      <c r="H527" s="4" t="s">
        <v>25</v>
      </c>
      <c r="I527" s="5">
        <v>44470</v>
      </c>
      <c r="J527" s="6">
        <v>0</v>
      </c>
      <c r="K527" s="6">
        <v>0</v>
      </c>
      <c r="L527" s="6">
        <v>760.04100000000005</v>
      </c>
      <c r="M527" s="6">
        <v>304.01639999999998</v>
      </c>
      <c r="N527" s="6">
        <v>760.04100000000005</v>
      </c>
      <c r="O527" s="6">
        <v>304.01639999999998</v>
      </c>
      <c r="P527" s="6">
        <v>0</v>
      </c>
      <c r="Q527" s="4" t="s">
        <v>26</v>
      </c>
      <c r="R527" s="4">
        <v>0</v>
      </c>
      <c r="S527" s="4" t="s">
        <v>219</v>
      </c>
      <c r="T527" s="4" t="s">
        <v>356</v>
      </c>
      <c r="U527" s="4">
        <v>0</v>
      </c>
      <c r="V527" s="4">
        <v>60</v>
      </c>
      <c r="W527" s="4">
        <v>16</v>
      </c>
    </row>
    <row r="528" spans="1:23" ht="11.25" customHeight="1" x14ac:dyDescent="0.25">
      <c r="A528" s="4" t="s">
        <v>28</v>
      </c>
      <c r="B528" s="4" t="s">
        <v>40</v>
      </c>
      <c r="C528" s="4" t="s">
        <v>23</v>
      </c>
      <c r="D528" s="4" t="s">
        <v>41</v>
      </c>
      <c r="E528" s="4" t="s">
        <v>50</v>
      </c>
      <c r="F528" s="4" t="s">
        <v>52</v>
      </c>
      <c r="G528" s="4" t="s">
        <v>25</v>
      </c>
      <c r="H528" s="4" t="s">
        <v>25</v>
      </c>
      <c r="I528" s="5">
        <v>44470</v>
      </c>
      <c r="J528" s="6">
        <v>0</v>
      </c>
      <c r="K528" s="6">
        <v>0</v>
      </c>
      <c r="L528" s="6">
        <v>3.92</v>
      </c>
      <c r="M528" s="6">
        <v>3.92</v>
      </c>
      <c r="N528" s="6">
        <v>3.92</v>
      </c>
      <c r="O528" s="6">
        <v>3.92</v>
      </c>
      <c r="P528" s="6">
        <v>0</v>
      </c>
      <c r="Q528" s="4" t="s">
        <v>26</v>
      </c>
      <c r="R528" s="4">
        <v>0</v>
      </c>
      <c r="S528" s="4" t="s">
        <v>219</v>
      </c>
      <c r="T528" s="4" t="s">
        <v>356</v>
      </c>
      <c r="U528" s="4">
        <v>0</v>
      </c>
      <c r="V528" s="4">
        <v>60</v>
      </c>
      <c r="W528" s="4">
        <v>16</v>
      </c>
    </row>
    <row r="529" spans="1:23" ht="11.25" customHeight="1" x14ac:dyDescent="0.25">
      <c r="A529" s="4" t="s">
        <v>21</v>
      </c>
      <c r="B529" s="4" t="s">
        <v>40</v>
      </c>
      <c r="C529" s="4" t="s">
        <v>23</v>
      </c>
      <c r="D529" s="4" t="s">
        <v>41</v>
      </c>
      <c r="E529" s="4" t="s">
        <v>50</v>
      </c>
      <c r="F529" s="4" t="s">
        <v>52</v>
      </c>
      <c r="G529" s="4" t="s">
        <v>25</v>
      </c>
      <c r="H529" s="4" t="s">
        <v>25</v>
      </c>
      <c r="I529" s="5">
        <v>44501</v>
      </c>
      <c r="J529" s="6">
        <v>0</v>
      </c>
      <c r="K529" s="6">
        <v>0</v>
      </c>
      <c r="L529" s="6">
        <v>1215.9490000000001</v>
      </c>
      <c r="M529" s="6">
        <v>486.37959999999998</v>
      </c>
      <c r="N529" s="6">
        <v>1215.9490000000001</v>
      </c>
      <c r="O529" s="6">
        <v>486.37959999999998</v>
      </c>
      <c r="P529" s="6">
        <v>0</v>
      </c>
      <c r="Q529" s="4" t="s">
        <v>26</v>
      </c>
      <c r="R529" s="4">
        <v>0</v>
      </c>
      <c r="S529" s="4" t="s">
        <v>220</v>
      </c>
      <c r="T529" s="4" t="s">
        <v>357</v>
      </c>
      <c r="U529" s="4">
        <v>0</v>
      </c>
      <c r="V529" s="4">
        <v>60</v>
      </c>
      <c r="W529" s="4">
        <v>16</v>
      </c>
    </row>
    <row r="530" spans="1:23" ht="11.25" customHeight="1" x14ac:dyDescent="0.25">
      <c r="A530" s="4" t="s">
        <v>28</v>
      </c>
      <c r="B530" s="4" t="s">
        <v>40</v>
      </c>
      <c r="C530" s="4" t="s">
        <v>23</v>
      </c>
      <c r="D530" s="4" t="s">
        <v>41</v>
      </c>
      <c r="E530" s="4" t="s">
        <v>50</v>
      </c>
      <c r="F530" s="4" t="s">
        <v>52</v>
      </c>
      <c r="G530" s="4" t="s">
        <v>25</v>
      </c>
      <c r="H530" s="4" t="s">
        <v>25</v>
      </c>
      <c r="I530" s="5">
        <v>44501</v>
      </c>
      <c r="J530" s="6">
        <v>0</v>
      </c>
      <c r="K530" s="6">
        <v>0</v>
      </c>
      <c r="L530" s="6">
        <v>17.940000000000001</v>
      </c>
      <c r="M530" s="6">
        <v>17.940000000000001</v>
      </c>
      <c r="N530" s="6">
        <v>17.940000000000001</v>
      </c>
      <c r="O530" s="6">
        <v>17.940000000000001</v>
      </c>
      <c r="P530" s="6">
        <v>0</v>
      </c>
      <c r="Q530" s="4" t="s">
        <v>26</v>
      </c>
      <c r="R530" s="4">
        <v>0</v>
      </c>
      <c r="S530" s="4" t="s">
        <v>220</v>
      </c>
      <c r="T530" s="4" t="s">
        <v>357</v>
      </c>
      <c r="U530" s="4">
        <v>0</v>
      </c>
      <c r="V530" s="4">
        <v>60</v>
      </c>
      <c r="W530" s="4">
        <v>16</v>
      </c>
    </row>
    <row r="531" spans="1:23" ht="11.25" customHeight="1" x14ac:dyDescent="0.25">
      <c r="A531" s="4" t="s">
        <v>21</v>
      </c>
      <c r="B531" s="4" t="s">
        <v>40</v>
      </c>
      <c r="C531" s="4" t="s">
        <v>23</v>
      </c>
      <c r="D531" s="4" t="s">
        <v>41</v>
      </c>
      <c r="E531" s="4" t="s">
        <v>50</v>
      </c>
      <c r="F531" s="4" t="s">
        <v>52</v>
      </c>
      <c r="G531" s="4" t="s">
        <v>25</v>
      </c>
      <c r="H531" s="4" t="s">
        <v>25</v>
      </c>
      <c r="I531" s="5">
        <v>44531</v>
      </c>
      <c r="J531" s="6">
        <v>0</v>
      </c>
      <c r="K531" s="6">
        <v>0</v>
      </c>
      <c r="L531" s="6">
        <v>890.36900000000003</v>
      </c>
      <c r="M531" s="6">
        <v>356.14760000000001</v>
      </c>
      <c r="N531" s="6">
        <v>890.36900000000003</v>
      </c>
      <c r="O531" s="6">
        <v>356.14760000000001</v>
      </c>
      <c r="P531" s="6">
        <v>0</v>
      </c>
      <c r="Q531" s="4" t="s">
        <v>26</v>
      </c>
      <c r="R531" s="4">
        <v>0</v>
      </c>
      <c r="S531" s="4" t="s">
        <v>221</v>
      </c>
      <c r="T531" s="4" t="s">
        <v>358</v>
      </c>
      <c r="U531" s="4">
        <v>0</v>
      </c>
      <c r="V531" s="4">
        <v>60</v>
      </c>
      <c r="W531" s="4">
        <v>16</v>
      </c>
    </row>
    <row r="532" spans="1:23" ht="11.25" customHeight="1" x14ac:dyDescent="0.25">
      <c r="A532" s="4" t="s">
        <v>27</v>
      </c>
      <c r="B532" s="4" t="s">
        <v>40</v>
      </c>
      <c r="C532" s="4" t="s">
        <v>23</v>
      </c>
      <c r="D532" s="4" t="s">
        <v>41</v>
      </c>
      <c r="E532" s="4" t="s">
        <v>50</v>
      </c>
      <c r="F532" s="4" t="s">
        <v>52</v>
      </c>
      <c r="G532" s="4" t="s">
        <v>25</v>
      </c>
      <c r="H532" s="4" t="s">
        <v>25</v>
      </c>
      <c r="I532" s="5">
        <v>44531</v>
      </c>
      <c r="J532" s="6">
        <v>0</v>
      </c>
      <c r="K532" s="6">
        <v>0</v>
      </c>
      <c r="L532" s="6">
        <v>-125.2</v>
      </c>
      <c r="M532" s="6">
        <v>-50.08</v>
      </c>
      <c r="N532" s="6">
        <v>-125.2</v>
      </c>
      <c r="O532" s="6">
        <v>-50.08</v>
      </c>
      <c r="P532" s="6">
        <v>0</v>
      </c>
      <c r="Q532" s="4" t="s">
        <v>26</v>
      </c>
      <c r="R532" s="4">
        <v>0</v>
      </c>
      <c r="S532" s="4" t="s">
        <v>221</v>
      </c>
      <c r="T532" s="4" t="s">
        <v>358</v>
      </c>
      <c r="U532" s="4">
        <v>0</v>
      </c>
      <c r="V532" s="4">
        <v>60</v>
      </c>
      <c r="W532" s="4">
        <v>16</v>
      </c>
    </row>
    <row r="533" spans="1:23" ht="11.25" customHeight="1" x14ac:dyDescent="0.25">
      <c r="A533" s="4" t="s">
        <v>28</v>
      </c>
      <c r="B533" s="4" t="s">
        <v>40</v>
      </c>
      <c r="C533" s="4" t="s">
        <v>23</v>
      </c>
      <c r="D533" s="4" t="s">
        <v>41</v>
      </c>
      <c r="E533" s="4" t="s">
        <v>50</v>
      </c>
      <c r="F533" s="4" t="s">
        <v>52</v>
      </c>
      <c r="G533" s="4" t="s">
        <v>25</v>
      </c>
      <c r="H533" s="4" t="s">
        <v>25</v>
      </c>
      <c r="I533" s="5">
        <v>44531</v>
      </c>
      <c r="J533" s="6">
        <v>0</v>
      </c>
      <c r="K533" s="6">
        <v>0</v>
      </c>
      <c r="L533" s="6">
        <v>15.58</v>
      </c>
      <c r="M533" s="6">
        <v>15.58</v>
      </c>
      <c r="N533" s="6">
        <v>15.58</v>
      </c>
      <c r="O533" s="6">
        <v>15.58</v>
      </c>
      <c r="P533" s="6">
        <v>0</v>
      </c>
      <c r="Q533" s="4" t="s">
        <v>26</v>
      </c>
      <c r="R533" s="4">
        <v>0</v>
      </c>
      <c r="S533" s="4" t="s">
        <v>221</v>
      </c>
      <c r="T533" s="4" t="s">
        <v>358</v>
      </c>
      <c r="U533" s="4">
        <v>0</v>
      </c>
      <c r="V533" s="4">
        <v>60</v>
      </c>
      <c r="W533" s="4">
        <v>16</v>
      </c>
    </row>
    <row r="534" spans="1:23" ht="11.25" customHeight="1" x14ac:dyDescent="0.25">
      <c r="A534" s="4" t="s">
        <v>21</v>
      </c>
      <c r="B534" s="4" t="s">
        <v>40</v>
      </c>
      <c r="C534" s="4" t="s">
        <v>23</v>
      </c>
      <c r="D534" s="4" t="s">
        <v>41</v>
      </c>
      <c r="E534" s="4" t="s">
        <v>50</v>
      </c>
      <c r="F534" s="4" t="s">
        <v>52</v>
      </c>
      <c r="G534" s="4" t="s">
        <v>25</v>
      </c>
      <c r="H534" s="4" t="s">
        <v>25</v>
      </c>
      <c r="I534" s="5">
        <v>44562</v>
      </c>
      <c r="J534" s="6">
        <v>0</v>
      </c>
      <c r="K534" s="6">
        <v>0</v>
      </c>
      <c r="L534" s="6">
        <v>716.78800000000001</v>
      </c>
      <c r="M534" s="6">
        <v>286.71519999999998</v>
      </c>
      <c r="N534" s="6">
        <v>716.78800000000001</v>
      </c>
      <c r="O534" s="6">
        <v>286.71519999999998</v>
      </c>
      <c r="P534" s="6">
        <v>0</v>
      </c>
      <c r="Q534" s="4" t="s">
        <v>26</v>
      </c>
      <c r="R534" s="4">
        <v>0</v>
      </c>
      <c r="S534" s="4" t="s">
        <v>222</v>
      </c>
      <c r="T534" s="4" t="s">
        <v>359</v>
      </c>
      <c r="U534" s="4">
        <v>0</v>
      </c>
      <c r="V534" s="4">
        <v>60</v>
      </c>
      <c r="W534" s="4">
        <v>16</v>
      </c>
    </row>
    <row r="535" spans="1:23" ht="11.25" customHeight="1" x14ac:dyDescent="0.25">
      <c r="A535" s="4" t="s">
        <v>28</v>
      </c>
      <c r="B535" s="4" t="s">
        <v>40</v>
      </c>
      <c r="C535" s="4" t="s">
        <v>23</v>
      </c>
      <c r="D535" s="4" t="s">
        <v>41</v>
      </c>
      <c r="E535" s="4" t="s">
        <v>50</v>
      </c>
      <c r="F535" s="4" t="s">
        <v>52</v>
      </c>
      <c r="G535" s="4" t="s">
        <v>25</v>
      </c>
      <c r="H535" s="4" t="s">
        <v>25</v>
      </c>
      <c r="I535" s="5">
        <v>44562</v>
      </c>
      <c r="J535" s="6">
        <v>0</v>
      </c>
      <c r="K535" s="6">
        <v>0</v>
      </c>
      <c r="L535" s="6">
        <v>16.577000000000002</v>
      </c>
      <c r="M535" s="6">
        <v>16.577000000000002</v>
      </c>
      <c r="N535" s="6">
        <v>16.577000000000002</v>
      </c>
      <c r="O535" s="6">
        <v>16.577000000000002</v>
      </c>
      <c r="P535" s="6">
        <v>0</v>
      </c>
      <c r="Q535" s="4" t="s">
        <v>26</v>
      </c>
      <c r="R535" s="4">
        <v>0</v>
      </c>
      <c r="S535" s="4" t="s">
        <v>222</v>
      </c>
      <c r="T535" s="4" t="s">
        <v>359</v>
      </c>
      <c r="U535" s="4">
        <v>0</v>
      </c>
      <c r="V535" s="4">
        <v>60</v>
      </c>
      <c r="W535" s="4">
        <v>16</v>
      </c>
    </row>
    <row r="536" spans="1:23" ht="11.25" customHeight="1" x14ac:dyDescent="0.25">
      <c r="A536" s="4" t="s">
        <v>21</v>
      </c>
      <c r="B536" s="4" t="s">
        <v>40</v>
      </c>
      <c r="C536" s="4" t="s">
        <v>23</v>
      </c>
      <c r="D536" s="4" t="s">
        <v>41</v>
      </c>
      <c r="E536" s="4" t="s">
        <v>50</v>
      </c>
      <c r="F536" s="4" t="s">
        <v>52</v>
      </c>
      <c r="G536" s="4" t="s">
        <v>25</v>
      </c>
      <c r="H536" s="4" t="s">
        <v>25</v>
      </c>
      <c r="I536" s="5">
        <v>44593</v>
      </c>
      <c r="J536" s="6">
        <v>0</v>
      </c>
      <c r="K536" s="6">
        <v>0</v>
      </c>
      <c r="L536" s="6">
        <v>715.678</v>
      </c>
      <c r="M536" s="6">
        <v>286.27120000000002</v>
      </c>
      <c r="N536" s="6">
        <v>715.678</v>
      </c>
      <c r="O536" s="6">
        <v>286.27120000000002</v>
      </c>
      <c r="P536" s="6">
        <v>0</v>
      </c>
      <c r="Q536" s="4" t="s">
        <v>26</v>
      </c>
      <c r="R536" s="4">
        <v>0</v>
      </c>
      <c r="S536" s="4" t="s">
        <v>223</v>
      </c>
      <c r="T536" s="4" t="s">
        <v>360</v>
      </c>
      <c r="U536" s="4">
        <v>0</v>
      </c>
      <c r="V536" s="4">
        <v>60</v>
      </c>
      <c r="W536" s="4">
        <v>16</v>
      </c>
    </row>
    <row r="537" spans="1:23" ht="11.25" customHeight="1" x14ac:dyDescent="0.25">
      <c r="A537" s="4" t="s">
        <v>28</v>
      </c>
      <c r="B537" s="4" t="s">
        <v>40</v>
      </c>
      <c r="C537" s="4" t="s">
        <v>23</v>
      </c>
      <c r="D537" s="4" t="s">
        <v>41</v>
      </c>
      <c r="E537" s="4" t="s">
        <v>50</v>
      </c>
      <c r="F537" s="4" t="s">
        <v>52</v>
      </c>
      <c r="G537" s="4" t="s">
        <v>25</v>
      </c>
      <c r="H537" s="4" t="s">
        <v>25</v>
      </c>
      <c r="I537" s="5">
        <v>44593</v>
      </c>
      <c r="J537" s="6">
        <v>0</v>
      </c>
      <c r="K537" s="6">
        <v>0</v>
      </c>
      <c r="L537" s="6">
        <v>15.84</v>
      </c>
      <c r="M537" s="6">
        <v>15.84</v>
      </c>
      <c r="N537" s="6">
        <v>15.84</v>
      </c>
      <c r="O537" s="6">
        <v>15.84</v>
      </c>
      <c r="P537" s="6">
        <v>0</v>
      </c>
      <c r="Q537" s="4" t="s">
        <v>26</v>
      </c>
      <c r="R537" s="4">
        <v>0</v>
      </c>
      <c r="S537" s="4" t="s">
        <v>223</v>
      </c>
      <c r="T537" s="4" t="s">
        <v>360</v>
      </c>
      <c r="U537" s="4">
        <v>0</v>
      </c>
      <c r="V537" s="4">
        <v>60</v>
      </c>
      <c r="W537" s="4">
        <v>16</v>
      </c>
    </row>
    <row r="538" spans="1:23" ht="11.25" customHeight="1" x14ac:dyDescent="0.25">
      <c r="A538" s="4" t="s">
        <v>54</v>
      </c>
      <c r="B538" s="4" t="s">
        <v>40</v>
      </c>
      <c r="C538" s="4" t="s">
        <v>23</v>
      </c>
      <c r="D538" s="4" t="s">
        <v>41</v>
      </c>
      <c r="E538" s="4" t="s">
        <v>50</v>
      </c>
      <c r="F538" s="4" t="s">
        <v>52</v>
      </c>
      <c r="G538" s="4" t="s">
        <v>25</v>
      </c>
      <c r="H538" s="4" t="s">
        <v>25</v>
      </c>
      <c r="I538" s="5">
        <v>44621</v>
      </c>
      <c r="J538" s="6">
        <v>0</v>
      </c>
      <c r="K538" s="6">
        <v>0</v>
      </c>
      <c r="L538" s="6">
        <v>715.678</v>
      </c>
      <c r="M538" s="6">
        <v>286.27120000000002</v>
      </c>
      <c r="N538" s="6">
        <v>715.678</v>
      </c>
      <c r="O538" s="6">
        <v>286.27120000000002</v>
      </c>
      <c r="P538" s="6">
        <v>0</v>
      </c>
      <c r="Q538" s="4" t="s">
        <v>26</v>
      </c>
      <c r="R538" s="4">
        <v>0</v>
      </c>
      <c r="S538" s="4" t="s">
        <v>224</v>
      </c>
      <c r="T538" s="4" t="s">
        <v>361</v>
      </c>
      <c r="U538" s="4">
        <v>0</v>
      </c>
      <c r="V538" s="4">
        <v>60</v>
      </c>
      <c r="W538" s="4">
        <v>16</v>
      </c>
    </row>
    <row r="539" spans="1:23" ht="11.25" customHeight="1" x14ac:dyDescent="0.25">
      <c r="A539" s="4" t="s">
        <v>54</v>
      </c>
      <c r="B539" s="4" t="s">
        <v>40</v>
      </c>
      <c r="C539" s="4" t="s">
        <v>23</v>
      </c>
      <c r="D539" s="4" t="s">
        <v>41</v>
      </c>
      <c r="E539" s="4" t="s">
        <v>50</v>
      </c>
      <c r="F539" s="4" t="s">
        <v>52</v>
      </c>
      <c r="G539" s="4" t="s">
        <v>25</v>
      </c>
      <c r="H539" s="4" t="s">
        <v>25</v>
      </c>
      <c r="I539" s="5">
        <v>44621</v>
      </c>
      <c r="J539" s="6">
        <v>0</v>
      </c>
      <c r="K539" s="6">
        <v>0</v>
      </c>
      <c r="L539" s="6">
        <v>15.84</v>
      </c>
      <c r="M539" s="6">
        <v>15.84</v>
      </c>
      <c r="N539" s="6">
        <v>15.84</v>
      </c>
      <c r="O539" s="6">
        <v>15.84</v>
      </c>
      <c r="P539" s="6">
        <v>0</v>
      </c>
      <c r="Q539" s="4" t="s">
        <v>26</v>
      </c>
      <c r="R539" s="4">
        <v>0</v>
      </c>
      <c r="S539" s="4" t="s">
        <v>224</v>
      </c>
      <c r="T539" s="4" t="s">
        <v>361</v>
      </c>
      <c r="U539" s="4">
        <v>0</v>
      </c>
      <c r="V539" s="4">
        <v>60</v>
      </c>
      <c r="W539" s="4">
        <v>16</v>
      </c>
    </row>
    <row r="540" spans="1:23" ht="11.25" customHeight="1" x14ac:dyDescent="0.25">
      <c r="A540" s="4" t="s">
        <v>21</v>
      </c>
      <c r="B540" s="4" t="s">
        <v>40</v>
      </c>
      <c r="C540" s="4" t="s">
        <v>23</v>
      </c>
      <c r="D540" s="4" t="s">
        <v>41</v>
      </c>
      <c r="E540" s="4" t="s">
        <v>53</v>
      </c>
      <c r="F540" s="4" t="s">
        <v>51</v>
      </c>
      <c r="G540" s="4" t="s">
        <v>25</v>
      </c>
      <c r="H540" s="4" t="s">
        <v>25</v>
      </c>
      <c r="I540" s="5">
        <v>44287</v>
      </c>
      <c r="J540" s="6">
        <v>0</v>
      </c>
      <c r="K540" s="6">
        <v>0</v>
      </c>
      <c r="L540" s="6">
        <v>1.92</v>
      </c>
      <c r="M540" s="6">
        <v>1.92</v>
      </c>
      <c r="N540" s="6">
        <v>1.92</v>
      </c>
      <c r="O540" s="6">
        <v>1.92</v>
      </c>
      <c r="P540" s="6">
        <v>0</v>
      </c>
      <c r="Q540" s="4" t="s">
        <v>26</v>
      </c>
      <c r="R540" s="4">
        <v>0</v>
      </c>
      <c r="S540" s="4" t="s">
        <v>213</v>
      </c>
      <c r="T540" s="4" t="s">
        <v>350</v>
      </c>
      <c r="U540" s="4">
        <v>0</v>
      </c>
      <c r="V540" s="4">
        <v>60</v>
      </c>
      <c r="W540" s="4">
        <v>16</v>
      </c>
    </row>
    <row r="541" spans="1:23" ht="11.25" customHeight="1" x14ac:dyDescent="0.25">
      <c r="A541" s="4" t="s">
        <v>21</v>
      </c>
      <c r="B541" s="4" t="s">
        <v>40</v>
      </c>
      <c r="C541" s="4" t="s">
        <v>23</v>
      </c>
      <c r="D541" s="4" t="s">
        <v>41</v>
      </c>
      <c r="E541" s="4" t="s">
        <v>53</v>
      </c>
      <c r="F541" s="4" t="s">
        <v>51</v>
      </c>
      <c r="G541" s="4" t="s">
        <v>25</v>
      </c>
      <c r="H541" s="4" t="s">
        <v>25</v>
      </c>
      <c r="I541" s="5">
        <v>44317</v>
      </c>
      <c r="J541" s="6">
        <v>0</v>
      </c>
      <c r="K541" s="6">
        <v>0</v>
      </c>
      <c r="L541" s="6">
        <v>1.86</v>
      </c>
      <c r="M541" s="6">
        <v>1.86</v>
      </c>
      <c r="N541" s="6">
        <v>1.86</v>
      </c>
      <c r="O541" s="6">
        <v>1.86</v>
      </c>
      <c r="P541" s="6">
        <v>0</v>
      </c>
      <c r="Q541" s="4" t="s">
        <v>26</v>
      </c>
      <c r="R541" s="4">
        <v>0</v>
      </c>
      <c r="S541" s="4" t="s">
        <v>214</v>
      </c>
      <c r="T541" s="4" t="s">
        <v>351</v>
      </c>
      <c r="U541" s="4">
        <v>0</v>
      </c>
      <c r="V541" s="4">
        <v>60</v>
      </c>
      <c r="W541" s="4">
        <v>16</v>
      </c>
    </row>
    <row r="542" spans="1:23" ht="11.25" customHeight="1" x14ac:dyDescent="0.25">
      <c r="A542" s="4" t="s">
        <v>21</v>
      </c>
      <c r="B542" s="4" t="s">
        <v>40</v>
      </c>
      <c r="C542" s="4" t="s">
        <v>23</v>
      </c>
      <c r="D542" s="4" t="s">
        <v>41</v>
      </c>
      <c r="E542" s="4" t="s">
        <v>53</v>
      </c>
      <c r="F542" s="4" t="s">
        <v>51</v>
      </c>
      <c r="G542" s="4" t="s">
        <v>25</v>
      </c>
      <c r="H542" s="4" t="s">
        <v>25</v>
      </c>
      <c r="I542" s="5">
        <v>44348</v>
      </c>
      <c r="J542" s="6">
        <v>0</v>
      </c>
      <c r="K542" s="6">
        <v>0</v>
      </c>
      <c r="L542" s="6">
        <v>1.46</v>
      </c>
      <c r="M542" s="6">
        <v>1.46</v>
      </c>
      <c r="N542" s="6">
        <v>1.46</v>
      </c>
      <c r="O542" s="6">
        <v>1.46</v>
      </c>
      <c r="P542" s="6">
        <v>0</v>
      </c>
      <c r="Q542" s="4" t="s">
        <v>26</v>
      </c>
      <c r="R542" s="4">
        <v>0</v>
      </c>
      <c r="S542" s="4" t="s">
        <v>215</v>
      </c>
      <c r="T542" s="4" t="s">
        <v>352</v>
      </c>
      <c r="U542" s="4">
        <v>0</v>
      </c>
      <c r="V542" s="4">
        <v>60</v>
      </c>
      <c r="W542" s="4">
        <v>16</v>
      </c>
    </row>
    <row r="543" spans="1:23" ht="11.25" customHeight="1" x14ac:dyDescent="0.25">
      <c r="A543" s="4" t="s">
        <v>21</v>
      </c>
      <c r="B543" s="4" t="s">
        <v>40</v>
      </c>
      <c r="C543" s="4" t="s">
        <v>23</v>
      </c>
      <c r="D543" s="4" t="s">
        <v>41</v>
      </c>
      <c r="E543" s="4" t="s">
        <v>53</v>
      </c>
      <c r="F543" s="4" t="s">
        <v>51</v>
      </c>
      <c r="G543" s="4" t="s">
        <v>25</v>
      </c>
      <c r="H543" s="4" t="s">
        <v>25</v>
      </c>
      <c r="I543" s="5">
        <v>44378</v>
      </c>
      <c r="J543" s="6">
        <v>0</v>
      </c>
      <c r="K543" s="6">
        <v>0</v>
      </c>
      <c r="L543" s="6">
        <v>1.58</v>
      </c>
      <c r="M543" s="6">
        <v>1.58</v>
      </c>
      <c r="N543" s="6">
        <v>1.58</v>
      </c>
      <c r="O543" s="6">
        <v>1.58</v>
      </c>
      <c r="P543" s="6">
        <v>0</v>
      </c>
      <c r="Q543" s="4" t="s">
        <v>26</v>
      </c>
      <c r="R543" s="4">
        <v>0</v>
      </c>
      <c r="S543" s="4" t="s">
        <v>216</v>
      </c>
      <c r="T543" s="4" t="s">
        <v>353</v>
      </c>
      <c r="U543" s="4">
        <v>0</v>
      </c>
      <c r="V543" s="4">
        <v>60</v>
      </c>
      <c r="W543" s="4">
        <v>16</v>
      </c>
    </row>
    <row r="544" spans="1:23" ht="11.25" customHeight="1" x14ac:dyDescent="0.25">
      <c r="A544" s="4" t="s">
        <v>21</v>
      </c>
      <c r="B544" s="4" t="s">
        <v>40</v>
      </c>
      <c r="C544" s="4" t="s">
        <v>23</v>
      </c>
      <c r="D544" s="4" t="s">
        <v>41</v>
      </c>
      <c r="E544" s="4" t="s">
        <v>53</v>
      </c>
      <c r="F544" s="4" t="s">
        <v>51</v>
      </c>
      <c r="G544" s="4" t="s">
        <v>25</v>
      </c>
      <c r="H544" s="4" t="s">
        <v>25</v>
      </c>
      <c r="I544" s="5">
        <v>44409</v>
      </c>
      <c r="J544" s="6">
        <v>0</v>
      </c>
      <c r="K544" s="6">
        <v>0</v>
      </c>
      <c r="L544" s="6">
        <v>1.82</v>
      </c>
      <c r="M544" s="6">
        <v>1.82</v>
      </c>
      <c r="N544" s="6">
        <v>1.82</v>
      </c>
      <c r="O544" s="6">
        <v>1.82</v>
      </c>
      <c r="P544" s="6">
        <v>0</v>
      </c>
      <c r="Q544" s="4" t="s">
        <v>26</v>
      </c>
      <c r="R544" s="4">
        <v>0</v>
      </c>
      <c r="S544" s="4" t="s">
        <v>217</v>
      </c>
      <c r="T544" s="4" t="s">
        <v>354</v>
      </c>
      <c r="U544" s="4">
        <v>0</v>
      </c>
      <c r="V544" s="4">
        <v>60</v>
      </c>
      <c r="W544" s="4">
        <v>16</v>
      </c>
    </row>
    <row r="545" spans="1:23" ht="11.25" customHeight="1" x14ac:dyDescent="0.25">
      <c r="A545" s="4" t="s">
        <v>21</v>
      </c>
      <c r="B545" s="4" t="s">
        <v>40</v>
      </c>
      <c r="C545" s="4" t="s">
        <v>23</v>
      </c>
      <c r="D545" s="4" t="s">
        <v>41</v>
      </c>
      <c r="E545" s="4" t="s">
        <v>53</v>
      </c>
      <c r="F545" s="4" t="s">
        <v>51</v>
      </c>
      <c r="G545" s="4" t="s">
        <v>25</v>
      </c>
      <c r="H545" s="4" t="s">
        <v>25</v>
      </c>
      <c r="I545" s="5">
        <v>44440</v>
      </c>
      <c r="J545" s="6">
        <v>0</v>
      </c>
      <c r="K545" s="6">
        <v>0</v>
      </c>
      <c r="L545" s="6">
        <v>1.72</v>
      </c>
      <c r="M545" s="6">
        <v>1.72</v>
      </c>
      <c r="N545" s="6">
        <v>1.72</v>
      </c>
      <c r="O545" s="6">
        <v>1.72</v>
      </c>
      <c r="P545" s="6">
        <v>0</v>
      </c>
      <c r="Q545" s="4" t="s">
        <v>26</v>
      </c>
      <c r="R545" s="4">
        <v>0</v>
      </c>
      <c r="S545" s="4" t="s">
        <v>218</v>
      </c>
      <c r="T545" s="4" t="s">
        <v>355</v>
      </c>
      <c r="U545" s="4">
        <v>0</v>
      </c>
      <c r="V545" s="4">
        <v>60</v>
      </c>
      <c r="W545" s="4">
        <v>16</v>
      </c>
    </row>
    <row r="546" spans="1:23" ht="11.25" customHeight="1" x14ac:dyDescent="0.25">
      <c r="A546" s="4" t="s">
        <v>21</v>
      </c>
      <c r="B546" s="4" t="s">
        <v>40</v>
      </c>
      <c r="C546" s="4" t="s">
        <v>23</v>
      </c>
      <c r="D546" s="4" t="s">
        <v>41</v>
      </c>
      <c r="E546" s="4" t="s">
        <v>53</v>
      </c>
      <c r="F546" s="4" t="s">
        <v>51</v>
      </c>
      <c r="G546" s="4" t="s">
        <v>25</v>
      </c>
      <c r="H546" s="4" t="s">
        <v>25</v>
      </c>
      <c r="I546" s="5">
        <v>44470</v>
      </c>
      <c r="J546" s="6">
        <v>0</v>
      </c>
      <c r="K546" s="6">
        <v>0</v>
      </c>
      <c r="L546" s="6">
        <v>0.06</v>
      </c>
      <c r="M546" s="6">
        <v>0.06</v>
      </c>
      <c r="N546" s="6">
        <v>0.06</v>
      </c>
      <c r="O546" s="6">
        <v>0.06</v>
      </c>
      <c r="P546" s="6">
        <v>0</v>
      </c>
      <c r="Q546" s="4" t="s">
        <v>26</v>
      </c>
      <c r="R546" s="4">
        <v>0</v>
      </c>
      <c r="S546" s="4" t="s">
        <v>219</v>
      </c>
      <c r="T546" s="4" t="s">
        <v>356</v>
      </c>
      <c r="U546" s="4">
        <v>0</v>
      </c>
      <c r="V546" s="4">
        <v>60</v>
      </c>
      <c r="W546" s="4">
        <v>16</v>
      </c>
    </row>
    <row r="547" spans="1:23" ht="11.25" customHeight="1" x14ac:dyDescent="0.25">
      <c r="A547" s="4" t="s">
        <v>21</v>
      </c>
      <c r="B547" s="4" t="s">
        <v>40</v>
      </c>
      <c r="C547" s="4" t="s">
        <v>23</v>
      </c>
      <c r="D547" s="4" t="s">
        <v>41</v>
      </c>
      <c r="E547" s="4" t="s">
        <v>53</v>
      </c>
      <c r="F547" s="4" t="s">
        <v>51</v>
      </c>
      <c r="G547" s="4" t="s">
        <v>25</v>
      </c>
      <c r="H547" s="4" t="s">
        <v>25</v>
      </c>
      <c r="I547" s="5">
        <v>44501</v>
      </c>
      <c r="J547" s="6">
        <v>0</v>
      </c>
      <c r="K547" s="6">
        <v>0</v>
      </c>
      <c r="L547" s="6">
        <v>0.06</v>
      </c>
      <c r="M547" s="6">
        <v>0.06</v>
      </c>
      <c r="N547" s="6">
        <v>0.06</v>
      </c>
      <c r="O547" s="6">
        <v>0.06</v>
      </c>
      <c r="P547" s="6">
        <v>0</v>
      </c>
      <c r="Q547" s="4" t="s">
        <v>26</v>
      </c>
      <c r="R547" s="4">
        <v>0</v>
      </c>
      <c r="S547" s="4" t="s">
        <v>220</v>
      </c>
      <c r="T547" s="4" t="s">
        <v>357</v>
      </c>
      <c r="U547" s="4">
        <v>0</v>
      </c>
      <c r="V547" s="4">
        <v>60</v>
      </c>
      <c r="W547" s="4">
        <v>16</v>
      </c>
    </row>
    <row r="548" spans="1:23" ht="11.25" customHeight="1" x14ac:dyDescent="0.25">
      <c r="A548" s="4" t="s">
        <v>21</v>
      </c>
      <c r="B548" s="4" t="s">
        <v>40</v>
      </c>
      <c r="C548" s="4" t="s">
        <v>23</v>
      </c>
      <c r="D548" s="4" t="s">
        <v>41</v>
      </c>
      <c r="E548" s="4" t="s">
        <v>53</v>
      </c>
      <c r="F548" s="4" t="s">
        <v>51</v>
      </c>
      <c r="G548" s="4" t="s">
        <v>25</v>
      </c>
      <c r="H548" s="4" t="s">
        <v>25</v>
      </c>
      <c r="I548" s="5">
        <v>44531</v>
      </c>
      <c r="J548" s="6">
        <v>0</v>
      </c>
      <c r="K548" s="6">
        <v>0</v>
      </c>
      <c r="L548" s="6">
        <v>0.12</v>
      </c>
      <c r="M548" s="6">
        <v>0.12</v>
      </c>
      <c r="N548" s="6">
        <v>0.12</v>
      </c>
      <c r="O548" s="6">
        <v>0.12</v>
      </c>
      <c r="P548" s="6">
        <v>0</v>
      </c>
      <c r="Q548" s="4" t="s">
        <v>26</v>
      </c>
      <c r="R548" s="4">
        <v>0</v>
      </c>
      <c r="S548" s="4" t="s">
        <v>221</v>
      </c>
      <c r="T548" s="4" t="s">
        <v>358</v>
      </c>
      <c r="U548" s="4">
        <v>0</v>
      </c>
      <c r="V548" s="4">
        <v>60</v>
      </c>
      <c r="W548" s="4">
        <v>16</v>
      </c>
    </row>
    <row r="549" spans="1:23" ht="11.25" customHeight="1" x14ac:dyDescent="0.25">
      <c r="A549" s="4" t="s">
        <v>21</v>
      </c>
      <c r="B549" s="4" t="s">
        <v>40</v>
      </c>
      <c r="C549" s="4" t="s">
        <v>23</v>
      </c>
      <c r="D549" s="4" t="s">
        <v>41</v>
      </c>
      <c r="E549" s="4" t="s">
        <v>53</v>
      </c>
      <c r="F549" s="4" t="s">
        <v>51</v>
      </c>
      <c r="G549" s="4" t="s">
        <v>25</v>
      </c>
      <c r="H549" s="4" t="s">
        <v>25</v>
      </c>
      <c r="I549" s="5">
        <v>44562</v>
      </c>
      <c r="J549" s="6">
        <v>0</v>
      </c>
      <c r="K549" s="6">
        <v>0</v>
      </c>
      <c r="L549" s="6">
        <v>0.16</v>
      </c>
      <c r="M549" s="6">
        <v>0.16</v>
      </c>
      <c r="N549" s="6">
        <v>0.16</v>
      </c>
      <c r="O549" s="6">
        <v>0.16</v>
      </c>
      <c r="P549" s="6">
        <v>0</v>
      </c>
      <c r="Q549" s="4" t="s">
        <v>26</v>
      </c>
      <c r="R549" s="4">
        <v>0</v>
      </c>
      <c r="S549" s="4" t="s">
        <v>222</v>
      </c>
      <c r="T549" s="4" t="s">
        <v>359</v>
      </c>
      <c r="U549" s="4">
        <v>0</v>
      </c>
      <c r="V549" s="4">
        <v>60</v>
      </c>
      <c r="W549" s="4">
        <v>16</v>
      </c>
    </row>
    <row r="550" spans="1:23" ht="11.25" customHeight="1" x14ac:dyDescent="0.25">
      <c r="A550" s="4" t="s">
        <v>21</v>
      </c>
      <c r="B550" s="4" t="s">
        <v>40</v>
      </c>
      <c r="C550" s="4" t="s">
        <v>23</v>
      </c>
      <c r="D550" s="4" t="s">
        <v>41</v>
      </c>
      <c r="E550" s="4" t="s">
        <v>53</v>
      </c>
      <c r="F550" s="4" t="s">
        <v>51</v>
      </c>
      <c r="G550" s="4" t="s">
        <v>25</v>
      </c>
      <c r="H550" s="4" t="s">
        <v>25</v>
      </c>
      <c r="I550" s="5">
        <v>44593</v>
      </c>
      <c r="J550" s="6">
        <v>0</v>
      </c>
      <c r="K550" s="6">
        <v>0</v>
      </c>
      <c r="L550" s="6">
        <v>0.14000000000000001</v>
      </c>
      <c r="M550" s="6">
        <v>0.14000000000000001</v>
      </c>
      <c r="N550" s="6">
        <v>0.14000000000000001</v>
      </c>
      <c r="O550" s="6">
        <v>0.14000000000000001</v>
      </c>
      <c r="P550" s="6">
        <v>0</v>
      </c>
      <c r="Q550" s="4" t="s">
        <v>26</v>
      </c>
      <c r="R550" s="4">
        <v>0</v>
      </c>
      <c r="S550" s="4" t="s">
        <v>223</v>
      </c>
      <c r="T550" s="4" t="s">
        <v>360</v>
      </c>
      <c r="U550" s="4">
        <v>0</v>
      </c>
      <c r="V550" s="4">
        <v>60</v>
      </c>
      <c r="W550" s="4">
        <v>16</v>
      </c>
    </row>
    <row r="551" spans="1:23" ht="11.25" customHeight="1" x14ac:dyDescent="0.25">
      <c r="A551" s="4" t="s">
        <v>54</v>
      </c>
      <c r="B551" s="4" t="s">
        <v>40</v>
      </c>
      <c r="C551" s="4" t="s">
        <v>23</v>
      </c>
      <c r="D551" s="4" t="s">
        <v>41</v>
      </c>
      <c r="E551" s="4" t="s">
        <v>53</v>
      </c>
      <c r="F551" s="4" t="s">
        <v>51</v>
      </c>
      <c r="G551" s="4" t="s">
        <v>25</v>
      </c>
      <c r="H551" s="4" t="s">
        <v>25</v>
      </c>
      <c r="I551" s="5">
        <v>44621</v>
      </c>
      <c r="J551" s="6">
        <v>0</v>
      </c>
      <c r="K551" s="6">
        <v>0</v>
      </c>
      <c r="L551" s="6">
        <v>0.14000000000000001</v>
      </c>
      <c r="M551" s="6">
        <v>0.14000000000000001</v>
      </c>
      <c r="N551" s="6">
        <v>0.14000000000000001</v>
      </c>
      <c r="O551" s="6">
        <v>0.14000000000000001</v>
      </c>
      <c r="P551" s="6">
        <v>0</v>
      </c>
      <c r="Q551" s="4" t="s">
        <v>26</v>
      </c>
      <c r="R551" s="4">
        <v>0</v>
      </c>
      <c r="S551" s="4" t="s">
        <v>224</v>
      </c>
      <c r="T551" s="4" t="s">
        <v>361</v>
      </c>
      <c r="U551" s="4">
        <v>0</v>
      </c>
      <c r="V551" s="4">
        <v>60</v>
      </c>
      <c r="W551" s="4">
        <v>16</v>
      </c>
    </row>
    <row r="552" spans="1:23" ht="11.25" customHeight="1" x14ac:dyDescent="0.25">
      <c r="A552" s="4" t="s">
        <v>21</v>
      </c>
      <c r="B552" s="4" t="s">
        <v>40</v>
      </c>
      <c r="C552" s="4" t="s">
        <v>23</v>
      </c>
      <c r="D552" s="4" t="s">
        <v>41</v>
      </c>
      <c r="E552" s="4" t="s">
        <v>53</v>
      </c>
      <c r="F552" s="4" t="s">
        <v>52</v>
      </c>
      <c r="G552" s="4" t="s">
        <v>25</v>
      </c>
      <c r="H552" s="4" t="s">
        <v>25</v>
      </c>
      <c r="I552" s="5">
        <v>44287</v>
      </c>
      <c r="J552" s="6">
        <v>0</v>
      </c>
      <c r="K552" s="6">
        <v>0</v>
      </c>
      <c r="L552" s="6">
        <v>1.08</v>
      </c>
      <c r="M552" s="6">
        <v>0.432</v>
      </c>
      <c r="N552" s="6">
        <v>1.08</v>
      </c>
      <c r="O552" s="6">
        <v>0.432</v>
      </c>
      <c r="P552" s="6">
        <v>0</v>
      </c>
      <c r="Q552" s="4" t="s">
        <v>26</v>
      </c>
      <c r="R552" s="4">
        <v>0</v>
      </c>
      <c r="S552" s="4" t="s">
        <v>213</v>
      </c>
      <c r="T552" s="4" t="s">
        <v>350</v>
      </c>
      <c r="U552" s="4">
        <v>0</v>
      </c>
      <c r="V552" s="4">
        <v>60</v>
      </c>
      <c r="W552" s="4">
        <v>16</v>
      </c>
    </row>
    <row r="553" spans="1:23" ht="11.25" customHeight="1" x14ac:dyDescent="0.25">
      <c r="A553" s="4" t="s">
        <v>21</v>
      </c>
      <c r="B553" s="4" t="s">
        <v>40</v>
      </c>
      <c r="C553" s="4" t="s">
        <v>23</v>
      </c>
      <c r="D553" s="4" t="s">
        <v>41</v>
      </c>
      <c r="E553" s="4" t="s">
        <v>53</v>
      </c>
      <c r="F553" s="4" t="s">
        <v>52</v>
      </c>
      <c r="G553" s="4" t="s">
        <v>25</v>
      </c>
      <c r="H553" s="4" t="s">
        <v>25</v>
      </c>
      <c r="I553" s="5">
        <v>44317</v>
      </c>
      <c r="J553" s="6">
        <v>0</v>
      </c>
      <c r="K553" s="6">
        <v>0</v>
      </c>
      <c r="L553" s="6">
        <v>1.02</v>
      </c>
      <c r="M553" s="6">
        <v>0.40799999999999997</v>
      </c>
      <c r="N553" s="6">
        <v>1.02</v>
      </c>
      <c r="O553" s="6">
        <v>0.40799999999999997</v>
      </c>
      <c r="P553" s="6">
        <v>0</v>
      </c>
      <c r="Q553" s="4" t="s">
        <v>26</v>
      </c>
      <c r="R553" s="4">
        <v>0</v>
      </c>
      <c r="S553" s="4" t="s">
        <v>214</v>
      </c>
      <c r="T553" s="4" t="s">
        <v>351</v>
      </c>
      <c r="U553" s="4">
        <v>0</v>
      </c>
      <c r="V553" s="4">
        <v>60</v>
      </c>
      <c r="W553" s="4">
        <v>16</v>
      </c>
    </row>
    <row r="554" spans="1:23" ht="11.25" customHeight="1" x14ac:dyDescent="0.25">
      <c r="A554" s="4" t="s">
        <v>21</v>
      </c>
      <c r="B554" s="4" t="s">
        <v>40</v>
      </c>
      <c r="C554" s="4" t="s">
        <v>23</v>
      </c>
      <c r="D554" s="4" t="s">
        <v>41</v>
      </c>
      <c r="E554" s="4" t="s">
        <v>53</v>
      </c>
      <c r="F554" s="4" t="s">
        <v>52</v>
      </c>
      <c r="G554" s="4" t="s">
        <v>25</v>
      </c>
      <c r="H554" s="4" t="s">
        <v>25</v>
      </c>
      <c r="I554" s="5">
        <v>44348</v>
      </c>
      <c r="J554" s="6">
        <v>0</v>
      </c>
      <c r="K554" s="6">
        <v>0</v>
      </c>
      <c r="L554" s="6">
        <v>0.82</v>
      </c>
      <c r="M554" s="6">
        <v>0.32800000000000001</v>
      </c>
      <c r="N554" s="6">
        <v>0.82</v>
      </c>
      <c r="O554" s="6">
        <v>0.32800000000000001</v>
      </c>
      <c r="P554" s="6">
        <v>0</v>
      </c>
      <c r="Q554" s="4" t="s">
        <v>26</v>
      </c>
      <c r="R554" s="4">
        <v>0</v>
      </c>
      <c r="S554" s="4" t="s">
        <v>215</v>
      </c>
      <c r="T554" s="4" t="s">
        <v>352</v>
      </c>
      <c r="U554" s="4">
        <v>0</v>
      </c>
      <c r="V554" s="4">
        <v>60</v>
      </c>
      <c r="W554" s="4">
        <v>16</v>
      </c>
    </row>
    <row r="555" spans="1:23" ht="11.25" customHeight="1" x14ac:dyDescent="0.25">
      <c r="A555" s="4" t="s">
        <v>21</v>
      </c>
      <c r="B555" s="4" t="s">
        <v>40</v>
      </c>
      <c r="C555" s="4" t="s">
        <v>23</v>
      </c>
      <c r="D555" s="4" t="s">
        <v>41</v>
      </c>
      <c r="E555" s="4" t="s">
        <v>53</v>
      </c>
      <c r="F555" s="4" t="s">
        <v>52</v>
      </c>
      <c r="G555" s="4" t="s">
        <v>25</v>
      </c>
      <c r="H555" s="4" t="s">
        <v>25</v>
      </c>
      <c r="I555" s="5">
        <v>44378</v>
      </c>
      <c r="J555" s="6">
        <v>0</v>
      </c>
      <c r="K555" s="6">
        <v>0</v>
      </c>
      <c r="L555" s="6">
        <v>0.86</v>
      </c>
      <c r="M555" s="6">
        <v>0.34399999999999997</v>
      </c>
      <c r="N555" s="6">
        <v>0.86</v>
      </c>
      <c r="O555" s="6">
        <v>0.34399999999999997</v>
      </c>
      <c r="P555" s="6">
        <v>0</v>
      </c>
      <c r="Q555" s="4" t="s">
        <v>26</v>
      </c>
      <c r="R555" s="4">
        <v>0</v>
      </c>
      <c r="S555" s="4" t="s">
        <v>216</v>
      </c>
      <c r="T555" s="4" t="s">
        <v>353</v>
      </c>
      <c r="U555" s="4">
        <v>0</v>
      </c>
      <c r="V555" s="4">
        <v>60</v>
      </c>
      <c r="W555" s="4">
        <v>16</v>
      </c>
    </row>
    <row r="556" spans="1:23" ht="11.25" customHeight="1" x14ac:dyDescent="0.25">
      <c r="A556" s="4" t="s">
        <v>21</v>
      </c>
      <c r="B556" s="4" t="s">
        <v>40</v>
      </c>
      <c r="C556" s="4" t="s">
        <v>23</v>
      </c>
      <c r="D556" s="4" t="s">
        <v>41</v>
      </c>
      <c r="E556" s="4" t="s">
        <v>53</v>
      </c>
      <c r="F556" s="4" t="s">
        <v>52</v>
      </c>
      <c r="G556" s="4" t="s">
        <v>25</v>
      </c>
      <c r="H556" s="4" t="s">
        <v>25</v>
      </c>
      <c r="I556" s="5">
        <v>44409</v>
      </c>
      <c r="J556" s="6">
        <v>0</v>
      </c>
      <c r="K556" s="6">
        <v>0</v>
      </c>
      <c r="L556" s="6">
        <v>1.02</v>
      </c>
      <c r="M556" s="6">
        <v>0.40799999999999997</v>
      </c>
      <c r="N556" s="6">
        <v>1.02</v>
      </c>
      <c r="O556" s="6">
        <v>0.40799999999999997</v>
      </c>
      <c r="P556" s="6">
        <v>0</v>
      </c>
      <c r="Q556" s="4" t="s">
        <v>26</v>
      </c>
      <c r="R556" s="4">
        <v>0</v>
      </c>
      <c r="S556" s="4" t="s">
        <v>217</v>
      </c>
      <c r="T556" s="4" t="s">
        <v>354</v>
      </c>
      <c r="U556" s="4">
        <v>0</v>
      </c>
      <c r="V556" s="4">
        <v>60</v>
      </c>
      <c r="W556" s="4">
        <v>16</v>
      </c>
    </row>
    <row r="557" spans="1:23" ht="11.25" customHeight="1" x14ac:dyDescent="0.25">
      <c r="A557" s="4" t="s">
        <v>21</v>
      </c>
      <c r="B557" s="4" t="s">
        <v>40</v>
      </c>
      <c r="C557" s="4" t="s">
        <v>23</v>
      </c>
      <c r="D557" s="4" t="s">
        <v>41</v>
      </c>
      <c r="E557" s="4" t="s">
        <v>53</v>
      </c>
      <c r="F557" s="4" t="s">
        <v>52</v>
      </c>
      <c r="G557" s="4" t="s">
        <v>25</v>
      </c>
      <c r="H557" s="4" t="s">
        <v>25</v>
      </c>
      <c r="I557" s="5">
        <v>44440</v>
      </c>
      <c r="J557" s="6">
        <v>0</v>
      </c>
      <c r="K557" s="6">
        <v>0</v>
      </c>
      <c r="L557" s="6">
        <v>0.92</v>
      </c>
      <c r="M557" s="6">
        <v>0.36799999999999999</v>
      </c>
      <c r="N557" s="6">
        <v>0.92</v>
      </c>
      <c r="O557" s="6">
        <v>0.36799999999999999</v>
      </c>
      <c r="P557" s="6">
        <v>0</v>
      </c>
      <c r="Q557" s="4" t="s">
        <v>26</v>
      </c>
      <c r="R557" s="4">
        <v>0</v>
      </c>
      <c r="S557" s="4" t="s">
        <v>218</v>
      </c>
      <c r="T557" s="4" t="s">
        <v>355</v>
      </c>
      <c r="U557" s="4">
        <v>0</v>
      </c>
      <c r="V557" s="4">
        <v>60</v>
      </c>
      <c r="W557" s="4">
        <v>16</v>
      </c>
    </row>
    <row r="558" spans="1:23" ht="11.25" customHeight="1" x14ac:dyDescent="0.25">
      <c r="A558" s="4" t="s">
        <v>21</v>
      </c>
      <c r="B558" s="4" t="s">
        <v>40</v>
      </c>
      <c r="C558" s="4" t="s">
        <v>23</v>
      </c>
      <c r="D558" s="4" t="s">
        <v>41</v>
      </c>
      <c r="E558" s="4" t="s">
        <v>53</v>
      </c>
      <c r="F558" s="4" t="s">
        <v>52</v>
      </c>
      <c r="G558" s="4" t="s">
        <v>25</v>
      </c>
      <c r="H558" s="4" t="s">
        <v>25</v>
      </c>
      <c r="I558" s="5">
        <v>44470</v>
      </c>
      <c r="J558" s="6">
        <v>0</v>
      </c>
      <c r="K558" s="6">
        <v>0</v>
      </c>
      <c r="L558" s="6">
        <v>0.04</v>
      </c>
      <c r="M558" s="6">
        <v>1.6E-2</v>
      </c>
      <c r="N558" s="6">
        <v>0.04</v>
      </c>
      <c r="O558" s="6">
        <v>1.6E-2</v>
      </c>
      <c r="P558" s="6">
        <v>0</v>
      </c>
      <c r="Q558" s="4" t="s">
        <v>26</v>
      </c>
      <c r="R558" s="4">
        <v>0</v>
      </c>
      <c r="S558" s="4" t="s">
        <v>219</v>
      </c>
      <c r="T558" s="4" t="s">
        <v>356</v>
      </c>
      <c r="U558" s="4">
        <v>0</v>
      </c>
      <c r="V558" s="4">
        <v>60</v>
      </c>
      <c r="W558" s="4">
        <v>16</v>
      </c>
    </row>
    <row r="559" spans="1:23" ht="11.25" customHeight="1" x14ac:dyDescent="0.25">
      <c r="A559" s="4" t="s">
        <v>21</v>
      </c>
      <c r="B559" s="4" t="s">
        <v>40</v>
      </c>
      <c r="C559" s="4" t="s">
        <v>23</v>
      </c>
      <c r="D559" s="4" t="s">
        <v>41</v>
      </c>
      <c r="E559" s="4" t="s">
        <v>53</v>
      </c>
      <c r="F559" s="4" t="s">
        <v>52</v>
      </c>
      <c r="G559" s="4" t="s">
        <v>25</v>
      </c>
      <c r="H559" s="4" t="s">
        <v>25</v>
      </c>
      <c r="I559" s="5">
        <v>44501</v>
      </c>
      <c r="J559" s="6">
        <v>0</v>
      </c>
      <c r="K559" s="6">
        <v>0</v>
      </c>
      <c r="L559" s="6">
        <v>0.04</v>
      </c>
      <c r="M559" s="6">
        <v>1.6E-2</v>
      </c>
      <c r="N559" s="6">
        <v>0.04</v>
      </c>
      <c r="O559" s="6">
        <v>1.6E-2</v>
      </c>
      <c r="P559" s="6">
        <v>0</v>
      </c>
      <c r="Q559" s="4" t="s">
        <v>26</v>
      </c>
      <c r="R559" s="4">
        <v>0</v>
      </c>
      <c r="S559" s="4" t="s">
        <v>220</v>
      </c>
      <c r="T559" s="4" t="s">
        <v>357</v>
      </c>
      <c r="U559" s="4">
        <v>0</v>
      </c>
      <c r="V559" s="4">
        <v>60</v>
      </c>
      <c r="W559" s="4">
        <v>16</v>
      </c>
    </row>
    <row r="560" spans="1:23" ht="11.25" customHeight="1" x14ac:dyDescent="0.25">
      <c r="A560" s="4" t="s">
        <v>21</v>
      </c>
      <c r="B560" s="4" t="s">
        <v>40</v>
      </c>
      <c r="C560" s="4" t="s">
        <v>23</v>
      </c>
      <c r="D560" s="4" t="s">
        <v>41</v>
      </c>
      <c r="E560" s="4" t="s">
        <v>53</v>
      </c>
      <c r="F560" s="4" t="s">
        <v>52</v>
      </c>
      <c r="G560" s="4" t="s">
        <v>25</v>
      </c>
      <c r="H560" s="4" t="s">
        <v>25</v>
      </c>
      <c r="I560" s="5">
        <v>44562</v>
      </c>
      <c r="J560" s="6">
        <v>0</v>
      </c>
      <c r="K560" s="6">
        <v>0</v>
      </c>
      <c r="L560" s="6">
        <v>0.08</v>
      </c>
      <c r="M560" s="6">
        <v>3.2000000000000001E-2</v>
      </c>
      <c r="N560" s="6">
        <v>0.08</v>
      </c>
      <c r="O560" s="6">
        <v>3.2000000000000001E-2</v>
      </c>
      <c r="P560" s="6">
        <v>0</v>
      </c>
      <c r="Q560" s="4" t="s">
        <v>26</v>
      </c>
      <c r="R560" s="4">
        <v>0</v>
      </c>
      <c r="S560" s="4" t="s">
        <v>222</v>
      </c>
      <c r="T560" s="4" t="s">
        <v>359</v>
      </c>
      <c r="U560" s="4">
        <v>0</v>
      </c>
      <c r="V560" s="4">
        <v>60</v>
      </c>
      <c r="W560" s="4">
        <v>16</v>
      </c>
    </row>
    <row r="561" spans="1:23" ht="11.25" customHeight="1" x14ac:dyDescent="0.25">
      <c r="A561" s="4" t="s">
        <v>21</v>
      </c>
      <c r="B561" s="4" t="s">
        <v>40</v>
      </c>
      <c r="C561" s="4" t="s">
        <v>23</v>
      </c>
      <c r="D561" s="4" t="s">
        <v>41</v>
      </c>
      <c r="E561" s="4" t="s">
        <v>53</v>
      </c>
      <c r="F561" s="4" t="s">
        <v>52</v>
      </c>
      <c r="G561" s="4" t="s">
        <v>25</v>
      </c>
      <c r="H561" s="4" t="s">
        <v>25</v>
      </c>
      <c r="I561" s="5">
        <v>44593</v>
      </c>
      <c r="J561" s="6">
        <v>0</v>
      </c>
      <c r="K561" s="6">
        <v>0</v>
      </c>
      <c r="L561" s="6">
        <v>0.06</v>
      </c>
      <c r="M561" s="6">
        <v>2.4E-2</v>
      </c>
      <c r="N561" s="6">
        <v>0.06</v>
      </c>
      <c r="O561" s="6">
        <v>2.4E-2</v>
      </c>
      <c r="P561" s="6">
        <v>0</v>
      </c>
      <c r="Q561" s="4" t="s">
        <v>26</v>
      </c>
      <c r="R561" s="4">
        <v>0</v>
      </c>
      <c r="S561" s="4" t="s">
        <v>223</v>
      </c>
      <c r="T561" s="4" t="s">
        <v>360</v>
      </c>
      <c r="U561" s="4">
        <v>0</v>
      </c>
      <c r="V561" s="4">
        <v>60</v>
      </c>
      <c r="W561" s="4">
        <v>16</v>
      </c>
    </row>
    <row r="562" spans="1:23" ht="11.25" customHeight="1" x14ac:dyDescent="0.25">
      <c r="A562" s="4" t="s">
        <v>54</v>
      </c>
      <c r="B562" s="4" t="s">
        <v>40</v>
      </c>
      <c r="C562" s="4" t="s">
        <v>23</v>
      </c>
      <c r="D562" s="4" t="s">
        <v>41</v>
      </c>
      <c r="E562" s="4" t="s">
        <v>53</v>
      </c>
      <c r="F562" s="4" t="s">
        <v>52</v>
      </c>
      <c r="G562" s="4" t="s">
        <v>25</v>
      </c>
      <c r="H562" s="4" t="s">
        <v>25</v>
      </c>
      <c r="I562" s="5">
        <v>44621</v>
      </c>
      <c r="J562" s="6">
        <v>0</v>
      </c>
      <c r="K562" s="6">
        <v>0</v>
      </c>
      <c r="L562" s="6">
        <v>0.06</v>
      </c>
      <c r="M562" s="6">
        <v>2.4E-2</v>
      </c>
      <c r="N562" s="6">
        <v>0.06</v>
      </c>
      <c r="O562" s="6">
        <v>2.4E-2</v>
      </c>
      <c r="P562" s="6">
        <v>0</v>
      </c>
      <c r="Q562" s="4" t="s">
        <v>26</v>
      </c>
      <c r="R562" s="4">
        <v>0</v>
      </c>
      <c r="S562" s="4" t="s">
        <v>224</v>
      </c>
      <c r="T562" s="4" t="s">
        <v>361</v>
      </c>
      <c r="U562" s="4">
        <v>0</v>
      </c>
      <c r="V562" s="4">
        <v>60</v>
      </c>
      <c r="W562" s="4">
        <v>16</v>
      </c>
    </row>
    <row r="563" spans="1:23" ht="11.25" customHeight="1" x14ac:dyDescent="0.25">
      <c r="A563" s="4" t="s">
        <v>21</v>
      </c>
      <c r="B563" s="4" t="s">
        <v>40</v>
      </c>
      <c r="C563" s="4" t="s">
        <v>23</v>
      </c>
      <c r="D563" s="4" t="s">
        <v>41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44287</v>
      </c>
      <c r="J563" s="6">
        <v>0</v>
      </c>
      <c r="K563" s="6">
        <v>0</v>
      </c>
      <c r="L563" s="6">
        <v>2546.63</v>
      </c>
      <c r="M563" s="6">
        <v>2546.63</v>
      </c>
      <c r="N563" s="6">
        <v>2546.63</v>
      </c>
      <c r="O563" s="6">
        <v>2546.63</v>
      </c>
      <c r="P563" s="6">
        <v>2087</v>
      </c>
      <c r="Q563" s="4" t="s">
        <v>26</v>
      </c>
      <c r="R563" s="4">
        <v>0</v>
      </c>
      <c r="S563" s="4" t="s">
        <v>213</v>
      </c>
      <c r="T563" s="4" t="s">
        <v>350</v>
      </c>
      <c r="U563" s="4">
        <v>0</v>
      </c>
      <c r="V563" s="4">
        <v>60</v>
      </c>
      <c r="W563" s="4">
        <v>16</v>
      </c>
    </row>
    <row r="564" spans="1:23" ht="11.25" customHeight="1" x14ac:dyDescent="0.25">
      <c r="A564" s="4" t="s">
        <v>27</v>
      </c>
      <c r="B564" s="4" t="s">
        <v>40</v>
      </c>
      <c r="C564" s="4" t="s">
        <v>23</v>
      </c>
      <c r="D564" s="4" t="s">
        <v>41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44287</v>
      </c>
      <c r="J564" s="6">
        <v>0</v>
      </c>
      <c r="K564" s="6">
        <v>0</v>
      </c>
      <c r="L564" s="6">
        <v>-2.2999999999999998</v>
      </c>
      <c r="M564" s="6">
        <v>-2.2999999999999998</v>
      </c>
      <c r="N564" s="6">
        <v>-2.2999999999999998</v>
      </c>
      <c r="O564" s="6">
        <v>-2.2999999999999998</v>
      </c>
      <c r="P564" s="6">
        <v>0</v>
      </c>
      <c r="Q564" s="4" t="s">
        <v>26</v>
      </c>
      <c r="R564" s="4">
        <v>0</v>
      </c>
      <c r="S564" s="4" t="s">
        <v>213</v>
      </c>
      <c r="T564" s="4" t="s">
        <v>350</v>
      </c>
      <c r="U564" s="4">
        <v>0</v>
      </c>
      <c r="V564" s="4">
        <v>60</v>
      </c>
      <c r="W564" s="4">
        <v>16</v>
      </c>
    </row>
    <row r="565" spans="1:23" ht="11.25" customHeight="1" x14ac:dyDescent="0.25">
      <c r="A565" s="4" t="s">
        <v>28</v>
      </c>
      <c r="B565" s="4" t="s">
        <v>40</v>
      </c>
      <c r="C565" s="4" t="s">
        <v>23</v>
      </c>
      <c r="D565" s="4" t="s">
        <v>41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44287</v>
      </c>
      <c r="J565" s="6">
        <v>0</v>
      </c>
      <c r="K565" s="6">
        <v>0</v>
      </c>
      <c r="L565" s="6">
        <v>13.353999999999999</v>
      </c>
      <c r="M565" s="6">
        <v>13.353999999999999</v>
      </c>
      <c r="N565" s="6">
        <v>13.353999999999999</v>
      </c>
      <c r="O565" s="6">
        <v>13.353999999999999</v>
      </c>
      <c r="P565" s="6">
        <v>9</v>
      </c>
      <c r="Q565" s="4" t="s">
        <v>26</v>
      </c>
      <c r="R565" s="4">
        <v>0</v>
      </c>
      <c r="S565" s="4" t="s">
        <v>213</v>
      </c>
      <c r="T565" s="4" t="s">
        <v>350</v>
      </c>
      <c r="U565" s="4">
        <v>0</v>
      </c>
      <c r="V565" s="4">
        <v>60</v>
      </c>
      <c r="W565" s="4">
        <v>16</v>
      </c>
    </row>
    <row r="566" spans="1:23" ht="11.25" customHeight="1" x14ac:dyDescent="0.25">
      <c r="A566" s="4" t="s">
        <v>21</v>
      </c>
      <c r="B566" s="4" t="s">
        <v>40</v>
      </c>
      <c r="C566" s="4" t="s">
        <v>23</v>
      </c>
      <c r="D566" s="4" t="s">
        <v>41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44317</v>
      </c>
      <c r="J566" s="6">
        <v>0</v>
      </c>
      <c r="K566" s="6">
        <v>0</v>
      </c>
      <c r="L566" s="6">
        <v>2487.31</v>
      </c>
      <c r="M566" s="6">
        <v>2487.31</v>
      </c>
      <c r="N566" s="6">
        <v>2487.31</v>
      </c>
      <c r="O566" s="6">
        <v>2487.31</v>
      </c>
      <c r="P566" s="6">
        <v>2089</v>
      </c>
      <c r="Q566" s="4" t="s">
        <v>26</v>
      </c>
      <c r="R566" s="4">
        <v>0</v>
      </c>
      <c r="S566" s="4" t="s">
        <v>214</v>
      </c>
      <c r="T566" s="4" t="s">
        <v>351</v>
      </c>
      <c r="U566" s="4">
        <v>0</v>
      </c>
      <c r="V566" s="4">
        <v>60</v>
      </c>
      <c r="W566" s="4">
        <v>16</v>
      </c>
    </row>
    <row r="567" spans="1:23" ht="11.25" customHeight="1" x14ac:dyDescent="0.25">
      <c r="A567" s="4" t="s">
        <v>27</v>
      </c>
      <c r="B567" s="4" t="s">
        <v>40</v>
      </c>
      <c r="C567" s="4" t="s">
        <v>23</v>
      </c>
      <c r="D567" s="4" t="s">
        <v>41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44317</v>
      </c>
      <c r="J567" s="6">
        <v>0</v>
      </c>
      <c r="K567" s="6">
        <v>0</v>
      </c>
      <c r="L567" s="6">
        <v>-24.905000000000001</v>
      </c>
      <c r="M567" s="6">
        <v>-24.905000000000001</v>
      </c>
      <c r="N567" s="6">
        <v>-24.905000000000001</v>
      </c>
      <c r="O567" s="6">
        <v>-24.905000000000001</v>
      </c>
      <c r="P567" s="6">
        <v>0</v>
      </c>
      <c r="Q567" s="4" t="s">
        <v>26</v>
      </c>
      <c r="R567" s="4">
        <v>0</v>
      </c>
      <c r="S567" s="4" t="s">
        <v>214</v>
      </c>
      <c r="T567" s="4" t="s">
        <v>351</v>
      </c>
      <c r="U567" s="4">
        <v>0</v>
      </c>
      <c r="V567" s="4">
        <v>60</v>
      </c>
      <c r="W567" s="4">
        <v>16</v>
      </c>
    </row>
    <row r="568" spans="1:23" ht="11.25" customHeight="1" x14ac:dyDescent="0.25">
      <c r="A568" s="4" t="s">
        <v>28</v>
      </c>
      <c r="B568" s="4" t="s">
        <v>40</v>
      </c>
      <c r="C568" s="4" t="s">
        <v>23</v>
      </c>
      <c r="D568" s="4" t="s">
        <v>41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44317</v>
      </c>
      <c r="J568" s="6">
        <v>0</v>
      </c>
      <c r="K568" s="6">
        <v>0</v>
      </c>
      <c r="L568" s="6">
        <v>9.4559999999999995</v>
      </c>
      <c r="M568" s="6">
        <v>9.4559999999999995</v>
      </c>
      <c r="N568" s="6">
        <v>9.4559999999999995</v>
      </c>
      <c r="O568" s="6">
        <v>9.4559999999999995</v>
      </c>
      <c r="P568" s="6">
        <v>9</v>
      </c>
      <c r="Q568" s="4" t="s">
        <v>26</v>
      </c>
      <c r="R568" s="4">
        <v>0</v>
      </c>
      <c r="S568" s="4" t="s">
        <v>214</v>
      </c>
      <c r="T568" s="4" t="s">
        <v>351</v>
      </c>
      <c r="U568" s="4">
        <v>0</v>
      </c>
      <c r="V568" s="4">
        <v>60</v>
      </c>
      <c r="W568" s="4">
        <v>16</v>
      </c>
    </row>
    <row r="569" spans="1:23" ht="11.25" customHeight="1" x14ac:dyDescent="0.25">
      <c r="A569" s="4" t="s">
        <v>21</v>
      </c>
      <c r="B569" s="4" t="s">
        <v>40</v>
      </c>
      <c r="C569" s="4" t="s">
        <v>23</v>
      </c>
      <c r="D569" s="4" t="s">
        <v>41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44348</v>
      </c>
      <c r="J569" s="6">
        <v>0</v>
      </c>
      <c r="K569" s="6">
        <v>0</v>
      </c>
      <c r="L569" s="6">
        <v>1958.875</v>
      </c>
      <c r="M569" s="6">
        <v>1958.875</v>
      </c>
      <c r="N569" s="6">
        <v>1958.875</v>
      </c>
      <c r="O569" s="6">
        <v>1958.875</v>
      </c>
      <c r="P569" s="6">
        <v>2088</v>
      </c>
      <c r="Q569" s="4" t="s">
        <v>26</v>
      </c>
      <c r="R569" s="4">
        <v>0</v>
      </c>
      <c r="S569" s="4" t="s">
        <v>215</v>
      </c>
      <c r="T569" s="4" t="s">
        <v>352</v>
      </c>
      <c r="U569" s="4">
        <v>0</v>
      </c>
      <c r="V569" s="4">
        <v>60</v>
      </c>
      <c r="W569" s="4">
        <v>16</v>
      </c>
    </row>
    <row r="570" spans="1:23" ht="11.25" customHeight="1" x14ac:dyDescent="0.25">
      <c r="A570" s="4" t="s">
        <v>28</v>
      </c>
      <c r="B570" s="4" t="s">
        <v>40</v>
      </c>
      <c r="C570" s="4" t="s">
        <v>23</v>
      </c>
      <c r="D570" s="4" t="s">
        <v>41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44348</v>
      </c>
      <c r="J570" s="6">
        <v>0</v>
      </c>
      <c r="K570" s="6">
        <v>0</v>
      </c>
      <c r="L570" s="6">
        <v>17.687000000000001</v>
      </c>
      <c r="M570" s="6">
        <v>17.687000000000001</v>
      </c>
      <c r="N570" s="6">
        <v>17.687000000000001</v>
      </c>
      <c r="O570" s="6">
        <v>17.687000000000001</v>
      </c>
      <c r="P570" s="6">
        <v>10</v>
      </c>
      <c r="Q570" s="4" t="s">
        <v>26</v>
      </c>
      <c r="R570" s="4">
        <v>0</v>
      </c>
      <c r="S570" s="4" t="s">
        <v>215</v>
      </c>
      <c r="T570" s="4" t="s">
        <v>352</v>
      </c>
      <c r="U570" s="4">
        <v>0</v>
      </c>
      <c r="V570" s="4">
        <v>60</v>
      </c>
      <c r="W570" s="4">
        <v>16</v>
      </c>
    </row>
    <row r="571" spans="1:23" ht="11.25" customHeight="1" x14ac:dyDescent="0.25">
      <c r="A571" s="4" t="s">
        <v>28</v>
      </c>
      <c r="B571" s="4" t="s">
        <v>40</v>
      </c>
      <c r="C571" s="4" t="s">
        <v>23</v>
      </c>
      <c r="D571" s="4" t="s">
        <v>41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44348</v>
      </c>
      <c r="J571" s="6">
        <v>0</v>
      </c>
      <c r="K571" s="6">
        <v>0</v>
      </c>
      <c r="L571" s="6">
        <v>-2.0859999999999999</v>
      </c>
      <c r="M571" s="6">
        <v>-2.0859999999999999</v>
      </c>
      <c r="N571" s="6">
        <v>-2.0859999999999999</v>
      </c>
      <c r="O571" s="6">
        <v>-2.0859999999999999</v>
      </c>
      <c r="P571" s="6">
        <v>1</v>
      </c>
      <c r="Q571" s="4" t="s">
        <v>26</v>
      </c>
      <c r="R571" s="4">
        <v>0</v>
      </c>
      <c r="S571" s="4" t="s">
        <v>215</v>
      </c>
      <c r="T571" s="4" t="s">
        <v>352</v>
      </c>
      <c r="U571" s="4">
        <v>0</v>
      </c>
      <c r="V571" s="4">
        <v>60</v>
      </c>
      <c r="W571" s="4">
        <v>16</v>
      </c>
    </row>
    <row r="572" spans="1:23" ht="11.25" customHeight="1" x14ac:dyDescent="0.25">
      <c r="A572" s="4" t="s">
        <v>21</v>
      </c>
      <c r="B572" s="4" t="s">
        <v>40</v>
      </c>
      <c r="C572" s="4" t="s">
        <v>23</v>
      </c>
      <c r="D572" s="4" t="s">
        <v>41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44378</v>
      </c>
      <c r="J572" s="6">
        <v>0</v>
      </c>
      <c r="K572" s="6">
        <v>0</v>
      </c>
      <c r="L572" s="6">
        <v>2007.154</v>
      </c>
      <c r="M572" s="6">
        <v>2007.154</v>
      </c>
      <c r="N572" s="6">
        <v>2007.154</v>
      </c>
      <c r="O572" s="6">
        <v>2007.154</v>
      </c>
      <c r="P572" s="6">
        <v>2083</v>
      </c>
      <c r="Q572" s="4" t="s">
        <v>26</v>
      </c>
      <c r="R572" s="4">
        <v>0</v>
      </c>
      <c r="S572" s="4" t="s">
        <v>216</v>
      </c>
      <c r="T572" s="4" t="s">
        <v>353</v>
      </c>
      <c r="U572" s="4">
        <v>0</v>
      </c>
      <c r="V572" s="4">
        <v>60</v>
      </c>
      <c r="W572" s="4">
        <v>16</v>
      </c>
    </row>
    <row r="573" spans="1:23" ht="11.25" customHeight="1" x14ac:dyDescent="0.25">
      <c r="A573" s="4" t="s">
        <v>27</v>
      </c>
      <c r="B573" s="4" t="s">
        <v>40</v>
      </c>
      <c r="C573" s="4" t="s">
        <v>23</v>
      </c>
      <c r="D573" s="4" t="s">
        <v>41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44378</v>
      </c>
      <c r="J573" s="6">
        <v>0</v>
      </c>
      <c r="K573" s="6">
        <v>0</v>
      </c>
      <c r="L573" s="6">
        <v>-9.42</v>
      </c>
      <c r="M573" s="6">
        <v>-9.42</v>
      </c>
      <c r="N573" s="6">
        <v>-9.42</v>
      </c>
      <c r="O573" s="6">
        <v>-9.42</v>
      </c>
      <c r="P573" s="6">
        <v>0</v>
      </c>
      <c r="Q573" s="4" t="s">
        <v>26</v>
      </c>
      <c r="R573" s="4">
        <v>0</v>
      </c>
      <c r="S573" s="4" t="s">
        <v>216</v>
      </c>
      <c r="T573" s="4" t="s">
        <v>353</v>
      </c>
      <c r="U573" s="4">
        <v>0</v>
      </c>
      <c r="V573" s="4">
        <v>60</v>
      </c>
      <c r="W573" s="4">
        <v>16</v>
      </c>
    </row>
    <row r="574" spans="1:23" ht="11.25" customHeight="1" x14ac:dyDescent="0.25">
      <c r="A574" s="4" t="s">
        <v>28</v>
      </c>
      <c r="B574" s="4" t="s">
        <v>40</v>
      </c>
      <c r="C574" s="4" t="s">
        <v>23</v>
      </c>
      <c r="D574" s="4" t="s">
        <v>41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44378</v>
      </c>
      <c r="J574" s="6">
        <v>0</v>
      </c>
      <c r="K574" s="6">
        <v>0</v>
      </c>
      <c r="L574" s="6">
        <v>18.791</v>
      </c>
      <c r="M574" s="6">
        <v>18.791</v>
      </c>
      <c r="N574" s="6">
        <v>18.791</v>
      </c>
      <c r="O574" s="6">
        <v>18.791</v>
      </c>
      <c r="P574" s="6">
        <v>14</v>
      </c>
      <c r="Q574" s="4" t="s">
        <v>26</v>
      </c>
      <c r="R574" s="4">
        <v>0</v>
      </c>
      <c r="S574" s="4" t="s">
        <v>216</v>
      </c>
      <c r="T574" s="4" t="s">
        <v>353</v>
      </c>
      <c r="U574" s="4">
        <v>0</v>
      </c>
      <c r="V574" s="4">
        <v>60</v>
      </c>
      <c r="W574" s="4">
        <v>16</v>
      </c>
    </row>
    <row r="575" spans="1:23" ht="11.25" customHeight="1" x14ac:dyDescent="0.25">
      <c r="A575" s="4" t="s">
        <v>28</v>
      </c>
      <c r="B575" s="4" t="s">
        <v>40</v>
      </c>
      <c r="C575" s="4" t="s">
        <v>23</v>
      </c>
      <c r="D575" s="4" t="s">
        <v>41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44378</v>
      </c>
      <c r="J575" s="6">
        <v>0</v>
      </c>
      <c r="K575" s="6">
        <v>0</v>
      </c>
      <c r="L575" s="6">
        <v>1.9E-2</v>
      </c>
      <c r="M575" s="6">
        <v>1.9E-2</v>
      </c>
      <c r="N575" s="6">
        <v>1.9E-2</v>
      </c>
      <c r="O575" s="6">
        <v>1.9E-2</v>
      </c>
      <c r="P575" s="6">
        <v>2</v>
      </c>
      <c r="Q575" s="4" t="s">
        <v>26</v>
      </c>
      <c r="R575" s="4">
        <v>0</v>
      </c>
      <c r="S575" s="4" t="s">
        <v>216</v>
      </c>
      <c r="T575" s="4" t="s">
        <v>353</v>
      </c>
      <c r="U575" s="4">
        <v>0</v>
      </c>
      <c r="V575" s="4">
        <v>60</v>
      </c>
      <c r="W575" s="4">
        <v>16</v>
      </c>
    </row>
    <row r="576" spans="1:23" ht="11.25" customHeight="1" x14ac:dyDescent="0.25">
      <c r="A576" s="4" t="s">
        <v>21</v>
      </c>
      <c r="B576" s="4" t="s">
        <v>40</v>
      </c>
      <c r="C576" s="4" t="s">
        <v>23</v>
      </c>
      <c r="D576" s="4" t="s">
        <v>41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44409</v>
      </c>
      <c r="J576" s="6">
        <v>0</v>
      </c>
      <c r="K576" s="6">
        <v>0</v>
      </c>
      <c r="L576" s="6">
        <v>2340.4430000000002</v>
      </c>
      <c r="M576" s="6">
        <v>2340.4430000000002</v>
      </c>
      <c r="N576" s="6">
        <v>2340.4430000000002</v>
      </c>
      <c r="O576" s="6">
        <v>2340.4430000000002</v>
      </c>
      <c r="P576" s="6">
        <v>2096</v>
      </c>
      <c r="Q576" s="4" t="s">
        <v>26</v>
      </c>
      <c r="R576" s="4">
        <v>0</v>
      </c>
      <c r="S576" s="4" t="s">
        <v>217</v>
      </c>
      <c r="T576" s="4" t="s">
        <v>354</v>
      </c>
      <c r="U576" s="4">
        <v>0</v>
      </c>
      <c r="V576" s="4">
        <v>60</v>
      </c>
      <c r="W576" s="4">
        <v>16</v>
      </c>
    </row>
    <row r="577" spans="1:23" ht="11.25" customHeight="1" x14ac:dyDescent="0.25">
      <c r="A577" s="4" t="s">
        <v>27</v>
      </c>
      <c r="B577" s="4" t="s">
        <v>40</v>
      </c>
      <c r="C577" s="4" t="s">
        <v>23</v>
      </c>
      <c r="D577" s="4" t="s">
        <v>41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44409</v>
      </c>
      <c r="J577" s="6">
        <v>0</v>
      </c>
      <c r="K577" s="6">
        <v>0</v>
      </c>
      <c r="L577" s="6">
        <v>5.26</v>
      </c>
      <c r="M577" s="6">
        <v>5.26</v>
      </c>
      <c r="N577" s="6">
        <v>5.26</v>
      </c>
      <c r="O577" s="6">
        <v>5.26</v>
      </c>
      <c r="P577" s="6">
        <v>0</v>
      </c>
      <c r="Q577" s="4" t="s">
        <v>26</v>
      </c>
      <c r="R577" s="4">
        <v>0</v>
      </c>
      <c r="S577" s="4" t="s">
        <v>217</v>
      </c>
      <c r="T577" s="4" t="s">
        <v>354</v>
      </c>
      <c r="U577" s="4">
        <v>0</v>
      </c>
      <c r="V577" s="4">
        <v>60</v>
      </c>
      <c r="W577" s="4">
        <v>16</v>
      </c>
    </row>
    <row r="578" spans="1:23" ht="11.25" customHeight="1" x14ac:dyDescent="0.25">
      <c r="A578" s="4" t="s">
        <v>28</v>
      </c>
      <c r="B578" s="4" t="s">
        <v>40</v>
      </c>
      <c r="C578" s="4" t="s">
        <v>23</v>
      </c>
      <c r="D578" s="4" t="s">
        <v>41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44409</v>
      </c>
      <c r="J578" s="6">
        <v>0</v>
      </c>
      <c r="K578" s="6">
        <v>0</v>
      </c>
      <c r="L578" s="6">
        <v>14.803000000000001</v>
      </c>
      <c r="M578" s="6">
        <v>14.803000000000001</v>
      </c>
      <c r="N578" s="6">
        <v>14.803000000000001</v>
      </c>
      <c r="O578" s="6">
        <v>14.803000000000001</v>
      </c>
      <c r="P578" s="6">
        <v>12</v>
      </c>
      <c r="Q578" s="4" t="s">
        <v>26</v>
      </c>
      <c r="R578" s="4">
        <v>0</v>
      </c>
      <c r="S578" s="4" t="s">
        <v>217</v>
      </c>
      <c r="T578" s="4" t="s">
        <v>354</v>
      </c>
      <c r="U578" s="4">
        <v>0</v>
      </c>
      <c r="V578" s="4">
        <v>60</v>
      </c>
      <c r="W578" s="4">
        <v>16</v>
      </c>
    </row>
    <row r="579" spans="1:23" ht="11.25" customHeight="1" x14ac:dyDescent="0.25">
      <c r="A579" s="4" t="s">
        <v>21</v>
      </c>
      <c r="B579" s="4" t="s">
        <v>40</v>
      </c>
      <c r="C579" s="4" t="s">
        <v>23</v>
      </c>
      <c r="D579" s="4" t="s">
        <v>41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44440</v>
      </c>
      <c r="J579" s="6">
        <v>0</v>
      </c>
      <c r="K579" s="6">
        <v>0</v>
      </c>
      <c r="L579" s="6">
        <v>2510.3119999999999</v>
      </c>
      <c r="M579" s="6">
        <v>2510.3119999999999</v>
      </c>
      <c r="N579" s="6">
        <v>2510.3119999999999</v>
      </c>
      <c r="O579" s="6">
        <v>2510.3119999999999</v>
      </c>
      <c r="P579" s="6">
        <v>2094</v>
      </c>
      <c r="Q579" s="4" t="s">
        <v>26</v>
      </c>
      <c r="R579" s="4">
        <v>0</v>
      </c>
      <c r="S579" s="4" t="s">
        <v>218</v>
      </c>
      <c r="T579" s="4" t="s">
        <v>355</v>
      </c>
      <c r="U579" s="4">
        <v>0</v>
      </c>
      <c r="V579" s="4">
        <v>60</v>
      </c>
      <c r="W579" s="4">
        <v>16</v>
      </c>
    </row>
    <row r="580" spans="1:23" ht="11.25" customHeight="1" x14ac:dyDescent="0.25">
      <c r="A580" s="4" t="s">
        <v>27</v>
      </c>
      <c r="B580" s="4" t="s">
        <v>40</v>
      </c>
      <c r="C580" s="4" t="s">
        <v>23</v>
      </c>
      <c r="D580" s="4" t="s">
        <v>41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44440</v>
      </c>
      <c r="J580" s="6">
        <v>0</v>
      </c>
      <c r="K580" s="6">
        <v>0</v>
      </c>
      <c r="L580" s="6">
        <v>-0.152</v>
      </c>
      <c r="M580" s="6">
        <v>-0.152</v>
      </c>
      <c r="N580" s="6">
        <v>-0.152</v>
      </c>
      <c r="O580" s="6">
        <v>-0.152</v>
      </c>
      <c r="P580" s="6">
        <v>0</v>
      </c>
      <c r="Q580" s="4" t="s">
        <v>26</v>
      </c>
      <c r="R580" s="4">
        <v>0</v>
      </c>
      <c r="S580" s="4" t="s">
        <v>218</v>
      </c>
      <c r="T580" s="4" t="s">
        <v>355</v>
      </c>
      <c r="U580" s="4">
        <v>0</v>
      </c>
      <c r="V580" s="4">
        <v>60</v>
      </c>
      <c r="W580" s="4">
        <v>16</v>
      </c>
    </row>
    <row r="581" spans="1:23" ht="11.25" customHeight="1" x14ac:dyDescent="0.25">
      <c r="A581" s="4" t="s">
        <v>28</v>
      </c>
      <c r="B581" s="4" t="s">
        <v>40</v>
      </c>
      <c r="C581" s="4" t="s">
        <v>23</v>
      </c>
      <c r="D581" s="4" t="s">
        <v>41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44440</v>
      </c>
      <c r="J581" s="6">
        <v>0</v>
      </c>
      <c r="K581" s="6">
        <v>0</v>
      </c>
      <c r="L581" s="6">
        <v>54.148000000000003</v>
      </c>
      <c r="M581" s="6">
        <v>54.148000000000003</v>
      </c>
      <c r="N581" s="6">
        <v>54.148000000000003</v>
      </c>
      <c r="O581" s="6">
        <v>54.148000000000003</v>
      </c>
      <c r="P581" s="6">
        <v>16</v>
      </c>
      <c r="Q581" s="4" t="s">
        <v>26</v>
      </c>
      <c r="R581" s="4">
        <v>0</v>
      </c>
      <c r="S581" s="4" t="s">
        <v>218</v>
      </c>
      <c r="T581" s="4" t="s">
        <v>355</v>
      </c>
      <c r="U581" s="4">
        <v>0</v>
      </c>
      <c r="V581" s="4">
        <v>60</v>
      </c>
      <c r="W581" s="4">
        <v>16</v>
      </c>
    </row>
    <row r="582" spans="1:23" ht="11.25" customHeight="1" x14ac:dyDescent="0.25">
      <c r="A582" s="4" t="s">
        <v>21</v>
      </c>
      <c r="B582" s="4" t="s">
        <v>40</v>
      </c>
      <c r="C582" s="4" t="s">
        <v>23</v>
      </c>
      <c r="D582" s="4" t="s">
        <v>41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44470</v>
      </c>
      <c r="J582" s="6">
        <v>0</v>
      </c>
      <c r="K582" s="6">
        <v>0</v>
      </c>
      <c r="L582" s="6">
        <v>2154.7689999999998</v>
      </c>
      <c r="M582" s="6">
        <v>2154.7689999999998</v>
      </c>
      <c r="N582" s="6">
        <v>2154.7689999999998</v>
      </c>
      <c r="O582" s="6">
        <v>2154.7689999999998</v>
      </c>
      <c r="P582" s="6">
        <v>2095</v>
      </c>
      <c r="Q582" s="4" t="s">
        <v>26</v>
      </c>
      <c r="R582" s="4">
        <v>0</v>
      </c>
      <c r="S582" s="4" t="s">
        <v>219</v>
      </c>
      <c r="T582" s="4" t="s">
        <v>356</v>
      </c>
      <c r="U582" s="4">
        <v>0</v>
      </c>
      <c r="V582" s="4">
        <v>60</v>
      </c>
      <c r="W582" s="4">
        <v>16</v>
      </c>
    </row>
    <row r="583" spans="1:23" ht="11.25" customHeight="1" x14ac:dyDescent="0.25">
      <c r="A583" s="4" t="s">
        <v>27</v>
      </c>
      <c r="B583" s="4" t="s">
        <v>40</v>
      </c>
      <c r="C583" s="4" t="s">
        <v>23</v>
      </c>
      <c r="D583" s="4" t="s">
        <v>41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44470</v>
      </c>
      <c r="J583" s="6">
        <v>0</v>
      </c>
      <c r="K583" s="6">
        <v>0</v>
      </c>
      <c r="L583" s="6">
        <v>-9.8490000000000002</v>
      </c>
      <c r="M583" s="6">
        <v>-9.8490000000000002</v>
      </c>
      <c r="N583" s="6">
        <v>-9.8490000000000002</v>
      </c>
      <c r="O583" s="6">
        <v>-9.8490000000000002</v>
      </c>
      <c r="P583" s="6">
        <v>0</v>
      </c>
      <c r="Q583" s="4" t="s">
        <v>26</v>
      </c>
      <c r="R583" s="4">
        <v>0</v>
      </c>
      <c r="S583" s="4" t="s">
        <v>219</v>
      </c>
      <c r="T583" s="4" t="s">
        <v>356</v>
      </c>
      <c r="U583" s="4">
        <v>0</v>
      </c>
      <c r="V583" s="4">
        <v>60</v>
      </c>
      <c r="W583" s="4">
        <v>16</v>
      </c>
    </row>
    <row r="584" spans="1:23" ht="11.25" customHeight="1" x14ac:dyDescent="0.25">
      <c r="A584" s="4" t="s">
        <v>28</v>
      </c>
      <c r="B584" s="4" t="s">
        <v>40</v>
      </c>
      <c r="C584" s="4" t="s">
        <v>23</v>
      </c>
      <c r="D584" s="4" t="s">
        <v>41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44470</v>
      </c>
      <c r="J584" s="6">
        <v>0</v>
      </c>
      <c r="K584" s="6">
        <v>0</v>
      </c>
      <c r="L584" s="6">
        <v>89.162000000000006</v>
      </c>
      <c r="M584" s="6">
        <v>89.162000000000006</v>
      </c>
      <c r="N584" s="6">
        <v>89.162000000000006</v>
      </c>
      <c r="O584" s="6">
        <v>89.162000000000006</v>
      </c>
      <c r="P584" s="6">
        <v>20</v>
      </c>
      <c r="Q584" s="4" t="s">
        <v>26</v>
      </c>
      <c r="R584" s="4">
        <v>0</v>
      </c>
      <c r="S584" s="4" t="s">
        <v>219</v>
      </c>
      <c r="T584" s="4" t="s">
        <v>356</v>
      </c>
      <c r="U584" s="4">
        <v>0</v>
      </c>
      <c r="V584" s="4">
        <v>60</v>
      </c>
      <c r="W584" s="4">
        <v>16</v>
      </c>
    </row>
    <row r="585" spans="1:23" ht="11.25" customHeight="1" x14ac:dyDescent="0.25">
      <c r="A585" s="4" t="s">
        <v>21</v>
      </c>
      <c r="B585" s="4" t="s">
        <v>40</v>
      </c>
      <c r="C585" s="4" t="s">
        <v>23</v>
      </c>
      <c r="D585" s="4" t="s">
        <v>41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44501</v>
      </c>
      <c r="J585" s="6">
        <v>0</v>
      </c>
      <c r="K585" s="6">
        <v>0</v>
      </c>
      <c r="L585" s="6">
        <v>2489.1129999999998</v>
      </c>
      <c r="M585" s="6">
        <v>2489.1129999999998</v>
      </c>
      <c r="N585" s="6">
        <v>2489.1129999999998</v>
      </c>
      <c r="O585" s="6">
        <v>2489.1129999999998</v>
      </c>
      <c r="P585" s="6">
        <v>2092</v>
      </c>
      <c r="Q585" s="4" t="s">
        <v>26</v>
      </c>
      <c r="R585" s="4">
        <v>0</v>
      </c>
      <c r="S585" s="4" t="s">
        <v>220</v>
      </c>
      <c r="T585" s="4" t="s">
        <v>357</v>
      </c>
      <c r="U585" s="4">
        <v>0</v>
      </c>
      <c r="V585" s="4">
        <v>60</v>
      </c>
      <c r="W585" s="4">
        <v>16</v>
      </c>
    </row>
    <row r="586" spans="1:23" ht="11.25" customHeight="1" x14ac:dyDescent="0.25">
      <c r="A586" s="4" t="s">
        <v>27</v>
      </c>
      <c r="B586" s="4" t="s">
        <v>40</v>
      </c>
      <c r="C586" s="4" t="s">
        <v>23</v>
      </c>
      <c r="D586" s="4" t="s">
        <v>41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44501</v>
      </c>
      <c r="J586" s="6">
        <v>0</v>
      </c>
      <c r="K586" s="6">
        <v>0</v>
      </c>
      <c r="L586" s="6">
        <v>-0.70099999999999996</v>
      </c>
      <c r="M586" s="6">
        <v>-0.70099999999999996</v>
      </c>
      <c r="N586" s="6">
        <v>-0.70099999999999996</v>
      </c>
      <c r="O586" s="6">
        <v>-0.70099999999999996</v>
      </c>
      <c r="P586" s="6">
        <v>0</v>
      </c>
      <c r="Q586" s="4" t="s">
        <v>26</v>
      </c>
      <c r="R586" s="4">
        <v>0</v>
      </c>
      <c r="S586" s="4" t="s">
        <v>220</v>
      </c>
      <c r="T586" s="4" t="s">
        <v>357</v>
      </c>
      <c r="U586" s="4">
        <v>0</v>
      </c>
      <c r="V586" s="4">
        <v>60</v>
      </c>
      <c r="W586" s="4">
        <v>16</v>
      </c>
    </row>
    <row r="587" spans="1:23" ht="11.25" customHeight="1" x14ac:dyDescent="0.25">
      <c r="A587" s="4" t="s">
        <v>28</v>
      </c>
      <c r="B587" s="4" t="s">
        <v>40</v>
      </c>
      <c r="C587" s="4" t="s">
        <v>23</v>
      </c>
      <c r="D587" s="4" t="s">
        <v>41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44501</v>
      </c>
      <c r="J587" s="6">
        <v>0</v>
      </c>
      <c r="K587" s="6">
        <v>0</v>
      </c>
      <c r="L587" s="6">
        <v>67.254999999999995</v>
      </c>
      <c r="M587" s="6">
        <v>67.254999999999995</v>
      </c>
      <c r="N587" s="6">
        <v>67.254999999999995</v>
      </c>
      <c r="O587" s="6">
        <v>67.254999999999995</v>
      </c>
      <c r="P587" s="6">
        <v>21</v>
      </c>
      <c r="Q587" s="4" t="s">
        <v>26</v>
      </c>
      <c r="R587" s="4">
        <v>0</v>
      </c>
      <c r="S587" s="4" t="s">
        <v>220</v>
      </c>
      <c r="T587" s="4" t="s">
        <v>357</v>
      </c>
      <c r="U587" s="4">
        <v>0</v>
      </c>
      <c r="V587" s="4">
        <v>60</v>
      </c>
      <c r="W587" s="4">
        <v>16</v>
      </c>
    </row>
    <row r="588" spans="1:23" ht="11.25" customHeight="1" x14ac:dyDescent="0.25">
      <c r="A588" s="4" t="s">
        <v>21</v>
      </c>
      <c r="B588" s="4" t="s">
        <v>40</v>
      </c>
      <c r="C588" s="4" t="s">
        <v>23</v>
      </c>
      <c r="D588" s="4" t="s">
        <v>41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44531</v>
      </c>
      <c r="J588" s="6">
        <v>0</v>
      </c>
      <c r="K588" s="6">
        <v>0</v>
      </c>
      <c r="L588" s="6">
        <v>2225.7460000000001</v>
      </c>
      <c r="M588" s="6">
        <v>2225.7460000000001</v>
      </c>
      <c r="N588" s="6">
        <v>2225.7460000000001</v>
      </c>
      <c r="O588" s="6">
        <v>2225.7460000000001</v>
      </c>
      <c r="P588" s="6">
        <v>2098</v>
      </c>
      <c r="Q588" s="4" t="s">
        <v>26</v>
      </c>
      <c r="R588" s="4">
        <v>0</v>
      </c>
      <c r="S588" s="4" t="s">
        <v>221</v>
      </c>
      <c r="T588" s="4" t="s">
        <v>358</v>
      </c>
      <c r="U588" s="4">
        <v>0</v>
      </c>
      <c r="V588" s="4">
        <v>60</v>
      </c>
      <c r="W588" s="4">
        <v>16</v>
      </c>
    </row>
    <row r="589" spans="1:23" ht="11.25" customHeight="1" x14ac:dyDescent="0.25">
      <c r="A589" s="4" t="s">
        <v>27</v>
      </c>
      <c r="B589" s="4" t="s">
        <v>40</v>
      </c>
      <c r="C589" s="4" t="s">
        <v>23</v>
      </c>
      <c r="D589" s="4" t="s">
        <v>41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44531</v>
      </c>
      <c r="J589" s="6">
        <v>0</v>
      </c>
      <c r="K589" s="6">
        <v>0</v>
      </c>
      <c r="L589" s="6">
        <v>-1.4530000000000001</v>
      </c>
      <c r="M589" s="6">
        <v>-1.4530000000000001</v>
      </c>
      <c r="N589" s="6">
        <v>-1.4530000000000001</v>
      </c>
      <c r="O589" s="6">
        <v>-1.4530000000000001</v>
      </c>
      <c r="P589" s="6">
        <v>0</v>
      </c>
      <c r="Q589" s="4" t="s">
        <v>26</v>
      </c>
      <c r="R589" s="4">
        <v>0</v>
      </c>
      <c r="S589" s="4" t="s">
        <v>221</v>
      </c>
      <c r="T589" s="4" t="s">
        <v>358</v>
      </c>
      <c r="U589" s="4">
        <v>0</v>
      </c>
      <c r="V589" s="4">
        <v>60</v>
      </c>
      <c r="W589" s="4">
        <v>16</v>
      </c>
    </row>
    <row r="590" spans="1:23" ht="11.25" customHeight="1" x14ac:dyDescent="0.25">
      <c r="A590" s="4" t="s">
        <v>28</v>
      </c>
      <c r="B590" s="4" t="s">
        <v>40</v>
      </c>
      <c r="C590" s="4" t="s">
        <v>23</v>
      </c>
      <c r="D590" s="4" t="s">
        <v>41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44531</v>
      </c>
      <c r="J590" s="6">
        <v>0</v>
      </c>
      <c r="K590" s="6">
        <v>0</v>
      </c>
      <c r="L590" s="6">
        <v>76.545000000000002</v>
      </c>
      <c r="M590" s="6">
        <v>76.545000000000002</v>
      </c>
      <c r="N590" s="6">
        <v>76.545000000000002</v>
      </c>
      <c r="O590" s="6">
        <v>76.545000000000002</v>
      </c>
      <c r="P590" s="6">
        <v>24</v>
      </c>
      <c r="Q590" s="4" t="s">
        <v>26</v>
      </c>
      <c r="R590" s="4">
        <v>0</v>
      </c>
      <c r="S590" s="4" t="s">
        <v>221</v>
      </c>
      <c r="T590" s="4" t="s">
        <v>358</v>
      </c>
      <c r="U590" s="4">
        <v>0</v>
      </c>
      <c r="V590" s="4">
        <v>60</v>
      </c>
      <c r="W590" s="4">
        <v>16</v>
      </c>
    </row>
    <row r="591" spans="1:23" ht="11.25" customHeight="1" x14ac:dyDescent="0.25">
      <c r="A591" s="4" t="s">
        <v>21</v>
      </c>
      <c r="B591" s="4" t="s">
        <v>40</v>
      </c>
      <c r="C591" s="4" t="s">
        <v>23</v>
      </c>
      <c r="D591" s="4" t="s">
        <v>41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44562</v>
      </c>
      <c r="J591" s="6">
        <v>0</v>
      </c>
      <c r="K591" s="6">
        <v>0</v>
      </c>
      <c r="L591" s="6">
        <v>2174.2919999999999</v>
      </c>
      <c r="M591" s="6">
        <v>2174.2919999999999</v>
      </c>
      <c r="N591" s="6">
        <v>2174.2919999999999</v>
      </c>
      <c r="O591" s="6">
        <v>2174.2919999999999</v>
      </c>
      <c r="P591" s="6">
        <v>2096</v>
      </c>
      <c r="Q591" s="4" t="s">
        <v>26</v>
      </c>
      <c r="R591" s="4">
        <v>0</v>
      </c>
      <c r="S591" s="4" t="s">
        <v>222</v>
      </c>
      <c r="T591" s="4" t="s">
        <v>359</v>
      </c>
      <c r="U591" s="4">
        <v>0</v>
      </c>
      <c r="V591" s="4">
        <v>60</v>
      </c>
      <c r="W591" s="4">
        <v>16</v>
      </c>
    </row>
    <row r="592" spans="1:23" ht="11.25" customHeight="1" x14ac:dyDescent="0.25">
      <c r="A592" s="4" t="s">
        <v>27</v>
      </c>
      <c r="B592" s="4" t="s">
        <v>40</v>
      </c>
      <c r="C592" s="4" t="s">
        <v>23</v>
      </c>
      <c r="D592" s="4" t="s">
        <v>41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44562</v>
      </c>
      <c r="J592" s="6">
        <v>0</v>
      </c>
      <c r="K592" s="6">
        <v>0</v>
      </c>
      <c r="L592" s="6">
        <v>-4.2690000000000001</v>
      </c>
      <c r="M592" s="6">
        <v>-4.2690000000000001</v>
      </c>
      <c r="N592" s="6">
        <v>-4.2690000000000001</v>
      </c>
      <c r="O592" s="6">
        <v>-4.2690000000000001</v>
      </c>
      <c r="P592" s="6">
        <v>0</v>
      </c>
      <c r="Q592" s="4" t="s">
        <v>26</v>
      </c>
      <c r="R592" s="4">
        <v>0</v>
      </c>
      <c r="S592" s="4" t="s">
        <v>222</v>
      </c>
      <c r="T592" s="4" t="s">
        <v>359</v>
      </c>
      <c r="U592" s="4">
        <v>0</v>
      </c>
      <c r="V592" s="4">
        <v>60</v>
      </c>
      <c r="W592" s="4">
        <v>16</v>
      </c>
    </row>
    <row r="593" spans="1:23" ht="11.25" customHeight="1" x14ac:dyDescent="0.25">
      <c r="A593" s="4" t="s">
        <v>28</v>
      </c>
      <c r="B593" s="4" t="s">
        <v>40</v>
      </c>
      <c r="C593" s="4" t="s">
        <v>23</v>
      </c>
      <c r="D593" s="4" t="s">
        <v>41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44562</v>
      </c>
      <c r="J593" s="6">
        <v>0</v>
      </c>
      <c r="K593" s="6">
        <v>0</v>
      </c>
      <c r="L593" s="6">
        <v>78.852000000000004</v>
      </c>
      <c r="M593" s="6">
        <v>78.852000000000004</v>
      </c>
      <c r="N593" s="6">
        <v>78.852000000000004</v>
      </c>
      <c r="O593" s="6">
        <v>78.852000000000004</v>
      </c>
      <c r="P593" s="6">
        <v>24</v>
      </c>
      <c r="Q593" s="4" t="s">
        <v>26</v>
      </c>
      <c r="R593" s="4">
        <v>0</v>
      </c>
      <c r="S593" s="4" t="s">
        <v>222</v>
      </c>
      <c r="T593" s="4" t="s">
        <v>359</v>
      </c>
      <c r="U593" s="4">
        <v>0</v>
      </c>
      <c r="V593" s="4">
        <v>60</v>
      </c>
      <c r="W593" s="4">
        <v>16</v>
      </c>
    </row>
    <row r="594" spans="1:23" ht="11.25" customHeight="1" x14ac:dyDescent="0.25">
      <c r="A594" s="4" t="s">
        <v>21</v>
      </c>
      <c r="B594" s="4" t="s">
        <v>40</v>
      </c>
      <c r="C594" s="4" t="s">
        <v>23</v>
      </c>
      <c r="D594" s="4" t="s">
        <v>41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44593</v>
      </c>
      <c r="J594" s="6">
        <v>0</v>
      </c>
      <c r="K594" s="6">
        <v>0</v>
      </c>
      <c r="L594" s="6">
        <v>2301.3029999999999</v>
      </c>
      <c r="M594" s="6">
        <v>2301.3029999999999</v>
      </c>
      <c r="N594" s="6">
        <v>2301.3029999999999</v>
      </c>
      <c r="O594" s="6">
        <v>2301.3029999999999</v>
      </c>
      <c r="P594" s="6">
        <v>2085</v>
      </c>
      <c r="Q594" s="4" t="s">
        <v>26</v>
      </c>
      <c r="R594" s="4">
        <v>0</v>
      </c>
      <c r="S594" s="4" t="s">
        <v>223</v>
      </c>
      <c r="T594" s="4" t="s">
        <v>360</v>
      </c>
      <c r="U594" s="4">
        <v>0</v>
      </c>
      <c r="V594" s="4">
        <v>60</v>
      </c>
      <c r="W594" s="4">
        <v>16</v>
      </c>
    </row>
    <row r="595" spans="1:23" ht="11.25" customHeight="1" x14ac:dyDescent="0.25">
      <c r="A595" s="4" t="s">
        <v>27</v>
      </c>
      <c r="B595" s="4" t="s">
        <v>40</v>
      </c>
      <c r="C595" s="4" t="s">
        <v>23</v>
      </c>
      <c r="D595" s="4" t="s">
        <v>41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44593</v>
      </c>
      <c r="J595" s="6">
        <v>0</v>
      </c>
      <c r="K595" s="6">
        <v>0</v>
      </c>
      <c r="L595" s="6">
        <v>-0.88700000000000001</v>
      </c>
      <c r="M595" s="6">
        <v>-0.88700000000000001</v>
      </c>
      <c r="N595" s="6">
        <v>-0.88700000000000001</v>
      </c>
      <c r="O595" s="6">
        <v>-0.88700000000000001</v>
      </c>
      <c r="P595" s="6">
        <v>0</v>
      </c>
      <c r="Q595" s="4" t="s">
        <v>26</v>
      </c>
      <c r="R595" s="4">
        <v>0</v>
      </c>
      <c r="S595" s="4" t="s">
        <v>223</v>
      </c>
      <c r="T595" s="4" t="s">
        <v>360</v>
      </c>
      <c r="U595" s="4">
        <v>0</v>
      </c>
      <c r="V595" s="4">
        <v>60</v>
      </c>
      <c r="W595" s="4">
        <v>16</v>
      </c>
    </row>
    <row r="596" spans="1:23" ht="11.25" customHeight="1" x14ac:dyDescent="0.25">
      <c r="A596" s="4" t="s">
        <v>28</v>
      </c>
      <c r="B596" s="4" t="s">
        <v>40</v>
      </c>
      <c r="C596" s="4" t="s">
        <v>23</v>
      </c>
      <c r="D596" s="4" t="s">
        <v>41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44593</v>
      </c>
      <c r="J596" s="6">
        <v>0</v>
      </c>
      <c r="K596" s="6">
        <v>0</v>
      </c>
      <c r="L596" s="6">
        <v>86.263999999999996</v>
      </c>
      <c r="M596" s="6">
        <v>86.263999999999996</v>
      </c>
      <c r="N596" s="6">
        <v>86.263999999999996</v>
      </c>
      <c r="O596" s="6">
        <v>86.263999999999996</v>
      </c>
      <c r="P596" s="6">
        <v>29</v>
      </c>
      <c r="Q596" s="4" t="s">
        <v>26</v>
      </c>
      <c r="R596" s="4">
        <v>0</v>
      </c>
      <c r="S596" s="4" t="s">
        <v>223</v>
      </c>
      <c r="T596" s="4" t="s">
        <v>360</v>
      </c>
      <c r="U596" s="4">
        <v>0</v>
      </c>
      <c r="V596" s="4">
        <v>60</v>
      </c>
      <c r="W596" s="4">
        <v>16</v>
      </c>
    </row>
    <row r="597" spans="1:23" ht="11.25" customHeight="1" x14ac:dyDescent="0.25">
      <c r="A597" s="4" t="s">
        <v>54</v>
      </c>
      <c r="B597" s="4" t="s">
        <v>40</v>
      </c>
      <c r="C597" s="4" t="s">
        <v>23</v>
      </c>
      <c r="D597" s="4" t="s">
        <v>41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44621</v>
      </c>
      <c r="J597" s="6">
        <v>0</v>
      </c>
      <c r="K597" s="6">
        <v>0</v>
      </c>
      <c r="L597" s="6">
        <v>2301.3029999999999</v>
      </c>
      <c r="M597" s="6">
        <v>2301.3029999999999</v>
      </c>
      <c r="N597" s="6">
        <v>2301.3029999999999</v>
      </c>
      <c r="O597" s="6">
        <v>2301.3029999999999</v>
      </c>
      <c r="P597" s="6">
        <v>2085</v>
      </c>
      <c r="Q597" s="4" t="s">
        <v>26</v>
      </c>
      <c r="R597" s="4">
        <v>0</v>
      </c>
      <c r="S597" s="4" t="s">
        <v>224</v>
      </c>
      <c r="T597" s="4" t="s">
        <v>361</v>
      </c>
      <c r="U597" s="4">
        <v>0</v>
      </c>
      <c r="V597" s="4">
        <v>60</v>
      </c>
      <c r="W597" s="4">
        <v>16</v>
      </c>
    </row>
    <row r="598" spans="1:23" ht="11.25" customHeight="1" x14ac:dyDescent="0.25">
      <c r="A598" s="4" t="s">
        <v>54</v>
      </c>
      <c r="B598" s="4" t="s">
        <v>40</v>
      </c>
      <c r="C598" s="4" t="s">
        <v>23</v>
      </c>
      <c r="D598" s="4" t="s">
        <v>41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44621</v>
      </c>
      <c r="J598" s="6">
        <v>0</v>
      </c>
      <c r="K598" s="6">
        <v>0</v>
      </c>
      <c r="L598" s="6">
        <v>-0.88700000000000001</v>
      </c>
      <c r="M598" s="6">
        <v>-0.88700000000000001</v>
      </c>
      <c r="N598" s="6">
        <v>-0.88700000000000001</v>
      </c>
      <c r="O598" s="6">
        <v>-0.88700000000000001</v>
      </c>
      <c r="P598" s="6">
        <v>0</v>
      </c>
      <c r="Q598" s="4" t="s">
        <v>26</v>
      </c>
      <c r="R598" s="4">
        <v>0</v>
      </c>
      <c r="S598" s="4" t="s">
        <v>224</v>
      </c>
      <c r="T598" s="4" t="s">
        <v>361</v>
      </c>
      <c r="U598" s="4">
        <v>0</v>
      </c>
      <c r="V598" s="4">
        <v>60</v>
      </c>
      <c r="W598" s="4">
        <v>16</v>
      </c>
    </row>
    <row r="599" spans="1:23" ht="11.25" customHeight="1" x14ac:dyDescent="0.25">
      <c r="A599" s="4" t="s">
        <v>54</v>
      </c>
      <c r="B599" s="4" t="s">
        <v>40</v>
      </c>
      <c r="C599" s="4" t="s">
        <v>23</v>
      </c>
      <c r="D599" s="4" t="s">
        <v>41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44621</v>
      </c>
      <c r="J599" s="6">
        <v>0</v>
      </c>
      <c r="K599" s="6">
        <v>0</v>
      </c>
      <c r="L599" s="6">
        <v>86.263999999999996</v>
      </c>
      <c r="M599" s="6">
        <v>86.263999999999996</v>
      </c>
      <c r="N599" s="6">
        <v>86.263999999999996</v>
      </c>
      <c r="O599" s="6">
        <v>86.263999999999996</v>
      </c>
      <c r="P599" s="6">
        <v>29</v>
      </c>
      <c r="Q599" s="4" t="s">
        <v>26</v>
      </c>
      <c r="R599" s="4">
        <v>0</v>
      </c>
      <c r="S599" s="4" t="s">
        <v>224</v>
      </c>
      <c r="T599" s="4" t="s">
        <v>361</v>
      </c>
      <c r="U599" s="4">
        <v>0</v>
      </c>
      <c r="V599" s="4">
        <v>60</v>
      </c>
      <c r="W599" s="4">
        <v>16</v>
      </c>
    </row>
    <row r="600" spans="1:23" ht="11.25" customHeight="1" x14ac:dyDescent="0.25">
      <c r="A600" s="4" t="s">
        <v>21</v>
      </c>
      <c r="B600" s="4" t="s">
        <v>37</v>
      </c>
      <c r="C600" s="4" t="s">
        <v>23</v>
      </c>
      <c r="D600" s="4" t="s">
        <v>39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44287</v>
      </c>
      <c r="J600" s="6">
        <v>0</v>
      </c>
      <c r="K600" s="6">
        <v>0</v>
      </c>
      <c r="L600" s="6">
        <v>625.47299999999996</v>
      </c>
      <c r="M600" s="6">
        <v>625.47299999999996</v>
      </c>
      <c r="N600" s="6">
        <v>625.47299999999996</v>
      </c>
      <c r="O600" s="6">
        <v>625.47299999999996</v>
      </c>
      <c r="P600" s="6">
        <v>537</v>
      </c>
      <c r="Q600" s="4" t="s">
        <v>26</v>
      </c>
      <c r="R600" s="4">
        <v>0</v>
      </c>
      <c r="S600" s="4" t="s">
        <v>225</v>
      </c>
      <c r="T600" s="4" t="s">
        <v>362</v>
      </c>
      <c r="U600" s="4">
        <v>0</v>
      </c>
      <c r="V600" s="4">
        <v>2</v>
      </c>
      <c r="W600" s="4">
        <v>26</v>
      </c>
    </row>
    <row r="601" spans="1:23" ht="11.25" customHeight="1" x14ac:dyDescent="0.25">
      <c r="A601" s="4" t="s">
        <v>28</v>
      </c>
      <c r="B601" s="4" t="s">
        <v>37</v>
      </c>
      <c r="C601" s="4" t="s">
        <v>23</v>
      </c>
      <c r="D601" s="4" t="s">
        <v>39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44287</v>
      </c>
      <c r="J601" s="6">
        <v>0</v>
      </c>
      <c r="K601" s="6">
        <v>0</v>
      </c>
      <c r="L601" s="6">
        <v>9.5630000000000006</v>
      </c>
      <c r="M601" s="6">
        <v>9.5630000000000006</v>
      </c>
      <c r="N601" s="6">
        <v>9.5630000000000006</v>
      </c>
      <c r="O601" s="6">
        <v>9.5630000000000006</v>
      </c>
      <c r="P601" s="6">
        <v>7</v>
      </c>
      <c r="Q601" s="4" t="s">
        <v>26</v>
      </c>
      <c r="R601" s="4">
        <v>0</v>
      </c>
      <c r="S601" s="4" t="s">
        <v>225</v>
      </c>
      <c r="T601" s="4" t="s">
        <v>362</v>
      </c>
      <c r="U601" s="4">
        <v>0</v>
      </c>
      <c r="V601" s="4">
        <v>2</v>
      </c>
      <c r="W601" s="4">
        <v>26</v>
      </c>
    </row>
    <row r="602" spans="1:23" ht="11.25" customHeight="1" x14ac:dyDescent="0.25">
      <c r="A602" s="4" t="s">
        <v>21</v>
      </c>
      <c r="B602" s="4" t="s">
        <v>37</v>
      </c>
      <c r="C602" s="4" t="s">
        <v>23</v>
      </c>
      <c r="D602" s="4" t="s">
        <v>39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44317</v>
      </c>
      <c r="J602" s="6">
        <v>0</v>
      </c>
      <c r="K602" s="6">
        <v>0</v>
      </c>
      <c r="L602" s="6">
        <v>607.95399999999995</v>
      </c>
      <c r="M602" s="6">
        <v>607.95399999999995</v>
      </c>
      <c r="N602" s="6">
        <v>607.95399999999995</v>
      </c>
      <c r="O602" s="6">
        <v>607.95399999999995</v>
      </c>
      <c r="P602" s="6">
        <v>542</v>
      </c>
      <c r="Q602" s="4" t="s">
        <v>26</v>
      </c>
      <c r="R602" s="4">
        <v>0</v>
      </c>
      <c r="S602" s="4" t="s">
        <v>226</v>
      </c>
      <c r="T602" s="4" t="s">
        <v>363</v>
      </c>
      <c r="U602" s="4">
        <v>0</v>
      </c>
      <c r="V602" s="4">
        <v>2</v>
      </c>
      <c r="W602" s="4">
        <v>26</v>
      </c>
    </row>
    <row r="603" spans="1:23" ht="11.25" customHeight="1" x14ac:dyDescent="0.25">
      <c r="A603" s="4" t="s">
        <v>27</v>
      </c>
      <c r="B603" s="4" t="s">
        <v>37</v>
      </c>
      <c r="C603" s="4" t="s">
        <v>23</v>
      </c>
      <c r="D603" s="4" t="s">
        <v>39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44317</v>
      </c>
      <c r="J603" s="6">
        <v>0</v>
      </c>
      <c r="K603" s="6">
        <v>0</v>
      </c>
      <c r="L603" s="6">
        <v>-1.03</v>
      </c>
      <c r="M603" s="6">
        <v>-1.03</v>
      </c>
      <c r="N603" s="6">
        <v>-1.03</v>
      </c>
      <c r="O603" s="6">
        <v>-1.03</v>
      </c>
      <c r="P603" s="6">
        <v>0</v>
      </c>
      <c r="Q603" s="4" t="s">
        <v>26</v>
      </c>
      <c r="R603" s="4">
        <v>0</v>
      </c>
      <c r="S603" s="4" t="s">
        <v>226</v>
      </c>
      <c r="T603" s="4" t="s">
        <v>363</v>
      </c>
      <c r="U603" s="4">
        <v>0</v>
      </c>
      <c r="V603" s="4">
        <v>2</v>
      </c>
      <c r="W603" s="4">
        <v>26</v>
      </c>
    </row>
    <row r="604" spans="1:23" ht="11.25" customHeight="1" x14ac:dyDescent="0.25">
      <c r="A604" s="4" t="s">
        <v>28</v>
      </c>
      <c r="B604" s="4" t="s">
        <v>37</v>
      </c>
      <c r="C604" s="4" t="s">
        <v>23</v>
      </c>
      <c r="D604" s="4" t="s">
        <v>39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44317</v>
      </c>
      <c r="J604" s="6">
        <v>0</v>
      </c>
      <c r="K604" s="6">
        <v>0</v>
      </c>
      <c r="L604" s="6">
        <v>7.0670000000000002</v>
      </c>
      <c r="M604" s="6">
        <v>7.0670000000000002</v>
      </c>
      <c r="N604" s="6">
        <v>7.0670000000000002</v>
      </c>
      <c r="O604" s="6">
        <v>7.0670000000000002</v>
      </c>
      <c r="P604" s="6">
        <v>6</v>
      </c>
      <c r="Q604" s="4" t="s">
        <v>26</v>
      </c>
      <c r="R604" s="4">
        <v>0</v>
      </c>
      <c r="S604" s="4" t="s">
        <v>226</v>
      </c>
      <c r="T604" s="4" t="s">
        <v>363</v>
      </c>
      <c r="U604" s="4">
        <v>0</v>
      </c>
      <c r="V604" s="4">
        <v>2</v>
      </c>
      <c r="W604" s="4">
        <v>26</v>
      </c>
    </row>
    <row r="605" spans="1:23" ht="11.25" customHeight="1" x14ac:dyDescent="0.25">
      <c r="A605" s="4" t="s">
        <v>21</v>
      </c>
      <c r="B605" s="4" t="s">
        <v>37</v>
      </c>
      <c r="C605" s="4" t="s">
        <v>23</v>
      </c>
      <c r="D605" s="4" t="s">
        <v>39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44348</v>
      </c>
      <c r="J605" s="6">
        <v>0</v>
      </c>
      <c r="K605" s="6">
        <v>0</v>
      </c>
      <c r="L605" s="6">
        <v>553.21100000000001</v>
      </c>
      <c r="M605" s="6">
        <v>553.21100000000001</v>
      </c>
      <c r="N605" s="6">
        <v>553.21100000000001</v>
      </c>
      <c r="O605" s="6">
        <v>553.21100000000001</v>
      </c>
      <c r="P605" s="6">
        <v>544</v>
      </c>
      <c r="Q605" s="4" t="s">
        <v>26</v>
      </c>
      <c r="R605" s="4">
        <v>0</v>
      </c>
      <c r="S605" s="4" t="s">
        <v>227</v>
      </c>
      <c r="T605" s="4" t="s">
        <v>364</v>
      </c>
      <c r="U605" s="4">
        <v>0</v>
      </c>
      <c r="V605" s="4">
        <v>2</v>
      </c>
      <c r="W605" s="4">
        <v>26</v>
      </c>
    </row>
    <row r="606" spans="1:23" ht="11.25" customHeight="1" x14ac:dyDescent="0.25">
      <c r="A606" s="4" t="s">
        <v>27</v>
      </c>
      <c r="B606" s="4" t="s">
        <v>37</v>
      </c>
      <c r="C606" s="4" t="s">
        <v>23</v>
      </c>
      <c r="D606" s="4" t="s">
        <v>39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44348</v>
      </c>
      <c r="J606" s="6">
        <v>0</v>
      </c>
      <c r="K606" s="6">
        <v>0</v>
      </c>
      <c r="L606" s="6">
        <v>-1.28</v>
      </c>
      <c r="M606" s="6">
        <v>-1.28</v>
      </c>
      <c r="N606" s="6">
        <v>-1.28</v>
      </c>
      <c r="O606" s="6">
        <v>-1.28</v>
      </c>
      <c r="P606" s="6">
        <v>0</v>
      </c>
      <c r="Q606" s="4" t="s">
        <v>26</v>
      </c>
      <c r="R606" s="4">
        <v>0</v>
      </c>
      <c r="S606" s="4" t="s">
        <v>227</v>
      </c>
      <c r="T606" s="4" t="s">
        <v>364</v>
      </c>
      <c r="U606" s="4">
        <v>0</v>
      </c>
      <c r="V606" s="4">
        <v>2</v>
      </c>
      <c r="W606" s="4">
        <v>26</v>
      </c>
    </row>
    <row r="607" spans="1:23" ht="11.25" customHeight="1" x14ac:dyDescent="0.25">
      <c r="A607" s="4" t="s">
        <v>28</v>
      </c>
      <c r="B607" s="4" t="s">
        <v>37</v>
      </c>
      <c r="C607" s="4" t="s">
        <v>23</v>
      </c>
      <c r="D607" s="4" t="s">
        <v>39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44348</v>
      </c>
      <c r="J607" s="6">
        <v>0</v>
      </c>
      <c r="K607" s="6">
        <v>0</v>
      </c>
      <c r="L607" s="6">
        <v>9.5380000000000003</v>
      </c>
      <c r="M607" s="6">
        <v>9.5380000000000003</v>
      </c>
      <c r="N607" s="6">
        <v>9.5380000000000003</v>
      </c>
      <c r="O607" s="6">
        <v>9.5380000000000003</v>
      </c>
      <c r="P607" s="6">
        <v>5</v>
      </c>
      <c r="Q607" s="4" t="s">
        <v>26</v>
      </c>
      <c r="R607" s="4">
        <v>0</v>
      </c>
      <c r="S607" s="4" t="s">
        <v>227</v>
      </c>
      <c r="T607" s="4" t="s">
        <v>364</v>
      </c>
      <c r="U607" s="4">
        <v>0</v>
      </c>
      <c r="V607" s="4">
        <v>2</v>
      </c>
      <c r="W607" s="4">
        <v>26</v>
      </c>
    </row>
    <row r="608" spans="1:23" ht="11.25" customHeight="1" x14ac:dyDescent="0.25">
      <c r="A608" s="4" t="s">
        <v>21</v>
      </c>
      <c r="B608" s="4" t="s">
        <v>37</v>
      </c>
      <c r="C608" s="4" t="s">
        <v>23</v>
      </c>
      <c r="D608" s="4" t="s">
        <v>39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44378</v>
      </c>
      <c r="J608" s="6">
        <v>0</v>
      </c>
      <c r="K608" s="6">
        <v>0</v>
      </c>
      <c r="L608" s="6">
        <v>522.37</v>
      </c>
      <c r="M608" s="6">
        <v>522.37</v>
      </c>
      <c r="N608" s="6">
        <v>522.37</v>
      </c>
      <c r="O608" s="6">
        <v>522.37</v>
      </c>
      <c r="P608" s="6">
        <v>540</v>
      </c>
      <c r="Q608" s="4" t="s">
        <v>26</v>
      </c>
      <c r="R608" s="4">
        <v>0</v>
      </c>
      <c r="S608" s="4" t="s">
        <v>228</v>
      </c>
      <c r="T608" s="4" t="s">
        <v>365</v>
      </c>
      <c r="U608" s="4">
        <v>0</v>
      </c>
      <c r="V608" s="4">
        <v>2</v>
      </c>
      <c r="W608" s="4">
        <v>26</v>
      </c>
    </row>
    <row r="609" spans="1:23" ht="11.25" customHeight="1" x14ac:dyDescent="0.25">
      <c r="A609" s="4" t="s">
        <v>28</v>
      </c>
      <c r="B609" s="4" t="s">
        <v>37</v>
      </c>
      <c r="C609" s="4" t="s">
        <v>23</v>
      </c>
      <c r="D609" s="4" t="s">
        <v>39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44378</v>
      </c>
      <c r="J609" s="6">
        <v>0</v>
      </c>
      <c r="K609" s="6">
        <v>0</v>
      </c>
      <c r="L609" s="6">
        <v>31.213000000000001</v>
      </c>
      <c r="M609" s="6">
        <v>31.213000000000001</v>
      </c>
      <c r="N609" s="6">
        <v>31.213000000000001</v>
      </c>
      <c r="O609" s="6">
        <v>31.213000000000001</v>
      </c>
      <c r="P609" s="6">
        <v>8</v>
      </c>
      <c r="Q609" s="4" t="s">
        <v>26</v>
      </c>
      <c r="R609" s="4">
        <v>0</v>
      </c>
      <c r="S609" s="4" t="s">
        <v>228</v>
      </c>
      <c r="T609" s="4" t="s">
        <v>365</v>
      </c>
      <c r="U609" s="4">
        <v>0</v>
      </c>
      <c r="V609" s="4">
        <v>2</v>
      </c>
      <c r="W609" s="4">
        <v>26</v>
      </c>
    </row>
    <row r="610" spans="1:23" ht="11.25" customHeight="1" x14ac:dyDescent="0.25">
      <c r="A610" s="4" t="s">
        <v>21</v>
      </c>
      <c r="B610" s="4" t="s">
        <v>37</v>
      </c>
      <c r="C610" s="4" t="s">
        <v>23</v>
      </c>
      <c r="D610" s="4" t="s">
        <v>39</v>
      </c>
      <c r="E610" s="4" t="s">
        <v>25</v>
      </c>
      <c r="F610" s="4" t="s">
        <v>25</v>
      </c>
      <c r="G610" s="4" t="s">
        <v>25</v>
      </c>
      <c r="H610" s="4" t="s">
        <v>25</v>
      </c>
      <c r="I610" s="5">
        <v>44409</v>
      </c>
      <c r="J610" s="6">
        <v>0</v>
      </c>
      <c r="K610" s="6">
        <v>0</v>
      </c>
      <c r="L610" s="6">
        <v>580.21</v>
      </c>
      <c r="M610" s="6">
        <v>580.21</v>
      </c>
      <c r="N610" s="6">
        <v>580.21</v>
      </c>
      <c r="O610" s="6">
        <v>580.21</v>
      </c>
      <c r="P610" s="6">
        <v>540</v>
      </c>
      <c r="Q610" s="4" t="s">
        <v>26</v>
      </c>
      <c r="R610" s="4">
        <v>0</v>
      </c>
      <c r="S610" s="4" t="s">
        <v>229</v>
      </c>
      <c r="T610" s="4" t="s">
        <v>366</v>
      </c>
      <c r="U610" s="4">
        <v>0</v>
      </c>
      <c r="V610" s="4">
        <v>2</v>
      </c>
      <c r="W610" s="4">
        <v>26</v>
      </c>
    </row>
    <row r="611" spans="1:23" ht="11.25" customHeight="1" x14ac:dyDescent="0.25">
      <c r="A611" s="4" t="s">
        <v>28</v>
      </c>
      <c r="B611" s="4" t="s">
        <v>37</v>
      </c>
      <c r="C611" s="4" t="s">
        <v>23</v>
      </c>
      <c r="D611" s="4" t="s">
        <v>39</v>
      </c>
      <c r="E611" s="4" t="s">
        <v>25</v>
      </c>
      <c r="F611" s="4" t="s">
        <v>25</v>
      </c>
      <c r="G611" s="4" t="s">
        <v>25</v>
      </c>
      <c r="H611" s="4" t="s">
        <v>25</v>
      </c>
      <c r="I611" s="5">
        <v>44409</v>
      </c>
      <c r="J611" s="6">
        <v>0</v>
      </c>
      <c r="K611" s="6">
        <v>0</v>
      </c>
      <c r="L611" s="6">
        <v>25.219000000000001</v>
      </c>
      <c r="M611" s="6">
        <v>25.219000000000001</v>
      </c>
      <c r="N611" s="6">
        <v>25.219000000000001</v>
      </c>
      <c r="O611" s="6">
        <v>25.219000000000001</v>
      </c>
      <c r="P611" s="6">
        <v>8</v>
      </c>
      <c r="Q611" s="4" t="s">
        <v>26</v>
      </c>
      <c r="R611" s="4">
        <v>0</v>
      </c>
      <c r="S611" s="4" t="s">
        <v>229</v>
      </c>
      <c r="T611" s="4" t="s">
        <v>366</v>
      </c>
      <c r="U611" s="4">
        <v>0</v>
      </c>
      <c r="V611" s="4">
        <v>2</v>
      </c>
      <c r="W611" s="4">
        <v>26</v>
      </c>
    </row>
    <row r="612" spans="1:23" ht="11.25" customHeight="1" x14ac:dyDescent="0.25">
      <c r="A612" s="4" t="s">
        <v>21</v>
      </c>
      <c r="B612" s="4" t="s">
        <v>37</v>
      </c>
      <c r="C612" s="4" t="s">
        <v>23</v>
      </c>
      <c r="D612" s="4" t="s">
        <v>39</v>
      </c>
      <c r="E612" s="4" t="s">
        <v>25</v>
      </c>
      <c r="F612" s="4" t="s">
        <v>25</v>
      </c>
      <c r="G612" s="4" t="s">
        <v>25</v>
      </c>
      <c r="H612" s="4" t="s">
        <v>25</v>
      </c>
      <c r="I612" s="5">
        <v>44440</v>
      </c>
      <c r="J612" s="6">
        <v>0</v>
      </c>
      <c r="K612" s="6">
        <v>0</v>
      </c>
      <c r="L612" s="6">
        <v>630.98500000000001</v>
      </c>
      <c r="M612" s="6">
        <v>630.98500000000001</v>
      </c>
      <c r="N612" s="6">
        <v>630.98500000000001</v>
      </c>
      <c r="O612" s="6">
        <v>630.98500000000001</v>
      </c>
      <c r="P612" s="6">
        <v>541</v>
      </c>
      <c r="Q612" s="4" t="s">
        <v>26</v>
      </c>
      <c r="R612" s="4">
        <v>0</v>
      </c>
      <c r="S612" s="4" t="s">
        <v>230</v>
      </c>
      <c r="T612" s="4" t="s">
        <v>367</v>
      </c>
      <c r="U612" s="4">
        <v>0</v>
      </c>
      <c r="V612" s="4">
        <v>2</v>
      </c>
      <c r="W612" s="4">
        <v>26</v>
      </c>
    </row>
    <row r="613" spans="1:23" ht="11.25" customHeight="1" x14ac:dyDescent="0.25">
      <c r="A613" s="4" t="s">
        <v>27</v>
      </c>
      <c r="B613" s="4" t="s">
        <v>37</v>
      </c>
      <c r="C613" s="4" t="s">
        <v>23</v>
      </c>
      <c r="D613" s="4" t="s">
        <v>39</v>
      </c>
      <c r="E613" s="4" t="s">
        <v>25</v>
      </c>
      <c r="F613" s="4" t="s">
        <v>25</v>
      </c>
      <c r="G613" s="4" t="s">
        <v>25</v>
      </c>
      <c r="H613" s="4" t="s">
        <v>25</v>
      </c>
      <c r="I613" s="5">
        <v>44440</v>
      </c>
      <c r="J613" s="6">
        <v>0</v>
      </c>
      <c r="K613" s="6">
        <v>0</v>
      </c>
      <c r="L613" s="6">
        <v>-1.119</v>
      </c>
      <c r="M613" s="6">
        <v>-1.119</v>
      </c>
      <c r="N613" s="6">
        <v>-1.119</v>
      </c>
      <c r="O613" s="6">
        <v>-1.119</v>
      </c>
      <c r="P613" s="6">
        <v>0</v>
      </c>
      <c r="Q613" s="4" t="s">
        <v>26</v>
      </c>
      <c r="R613" s="4">
        <v>0</v>
      </c>
      <c r="S613" s="4" t="s">
        <v>230</v>
      </c>
      <c r="T613" s="4" t="s">
        <v>367</v>
      </c>
      <c r="U613" s="4">
        <v>0</v>
      </c>
      <c r="V613" s="4">
        <v>2</v>
      </c>
      <c r="W613" s="4">
        <v>26</v>
      </c>
    </row>
    <row r="614" spans="1:23" ht="11.25" customHeight="1" x14ac:dyDescent="0.25">
      <c r="A614" s="4" t="s">
        <v>28</v>
      </c>
      <c r="B614" s="4" t="s">
        <v>37</v>
      </c>
      <c r="C614" s="4" t="s">
        <v>23</v>
      </c>
      <c r="D614" s="4" t="s">
        <v>39</v>
      </c>
      <c r="E614" s="4" t="s">
        <v>25</v>
      </c>
      <c r="F614" s="4" t="s">
        <v>25</v>
      </c>
      <c r="G614" s="4" t="s">
        <v>25</v>
      </c>
      <c r="H614" s="4" t="s">
        <v>25</v>
      </c>
      <c r="I614" s="5">
        <v>44440</v>
      </c>
      <c r="J614" s="6">
        <v>0</v>
      </c>
      <c r="K614" s="6">
        <v>0</v>
      </c>
      <c r="L614" s="6">
        <v>29.215</v>
      </c>
      <c r="M614" s="6">
        <v>29.215</v>
      </c>
      <c r="N614" s="6">
        <v>29.215</v>
      </c>
      <c r="O614" s="6">
        <v>29.215</v>
      </c>
      <c r="P614" s="6">
        <v>9</v>
      </c>
      <c r="Q614" s="4" t="s">
        <v>26</v>
      </c>
      <c r="R614" s="4">
        <v>0</v>
      </c>
      <c r="S614" s="4" t="s">
        <v>230</v>
      </c>
      <c r="T614" s="4" t="s">
        <v>367</v>
      </c>
      <c r="U614" s="4">
        <v>0</v>
      </c>
      <c r="V614" s="4">
        <v>2</v>
      </c>
      <c r="W614" s="4">
        <v>26</v>
      </c>
    </row>
    <row r="615" spans="1:23" ht="11.25" customHeight="1" x14ac:dyDescent="0.25">
      <c r="A615" s="4" t="s">
        <v>21</v>
      </c>
      <c r="B615" s="4" t="s">
        <v>37</v>
      </c>
      <c r="C615" s="4" t="s">
        <v>23</v>
      </c>
      <c r="D615" s="4" t="s">
        <v>39</v>
      </c>
      <c r="E615" s="4" t="s">
        <v>25</v>
      </c>
      <c r="F615" s="4" t="s">
        <v>25</v>
      </c>
      <c r="G615" s="4" t="s">
        <v>25</v>
      </c>
      <c r="H615" s="4" t="s">
        <v>25</v>
      </c>
      <c r="I615" s="5">
        <v>44470</v>
      </c>
      <c r="J615" s="6">
        <v>0</v>
      </c>
      <c r="K615" s="6">
        <v>0</v>
      </c>
      <c r="L615" s="6">
        <v>596.86300000000006</v>
      </c>
      <c r="M615" s="6">
        <v>596.86300000000006</v>
      </c>
      <c r="N615" s="6">
        <v>596.86300000000006</v>
      </c>
      <c r="O615" s="6">
        <v>596.86300000000006</v>
      </c>
      <c r="P615" s="6">
        <v>539</v>
      </c>
      <c r="Q615" s="4" t="s">
        <v>26</v>
      </c>
      <c r="R615" s="4">
        <v>0</v>
      </c>
      <c r="S615" s="4" t="s">
        <v>231</v>
      </c>
      <c r="T615" s="4" t="s">
        <v>368</v>
      </c>
      <c r="U615" s="4">
        <v>0</v>
      </c>
      <c r="V615" s="4">
        <v>2</v>
      </c>
      <c r="W615" s="4">
        <v>26</v>
      </c>
    </row>
    <row r="616" spans="1:23" ht="11.25" customHeight="1" x14ac:dyDescent="0.25">
      <c r="A616" s="4" t="s">
        <v>28</v>
      </c>
      <c r="B616" s="4" t="s">
        <v>37</v>
      </c>
      <c r="C616" s="4" t="s">
        <v>23</v>
      </c>
      <c r="D616" s="4" t="s">
        <v>39</v>
      </c>
      <c r="E616" s="4" t="s">
        <v>25</v>
      </c>
      <c r="F616" s="4" t="s">
        <v>25</v>
      </c>
      <c r="G616" s="4" t="s">
        <v>25</v>
      </c>
      <c r="H616" s="4" t="s">
        <v>25</v>
      </c>
      <c r="I616" s="5">
        <v>44470</v>
      </c>
      <c r="J616" s="6">
        <v>0</v>
      </c>
      <c r="K616" s="6">
        <v>0</v>
      </c>
      <c r="L616" s="6">
        <v>28.164000000000001</v>
      </c>
      <c r="M616" s="6">
        <v>28.164000000000001</v>
      </c>
      <c r="N616" s="6">
        <v>28.164000000000001</v>
      </c>
      <c r="O616" s="6">
        <v>28.164000000000001</v>
      </c>
      <c r="P616" s="6">
        <v>9</v>
      </c>
      <c r="Q616" s="4" t="s">
        <v>26</v>
      </c>
      <c r="R616" s="4">
        <v>0</v>
      </c>
      <c r="S616" s="4" t="s">
        <v>231</v>
      </c>
      <c r="T616" s="4" t="s">
        <v>368</v>
      </c>
      <c r="U616" s="4">
        <v>0</v>
      </c>
      <c r="V616" s="4">
        <v>2</v>
      </c>
      <c r="W616" s="4">
        <v>26</v>
      </c>
    </row>
    <row r="617" spans="1:23" ht="11.25" customHeight="1" x14ac:dyDescent="0.25">
      <c r="A617" s="4" t="s">
        <v>21</v>
      </c>
      <c r="B617" s="4" t="s">
        <v>37</v>
      </c>
      <c r="C617" s="4" t="s">
        <v>23</v>
      </c>
      <c r="D617" s="4" t="s">
        <v>39</v>
      </c>
      <c r="E617" s="4" t="s">
        <v>25</v>
      </c>
      <c r="F617" s="4" t="s">
        <v>25</v>
      </c>
      <c r="G617" s="4" t="s">
        <v>25</v>
      </c>
      <c r="H617" s="4" t="s">
        <v>25</v>
      </c>
      <c r="I617" s="5">
        <v>44501</v>
      </c>
      <c r="J617" s="6">
        <v>0</v>
      </c>
      <c r="K617" s="6">
        <v>0</v>
      </c>
      <c r="L617" s="6">
        <v>660.21799999999996</v>
      </c>
      <c r="M617" s="6">
        <v>660.21799999999996</v>
      </c>
      <c r="N617" s="6">
        <v>660.21799999999996</v>
      </c>
      <c r="O617" s="6">
        <v>660.21799999999996</v>
      </c>
      <c r="P617" s="6">
        <v>536</v>
      </c>
      <c r="Q617" s="4" t="s">
        <v>26</v>
      </c>
      <c r="R617" s="4">
        <v>0</v>
      </c>
      <c r="S617" s="4" t="s">
        <v>232</v>
      </c>
      <c r="T617" s="4" t="s">
        <v>369</v>
      </c>
      <c r="U617" s="4">
        <v>0</v>
      </c>
      <c r="V617" s="4">
        <v>2</v>
      </c>
      <c r="W617" s="4">
        <v>26</v>
      </c>
    </row>
    <row r="618" spans="1:23" ht="11.25" customHeight="1" x14ac:dyDescent="0.25">
      <c r="A618" s="4" t="s">
        <v>28</v>
      </c>
      <c r="B618" s="4" t="s">
        <v>37</v>
      </c>
      <c r="C618" s="4" t="s">
        <v>23</v>
      </c>
      <c r="D618" s="4" t="s">
        <v>39</v>
      </c>
      <c r="E618" s="4" t="s">
        <v>25</v>
      </c>
      <c r="F618" s="4" t="s">
        <v>25</v>
      </c>
      <c r="G618" s="4" t="s">
        <v>25</v>
      </c>
      <c r="H618" s="4" t="s">
        <v>25</v>
      </c>
      <c r="I618" s="5">
        <v>44501</v>
      </c>
      <c r="J618" s="6">
        <v>0</v>
      </c>
      <c r="K618" s="6">
        <v>0</v>
      </c>
      <c r="L618" s="6">
        <v>26.613</v>
      </c>
      <c r="M618" s="6">
        <v>26.613</v>
      </c>
      <c r="N618" s="6">
        <v>26.613</v>
      </c>
      <c r="O618" s="6">
        <v>26.613</v>
      </c>
      <c r="P618" s="6">
        <v>11</v>
      </c>
      <c r="Q618" s="4" t="s">
        <v>26</v>
      </c>
      <c r="R618" s="4">
        <v>0</v>
      </c>
      <c r="S618" s="4" t="s">
        <v>232</v>
      </c>
      <c r="T618" s="4" t="s">
        <v>369</v>
      </c>
      <c r="U618" s="4">
        <v>0</v>
      </c>
      <c r="V618" s="4">
        <v>2</v>
      </c>
      <c r="W618" s="4">
        <v>26</v>
      </c>
    </row>
    <row r="619" spans="1:23" ht="11.25" customHeight="1" x14ac:dyDescent="0.25">
      <c r="A619" s="4" t="s">
        <v>21</v>
      </c>
      <c r="B619" s="4" t="s">
        <v>37</v>
      </c>
      <c r="C619" s="4" t="s">
        <v>23</v>
      </c>
      <c r="D619" s="4" t="s">
        <v>39</v>
      </c>
      <c r="E619" s="4" t="s">
        <v>25</v>
      </c>
      <c r="F619" s="4" t="s">
        <v>25</v>
      </c>
      <c r="G619" s="4" t="s">
        <v>25</v>
      </c>
      <c r="H619" s="4" t="s">
        <v>25</v>
      </c>
      <c r="I619" s="5">
        <v>44531</v>
      </c>
      <c r="J619" s="6">
        <v>0</v>
      </c>
      <c r="K619" s="6">
        <v>0</v>
      </c>
      <c r="L619" s="6">
        <v>636.60199999999998</v>
      </c>
      <c r="M619" s="6">
        <v>636.60199999999998</v>
      </c>
      <c r="N619" s="6">
        <v>636.60199999999998</v>
      </c>
      <c r="O619" s="6">
        <v>636.60199999999998</v>
      </c>
      <c r="P619" s="6">
        <v>536</v>
      </c>
      <c r="Q619" s="4" t="s">
        <v>26</v>
      </c>
      <c r="R619" s="4">
        <v>0</v>
      </c>
      <c r="S619" s="4" t="s">
        <v>233</v>
      </c>
      <c r="T619" s="4" t="s">
        <v>370</v>
      </c>
      <c r="U619" s="4">
        <v>0</v>
      </c>
      <c r="V619" s="4">
        <v>2</v>
      </c>
      <c r="W619" s="4">
        <v>26</v>
      </c>
    </row>
    <row r="620" spans="1:23" ht="11.25" customHeight="1" x14ac:dyDescent="0.25">
      <c r="A620" s="4" t="s">
        <v>28</v>
      </c>
      <c r="B620" s="4" t="s">
        <v>37</v>
      </c>
      <c r="C620" s="4" t="s">
        <v>23</v>
      </c>
      <c r="D620" s="4" t="s">
        <v>39</v>
      </c>
      <c r="E620" s="4" t="s">
        <v>25</v>
      </c>
      <c r="F620" s="4" t="s">
        <v>25</v>
      </c>
      <c r="G620" s="4" t="s">
        <v>25</v>
      </c>
      <c r="H620" s="4" t="s">
        <v>25</v>
      </c>
      <c r="I620" s="5">
        <v>44531</v>
      </c>
      <c r="J620" s="6">
        <v>0</v>
      </c>
      <c r="K620" s="6">
        <v>0</v>
      </c>
      <c r="L620" s="6">
        <v>18.149999999999999</v>
      </c>
      <c r="M620" s="6">
        <v>18.149999999999999</v>
      </c>
      <c r="N620" s="6">
        <v>18.149999999999999</v>
      </c>
      <c r="O620" s="6">
        <v>18.149999999999999</v>
      </c>
      <c r="P620" s="6">
        <v>12</v>
      </c>
      <c r="Q620" s="4" t="s">
        <v>26</v>
      </c>
      <c r="R620" s="4">
        <v>0</v>
      </c>
      <c r="S620" s="4" t="s">
        <v>233</v>
      </c>
      <c r="T620" s="4" t="s">
        <v>370</v>
      </c>
      <c r="U620" s="4">
        <v>0</v>
      </c>
      <c r="V620" s="4">
        <v>2</v>
      </c>
      <c r="W620" s="4">
        <v>26</v>
      </c>
    </row>
    <row r="621" spans="1:23" ht="11.25" customHeight="1" x14ac:dyDescent="0.25">
      <c r="A621" s="4" t="s">
        <v>21</v>
      </c>
      <c r="B621" s="4" t="s">
        <v>37</v>
      </c>
      <c r="C621" s="4" t="s">
        <v>23</v>
      </c>
      <c r="D621" s="4" t="s">
        <v>39</v>
      </c>
      <c r="E621" s="4" t="s">
        <v>25</v>
      </c>
      <c r="F621" s="4" t="s">
        <v>25</v>
      </c>
      <c r="G621" s="4" t="s">
        <v>25</v>
      </c>
      <c r="H621" s="4" t="s">
        <v>25</v>
      </c>
      <c r="I621" s="5">
        <v>44562</v>
      </c>
      <c r="J621" s="6">
        <v>0</v>
      </c>
      <c r="K621" s="6">
        <v>0</v>
      </c>
      <c r="L621" s="6">
        <v>697.19500000000005</v>
      </c>
      <c r="M621" s="6">
        <v>697.19500000000005</v>
      </c>
      <c r="N621" s="6">
        <v>697.19500000000005</v>
      </c>
      <c r="O621" s="6">
        <v>697.19500000000005</v>
      </c>
      <c r="P621" s="6">
        <v>537</v>
      </c>
      <c r="Q621" s="4" t="s">
        <v>26</v>
      </c>
      <c r="R621" s="4">
        <v>0</v>
      </c>
      <c r="S621" s="4" t="s">
        <v>234</v>
      </c>
      <c r="T621" s="4" t="s">
        <v>371</v>
      </c>
      <c r="U621" s="4">
        <v>0</v>
      </c>
      <c r="V621" s="4">
        <v>2</v>
      </c>
      <c r="W621" s="4">
        <v>26</v>
      </c>
    </row>
    <row r="622" spans="1:23" ht="11.25" customHeight="1" x14ac:dyDescent="0.25">
      <c r="A622" s="4" t="s">
        <v>28</v>
      </c>
      <c r="B622" s="4" t="s">
        <v>37</v>
      </c>
      <c r="C622" s="4" t="s">
        <v>23</v>
      </c>
      <c r="D622" s="4" t="s">
        <v>39</v>
      </c>
      <c r="E622" s="4" t="s">
        <v>25</v>
      </c>
      <c r="F622" s="4" t="s">
        <v>25</v>
      </c>
      <c r="G622" s="4" t="s">
        <v>25</v>
      </c>
      <c r="H622" s="4" t="s">
        <v>25</v>
      </c>
      <c r="I622" s="5">
        <v>44562</v>
      </c>
      <c r="J622" s="6">
        <v>0</v>
      </c>
      <c r="K622" s="6">
        <v>0</v>
      </c>
      <c r="L622" s="6">
        <v>21.731999999999999</v>
      </c>
      <c r="M622" s="6">
        <v>21.731999999999999</v>
      </c>
      <c r="N622" s="6">
        <v>21.731999999999999</v>
      </c>
      <c r="O622" s="6">
        <v>21.731999999999999</v>
      </c>
      <c r="P622" s="6">
        <v>11</v>
      </c>
      <c r="Q622" s="4" t="s">
        <v>26</v>
      </c>
      <c r="R622" s="4">
        <v>0</v>
      </c>
      <c r="S622" s="4" t="s">
        <v>234</v>
      </c>
      <c r="T622" s="4" t="s">
        <v>371</v>
      </c>
      <c r="U622" s="4">
        <v>0</v>
      </c>
      <c r="V622" s="4">
        <v>2</v>
      </c>
      <c r="W622" s="4">
        <v>26</v>
      </c>
    </row>
    <row r="623" spans="1:23" ht="11.25" customHeight="1" x14ac:dyDescent="0.25">
      <c r="A623" s="4" t="s">
        <v>21</v>
      </c>
      <c r="B623" s="4" t="s">
        <v>37</v>
      </c>
      <c r="C623" s="4" t="s">
        <v>23</v>
      </c>
      <c r="D623" s="4" t="s">
        <v>39</v>
      </c>
      <c r="E623" s="4" t="s">
        <v>25</v>
      </c>
      <c r="F623" s="4" t="s">
        <v>25</v>
      </c>
      <c r="G623" s="4" t="s">
        <v>25</v>
      </c>
      <c r="H623" s="4" t="s">
        <v>25</v>
      </c>
      <c r="I623" s="5">
        <v>44593</v>
      </c>
      <c r="J623" s="6">
        <v>0</v>
      </c>
      <c r="K623" s="6">
        <v>0</v>
      </c>
      <c r="L623" s="6">
        <v>675.43</v>
      </c>
      <c r="M623" s="6">
        <v>675.43</v>
      </c>
      <c r="N623" s="6">
        <v>675.43</v>
      </c>
      <c r="O623" s="6">
        <v>675.43</v>
      </c>
      <c r="P623" s="6">
        <v>535</v>
      </c>
      <c r="Q623" s="4" t="s">
        <v>26</v>
      </c>
      <c r="R623" s="4">
        <v>0</v>
      </c>
      <c r="S623" s="4" t="s">
        <v>235</v>
      </c>
      <c r="T623" s="4" t="s">
        <v>372</v>
      </c>
      <c r="U623" s="4">
        <v>0</v>
      </c>
      <c r="V623" s="4">
        <v>2</v>
      </c>
      <c r="W623" s="4">
        <v>26</v>
      </c>
    </row>
    <row r="624" spans="1:23" ht="11.25" customHeight="1" x14ac:dyDescent="0.25">
      <c r="A624" s="4" t="s">
        <v>27</v>
      </c>
      <c r="B624" s="4" t="s">
        <v>37</v>
      </c>
      <c r="C624" s="4" t="s">
        <v>23</v>
      </c>
      <c r="D624" s="4" t="s">
        <v>39</v>
      </c>
      <c r="E624" s="4" t="s">
        <v>25</v>
      </c>
      <c r="F624" s="4" t="s">
        <v>25</v>
      </c>
      <c r="G624" s="4" t="s">
        <v>25</v>
      </c>
      <c r="H624" s="4" t="s">
        <v>25</v>
      </c>
      <c r="I624" s="5">
        <v>44593</v>
      </c>
      <c r="J624" s="6">
        <v>0</v>
      </c>
      <c r="K624" s="6">
        <v>0</v>
      </c>
      <c r="L624" s="6">
        <v>-9.0169999999999995</v>
      </c>
      <c r="M624" s="6">
        <v>-9.0169999999999995</v>
      </c>
      <c r="N624" s="6">
        <v>-9.0169999999999995</v>
      </c>
      <c r="O624" s="6">
        <v>-9.0169999999999995</v>
      </c>
      <c r="P624" s="6">
        <v>0</v>
      </c>
      <c r="Q624" s="4" t="s">
        <v>26</v>
      </c>
      <c r="R624" s="4">
        <v>0</v>
      </c>
      <c r="S624" s="4" t="s">
        <v>235</v>
      </c>
      <c r="T624" s="4" t="s">
        <v>372</v>
      </c>
      <c r="U624" s="4">
        <v>0</v>
      </c>
      <c r="V624" s="4">
        <v>2</v>
      </c>
      <c r="W624" s="4">
        <v>26</v>
      </c>
    </row>
    <row r="625" spans="1:23" ht="11.25" customHeight="1" x14ac:dyDescent="0.25">
      <c r="A625" s="4" t="s">
        <v>28</v>
      </c>
      <c r="B625" s="4" t="s">
        <v>37</v>
      </c>
      <c r="C625" s="4" t="s">
        <v>23</v>
      </c>
      <c r="D625" s="4" t="s">
        <v>39</v>
      </c>
      <c r="E625" s="4" t="s">
        <v>25</v>
      </c>
      <c r="F625" s="4" t="s">
        <v>25</v>
      </c>
      <c r="G625" s="4" t="s">
        <v>25</v>
      </c>
      <c r="H625" s="4" t="s">
        <v>25</v>
      </c>
      <c r="I625" s="5">
        <v>44593</v>
      </c>
      <c r="J625" s="6">
        <v>0</v>
      </c>
      <c r="K625" s="6">
        <v>0</v>
      </c>
      <c r="L625" s="6">
        <v>23.11</v>
      </c>
      <c r="M625" s="6">
        <v>23.11</v>
      </c>
      <c r="N625" s="6">
        <v>23.11</v>
      </c>
      <c r="O625" s="6">
        <v>23.11</v>
      </c>
      <c r="P625" s="6">
        <v>14</v>
      </c>
      <c r="Q625" s="4" t="s">
        <v>26</v>
      </c>
      <c r="R625" s="4">
        <v>0</v>
      </c>
      <c r="S625" s="4" t="s">
        <v>235</v>
      </c>
      <c r="T625" s="4" t="s">
        <v>372</v>
      </c>
      <c r="U625" s="4">
        <v>0</v>
      </c>
      <c r="V625" s="4">
        <v>2</v>
      </c>
      <c r="W625" s="4">
        <v>26</v>
      </c>
    </row>
    <row r="626" spans="1:23" ht="11.25" customHeight="1" x14ac:dyDescent="0.25">
      <c r="A626" s="4" t="s">
        <v>54</v>
      </c>
      <c r="B626" s="4" t="s">
        <v>37</v>
      </c>
      <c r="C626" s="4" t="s">
        <v>23</v>
      </c>
      <c r="D626" s="4" t="s">
        <v>39</v>
      </c>
      <c r="E626" s="4" t="s">
        <v>25</v>
      </c>
      <c r="F626" s="4" t="s">
        <v>25</v>
      </c>
      <c r="G626" s="4" t="s">
        <v>25</v>
      </c>
      <c r="H626" s="4" t="s">
        <v>25</v>
      </c>
      <c r="I626" s="5">
        <v>44621</v>
      </c>
      <c r="J626" s="6">
        <v>0</v>
      </c>
      <c r="K626" s="6">
        <v>0</v>
      </c>
      <c r="L626" s="6">
        <v>675.43</v>
      </c>
      <c r="M626" s="6">
        <v>675.43</v>
      </c>
      <c r="N626" s="6">
        <v>675.43</v>
      </c>
      <c r="O626" s="6">
        <v>675.43</v>
      </c>
      <c r="P626" s="6">
        <v>535</v>
      </c>
      <c r="Q626" s="4" t="s">
        <v>26</v>
      </c>
      <c r="R626" s="4">
        <v>0</v>
      </c>
      <c r="S626" s="4" t="s">
        <v>236</v>
      </c>
      <c r="T626" s="4" t="s">
        <v>373</v>
      </c>
      <c r="U626" s="4">
        <v>0</v>
      </c>
      <c r="V626" s="4">
        <v>2</v>
      </c>
      <c r="W626" s="4">
        <v>26</v>
      </c>
    </row>
    <row r="627" spans="1:23" ht="11.25" customHeight="1" x14ac:dyDescent="0.25">
      <c r="A627" s="4" t="s">
        <v>54</v>
      </c>
      <c r="B627" s="4" t="s">
        <v>37</v>
      </c>
      <c r="C627" s="4" t="s">
        <v>23</v>
      </c>
      <c r="D627" s="4" t="s">
        <v>39</v>
      </c>
      <c r="E627" s="4" t="s">
        <v>25</v>
      </c>
      <c r="F627" s="4" t="s">
        <v>25</v>
      </c>
      <c r="G627" s="4" t="s">
        <v>25</v>
      </c>
      <c r="H627" s="4" t="s">
        <v>25</v>
      </c>
      <c r="I627" s="5">
        <v>44621</v>
      </c>
      <c r="J627" s="6">
        <v>0</v>
      </c>
      <c r="K627" s="6">
        <v>0</v>
      </c>
      <c r="L627" s="6">
        <v>-9.0169999999999995</v>
      </c>
      <c r="M627" s="6">
        <v>-9.0169999999999995</v>
      </c>
      <c r="N627" s="6">
        <v>-9.0169999999999995</v>
      </c>
      <c r="O627" s="6">
        <v>-9.0169999999999995</v>
      </c>
      <c r="P627" s="6">
        <v>0</v>
      </c>
      <c r="Q627" s="4" t="s">
        <v>26</v>
      </c>
      <c r="R627" s="4">
        <v>0</v>
      </c>
      <c r="S627" s="4" t="s">
        <v>236</v>
      </c>
      <c r="T627" s="4" t="s">
        <v>373</v>
      </c>
      <c r="U627" s="4">
        <v>0</v>
      </c>
      <c r="V627" s="4">
        <v>2</v>
      </c>
      <c r="W627" s="4">
        <v>26</v>
      </c>
    </row>
    <row r="628" spans="1:23" ht="11.25" customHeight="1" x14ac:dyDescent="0.25">
      <c r="A628" s="4" t="s">
        <v>54</v>
      </c>
      <c r="B628" s="4" t="s">
        <v>37</v>
      </c>
      <c r="C628" s="4" t="s">
        <v>23</v>
      </c>
      <c r="D628" s="4" t="s">
        <v>39</v>
      </c>
      <c r="E628" s="4" t="s">
        <v>25</v>
      </c>
      <c r="F628" s="4" t="s">
        <v>25</v>
      </c>
      <c r="G628" s="4" t="s">
        <v>25</v>
      </c>
      <c r="H628" s="4" t="s">
        <v>25</v>
      </c>
      <c r="I628" s="5">
        <v>44621</v>
      </c>
      <c r="J628" s="6">
        <v>0</v>
      </c>
      <c r="K628" s="6">
        <v>0</v>
      </c>
      <c r="L628" s="6">
        <v>23.11</v>
      </c>
      <c r="M628" s="6">
        <v>23.11</v>
      </c>
      <c r="N628" s="6">
        <v>23.11</v>
      </c>
      <c r="O628" s="6">
        <v>23.11</v>
      </c>
      <c r="P628" s="6">
        <v>14</v>
      </c>
      <c r="Q628" s="4" t="s">
        <v>26</v>
      </c>
      <c r="R628" s="4">
        <v>0</v>
      </c>
      <c r="S628" s="4" t="s">
        <v>236</v>
      </c>
      <c r="T628" s="4" t="s">
        <v>373</v>
      </c>
      <c r="U628" s="4">
        <v>0</v>
      </c>
      <c r="V628" s="4">
        <v>2</v>
      </c>
      <c r="W628" s="4">
        <v>26</v>
      </c>
    </row>
    <row r="629" spans="1:23" ht="11.25" customHeight="1" x14ac:dyDescent="0.25">
      <c r="A629" s="4" t="s">
        <v>21</v>
      </c>
      <c r="B629" s="4" t="s">
        <v>37</v>
      </c>
      <c r="C629" s="4" t="s">
        <v>23</v>
      </c>
      <c r="D629" s="4" t="s">
        <v>38</v>
      </c>
      <c r="E629" s="4" t="s">
        <v>25</v>
      </c>
      <c r="F629" s="4" t="s">
        <v>25</v>
      </c>
      <c r="G629" s="4" t="s">
        <v>25</v>
      </c>
      <c r="H629" s="4" t="s">
        <v>25</v>
      </c>
      <c r="I629" s="5">
        <v>44287</v>
      </c>
      <c r="J629" s="6">
        <v>0</v>
      </c>
      <c r="K629" s="6">
        <v>0</v>
      </c>
      <c r="L629" s="6">
        <v>53.07</v>
      </c>
      <c r="M629" s="6">
        <v>53.07</v>
      </c>
      <c r="N629" s="6">
        <v>53.07</v>
      </c>
      <c r="O629" s="6">
        <v>53.07</v>
      </c>
      <c r="P629" s="6">
        <v>23</v>
      </c>
      <c r="Q629" s="4" t="s">
        <v>26</v>
      </c>
      <c r="R629" s="4">
        <v>0</v>
      </c>
      <c r="S629" s="4" t="s">
        <v>225</v>
      </c>
      <c r="T629" s="4" t="s">
        <v>362</v>
      </c>
      <c r="U629" s="4">
        <v>0</v>
      </c>
      <c r="V629" s="4">
        <v>2</v>
      </c>
      <c r="W629" s="4">
        <v>26</v>
      </c>
    </row>
    <row r="630" spans="1:23" ht="11.25" customHeight="1" x14ac:dyDescent="0.25">
      <c r="A630" s="4" t="s">
        <v>21</v>
      </c>
      <c r="B630" s="4" t="s">
        <v>37</v>
      </c>
      <c r="C630" s="4" t="s">
        <v>23</v>
      </c>
      <c r="D630" s="4" t="s">
        <v>38</v>
      </c>
      <c r="E630" s="4" t="s">
        <v>25</v>
      </c>
      <c r="F630" s="4" t="s">
        <v>25</v>
      </c>
      <c r="G630" s="4" t="s">
        <v>25</v>
      </c>
      <c r="H630" s="4" t="s">
        <v>25</v>
      </c>
      <c r="I630" s="5">
        <v>44317</v>
      </c>
      <c r="J630" s="6">
        <v>0</v>
      </c>
      <c r="K630" s="6">
        <v>0</v>
      </c>
      <c r="L630" s="6">
        <v>70.343000000000004</v>
      </c>
      <c r="M630" s="6">
        <v>70.343000000000004</v>
      </c>
      <c r="N630" s="6">
        <v>70.343000000000004</v>
      </c>
      <c r="O630" s="6">
        <v>70.343000000000004</v>
      </c>
      <c r="P630" s="6">
        <v>25</v>
      </c>
      <c r="Q630" s="4" t="s">
        <v>26</v>
      </c>
      <c r="R630" s="4">
        <v>0</v>
      </c>
      <c r="S630" s="4" t="s">
        <v>226</v>
      </c>
      <c r="T630" s="4" t="s">
        <v>363</v>
      </c>
      <c r="U630" s="4">
        <v>0</v>
      </c>
      <c r="V630" s="4">
        <v>2</v>
      </c>
      <c r="W630" s="4">
        <v>26</v>
      </c>
    </row>
    <row r="631" spans="1:23" ht="11.25" customHeight="1" x14ac:dyDescent="0.25">
      <c r="A631" s="4" t="s">
        <v>21</v>
      </c>
      <c r="B631" s="4" t="s">
        <v>37</v>
      </c>
      <c r="C631" s="4" t="s">
        <v>23</v>
      </c>
      <c r="D631" s="4" t="s">
        <v>38</v>
      </c>
      <c r="E631" s="4" t="s">
        <v>25</v>
      </c>
      <c r="F631" s="4" t="s">
        <v>25</v>
      </c>
      <c r="G631" s="4" t="s">
        <v>25</v>
      </c>
      <c r="H631" s="4" t="s">
        <v>25</v>
      </c>
      <c r="I631" s="5">
        <v>44348</v>
      </c>
      <c r="J631" s="6">
        <v>0</v>
      </c>
      <c r="K631" s="6">
        <v>0</v>
      </c>
      <c r="L631" s="6">
        <v>51.085999999999999</v>
      </c>
      <c r="M631" s="6">
        <v>51.085999999999999</v>
      </c>
      <c r="N631" s="6">
        <v>51.085999999999999</v>
      </c>
      <c r="O631" s="6">
        <v>51.085999999999999</v>
      </c>
      <c r="P631" s="6">
        <v>25</v>
      </c>
      <c r="Q631" s="4" t="s">
        <v>26</v>
      </c>
      <c r="R631" s="4">
        <v>0</v>
      </c>
      <c r="S631" s="4" t="s">
        <v>227</v>
      </c>
      <c r="T631" s="4" t="s">
        <v>364</v>
      </c>
      <c r="U631" s="4">
        <v>0</v>
      </c>
      <c r="V631" s="4">
        <v>2</v>
      </c>
      <c r="W631" s="4">
        <v>26</v>
      </c>
    </row>
    <row r="632" spans="1:23" ht="11.25" customHeight="1" x14ac:dyDescent="0.25">
      <c r="A632" s="4" t="s">
        <v>21</v>
      </c>
      <c r="B632" s="4" t="s">
        <v>37</v>
      </c>
      <c r="C632" s="4" t="s">
        <v>23</v>
      </c>
      <c r="D632" s="4" t="s">
        <v>38</v>
      </c>
      <c r="E632" s="4" t="s">
        <v>25</v>
      </c>
      <c r="F632" s="4" t="s">
        <v>25</v>
      </c>
      <c r="G632" s="4" t="s">
        <v>25</v>
      </c>
      <c r="H632" s="4" t="s">
        <v>25</v>
      </c>
      <c r="I632" s="5">
        <v>44378</v>
      </c>
      <c r="J632" s="6">
        <v>0</v>
      </c>
      <c r="K632" s="6">
        <v>0</v>
      </c>
      <c r="L632" s="6">
        <v>50.176000000000002</v>
      </c>
      <c r="M632" s="6">
        <v>50.176000000000002</v>
      </c>
      <c r="N632" s="6">
        <v>50.176000000000002</v>
      </c>
      <c r="O632" s="6">
        <v>50.176000000000002</v>
      </c>
      <c r="P632" s="6">
        <v>25</v>
      </c>
      <c r="Q632" s="4" t="s">
        <v>26</v>
      </c>
      <c r="R632" s="4">
        <v>0</v>
      </c>
      <c r="S632" s="4" t="s">
        <v>228</v>
      </c>
      <c r="T632" s="4" t="s">
        <v>365</v>
      </c>
      <c r="U632" s="4">
        <v>0</v>
      </c>
      <c r="V632" s="4">
        <v>2</v>
      </c>
      <c r="W632" s="4">
        <v>26</v>
      </c>
    </row>
    <row r="633" spans="1:23" ht="11.25" customHeight="1" x14ac:dyDescent="0.25">
      <c r="A633" s="4" t="s">
        <v>21</v>
      </c>
      <c r="B633" s="4" t="s">
        <v>37</v>
      </c>
      <c r="C633" s="4" t="s">
        <v>23</v>
      </c>
      <c r="D633" s="4" t="s">
        <v>38</v>
      </c>
      <c r="E633" s="4" t="s">
        <v>25</v>
      </c>
      <c r="F633" s="4" t="s">
        <v>25</v>
      </c>
      <c r="G633" s="4" t="s">
        <v>25</v>
      </c>
      <c r="H633" s="4" t="s">
        <v>25</v>
      </c>
      <c r="I633" s="5">
        <v>44409</v>
      </c>
      <c r="J633" s="6">
        <v>0</v>
      </c>
      <c r="K633" s="6">
        <v>0</v>
      </c>
      <c r="L633" s="6">
        <v>56.345999999999997</v>
      </c>
      <c r="M633" s="6">
        <v>56.345999999999997</v>
      </c>
      <c r="N633" s="6">
        <v>56.345999999999997</v>
      </c>
      <c r="O633" s="6">
        <v>56.345999999999997</v>
      </c>
      <c r="P633" s="6">
        <v>25</v>
      </c>
      <c r="Q633" s="4" t="s">
        <v>26</v>
      </c>
      <c r="R633" s="4">
        <v>0</v>
      </c>
      <c r="S633" s="4" t="s">
        <v>229</v>
      </c>
      <c r="T633" s="4" t="s">
        <v>366</v>
      </c>
      <c r="U633" s="4">
        <v>0</v>
      </c>
      <c r="V633" s="4">
        <v>2</v>
      </c>
      <c r="W633" s="4">
        <v>26</v>
      </c>
    </row>
    <row r="634" spans="1:23" ht="11.25" customHeight="1" x14ac:dyDescent="0.25">
      <c r="A634" s="4" t="s">
        <v>21</v>
      </c>
      <c r="B634" s="4" t="s">
        <v>37</v>
      </c>
      <c r="C634" s="4" t="s">
        <v>23</v>
      </c>
      <c r="D634" s="4" t="s">
        <v>38</v>
      </c>
      <c r="E634" s="4" t="s">
        <v>25</v>
      </c>
      <c r="F634" s="4" t="s">
        <v>25</v>
      </c>
      <c r="G634" s="4" t="s">
        <v>25</v>
      </c>
      <c r="H634" s="4" t="s">
        <v>25</v>
      </c>
      <c r="I634" s="5">
        <v>44440</v>
      </c>
      <c r="J634" s="6">
        <v>0</v>
      </c>
      <c r="K634" s="6">
        <v>0</v>
      </c>
      <c r="L634" s="6">
        <v>62.942999999999998</v>
      </c>
      <c r="M634" s="6">
        <v>62.942999999999998</v>
      </c>
      <c r="N634" s="6">
        <v>62.942999999999998</v>
      </c>
      <c r="O634" s="6">
        <v>62.942999999999998</v>
      </c>
      <c r="P634" s="6">
        <v>25</v>
      </c>
      <c r="Q634" s="4" t="s">
        <v>26</v>
      </c>
      <c r="R634" s="4">
        <v>0</v>
      </c>
      <c r="S634" s="4" t="s">
        <v>230</v>
      </c>
      <c r="T634" s="4" t="s">
        <v>367</v>
      </c>
      <c r="U634" s="4">
        <v>0</v>
      </c>
      <c r="V634" s="4">
        <v>2</v>
      </c>
      <c r="W634" s="4">
        <v>26</v>
      </c>
    </row>
    <row r="635" spans="1:23" ht="11.25" customHeight="1" x14ac:dyDescent="0.25">
      <c r="A635" s="4" t="s">
        <v>21</v>
      </c>
      <c r="B635" s="4" t="s">
        <v>37</v>
      </c>
      <c r="C635" s="4" t="s">
        <v>23</v>
      </c>
      <c r="D635" s="4" t="s">
        <v>38</v>
      </c>
      <c r="E635" s="4" t="s">
        <v>25</v>
      </c>
      <c r="F635" s="4" t="s">
        <v>25</v>
      </c>
      <c r="G635" s="4" t="s">
        <v>25</v>
      </c>
      <c r="H635" s="4" t="s">
        <v>25</v>
      </c>
      <c r="I635" s="5">
        <v>44470</v>
      </c>
      <c r="J635" s="6">
        <v>0</v>
      </c>
      <c r="K635" s="6">
        <v>0</v>
      </c>
      <c r="L635" s="6">
        <v>54.314</v>
      </c>
      <c r="M635" s="6">
        <v>54.314</v>
      </c>
      <c r="N635" s="6">
        <v>54.314</v>
      </c>
      <c r="O635" s="6">
        <v>54.314</v>
      </c>
      <c r="P635" s="6">
        <v>25</v>
      </c>
      <c r="Q635" s="4" t="s">
        <v>26</v>
      </c>
      <c r="R635" s="4">
        <v>0</v>
      </c>
      <c r="S635" s="4" t="s">
        <v>231</v>
      </c>
      <c r="T635" s="4" t="s">
        <v>368</v>
      </c>
      <c r="U635" s="4">
        <v>0</v>
      </c>
      <c r="V635" s="4">
        <v>2</v>
      </c>
      <c r="W635" s="4">
        <v>26</v>
      </c>
    </row>
    <row r="636" spans="1:23" ht="11.25" customHeight="1" x14ac:dyDescent="0.25">
      <c r="A636" s="4" t="s">
        <v>21</v>
      </c>
      <c r="B636" s="4" t="s">
        <v>37</v>
      </c>
      <c r="C636" s="4" t="s">
        <v>23</v>
      </c>
      <c r="D636" s="4" t="s">
        <v>38</v>
      </c>
      <c r="E636" s="4" t="s">
        <v>25</v>
      </c>
      <c r="F636" s="4" t="s">
        <v>25</v>
      </c>
      <c r="G636" s="4" t="s">
        <v>25</v>
      </c>
      <c r="H636" s="4" t="s">
        <v>25</v>
      </c>
      <c r="I636" s="5">
        <v>44501</v>
      </c>
      <c r="J636" s="6">
        <v>0</v>
      </c>
      <c r="K636" s="6">
        <v>0</v>
      </c>
      <c r="L636" s="6">
        <v>54.893999999999998</v>
      </c>
      <c r="M636" s="6">
        <v>54.893999999999998</v>
      </c>
      <c r="N636" s="6">
        <v>54.893999999999998</v>
      </c>
      <c r="O636" s="6">
        <v>54.893999999999998</v>
      </c>
      <c r="P636" s="6">
        <v>24</v>
      </c>
      <c r="Q636" s="4" t="s">
        <v>26</v>
      </c>
      <c r="R636" s="4">
        <v>0</v>
      </c>
      <c r="S636" s="4" t="s">
        <v>232</v>
      </c>
      <c r="T636" s="4" t="s">
        <v>369</v>
      </c>
      <c r="U636" s="4">
        <v>0</v>
      </c>
      <c r="V636" s="4">
        <v>2</v>
      </c>
      <c r="W636" s="4">
        <v>26</v>
      </c>
    </row>
    <row r="637" spans="1:23" ht="11.25" customHeight="1" x14ac:dyDescent="0.25">
      <c r="A637" s="4" t="s">
        <v>28</v>
      </c>
      <c r="B637" s="4" t="s">
        <v>37</v>
      </c>
      <c r="C637" s="4" t="s">
        <v>23</v>
      </c>
      <c r="D637" s="4" t="s">
        <v>38</v>
      </c>
      <c r="E637" s="4" t="s">
        <v>25</v>
      </c>
      <c r="F637" s="4" t="s">
        <v>25</v>
      </c>
      <c r="G637" s="4" t="s">
        <v>25</v>
      </c>
      <c r="H637" s="4" t="s">
        <v>25</v>
      </c>
      <c r="I637" s="5">
        <v>44501</v>
      </c>
      <c r="J637" s="6">
        <v>0</v>
      </c>
      <c r="K637" s="6">
        <v>0</v>
      </c>
      <c r="L637" s="6">
        <v>0.1</v>
      </c>
      <c r="M637" s="6">
        <v>0.1</v>
      </c>
      <c r="N637" s="6">
        <v>0.1</v>
      </c>
      <c r="O637" s="6">
        <v>0.1</v>
      </c>
      <c r="P637" s="6">
        <v>1</v>
      </c>
      <c r="Q637" s="4" t="s">
        <v>26</v>
      </c>
      <c r="R637" s="4">
        <v>0</v>
      </c>
      <c r="S637" s="4" t="s">
        <v>232</v>
      </c>
      <c r="T637" s="4" t="s">
        <v>369</v>
      </c>
      <c r="U637" s="4">
        <v>0</v>
      </c>
      <c r="V637" s="4">
        <v>2</v>
      </c>
      <c r="W637" s="4">
        <v>26</v>
      </c>
    </row>
    <row r="638" spans="1:23" ht="11.25" customHeight="1" x14ac:dyDescent="0.25">
      <c r="A638" s="4" t="s">
        <v>21</v>
      </c>
      <c r="B638" s="4" t="s">
        <v>37</v>
      </c>
      <c r="C638" s="4" t="s">
        <v>23</v>
      </c>
      <c r="D638" s="4" t="s">
        <v>38</v>
      </c>
      <c r="E638" s="4" t="s">
        <v>25</v>
      </c>
      <c r="F638" s="4" t="s">
        <v>25</v>
      </c>
      <c r="G638" s="4" t="s">
        <v>25</v>
      </c>
      <c r="H638" s="4" t="s">
        <v>25</v>
      </c>
      <c r="I638" s="5">
        <v>44531</v>
      </c>
      <c r="J638" s="6">
        <v>0</v>
      </c>
      <c r="K638" s="6">
        <v>0</v>
      </c>
      <c r="L638" s="6">
        <v>45.625</v>
      </c>
      <c r="M638" s="6">
        <v>45.625</v>
      </c>
      <c r="N638" s="6">
        <v>45.625</v>
      </c>
      <c r="O638" s="6">
        <v>45.625</v>
      </c>
      <c r="P638" s="6">
        <v>24</v>
      </c>
      <c r="Q638" s="4" t="s">
        <v>26</v>
      </c>
      <c r="R638" s="4">
        <v>0</v>
      </c>
      <c r="S638" s="4" t="s">
        <v>233</v>
      </c>
      <c r="T638" s="4" t="s">
        <v>370</v>
      </c>
      <c r="U638" s="4">
        <v>0</v>
      </c>
      <c r="V638" s="4">
        <v>2</v>
      </c>
      <c r="W638" s="4">
        <v>26</v>
      </c>
    </row>
    <row r="639" spans="1:23" ht="11.25" customHeight="1" x14ac:dyDescent="0.25">
      <c r="A639" s="4" t="s">
        <v>28</v>
      </c>
      <c r="B639" s="4" t="s">
        <v>37</v>
      </c>
      <c r="C639" s="4" t="s">
        <v>23</v>
      </c>
      <c r="D639" s="4" t="s">
        <v>38</v>
      </c>
      <c r="E639" s="4" t="s">
        <v>25</v>
      </c>
      <c r="F639" s="4" t="s">
        <v>25</v>
      </c>
      <c r="G639" s="4" t="s">
        <v>25</v>
      </c>
      <c r="H639" s="4" t="s">
        <v>25</v>
      </c>
      <c r="I639" s="5">
        <v>44531</v>
      </c>
      <c r="J639" s="6">
        <v>0</v>
      </c>
      <c r="K639" s="6">
        <v>0</v>
      </c>
      <c r="L639" s="6">
        <v>0.1</v>
      </c>
      <c r="M639" s="6">
        <v>0.1</v>
      </c>
      <c r="N639" s="6">
        <v>0.1</v>
      </c>
      <c r="O639" s="6">
        <v>0.1</v>
      </c>
      <c r="P639" s="6">
        <v>1</v>
      </c>
      <c r="Q639" s="4" t="s">
        <v>26</v>
      </c>
      <c r="R639" s="4">
        <v>0</v>
      </c>
      <c r="S639" s="4" t="s">
        <v>233</v>
      </c>
      <c r="T639" s="4" t="s">
        <v>370</v>
      </c>
      <c r="U639" s="4">
        <v>0</v>
      </c>
      <c r="V639" s="4">
        <v>2</v>
      </c>
      <c r="W639" s="4">
        <v>26</v>
      </c>
    </row>
    <row r="640" spans="1:23" ht="11.25" customHeight="1" x14ac:dyDescent="0.25">
      <c r="A640" s="4" t="s">
        <v>21</v>
      </c>
      <c r="B640" s="4" t="s">
        <v>37</v>
      </c>
      <c r="C640" s="4" t="s">
        <v>23</v>
      </c>
      <c r="D640" s="4" t="s">
        <v>38</v>
      </c>
      <c r="E640" s="4" t="s">
        <v>25</v>
      </c>
      <c r="F640" s="4" t="s">
        <v>25</v>
      </c>
      <c r="G640" s="4" t="s">
        <v>25</v>
      </c>
      <c r="H640" s="4" t="s">
        <v>25</v>
      </c>
      <c r="I640" s="5">
        <v>44562</v>
      </c>
      <c r="J640" s="6">
        <v>0</v>
      </c>
      <c r="K640" s="6">
        <v>0</v>
      </c>
      <c r="L640" s="6">
        <v>56.762999999999998</v>
      </c>
      <c r="M640" s="6">
        <v>56.762999999999998</v>
      </c>
      <c r="N640" s="6">
        <v>56.762999999999998</v>
      </c>
      <c r="O640" s="6">
        <v>56.762999999999998</v>
      </c>
      <c r="P640" s="6">
        <v>24</v>
      </c>
      <c r="Q640" s="4" t="s">
        <v>26</v>
      </c>
      <c r="R640" s="4">
        <v>0</v>
      </c>
      <c r="S640" s="4" t="s">
        <v>234</v>
      </c>
      <c r="T640" s="4" t="s">
        <v>371</v>
      </c>
      <c r="U640" s="4">
        <v>0</v>
      </c>
      <c r="V640" s="4">
        <v>2</v>
      </c>
      <c r="W640" s="4">
        <v>26</v>
      </c>
    </row>
    <row r="641" spans="1:23" ht="11.25" customHeight="1" x14ac:dyDescent="0.25">
      <c r="A641" s="4" t="s">
        <v>28</v>
      </c>
      <c r="B641" s="4" t="s">
        <v>37</v>
      </c>
      <c r="C641" s="4" t="s">
        <v>23</v>
      </c>
      <c r="D641" s="4" t="s">
        <v>38</v>
      </c>
      <c r="E641" s="4" t="s">
        <v>25</v>
      </c>
      <c r="F641" s="4" t="s">
        <v>25</v>
      </c>
      <c r="G641" s="4" t="s">
        <v>25</v>
      </c>
      <c r="H641" s="4" t="s">
        <v>25</v>
      </c>
      <c r="I641" s="5">
        <v>44562</v>
      </c>
      <c r="J641" s="6">
        <v>0</v>
      </c>
      <c r="K641" s="6">
        <v>0</v>
      </c>
      <c r="L641" s="6">
        <v>0.1</v>
      </c>
      <c r="M641" s="6">
        <v>0.1</v>
      </c>
      <c r="N641" s="6">
        <v>0.1</v>
      </c>
      <c r="O641" s="6">
        <v>0.1</v>
      </c>
      <c r="P641" s="6">
        <v>1</v>
      </c>
      <c r="Q641" s="4" t="s">
        <v>26</v>
      </c>
      <c r="R641" s="4">
        <v>0</v>
      </c>
      <c r="S641" s="4" t="s">
        <v>234</v>
      </c>
      <c r="T641" s="4" t="s">
        <v>371</v>
      </c>
      <c r="U641" s="4">
        <v>0</v>
      </c>
      <c r="V641" s="4">
        <v>2</v>
      </c>
      <c r="W641" s="4">
        <v>26</v>
      </c>
    </row>
    <row r="642" spans="1:23" ht="11.25" customHeight="1" x14ac:dyDescent="0.25">
      <c r="A642" s="4" t="s">
        <v>21</v>
      </c>
      <c r="B642" s="4" t="s">
        <v>37</v>
      </c>
      <c r="C642" s="4" t="s">
        <v>23</v>
      </c>
      <c r="D642" s="4" t="s">
        <v>38</v>
      </c>
      <c r="E642" s="4" t="s">
        <v>25</v>
      </c>
      <c r="F642" s="4" t="s">
        <v>25</v>
      </c>
      <c r="G642" s="4" t="s">
        <v>25</v>
      </c>
      <c r="H642" s="4" t="s">
        <v>25</v>
      </c>
      <c r="I642" s="5">
        <v>44593</v>
      </c>
      <c r="J642" s="6">
        <v>0</v>
      </c>
      <c r="K642" s="6">
        <v>0</v>
      </c>
      <c r="L642" s="6">
        <v>50.95</v>
      </c>
      <c r="M642" s="6">
        <v>50.95</v>
      </c>
      <c r="N642" s="6">
        <v>50.95</v>
      </c>
      <c r="O642" s="6">
        <v>50.95</v>
      </c>
      <c r="P642" s="6">
        <v>23</v>
      </c>
      <c r="Q642" s="4" t="s">
        <v>26</v>
      </c>
      <c r="R642" s="4">
        <v>0</v>
      </c>
      <c r="S642" s="4" t="s">
        <v>235</v>
      </c>
      <c r="T642" s="4" t="s">
        <v>372</v>
      </c>
      <c r="U642" s="4">
        <v>0</v>
      </c>
      <c r="V642" s="4">
        <v>2</v>
      </c>
      <c r="W642" s="4">
        <v>26</v>
      </c>
    </row>
    <row r="643" spans="1:23" ht="11.25" customHeight="1" x14ac:dyDescent="0.25">
      <c r="A643" s="4" t="s">
        <v>28</v>
      </c>
      <c r="B643" s="4" t="s">
        <v>37</v>
      </c>
      <c r="C643" s="4" t="s">
        <v>23</v>
      </c>
      <c r="D643" s="4" t="s">
        <v>38</v>
      </c>
      <c r="E643" s="4" t="s">
        <v>25</v>
      </c>
      <c r="F643" s="4" t="s">
        <v>25</v>
      </c>
      <c r="G643" s="4" t="s">
        <v>25</v>
      </c>
      <c r="H643" s="4" t="s">
        <v>25</v>
      </c>
      <c r="I643" s="5">
        <v>44593</v>
      </c>
      <c r="J643" s="6">
        <v>0</v>
      </c>
      <c r="K643" s="6">
        <v>0</v>
      </c>
      <c r="L643" s="6">
        <v>0.15</v>
      </c>
      <c r="M643" s="6">
        <v>0.15</v>
      </c>
      <c r="N643" s="6">
        <v>0.15</v>
      </c>
      <c r="O643" s="6">
        <v>0.15</v>
      </c>
      <c r="P643" s="6">
        <v>2</v>
      </c>
      <c r="Q643" s="4" t="s">
        <v>26</v>
      </c>
      <c r="R643" s="4">
        <v>0</v>
      </c>
      <c r="S643" s="4" t="s">
        <v>235</v>
      </c>
      <c r="T643" s="4" t="s">
        <v>372</v>
      </c>
      <c r="U643" s="4">
        <v>0</v>
      </c>
      <c r="V643" s="4">
        <v>2</v>
      </c>
      <c r="W643" s="4">
        <v>26</v>
      </c>
    </row>
    <row r="644" spans="1:23" ht="11.25" customHeight="1" x14ac:dyDescent="0.25">
      <c r="A644" s="4" t="s">
        <v>54</v>
      </c>
      <c r="B644" s="4" t="s">
        <v>37</v>
      </c>
      <c r="C644" s="4" t="s">
        <v>23</v>
      </c>
      <c r="D644" s="4" t="s">
        <v>38</v>
      </c>
      <c r="E644" s="4" t="s">
        <v>25</v>
      </c>
      <c r="F644" s="4" t="s">
        <v>25</v>
      </c>
      <c r="G644" s="4" t="s">
        <v>25</v>
      </c>
      <c r="H644" s="4" t="s">
        <v>25</v>
      </c>
      <c r="I644" s="5">
        <v>44621</v>
      </c>
      <c r="J644" s="6">
        <v>0</v>
      </c>
      <c r="K644" s="6">
        <v>0</v>
      </c>
      <c r="L644" s="6">
        <v>50.95</v>
      </c>
      <c r="M644" s="6">
        <v>50.95</v>
      </c>
      <c r="N644" s="6">
        <v>50.95</v>
      </c>
      <c r="O644" s="6">
        <v>50.95</v>
      </c>
      <c r="P644" s="6">
        <v>23</v>
      </c>
      <c r="Q644" s="4" t="s">
        <v>26</v>
      </c>
      <c r="R644" s="4">
        <v>0</v>
      </c>
      <c r="S644" s="4" t="s">
        <v>236</v>
      </c>
      <c r="T644" s="4" t="s">
        <v>373</v>
      </c>
      <c r="U644" s="4">
        <v>0</v>
      </c>
      <c r="V644" s="4">
        <v>2</v>
      </c>
      <c r="W644" s="4">
        <v>26</v>
      </c>
    </row>
    <row r="645" spans="1:23" ht="11.25" customHeight="1" x14ac:dyDescent="0.25">
      <c r="A645" s="4" t="s">
        <v>54</v>
      </c>
      <c r="B645" s="4" t="s">
        <v>37</v>
      </c>
      <c r="C645" s="4" t="s">
        <v>23</v>
      </c>
      <c r="D645" s="4" t="s">
        <v>38</v>
      </c>
      <c r="E645" s="4" t="s">
        <v>25</v>
      </c>
      <c r="F645" s="4" t="s">
        <v>25</v>
      </c>
      <c r="G645" s="4" t="s">
        <v>25</v>
      </c>
      <c r="H645" s="4" t="s">
        <v>25</v>
      </c>
      <c r="I645" s="5">
        <v>44621</v>
      </c>
      <c r="J645" s="6">
        <v>0</v>
      </c>
      <c r="K645" s="6">
        <v>0</v>
      </c>
      <c r="L645" s="6">
        <v>0.15</v>
      </c>
      <c r="M645" s="6">
        <v>0.15</v>
      </c>
      <c r="N645" s="6">
        <v>0.15</v>
      </c>
      <c r="O645" s="6">
        <v>0.15</v>
      </c>
      <c r="P645" s="6">
        <v>2</v>
      </c>
      <c r="Q645" s="4" t="s">
        <v>26</v>
      </c>
      <c r="R645" s="4">
        <v>0</v>
      </c>
      <c r="S645" s="4" t="s">
        <v>236</v>
      </c>
      <c r="T645" s="4" t="s">
        <v>373</v>
      </c>
      <c r="U645" s="4">
        <v>0</v>
      </c>
      <c r="V645" s="4">
        <v>2</v>
      </c>
      <c r="W645" s="4">
        <v>26</v>
      </c>
    </row>
    <row r="646" spans="1:23" ht="11.25" customHeight="1" x14ac:dyDescent="0.25">
      <c r="A646" s="4" t="s">
        <v>21</v>
      </c>
      <c r="B646" s="4" t="s">
        <v>37</v>
      </c>
      <c r="C646" s="4" t="s">
        <v>23</v>
      </c>
      <c r="D646" s="4" t="s">
        <v>42</v>
      </c>
      <c r="E646" s="4" t="s">
        <v>25</v>
      </c>
      <c r="F646" s="4" t="s">
        <v>25</v>
      </c>
      <c r="G646" s="4" t="s">
        <v>25</v>
      </c>
      <c r="H646" s="4" t="s">
        <v>25</v>
      </c>
      <c r="I646" s="5">
        <v>44287</v>
      </c>
      <c r="J646" s="6">
        <v>0</v>
      </c>
      <c r="K646" s="6">
        <v>0</v>
      </c>
      <c r="L646" s="6">
        <v>31.361999999999998</v>
      </c>
      <c r="M646" s="6">
        <v>31.361999999999998</v>
      </c>
      <c r="N646" s="6">
        <v>31.361999999999998</v>
      </c>
      <c r="O646" s="6">
        <v>31.361999999999998</v>
      </c>
      <c r="P646" s="6">
        <v>52</v>
      </c>
      <c r="Q646" s="4" t="s">
        <v>26</v>
      </c>
      <c r="R646" s="4">
        <v>0</v>
      </c>
      <c r="S646" s="4" t="s">
        <v>225</v>
      </c>
      <c r="T646" s="4" t="s">
        <v>362</v>
      </c>
      <c r="U646" s="4">
        <v>0</v>
      </c>
      <c r="V646" s="4">
        <v>2</v>
      </c>
      <c r="W646" s="4">
        <v>26</v>
      </c>
    </row>
    <row r="647" spans="1:23" ht="11.25" customHeight="1" x14ac:dyDescent="0.25">
      <c r="A647" s="4" t="s">
        <v>21</v>
      </c>
      <c r="B647" s="4" t="s">
        <v>37</v>
      </c>
      <c r="C647" s="4" t="s">
        <v>23</v>
      </c>
      <c r="D647" s="4" t="s">
        <v>42</v>
      </c>
      <c r="E647" s="4" t="s">
        <v>25</v>
      </c>
      <c r="F647" s="4" t="s">
        <v>25</v>
      </c>
      <c r="G647" s="4" t="s">
        <v>25</v>
      </c>
      <c r="H647" s="4" t="s">
        <v>25</v>
      </c>
      <c r="I647" s="5">
        <v>44317</v>
      </c>
      <c r="J647" s="6">
        <v>0</v>
      </c>
      <c r="K647" s="6">
        <v>0</v>
      </c>
      <c r="L647" s="6">
        <v>29.183</v>
      </c>
      <c r="M647" s="6">
        <v>29.183</v>
      </c>
      <c r="N647" s="6">
        <v>29.183</v>
      </c>
      <c r="O647" s="6">
        <v>29.183</v>
      </c>
      <c r="P647" s="6">
        <v>52</v>
      </c>
      <c r="Q647" s="4" t="s">
        <v>26</v>
      </c>
      <c r="R647" s="4">
        <v>0</v>
      </c>
      <c r="S647" s="4" t="s">
        <v>226</v>
      </c>
      <c r="T647" s="4" t="s">
        <v>363</v>
      </c>
      <c r="U647" s="4">
        <v>0</v>
      </c>
      <c r="V647" s="4">
        <v>2</v>
      </c>
      <c r="W647" s="4">
        <v>26</v>
      </c>
    </row>
    <row r="648" spans="1:23" ht="11.25" customHeight="1" x14ac:dyDescent="0.25">
      <c r="A648" s="4" t="s">
        <v>21</v>
      </c>
      <c r="B648" s="4" t="s">
        <v>37</v>
      </c>
      <c r="C648" s="4" t="s">
        <v>23</v>
      </c>
      <c r="D648" s="4" t="s">
        <v>42</v>
      </c>
      <c r="E648" s="4" t="s">
        <v>25</v>
      </c>
      <c r="F648" s="4" t="s">
        <v>25</v>
      </c>
      <c r="G648" s="4" t="s">
        <v>25</v>
      </c>
      <c r="H648" s="4" t="s">
        <v>25</v>
      </c>
      <c r="I648" s="5">
        <v>44348</v>
      </c>
      <c r="J648" s="6">
        <v>0</v>
      </c>
      <c r="K648" s="6">
        <v>0</v>
      </c>
      <c r="L648" s="6">
        <v>30.219000000000001</v>
      </c>
      <c r="M648" s="6">
        <v>30.219000000000001</v>
      </c>
      <c r="N648" s="6">
        <v>30.219000000000001</v>
      </c>
      <c r="O648" s="6">
        <v>30.219000000000001</v>
      </c>
      <c r="P648" s="6">
        <v>52</v>
      </c>
      <c r="Q648" s="4" t="s">
        <v>26</v>
      </c>
      <c r="R648" s="4">
        <v>0</v>
      </c>
      <c r="S648" s="4" t="s">
        <v>227</v>
      </c>
      <c r="T648" s="4" t="s">
        <v>364</v>
      </c>
      <c r="U648" s="4">
        <v>0</v>
      </c>
      <c r="V648" s="4">
        <v>2</v>
      </c>
      <c r="W648" s="4">
        <v>26</v>
      </c>
    </row>
    <row r="649" spans="1:23" ht="11.25" customHeight="1" x14ac:dyDescent="0.25">
      <c r="A649" s="4" t="s">
        <v>21</v>
      </c>
      <c r="B649" s="4" t="s">
        <v>37</v>
      </c>
      <c r="C649" s="4" t="s">
        <v>23</v>
      </c>
      <c r="D649" s="4" t="s">
        <v>42</v>
      </c>
      <c r="E649" s="4" t="s">
        <v>25</v>
      </c>
      <c r="F649" s="4" t="s">
        <v>25</v>
      </c>
      <c r="G649" s="4" t="s">
        <v>25</v>
      </c>
      <c r="H649" s="4" t="s">
        <v>25</v>
      </c>
      <c r="I649" s="5">
        <v>44378</v>
      </c>
      <c r="J649" s="6">
        <v>0</v>
      </c>
      <c r="K649" s="6">
        <v>0</v>
      </c>
      <c r="L649" s="6">
        <v>28.157</v>
      </c>
      <c r="M649" s="6">
        <v>28.157</v>
      </c>
      <c r="N649" s="6">
        <v>28.157</v>
      </c>
      <c r="O649" s="6">
        <v>28.157</v>
      </c>
      <c r="P649" s="6">
        <v>52</v>
      </c>
      <c r="Q649" s="4" t="s">
        <v>26</v>
      </c>
      <c r="R649" s="4">
        <v>0</v>
      </c>
      <c r="S649" s="4" t="s">
        <v>228</v>
      </c>
      <c r="T649" s="4" t="s">
        <v>365</v>
      </c>
      <c r="U649" s="4">
        <v>0</v>
      </c>
      <c r="V649" s="4">
        <v>2</v>
      </c>
      <c r="W649" s="4">
        <v>26</v>
      </c>
    </row>
    <row r="650" spans="1:23" ht="11.25" customHeight="1" x14ac:dyDescent="0.25">
      <c r="A650" s="4" t="s">
        <v>21</v>
      </c>
      <c r="B650" s="4" t="s">
        <v>37</v>
      </c>
      <c r="C650" s="4" t="s">
        <v>23</v>
      </c>
      <c r="D650" s="4" t="s">
        <v>42</v>
      </c>
      <c r="E650" s="4" t="s">
        <v>25</v>
      </c>
      <c r="F650" s="4" t="s">
        <v>25</v>
      </c>
      <c r="G650" s="4" t="s">
        <v>25</v>
      </c>
      <c r="H650" s="4" t="s">
        <v>25</v>
      </c>
      <c r="I650" s="5">
        <v>44409</v>
      </c>
      <c r="J650" s="6">
        <v>0</v>
      </c>
      <c r="K650" s="6">
        <v>0</v>
      </c>
      <c r="L650" s="6">
        <v>31.911999999999999</v>
      </c>
      <c r="M650" s="6">
        <v>31.911999999999999</v>
      </c>
      <c r="N650" s="6">
        <v>31.911999999999999</v>
      </c>
      <c r="O650" s="6">
        <v>31.911999999999999</v>
      </c>
      <c r="P650" s="6">
        <v>52</v>
      </c>
      <c r="Q650" s="4" t="s">
        <v>26</v>
      </c>
      <c r="R650" s="4">
        <v>0</v>
      </c>
      <c r="S650" s="4" t="s">
        <v>229</v>
      </c>
      <c r="T650" s="4" t="s">
        <v>366</v>
      </c>
      <c r="U650" s="4">
        <v>0</v>
      </c>
      <c r="V650" s="4">
        <v>2</v>
      </c>
      <c r="W650" s="4">
        <v>26</v>
      </c>
    </row>
    <row r="651" spans="1:23" ht="11.25" customHeight="1" x14ac:dyDescent="0.25">
      <c r="A651" s="4" t="s">
        <v>21</v>
      </c>
      <c r="B651" s="4" t="s">
        <v>37</v>
      </c>
      <c r="C651" s="4" t="s">
        <v>23</v>
      </c>
      <c r="D651" s="4" t="s">
        <v>42</v>
      </c>
      <c r="E651" s="4" t="s">
        <v>25</v>
      </c>
      <c r="F651" s="4" t="s">
        <v>25</v>
      </c>
      <c r="G651" s="4" t="s">
        <v>25</v>
      </c>
      <c r="H651" s="4" t="s">
        <v>25</v>
      </c>
      <c r="I651" s="5">
        <v>44440</v>
      </c>
      <c r="J651" s="6">
        <v>0</v>
      </c>
      <c r="K651" s="6">
        <v>0</v>
      </c>
      <c r="L651" s="6">
        <v>37.844000000000001</v>
      </c>
      <c r="M651" s="6">
        <v>37.844000000000001</v>
      </c>
      <c r="N651" s="6">
        <v>37.844000000000001</v>
      </c>
      <c r="O651" s="6">
        <v>37.844000000000001</v>
      </c>
      <c r="P651" s="6">
        <v>52</v>
      </c>
      <c r="Q651" s="4" t="s">
        <v>26</v>
      </c>
      <c r="R651" s="4">
        <v>0</v>
      </c>
      <c r="S651" s="4" t="s">
        <v>230</v>
      </c>
      <c r="T651" s="4" t="s">
        <v>367</v>
      </c>
      <c r="U651" s="4">
        <v>0</v>
      </c>
      <c r="V651" s="4">
        <v>2</v>
      </c>
      <c r="W651" s="4">
        <v>26</v>
      </c>
    </row>
    <row r="652" spans="1:23" ht="11.25" customHeight="1" x14ac:dyDescent="0.25">
      <c r="A652" s="4" t="s">
        <v>21</v>
      </c>
      <c r="B652" s="4" t="s">
        <v>37</v>
      </c>
      <c r="C652" s="4" t="s">
        <v>23</v>
      </c>
      <c r="D652" s="4" t="s">
        <v>42</v>
      </c>
      <c r="E652" s="4" t="s">
        <v>25</v>
      </c>
      <c r="F652" s="4" t="s">
        <v>25</v>
      </c>
      <c r="G652" s="4" t="s">
        <v>25</v>
      </c>
      <c r="H652" s="4" t="s">
        <v>25</v>
      </c>
      <c r="I652" s="5">
        <v>44470</v>
      </c>
      <c r="J652" s="6">
        <v>0</v>
      </c>
      <c r="K652" s="6">
        <v>0</v>
      </c>
      <c r="L652" s="6">
        <v>35.908999999999999</v>
      </c>
      <c r="M652" s="6">
        <v>35.908999999999999</v>
      </c>
      <c r="N652" s="6">
        <v>35.908999999999999</v>
      </c>
      <c r="O652" s="6">
        <v>35.908999999999999</v>
      </c>
      <c r="P652" s="6">
        <v>53</v>
      </c>
      <c r="Q652" s="4" t="s">
        <v>26</v>
      </c>
      <c r="R652" s="4">
        <v>0</v>
      </c>
      <c r="S652" s="4" t="s">
        <v>231</v>
      </c>
      <c r="T652" s="4" t="s">
        <v>368</v>
      </c>
      <c r="U652" s="4">
        <v>0</v>
      </c>
      <c r="V652" s="4">
        <v>2</v>
      </c>
      <c r="W652" s="4">
        <v>26</v>
      </c>
    </row>
    <row r="653" spans="1:23" ht="11.25" customHeight="1" x14ac:dyDescent="0.25">
      <c r="A653" s="4" t="s">
        <v>21</v>
      </c>
      <c r="B653" s="4" t="s">
        <v>37</v>
      </c>
      <c r="C653" s="4" t="s">
        <v>23</v>
      </c>
      <c r="D653" s="4" t="s">
        <v>42</v>
      </c>
      <c r="E653" s="4" t="s">
        <v>25</v>
      </c>
      <c r="F653" s="4" t="s">
        <v>25</v>
      </c>
      <c r="G653" s="4" t="s">
        <v>25</v>
      </c>
      <c r="H653" s="4" t="s">
        <v>25</v>
      </c>
      <c r="I653" s="5">
        <v>44501</v>
      </c>
      <c r="J653" s="6">
        <v>0</v>
      </c>
      <c r="K653" s="6">
        <v>0</v>
      </c>
      <c r="L653" s="6">
        <v>36.732999999999997</v>
      </c>
      <c r="M653" s="6">
        <v>36.732999999999997</v>
      </c>
      <c r="N653" s="6">
        <v>36.732999999999997</v>
      </c>
      <c r="O653" s="6">
        <v>36.732999999999997</v>
      </c>
      <c r="P653" s="6">
        <v>53</v>
      </c>
      <c r="Q653" s="4" t="s">
        <v>26</v>
      </c>
      <c r="R653" s="4">
        <v>0</v>
      </c>
      <c r="S653" s="4" t="s">
        <v>232</v>
      </c>
      <c r="T653" s="4" t="s">
        <v>369</v>
      </c>
      <c r="U653" s="4">
        <v>0</v>
      </c>
      <c r="V653" s="4">
        <v>2</v>
      </c>
      <c r="W653" s="4">
        <v>26</v>
      </c>
    </row>
    <row r="654" spans="1:23" ht="11.25" customHeight="1" x14ac:dyDescent="0.25">
      <c r="A654" s="4" t="s">
        <v>21</v>
      </c>
      <c r="B654" s="4" t="s">
        <v>37</v>
      </c>
      <c r="C654" s="4" t="s">
        <v>23</v>
      </c>
      <c r="D654" s="4" t="s">
        <v>42</v>
      </c>
      <c r="E654" s="4" t="s">
        <v>25</v>
      </c>
      <c r="F654" s="4" t="s">
        <v>25</v>
      </c>
      <c r="G654" s="4" t="s">
        <v>25</v>
      </c>
      <c r="H654" s="4" t="s">
        <v>25</v>
      </c>
      <c r="I654" s="5">
        <v>44531</v>
      </c>
      <c r="J654" s="6">
        <v>0</v>
      </c>
      <c r="K654" s="6">
        <v>0</v>
      </c>
      <c r="L654" s="6">
        <v>39.914000000000001</v>
      </c>
      <c r="M654" s="6">
        <v>39.914000000000001</v>
      </c>
      <c r="N654" s="6">
        <v>39.914000000000001</v>
      </c>
      <c r="O654" s="6">
        <v>39.914000000000001</v>
      </c>
      <c r="P654" s="6">
        <v>53</v>
      </c>
      <c r="Q654" s="4" t="s">
        <v>26</v>
      </c>
      <c r="R654" s="4">
        <v>0</v>
      </c>
      <c r="S654" s="4" t="s">
        <v>233</v>
      </c>
      <c r="T654" s="4" t="s">
        <v>370</v>
      </c>
      <c r="U654" s="4">
        <v>0</v>
      </c>
      <c r="V654" s="4">
        <v>2</v>
      </c>
      <c r="W654" s="4">
        <v>26</v>
      </c>
    </row>
    <row r="655" spans="1:23" ht="11.25" customHeight="1" x14ac:dyDescent="0.25">
      <c r="A655" s="4" t="s">
        <v>21</v>
      </c>
      <c r="B655" s="4" t="s">
        <v>37</v>
      </c>
      <c r="C655" s="4" t="s">
        <v>23</v>
      </c>
      <c r="D655" s="4" t="s">
        <v>42</v>
      </c>
      <c r="E655" s="4" t="s">
        <v>25</v>
      </c>
      <c r="F655" s="4" t="s">
        <v>25</v>
      </c>
      <c r="G655" s="4" t="s">
        <v>25</v>
      </c>
      <c r="H655" s="4" t="s">
        <v>25</v>
      </c>
      <c r="I655" s="5">
        <v>44562</v>
      </c>
      <c r="J655" s="6">
        <v>0</v>
      </c>
      <c r="K655" s="6">
        <v>0</v>
      </c>
      <c r="L655" s="6">
        <v>33.045000000000002</v>
      </c>
      <c r="M655" s="6">
        <v>33.045000000000002</v>
      </c>
      <c r="N655" s="6">
        <v>33.045000000000002</v>
      </c>
      <c r="O655" s="6">
        <v>33.045000000000002</v>
      </c>
      <c r="P655" s="6">
        <v>52</v>
      </c>
      <c r="Q655" s="4" t="s">
        <v>26</v>
      </c>
      <c r="R655" s="4">
        <v>0</v>
      </c>
      <c r="S655" s="4" t="s">
        <v>234</v>
      </c>
      <c r="T655" s="4" t="s">
        <v>371</v>
      </c>
      <c r="U655" s="4">
        <v>0</v>
      </c>
      <c r="V655" s="4">
        <v>2</v>
      </c>
      <c r="W655" s="4">
        <v>26</v>
      </c>
    </row>
    <row r="656" spans="1:23" ht="11.25" customHeight="1" x14ac:dyDescent="0.25">
      <c r="A656" s="4" t="s">
        <v>21</v>
      </c>
      <c r="B656" s="4" t="s">
        <v>37</v>
      </c>
      <c r="C656" s="4" t="s">
        <v>23</v>
      </c>
      <c r="D656" s="4" t="s">
        <v>42</v>
      </c>
      <c r="E656" s="4" t="s">
        <v>25</v>
      </c>
      <c r="F656" s="4" t="s">
        <v>25</v>
      </c>
      <c r="G656" s="4" t="s">
        <v>25</v>
      </c>
      <c r="H656" s="4" t="s">
        <v>25</v>
      </c>
      <c r="I656" s="5">
        <v>44593</v>
      </c>
      <c r="J656" s="6">
        <v>0</v>
      </c>
      <c r="K656" s="6">
        <v>0</v>
      </c>
      <c r="L656" s="6">
        <v>35.738</v>
      </c>
      <c r="M656" s="6">
        <v>35.738</v>
      </c>
      <c r="N656" s="6">
        <v>35.738</v>
      </c>
      <c r="O656" s="6">
        <v>35.738</v>
      </c>
      <c r="P656" s="6">
        <v>52</v>
      </c>
      <c r="Q656" s="4" t="s">
        <v>26</v>
      </c>
      <c r="R656" s="4">
        <v>0</v>
      </c>
      <c r="S656" s="4" t="s">
        <v>235</v>
      </c>
      <c r="T656" s="4" t="s">
        <v>372</v>
      </c>
      <c r="U656" s="4">
        <v>0</v>
      </c>
      <c r="V656" s="4">
        <v>2</v>
      </c>
      <c r="W656" s="4">
        <v>26</v>
      </c>
    </row>
    <row r="657" spans="1:23" ht="11.25" customHeight="1" x14ac:dyDescent="0.25">
      <c r="A657" s="4" t="s">
        <v>54</v>
      </c>
      <c r="B657" s="4" t="s">
        <v>37</v>
      </c>
      <c r="C657" s="4" t="s">
        <v>23</v>
      </c>
      <c r="D657" s="4" t="s">
        <v>42</v>
      </c>
      <c r="E657" s="4" t="s">
        <v>25</v>
      </c>
      <c r="F657" s="4" t="s">
        <v>25</v>
      </c>
      <c r="G657" s="4" t="s">
        <v>25</v>
      </c>
      <c r="H657" s="4" t="s">
        <v>25</v>
      </c>
      <c r="I657" s="5">
        <v>44621</v>
      </c>
      <c r="J657" s="6">
        <v>0</v>
      </c>
      <c r="K657" s="6">
        <v>0</v>
      </c>
      <c r="L657" s="6">
        <v>35.738</v>
      </c>
      <c r="M657" s="6">
        <v>35.738</v>
      </c>
      <c r="N657" s="6">
        <v>35.738</v>
      </c>
      <c r="O657" s="6">
        <v>35.738</v>
      </c>
      <c r="P657" s="6">
        <v>52</v>
      </c>
      <c r="Q657" s="4" t="s">
        <v>26</v>
      </c>
      <c r="R657" s="4">
        <v>0</v>
      </c>
      <c r="S657" s="4" t="s">
        <v>236</v>
      </c>
      <c r="T657" s="4" t="s">
        <v>373</v>
      </c>
      <c r="U657" s="4">
        <v>0</v>
      </c>
      <c r="V657" s="4">
        <v>2</v>
      </c>
      <c r="W657" s="4">
        <v>26</v>
      </c>
    </row>
    <row r="658" spans="1:23" ht="11.25" customHeight="1" x14ac:dyDescent="0.25">
      <c r="A658" s="4" t="s">
        <v>21</v>
      </c>
      <c r="B658" s="4" t="s">
        <v>37</v>
      </c>
      <c r="C658" s="4" t="s">
        <v>23</v>
      </c>
      <c r="D658" s="4" t="s">
        <v>48</v>
      </c>
      <c r="E658" s="4" t="s">
        <v>49</v>
      </c>
      <c r="F658" s="4" t="s">
        <v>25</v>
      </c>
      <c r="G658" s="4" t="s">
        <v>25</v>
      </c>
      <c r="H658" s="4" t="s">
        <v>25</v>
      </c>
      <c r="I658" s="5">
        <v>44287</v>
      </c>
      <c r="J658" s="6">
        <v>0</v>
      </c>
      <c r="K658" s="6">
        <v>0</v>
      </c>
      <c r="L658" s="6">
        <v>43.765999999999998</v>
      </c>
      <c r="M658" s="6">
        <v>41.140039999999999</v>
      </c>
      <c r="N658" s="6">
        <v>43.765999999999998</v>
      </c>
      <c r="O658" s="6">
        <v>41.140039999999999</v>
      </c>
      <c r="P658" s="6">
        <v>17</v>
      </c>
      <c r="Q658" s="4" t="s">
        <v>26</v>
      </c>
      <c r="R658" s="4">
        <v>0</v>
      </c>
      <c r="S658" s="4" t="s">
        <v>225</v>
      </c>
      <c r="T658" s="4" t="s">
        <v>362</v>
      </c>
      <c r="U658" s="4">
        <v>0</v>
      </c>
      <c r="V658" s="4">
        <v>2</v>
      </c>
      <c r="W658" s="4">
        <v>26</v>
      </c>
    </row>
    <row r="659" spans="1:23" ht="11.25" customHeight="1" x14ac:dyDescent="0.25">
      <c r="A659" s="4" t="s">
        <v>21</v>
      </c>
      <c r="B659" s="4" t="s">
        <v>37</v>
      </c>
      <c r="C659" s="4" t="s">
        <v>23</v>
      </c>
      <c r="D659" s="4" t="s">
        <v>48</v>
      </c>
      <c r="E659" s="4" t="s">
        <v>49</v>
      </c>
      <c r="F659" s="4" t="s">
        <v>25</v>
      </c>
      <c r="G659" s="4" t="s">
        <v>25</v>
      </c>
      <c r="H659" s="4" t="s">
        <v>25</v>
      </c>
      <c r="I659" s="5">
        <v>44317</v>
      </c>
      <c r="J659" s="6">
        <v>0</v>
      </c>
      <c r="K659" s="6">
        <v>0</v>
      </c>
      <c r="L659" s="6">
        <v>44.619</v>
      </c>
      <c r="M659" s="6">
        <v>41.941859999999998</v>
      </c>
      <c r="N659" s="6">
        <v>44.619</v>
      </c>
      <c r="O659" s="6">
        <v>41.941859999999998</v>
      </c>
      <c r="P659" s="6">
        <v>17</v>
      </c>
      <c r="Q659" s="4" t="s">
        <v>26</v>
      </c>
      <c r="R659" s="4">
        <v>0</v>
      </c>
      <c r="S659" s="4" t="s">
        <v>226</v>
      </c>
      <c r="T659" s="4" t="s">
        <v>363</v>
      </c>
      <c r="U659" s="4">
        <v>0</v>
      </c>
      <c r="V659" s="4">
        <v>2</v>
      </c>
      <c r="W659" s="4">
        <v>26</v>
      </c>
    </row>
    <row r="660" spans="1:23" ht="11.25" customHeight="1" x14ac:dyDescent="0.25">
      <c r="A660" s="4" t="s">
        <v>21</v>
      </c>
      <c r="B660" s="4" t="s">
        <v>37</v>
      </c>
      <c r="C660" s="4" t="s">
        <v>23</v>
      </c>
      <c r="D660" s="4" t="s">
        <v>48</v>
      </c>
      <c r="E660" s="4" t="s">
        <v>49</v>
      </c>
      <c r="F660" s="4" t="s">
        <v>25</v>
      </c>
      <c r="G660" s="4" t="s">
        <v>25</v>
      </c>
      <c r="H660" s="4" t="s">
        <v>25</v>
      </c>
      <c r="I660" s="5">
        <v>44348</v>
      </c>
      <c r="J660" s="6">
        <v>0</v>
      </c>
      <c r="K660" s="6">
        <v>0</v>
      </c>
      <c r="L660" s="6">
        <v>47.972000000000001</v>
      </c>
      <c r="M660" s="6">
        <v>45.093679999999999</v>
      </c>
      <c r="N660" s="6">
        <v>47.972000000000001</v>
      </c>
      <c r="O660" s="6">
        <v>45.093679999999999</v>
      </c>
      <c r="P660" s="6">
        <v>17</v>
      </c>
      <c r="Q660" s="4" t="s">
        <v>26</v>
      </c>
      <c r="R660" s="4">
        <v>0</v>
      </c>
      <c r="S660" s="4" t="s">
        <v>227</v>
      </c>
      <c r="T660" s="4" t="s">
        <v>364</v>
      </c>
      <c r="U660" s="4">
        <v>0</v>
      </c>
      <c r="V660" s="4">
        <v>2</v>
      </c>
      <c r="W660" s="4">
        <v>26</v>
      </c>
    </row>
    <row r="661" spans="1:23" ht="11.25" customHeight="1" x14ac:dyDescent="0.25">
      <c r="A661" s="4" t="s">
        <v>21</v>
      </c>
      <c r="B661" s="4" t="s">
        <v>37</v>
      </c>
      <c r="C661" s="4" t="s">
        <v>23</v>
      </c>
      <c r="D661" s="4" t="s">
        <v>48</v>
      </c>
      <c r="E661" s="4" t="s">
        <v>49</v>
      </c>
      <c r="F661" s="4" t="s">
        <v>25</v>
      </c>
      <c r="G661" s="4" t="s">
        <v>25</v>
      </c>
      <c r="H661" s="4" t="s">
        <v>25</v>
      </c>
      <c r="I661" s="5">
        <v>44378</v>
      </c>
      <c r="J661" s="6">
        <v>0</v>
      </c>
      <c r="K661" s="6">
        <v>0</v>
      </c>
      <c r="L661" s="6">
        <v>36.499000000000002</v>
      </c>
      <c r="M661" s="6">
        <v>34.309060000000002</v>
      </c>
      <c r="N661" s="6">
        <v>36.499000000000002</v>
      </c>
      <c r="O661" s="6">
        <v>34.309060000000002</v>
      </c>
      <c r="P661" s="6">
        <v>17</v>
      </c>
      <c r="Q661" s="4" t="s">
        <v>26</v>
      </c>
      <c r="R661" s="4">
        <v>0</v>
      </c>
      <c r="S661" s="4" t="s">
        <v>228</v>
      </c>
      <c r="T661" s="4" t="s">
        <v>365</v>
      </c>
      <c r="U661" s="4">
        <v>0</v>
      </c>
      <c r="V661" s="4">
        <v>2</v>
      </c>
      <c r="W661" s="4">
        <v>26</v>
      </c>
    </row>
    <row r="662" spans="1:23" ht="11.25" customHeight="1" x14ac:dyDescent="0.25">
      <c r="A662" s="4" t="s">
        <v>21</v>
      </c>
      <c r="B662" s="4" t="s">
        <v>37</v>
      </c>
      <c r="C662" s="4" t="s">
        <v>23</v>
      </c>
      <c r="D662" s="4" t="s">
        <v>48</v>
      </c>
      <c r="E662" s="4" t="s">
        <v>49</v>
      </c>
      <c r="F662" s="4" t="s">
        <v>25</v>
      </c>
      <c r="G662" s="4" t="s">
        <v>25</v>
      </c>
      <c r="H662" s="4" t="s">
        <v>25</v>
      </c>
      <c r="I662" s="5">
        <v>44409</v>
      </c>
      <c r="J662" s="6">
        <v>0</v>
      </c>
      <c r="K662" s="6">
        <v>0</v>
      </c>
      <c r="L662" s="6">
        <v>41.853999999999999</v>
      </c>
      <c r="M662" s="6">
        <v>39.342759999999998</v>
      </c>
      <c r="N662" s="6">
        <v>41.853999999999999</v>
      </c>
      <c r="O662" s="6">
        <v>39.342759999999998</v>
      </c>
      <c r="P662" s="6">
        <v>18</v>
      </c>
      <c r="Q662" s="4" t="s">
        <v>26</v>
      </c>
      <c r="R662" s="4">
        <v>0</v>
      </c>
      <c r="S662" s="4" t="s">
        <v>229</v>
      </c>
      <c r="T662" s="4" t="s">
        <v>366</v>
      </c>
      <c r="U662" s="4">
        <v>0</v>
      </c>
      <c r="V662" s="4">
        <v>2</v>
      </c>
      <c r="W662" s="4">
        <v>26</v>
      </c>
    </row>
    <row r="663" spans="1:23" ht="11.25" customHeight="1" x14ac:dyDescent="0.25">
      <c r="A663" s="4" t="s">
        <v>21</v>
      </c>
      <c r="B663" s="4" t="s">
        <v>37</v>
      </c>
      <c r="C663" s="4" t="s">
        <v>23</v>
      </c>
      <c r="D663" s="4" t="s">
        <v>48</v>
      </c>
      <c r="E663" s="4" t="s">
        <v>49</v>
      </c>
      <c r="F663" s="4" t="s">
        <v>25</v>
      </c>
      <c r="G663" s="4" t="s">
        <v>25</v>
      </c>
      <c r="H663" s="4" t="s">
        <v>25</v>
      </c>
      <c r="I663" s="5">
        <v>44440</v>
      </c>
      <c r="J663" s="6">
        <v>0</v>
      </c>
      <c r="K663" s="6">
        <v>0</v>
      </c>
      <c r="L663" s="6">
        <v>44.115000000000002</v>
      </c>
      <c r="M663" s="6">
        <v>41.4681</v>
      </c>
      <c r="N663" s="6">
        <v>44.115000000000002</v>
      </c>
      <c r="O663" s="6">
        <v>41.4681</v>
      </c>
      <c r="P663" s="6">
        <v>18</v>
      </c>
      <c r="Q663" s="4" t="s">
        <v>26</v>
      </c>
      <c r="R663" s="4">
        <v>0</v>
      </c>
      <c r="S663" s="4" t="s">
        <v>230</v>
      </c>
      <c r="T663" s="4" t="s">
        <v>367</v>
      </c>
      <c r="U663" s="4">
        <v>0</v>
      </c>
      <c r="V663" s="4">
        <v>2</v>
      </c>
      <c r="W663" s="4">
        <v>26</v>
      </c>
    </row>
    <row r="664" spans="1:23" ht="11.25" customHeight="1" x14ac:dyDescent="0.25">
      <c r="A664" s="4" t="s">
        <v>21</v>
      </c>
      <c r="B664" s="4" t="s">
        <v>37</v>
      </c>
      <c r="C664" s="4" t="s">
        <v>23</v>
      </c>
      <c r="D664" s="4" t="s">
        <v>48</v>
      </c>
      <c r="E664" s="4" t="s">
        <v>49</v>
      </c>
      <c r="F664" s="4" t="s">
        <v>25</v>
      </c>
      <c r="G664" s="4" t="s">
        <v>25</v>
      </c>
      <c r="H664" s="4" t="s">
        <v>25</v>
      </c>
      <c r="I664" s="5">
        <v>44470</v>
      </c>
      <c r="J664" s="6">
        <v>0</v>
      </c>
      <c r="K664" s="6">
        <v>0</v>
      </c>
      <c r="L664" s="6">
        <v>40.51</v>
      </c>
      <c r="M664" s="6">
        <v>38.0794</v>
      </c>
      <c r="N664" s="6">
        <v>40.51</v>
      </c>
      <c r="O664" s="6">
        <v>38.0794</v>
      </c>
      <c r="P664" s="6">
        <v>18</v>
      </c>
      <c r="Q664" s="4" t="s">
        <v>26</v>
      </c>
      <c r="R664" s="4">
        <v>0</v>
      </c>
      <c r="S664" s="4" t="s">
        <v>231</v>
      </c>
      <c r="T664" s="4" t="s">
        <v>368</v>
      </c>
      <c r="U664" s="4">
        <v>0</v>
      </c>
      <c r="V664" s="4">
        <v>2</v>
      </c>
      <c r="W664" s="4">
        <v>26</v>
      </c>
    </row>
    <row r="665" spans="1:23" ht="11.25" customHeight="1" x14ac:dyDescent="0.25">
      <c r="A665" s="4" t="s">
        <v>21</v>
      </c>
      <c r="B665" s="4" t="s">
        <v>37</v>
      </c>
      <c r="C665" s="4" t="s">
        <v>23</v>
      </c>
      <c r="D665" s="4" t="s">
        <v>48</v>
      </c>
      <c r="E665" s="4" t="s">
        <v>49</v>
      </c>
      <c r="F665" s="4" t="s">
        <v>25</v>
      </c>
      <c r="G665" s="4" t="s">
        <v>25</v>
      </c>
      <c r="H665" s="4" t="s">
        <v>25</v>
      </c>
      <c r="I665" s="5">
        <v>44501</v>
      </c>
      <c r="J665" s="6">
        <v>0</v>
      </c>
      <c r="K665" s="6">
        <v>0</v>
      </c>
      <c r="L665" s="6">
        <v>65.736999999999995</v>
      </c>
      <c r="M665" s="6">
        <v>61.79278</v>
      </c>
      <c r="N665" s="6">
        <v>65.736999999999995</v>
      </c>
      <c r="O665" s="6">
        <v>61.79278</v>
      </c>
      <c r="P665" s="6">
        <v>18</v>
      </c>
      <c r="Q665" s="4" t="s">
        <v>26</v>
      </c>
      <c r="R665" s="4">
        <v>0</v>
      </c>
      <c r="S665" s="4" t="s">
        <v>232</v>
      </c>
      <c r="T665" s="4" t="s">
        <v>369</v>
      </c>
      <c r="U665" s="4">
        <v>0</v>
      </c>
      <c r="V665" s="4">
        <v>2</v>
      </c>
      <c r="W665" s="4">
        <v>26</v>
      </c>
    </row>
    <row r="666" spans="1:23" ht="11.25" customHeight="1" x14ac:dyDescent="0.25">
      <c r="A666" s="4" t="s">
        <v>21</v>
      </c>
      <c r="B666" s="4" t="s">
        <v>37</v>
      </c>
      <c r="C666" s="4" t="s">
        <v>23</v>
      </c>
      <c r="D666" s="4" t="s">
        <v>48</v>
      </c>
      <c r="E666" s="4" t="s">
        <v>49</v>
      </c>
      <c r="F666" s="4" t="s">
        <v>25</v>
      </c>
      <c r="G666" s="4" t="s">
        <v>25</v>
      </c>
      <c r="H666" s="4" t="s">
        <v>25</v>
      </c>
      <c r="I666" s="5">
        <v>44531</v>
      </c>
      <c r="J666" s="6">
        <v>0</v>
      </c>
      <c r="K666" s="6">
        <v>0</v>
      </c>
      <c r="L666" s="6">
        <v>51.005000000000003</v>
      </c>
      <c r="M666" s="6">
        <v>47.944699999999997</v>
      </c>
      <c r="N666" s="6">
        <v>51.005000000000003</v>
      </c>
      <c r="O666" s="6">
        <v>47.944699999999997</v>
      </c>
      <c r="P666" s="6">
        <v>18</v>
      </c>
      <c r="Q666" s="4" t="s">
        <v>26</v>
      </c>
      <c r="R666" s="4">
        <v>0</v>
      </c>
      <c r="S666" s="4" t="s">
        <v>233</v>
      </c>
      <c r="T666" s="4" t="s">
        <v>370</v>
      </c>
      <c r="U666" s="4">
        <v>0</v>
      </c>
      <c r="V666" s="4">
        <v>2</v>
      </c>
      <c r="W666" s="4">
        <v>26</v>
      </c>
    </row>
    <row r="667" spans="1:23" ht="11.25" customHeight="1" x14ac:dyDescent="0.25">
      <c r="A667" s="4" t="s">
        <v>21</v>
      </c>
      <c r="B667" s="4" t="s">
        <v>37</v>
      </c>
      <c r="C667" s="4" t="s">
        <v>23</v>
      </c>
      <c r="D667" s="4" t="s">
        <v>48</v>
      </c>
      <c r="E667" s="4" t="s">
        <v>49</v>
      </c>
      <c r="F667" s="4" t="s">
        <v>25</v>
      </c>
      <c r="G667" s="4" t="s">
        <v>25</v>
      </c>
      <c r="H667" s="4" t="s">
        <v>25</v>
      </c>
      <c r="I667" s="5">
        <v>44562</v>
      </c>
      <c r="J667" s="6">
        <v>0</v>
      </c>
      <c r="K667" s="6">
        <v>0</v>
      </c>
      <c r="L667" s="6">
        <v>55.319000000000003</v>
      </c>
      <c r="M667" s="6">
        <v>51.999859999999998</v>
      </c>
      <c r="N667" s="6">
        <v>55.319000000000003</v>
      </c>
      <c r="O667" s="6">
        <v>51.999859999999998</v>
      </c>
      <c r="P667" s="6">
        <v>18</v>
      </c>
      <c r="Q667" s="4" t="s">
        <v>26</v>
      </c>
      <c r="R667" s="4">
        <v>0</v>
      </c>
      <c r="S667" s="4" t="s">
        <v>234</v>
      </c>
      <c r="T667" s="4" t="s">
        <v>371</v>
      </c>
      <c r="U667" s="4">
        <v>0</v>
      </c>
      <c r="V667" s="4">
        <v>2</v>
      </c>
      <c r="W667" s="4">
        <v>26</v>
      </c>
    </row>
    <row r="668" spans="1:23" ht="11.25" customHeight="1" x14ac:dyDescent="0.25">
      <c r="A668" s="4" t="s">
        <v>21</v>
      </c>
      <c r="B668" s="4" t="s">
        <v>37</v>
      </c>
      <c r="C668" s="4" t="s">
        <v>23</v>
      </c>
      <c r="D668" s="4" t="s">
        <v>48</v>
      </c>
      <c r="E668" s="4" t="s">
        <v>49</v>
      </c>
      <c r="F668" s="4" t="s">
        <v>25</v>
      </c>
      <c r="G668" s="4" t="s">
        <v>25</v>
      </c>
      <c r="H668" s="4" t="s">
        <v>25</v>
      </c>
      <c r="I668" s="5">
        <v>44593</v>
      </c>
      <c r="J668" s="6">
        <v>0</v>
      </c>
      <c r="K668" s="6">
        <v>0</v>
      </c>
      <c r="L668" s="6">
        <v>61.372999999999998</v>
      </c>
      <c r="M668" s="6">
        <v>57.690620000000003</v>
      </c>
      <c r="N668" s="6">
        <v>61.372999999999998</v>
      </c>
      <c r="O668" s="6">
        <v>57.690620000000003</v>
      </c>
      <c r="P668" s="6">
        <v>18</v>
      </c>
      <c r="Q668" s="4" t="s">
        <v>26</v>
      </c>
      <c r="R668" s="4">
        <v>0</v>
      </c>
      <c r="S668" s="4" t="s">
        <v>235</v>
      </c>
      <c r="T668" s="4" t="s">
        <v>372</v>
      </c>
      <c r="U668" s="4">
        <v>0</v>
      </c>
      <c r="V668" s="4">
        <v>2</v>
      </c>
      <c r="W668" s="4">
        <v>26</v>
      </c>
    </row>
    <row r="669" spans="1:23" ht="11.25" customHeight="1" x14ac:dyDescent="0.25">
      <c r="A669" s="4" t="s">
        <v>54</v>
      </c>
      <c r="B669" s="4" t="s">
        <v>37</v>
      </c>
      <c r="C669" s="4" t="s">
        <v>23</v>
      </c>
      <c r="D669" s="4" t="s">
        <v>48</v>
      </c>
      <c r="E669" s="4" t="s">
        <v>49</v>
      </c>
      <c r="F669" s="4" t="s">
        <v>25</v>
      </c>
      <c r="G669" s="4" t="s">
        <v>25</v>
      </c>
      <c r="H669" s="4" t="s">
        <v>25</v>
      </c>
      <c r="I669" s="5">
        <v>44621</v>
      </c>
      <c r="J669" s="6">
        <v>0</v>
      </c>
      <c r="K669" s="6">
        <v>0</v>
      </c>
      <c r="L669" s="6">
        <v>61.372999999999998</v>
      </c>
      <c r="M669" s="6">
        <v>57.690620000000003</v>
      </c>
      <c r="N669" s="6">
        <v>61.372999999999998</v>
      </c>
      <c r="O669" s="6">
        <v>57.690620000000003</v>
      </c>
      <c r="P669" s="6">
        <v>18</v>
      </c>
      <c r="Q669" s="4" t="s">
        <v>26</v>
      </c>
      <c r="R669" s="4">
        <v>0</v>
      </c>
      <c r="S669" s="4" t="s">
        <v>236</v>
      </c>
      <c r="T669" s="4" t="s">
        <v>373</v>
      </c>
      <c r="U669" s="4">
        <v>0</v>
      </c>
      <c r="V669" s="4">
        <v>2</v>
      </c>
      <c r="W669" s="4">
        <v>26</v>
      </c>
    </row>
    <row r="670" spans="1:23" ht="11.25" customHeight="1" x14ac:dyDescent="0.25">
      <c r="A670" s="4" t="s">
        <v>21</v>
      </c>
      <c r="B670" s="4" t="s">
        <v>44</v>
      </c>
      <c r="C670" s="4" t="s">
        <v>23</v>
      </c>
      <c r="D670" s="4" t="s">
        <v>45</v>
      </c>
      <c r="E670" s="4" t="s">
        <v>46</v>
      </c>
      <c r="F670" s="4" t="s">
        <v>25</v>
      </c>
      <c r="G670" s="4" t="s">
        <v>25</v>
      </c>
      <c r="H670" s="4" t="s">
        <v>25</v>
      </c>
      <c r="I670" s="5">
        <v>44287</v>
      </c>
      <c r="J670" s="6">
        <v>0</v>
      </c>
      <c r="K670" s="6">
        <v>0</v>
      </c>
      <c r="L670" s="6">
        <v>11.387</v>
      </c>
      <c r="M670" s="6">
        <v>11.387</v>
      </c>
      <c r="N670" s="6">
        <v>11.387</v>
      </c>
      <c r="O670" s="6">
        <v>11.387</v>
      </c>
      <c r="P670" s="6">
        <v>6</v>
      </c>
      <c r="Q670" s="4" t="s">
        <v>26</v>
      </c>
      <c r="R670" s="4">
        <v>0</v>
      </c>
      <c r="S670" s="4" t="s">
        <v>237</v>
      </c>
      <c r="T670" s="4" t="s">
        <v>374</v>
      </c>
      <c r="U670" s="4">
        <v>0</v>
      </c>
      <c r="V670" s="4">
        <v>4</v>
      </c>
      <c r="W670" s="4">
        <v>41</v>
      </c>
    </row>
    <row r="671" spans="1:23" ht="11.25" customHeight="1" x14ac:dyDescent="0.25">
      <c r="A671" s="4" t="s">
        <v>21</v>
      </c>
      <c r="B671" s="4" t="s">
        <v>44</v>
      </c>
      <c r="C671" s="4" t="s">
        <v>23</v>
      </c>
      <c r="D671" s="4" t="s">
        <v>45</v>
      </c>
      <c r="E671" s="4" t="s">
        <v>46</v>
      </c>
      <c r="F671" s="4" t="s">
        <v>25</v>
      </c>
      <c r="G671" s="4" t="s">
        <v>25</v>
      </c>
      <c r="H671" s="4" t="s">
        <v>25</v>
      </c>
      <c r="I671" s="5">
        <v>44317</v>
      </c>
      <c r="J671" s="6">
        <v>0</v>
      </c>
      <c r="K671" s="6">
        <v>0</v>
      </c>
      <c r="L671" s="6">
        <v>10.378</v>
      </c>
      <c r="M671" s="6">
        <v>10.378</v>
      </c>
      <c r="N671" s="6">
        <v>10.378</v>
      </c>
      <c r="O671" s="6">
        <v>10.378</v>
      </c>
      <c r="P671" s="6">
        <v>6</v>
      </c>
      <c r="Q671" s="4" t="s">
        <v>26</v>
      </c>
      <c r="R671" s="4">
        <v>0</v>
      </c>
      <c r="S671" s="4" t="s">
        <v>238</v>
      </c>
      <c r="T671" s="4" t="s">
        <v>375</v>
      </c>
      <c r="U671" s="4">
        <v>0</v>
      </c>
      <c r="V671" s="4">
        <v>4</v>
      </c>
      <c r="W671" s="4">
        <v>41</v>
      </c>
    </row>
    <row r="672" spans="1:23" ht="11.25" customHeight="1" x14ac:dyDescent="0.25">
      <c r="A672" s="4" t="s">
        <v>21</v>
      </c>
      <c r="B672" s="4" t="s">
        <v>44</v>
      </c>
      <c r="C672" s="4" t="s">
        <v>23</v>
      </c>
      <c r="D672" s="4" t="s">
        <v>45</v>
      </c>
      <c r="E672" s="4" t="s">
        <v>46</v>
      </c>
      <c r="F672" s="4" t="s">
        <v>25</v>
      </c>
      <c r="G672" s="4" t="s">
        <v>25</v>
      </c>
      <c r="H672" s="4" t="s">
        <v>25</v>
      </c>
      <c r="I672" s="5">
        <v>44348</v>
      </c>
      <c r="J672" s="6">
        <v>0</v>
      </c>
      <c r="K672" s="6">
        <v>0</v>
      </c>
      <c r="L672" s="6">
        <v>10.183999999999999</v>
      </c>
      <c r="M672" s="6">
        <v>10.183999999999999</v>
      </c>
      <c r="N672" s="6">
        <v>10.183999999999999</v>
      </c>
      <c r="O672" s="6">
        <v>10.183999999999999</v>
      </c>
      <c r="P672" s="6">
        <v>6</v>
      </c>
      <c r="Q672" s="4" t="s">
        <v>26</v>
      </c>
      <c r="R672" s="4">
        <v>0</v>
      </c>
      <c r="S672" s="4" t="s">
        <v>239</v>
      </c>
      <c r="T672" s="4" t="s">
        <v>376</v>
      </c>
      <c r="U672" s="4">
        <v>0</v>
      </c>
      <c r="V672" s="4">
        <v>4</v>
      </c>
      <c r="W672" s="4">
        <v>41</v>
      </c>
    </row>
    <row r="673" spans="1:23" ht="11.25" customHeight="1" x14ac:dyDescent="0.25">
      <c r="A673" s="4" t="s">
        <v>21</v>
      </c>
      <c r="B673" s="4" t="s">
        <v>44</v>
      </c>
      <c r="C673" s="4" t="s">
        <v>23</v>
      </c>
      <c r="D673" s="4" t="s">
        <v>45</v>
      </c>
      <c r="E673" s="4" t="s">
        <v>46</v>
      </c>
      <c r="F673" s="4" t="s">
        <v>25</v>
      </c>
      <c r="G673" s="4" t="s">
        <v>25</v>
      </c>
      <c r="H673" s="4" t="s">
        <v>25</v>
      </c>
      <c r="I673" s="5">
        <v>44378</v>
      </c>
      <c r="J673" s="6">
        <v>0</v>
      </c>
      <c r="K673" s="6">
        <v>0</v>
      </c>
      <c r="L673" s="6">
        <v>10.151</v>
      </c>
      <c r="M673" s="6">
        <v>10.151</v>
      </c>
      <c r="N673" s="6">
        <v>10.151</v>
      </c>
      <c r="O673" s="6">
        <v>10.151</v>
      </c>
      <c r="P673" s="6">
        <v>6</v>
      </c>
      <c r="Q673" s="4" t="s">
        <v>26</v>
      </c>
      <c r="R673" s="4">
        <v>0</v>
      </c>
      <c r="S673" s="4" t="s">
        <v>240</v>
      </c>
      <c r="T673" s="4" t="s">
        <v>377</v>
      </c>
      <c r="U673" s="4">
        <v>0</v>
      </c>
      <c r="V673" s="4">
        <v>4</v>
      </c>
      <c r="W673" s="4">
        <v>41</v>
      </c>
    </row>
    <row r="674" spans="1:23" ht="11.25" customHeight="1" x14ac:dyDescent="0.25">
      <c r="A674" s="4" t="s">
        <v>21</v>
      </c>
      <c r="B674" s="4" t="s">
        <v>44</v>
      </c>
      <c r="C674" s="4" t="s">
        <v>23</v>
      </c>
      <c r="D674" s="4" t="s">
        <v>45</v>
      </c>
      <c r="E674" s="4" t="s">
        <v>46</v>
      </c>
      <c r="F674" s="4" t="s">
        <v>25</v>
      </c>
      <c r="G674" s="4" t="s">
        <v>25</v>
      </c>
      <c r="H674" s="4" t="s">
        <v>25</v>
      </c>
      <c r="I674" s="5">
        <v>44409</v>
      </c>
      <c r="J674" s="6">
        <v>0</v>
      </c>
      <c r="K674" s="6">
        <v>0</v>
      </c>
      <c r="L674" s="6">
        <v>10.202</v>
      </c>
      <c r="M674" s="6">
        <v>10.202</v>
      </c>
      <c r="N674" s="6">
        <v>10.202</v>
      </c>
      <c r="O674" s="6">
        <v>10.202</v>
      </c>
      <c r="P674" s="6">
        <v>6</v>
      </c>
      <c r="Q674" s="4" t="s">
        <v>26</v>
      </c>
      <c r="R674" s="4">
        <v>0</v>
      </c>
      <c r="S674" s="4" t="s">
        <v>241</v>
      </c>
      <c r="T674" s="4" t="s">
        <v>378</v>
      </c>
      <c r="U674" s="4">
        <v>0</v>
      </c>
      <c r="V674" s="4">
        <v>4</v>
      </c>
      <c r="W674" s="4">
        <v>41</v>
      </c>
    </row>
    <row r="675" spans="1:23" ht="11.25" customHeight="1" x14ac:dyDescent="0.25">
      <c r="A675" s="4" t="s">
        <v>21</v>
      </c>
      <c r="B675" s="4" t="s">
        <v>44</v>
      </c>
      <c r="C675" s="4" t="s">
        <v>23</v>
      </c>
      <c r="D675" s="4" t="s">
        <v>45</v>
      </c>
      <c r="E675" s="4" t="s">
        <v>46</v>
      </c>
      <c r="F675" s="4" t="s">
        <v>25</v>
      </c>
      <c r="G675" s="4" t="s">
        <v>25</v>
      </c>
      <c r="H675" s="4" t="s">
        <v>25</v>
      </c>
      <c r="I675" s="5">
        <v>44440</v>
      </c>
      <c r="J675" s="6">
        <v>0</v>
      </c>
      <c r="K675" s="6">
        <v>0</v>
      </c>
      <c r="L675" s="6">
        <v>10.85</v>
      </c>
      <c r="M675" s="6">
        <v>10.85</v>
      </c>
      <c r="N675" s="6">
        <v>10.85</v>
      </c>
      <c r="O675" s="6">
        <v>10.85</v>
      </c>
      <c r="P675" s="6">
        <v>6</v>
      </c>
      <c r="Q675" s="4" t="s">
        <v>26</v>
      </c>
      <c r="R675" s="4">
        <v>0</v>
      </c>
      <c r="S675" s="4" t="s">
        <v>242</v>
      </c>
      <c r="T675" s="4" t="s">
        <v>379</v>
      </c>
      <c r="U675" s="4">
        <v>0</v>
      </c>
      <c r="V675" s="4">
        <v>4</v>
      </c>
      <c r="W675" s="4">
        <v>41</v>
      </c>
    </row>
    <row r="676" spans="1:23" ht="11.25" customHeight="1" x14ac:dyDescent="0.25">
      <c r="A676" s="4" t="s">
        <v>21</v>
      </c>
      <c r="B676" s="4" t="s">
        <v>44</v>
      </c>
      <c r="C676" s="4" t="s">
        <v>23</v>
      </c>
      <c r="D676" s="4" t="s">
        <v>45</v>
      </c>
      <c r="E676" s="4" t="s">
        <v>46</v>
      </c>
      <c r="F676" s="4" t="s">
        <v>25</v>
      </c>
      <c r="G676" s="4" t="s">
        <v>25</v>
      </c>
      <c r="H676" s="4" t="s">
        <v>25</v>
      </c>
      <c r="I676" s="5">
        <v>44470</v>
      </c>
      <c r="J676" s="6">
        <v>0</v>
      </c>
      <c r="K676" s="6">
        <v>0</v>
      </c>
      <c r="L676" s="6">
        <v>9.0210000000000008</v>
      </c>
      <c r="M676" s="6">
        <v>9.0210000000000008</v>
      </c>
      <c r="N676" s="6">
        <v>9.0210000000000008</v>
      </c>
      <c r="O676" s="6">
        <v>9.0210000000000008</v>
      </c>
      <c r="P676" s="6">
        <v>6</v>
      </c>
      <c r="Q676" s="4" t="s">
        <v>26</v>
      </c>
      <c r="R676" s="4">
        <v>0</v>
      </c>
      <c r="S676" s="4" t="s">
        <v>243</v>
      </c>
      <c r="T676" s="4" t="s">
        <v>380</v>
      </c>
      <c r="U676" s="4">
        <v>0</v>
      </c>
      <c r="V676" s="4">
        <v>4</v>
      </c>
      <c r="W676" s="4">
        <v>41</v>
      </c>
    </row>
    <row r="677" spans="1:23" ht="11.25" customHeight="1" x14ac:dyDescent="0.25">
      <c r="A677" s="4" t="s">
        <v>21</v>
      </c>
      <c r="B677" s="4" t="s">
        <v>44</v>
      </c>
      <c r="C677" s="4" t="s">
        <v>23</v>
      </c>
      <c r="D677" s="4" t="s">
        <v>45</v>
      </c>
      <c r="E677" s="4" t="s">
        <v>46</v>
      </c>
      <c r="F677" s="4" t="s">
        <v>25</v>
      </c>
      <c r="G677" s="4" t="s">
        <v>25</v>
      </c>
      <c r="H677" s="4" t="s">
        <v>25</v>
      </c>
      <c r="I677" s="5">
        <v>44501</v>
      </c>
      <c r="J677" s="6">
        <v>0</v>
      </c>
      <c r="K677" s="6">
        <v>0</v>
      </c>
      <c r="L677" s="6">
        <v>10.260999999999999</v>
      </c>
      <c r="M677" s="6">
        <v>10.260999999999999</v>
      </c>
      <c r="N677" s="6">
        <v>10.260999999999999</v>
      </c>
      <c r="O677" s="6">
        <v>10.260999999999999</v>
      </c>
      <c r="P677" s="6">
        <v>6</v>
      </c>
      <c r="Q677" s="4" t="s">
        <v>26</v>
      </c>
      <c r="R677" s="4">
        <v>0</v>
      </c>
      <c r="S677" s="4" t="s">
        <v>244</v>
      </c>
      <c r="T677" s="4" t="s">
        <v>381</v>
      </c>
      <c r="U677" s="4">
        <v>0</v>
      </c>
      <c r="V677" s="4">
        <v>4</v>
      </c>
      <c r="W677" s="4">
        <v>41</v>
      </c>
    </row>
    <row r="678" spans="1:23" ht="11.25" customHeight="1" x14ac:dyDescent="0.25">
      <c r="A678" s="4" t="s">
        <v>21</v>
      </c>
      <c r="B678" s="4" t="s">
        <v>44</v>
      </c>
      <c r="C678" s="4" t="s">
        <v>23</v>
      </c>
      <c r="D678" s="4" t="s">
        <v>45</v>
      </c>
      <c r="E678" s="4" t="s">
        <v>46</v>
      </c>
      <c r="F678" s="4" t="s">
        <v>25</v>
      </c>
      <c r="G678" s="4" t="s">
        <v>25</v>
      </c>
      <c r="H678" s="4" t="s">
        <v>25</v>
      </c>
      <c r="I678" s="5">
        <v>44531</v>
      </c>
      <c r="J678" s="6">
        <v>0</v>
      </c>
      <c r="K678" s="6">
        <v>0</v>
      </c>
      <c r="L678" s="6">
        <v>9.0459999999999994</v>
      </c>
      <c r="M678" s="6">
        <v>9.0459999999999994</v>
      </c>
      <c r="N678" s="6">
        <v>9.0459999999999994</v>
      </c>
      <c r="O678" s="6">
        <v>9.0459999999999994</v>
      </c>
      <c r="P678" s="6">
        <v>6</v>
      </c>
      <c r="Q678" s="4" t="s">
        <v>26</v>
      </c>
      <c r="R678" s="4">
        <v>0</v>
      </c>
      <c r="S678" s="4" t="s">
        <v>245</v>
      </c>
      <c r="T678" s="4" t="s">
        <v>382</v>
      </c>
      <c r="U678" s="4">
        <v>0</v>
      </c>
      <c r="V678" s="4">
        <v>4</v>
      </c>
      <c r="W678" s="4">
        <v>41</v>
      </c>
    </row>
    <row r="679" spans="1:23" ht="11.25" customHeight="1" x14ac:dyDescent="0.25">
      <c r="A679" s="4" t="s">
        <v>21</v>
      </c>
      <c r="B679" s="4" t="s">
        <v>44</v>
      </c>
      <c r="C679" s="4" t="s">
        <v>23</v>
      </c>
      <c r="D679" s="4" t="s">
        <v>45</v>
      </c>
      <c r="E679" s="4" t="s">
        <v>46</v>
      </c>
      <c r="F679" s="4" t="s">
        <v>25</v>
      </c>
      <c r="G679" s="4" t="s">
        <v>25</v>
      </c>
      <c r="H679" s="4" t="s">
        <v>25</v>
      </c>
      <c r="I679" s="5">
        <v>44562</v>
      </c>
      <c r="J679" s="6">
        <v>0</v>
      </c>
      <c r="K679" s="6">
        <v>0</v>
      </c>
      <c r="L679" s="6">
        <v>9.532</v>
      </c>
      <c r="M679" s="6">
        <v>9.532</v>
      </c>
      <c r="N679" s="6">
        <v>9.532</v>
      </c>
      <c r="O679" s="6">
        <v>9.532</v>
      </c>
      <c r="P679" s="6">
        <v>6</v>
      </c>
      <c r="Q679" s="4" t="s">
        <v>26</v>
      </c>
      <c r="R679" s="4">
        <v>0</v>
      </c>
      <c r="S679" s="4" t="s">
        <v>246</v>
      </c>
      <c r="T679" s="4" t="s">
        <v>383</v>
      </c>
      <c r="U679" s="4">
        <v>0</v>
      </c>
      <c r="V679" s="4">
        <v>4</v>
      </c>
      <c r="W679" s="4">
        <v>41</v>
      </c>
    </row>
    <row r="680" spans="1:23" ht="11.25" customHeight="1" x14ac:dyDescent="0.25">
      <c r="A680" s="4" t="s">
        <v>21</v>
      </c>
      <c r="B680" s="4" t="s">
        <v>44</v>
      </c>
      <c r="C680" s="4" t="s">
        <v>23</v>
      </c>
      <c r="D680" s="4" t="s">
        <v>45</v>
      </c>
      <c r="E680" s="4" t="s">
        <v>46</v>
      </c>
      <c r="F680" s="4" t="s">
        <v>25</v>
      </c>
      <c r="G680" s="4" t="s">
        <v>25</v>
      </c>
      <c r="H680" s="4" t="s">
        <v>25</v>
      </c>
      <c r="I680" s="5">
        <v>44593</v>
      </c>
      <c r="J680" s="6">
        <v>0</v>
      </c>
      <c r="K680" s="6">
        <v>0</v>
      </c>
      <c r="L680" s="6">
        <v>10.298999999999999</v>
      </c>
      <c r="M680" s="6">
        <v>10.298999999999999</v>
      </c>
      <c r="N680" s="6">
        <v>10.298999999999999</v>
      </c>
      <c r="O680" s="6">
        <v>10.298999999999999</v>
      </c>
      <c r="P680" s="6">
        <v>6</v>
      </c>
      <c r="Q680" s="4" t="s">
        <v>26</v>
      </c>
      <c r="R680" s="4">
        <v>0</v>
      </c>
      <c r="S680" s="4" t="s">
        <v>247</v>
      </c>
      <c r="T680" s="4" t="s">
        <v>384</v>
      </c>
      <c r="U680" s="4">
        <v>0</v>
      </c>
      <c r="V680" s="4">
        <v>4</v>
      </c>
      <c r="W680" s="4">
        <v>41</v>
      </c>
    </row>
    <row r="681" spans="1:23" ht="11.25" customHeight="1" x14ac:dyDescent="0.25">
      <c r="A681" s="4" t="s">
        <v>54</v>
      </c>
      <c r="B681" s="4" t="s">
        <v>44</v>
      </c>
      <c r="C681" s="4" t="s">
        <v>23</v>
      </c>
      <c r="D681" s="4" t="s">
        <v>45</v>
      </c>
      <c r="E681" s="4" t="s">
        <v>46</v>
      </c>
      <c r="F681" s="4" t="s">
        <v>25</v>
      </c>
      <c r="G681" s="4" t="s">
        <v>25</v>
      </c>
      <c r="H681" s="4" t="s">
        <v>25</v>
      </c>
      <c r="I681" s="5">
        <v>44621</v>
      </c>
      <c r="J681" s="6">
        <v>0</v>
      </c>
      <c r="K681" s="6">
        <v>0</v>
      </c>
      <c r="L681" s="6">
        <v>10.298999999999999</v>
      </c>
      <c r="M681" s="6">
        <v>10.298999999999999</v>
      </c>
      <c r="N681" s="6">
        <v>10.298999999999999</v>
      </c>
      <c r="O681" s="6">
        <v>10.298999999999999</v>
      </c>
      <c r="P681" s="6">
        <v>6</v>
      </c>
      <c r="Q681" s="4" t="s">
        <v>26</v>
      </c>
      <c r="R681" s="4">
        <v>0</v>
      </c>
      <c r="S681" s="4" t="s">
        <v>248</v>
      </c>
      <c r="T681" s="4" t="s">
        <v>385</v>
      </c>
      <c r="U681" s="4">
        <v>0</v>
      </c>
      <c r="V681" s="4">
        <v>4</v>
      </c>
      <c r="W681" s="4">
        <v>41</v>
      </c>
    </row>
    <row r="682" spans="1:23" ht="11.25" customHeight="1" x14ac:dyDescent="0.25">
      <c r="A682" s="4" t="s">
        <v>21</v>
      </c>
      <c r="B682" s="4" t="s">
        <v>44</v>
      </c>
      <c r="C682" s="4" t="s">
        <v>23</v>
      </c>
      <c r="D682" s="4" t="s">
        <v>45</v>
      </c>
      <c r="E682" s="4" t="s">
        <v>47</v>
      </c>
      <c r="F682" s="4" t="s">
        <v>25</v>
      </c>
      <c r="G682" s="4" t="s">
        <v>25</v>
      </c>
      <c r="H682" s="4" t="s">
        <v>25</v>
      </c>
      <c r="I682" s="5">
        <v>44287</v>
      </c>
      <c r="J682" s="6">
        <v>0</v>
      </c>
      <c r="K682" s="6">
        <v>0</v>
      </c>
      <c r="L682" s="6">
        <v>193.792</v>
      </c>
      <c r="M682" s="6">
        <v>193.792</v>
      </c>
      <c r="N682" s="6">
        <v>193.792</v>
      </c>
      <c r="O682" s="6">
        <v>193.792</v>
      </c>
      <c r="P682" s="6">
        <v>44</v>
      </c>
      <c r="Q682" s="4" t="s">
        <v>26</v>
      </c>
      <c r="R682" s="4">
        <v>0</v>
      </c>
      <c r="S682" s="4" t="s">
        <v>249</v>
      </c>
      <c r="T682" s="4" t="s">
        <v>386</v>
      </c>
      <c r="U682" s="4">
        <v>0</v>
      </c>
      <c r="V682" s="4">
        <v>5</v>
      </c>
      <c r="W682" s="4">
        <v>42</v>
      </c>
    </row>
    <row r="683" spans="1:23" ht="11.25" customHeight="1" x14ac:dyDescent="0.25">
      <c r="A683" s="4" t="s">
        <v>21</v>
      </c>
      <c r="B683" s="4" t="s">
        <v>44</v>
      </c>
      <c r="C683" s="4" t="s">
        <v>23</v>
      </c>
      <c r="D683" s="4" t="s">
        <v>45</v>
      </c>
      <c r="E683" s="4" t="s">
        <v>47</v>
      </c>
      <c r="F683" s="4" t="s">
        <v>25</v>
      </c>
      <c r="G683" s="4" t="s">
        <v>25</v>
      </c>
      <c r="H683" s="4" t="s">
        <v>25</v>
      </c>
      <c r="I683" s="5">
        <v>44317</v>
      </c>
      <c r="J683" s="6">
        <v>0</v>
      </c>
      <c r="K683" s="6">
        <v>0</v>
      </c>
      <c r="L683" s="6">
        <v>196.27199999999999</v>
      </c>
      <c r="M683" s="6">
        <v>196.27199999999999</v>
      </c>
      <c r="N683" s="6">
        <v>196.27199999999999</v>
      </c>
      <c r="O683" s="6">
        <v>196.27199999999999</v>
      </c>
      <c r="P683" s="6">
        <v>44</v>
      </c>
      <c r="Q683" s="4" t="s">
        <v>26</v>
      </c>
      <c r="R683" s="4">
        <v>0</v>
      </c>
      <c r="S683" s="4" t="s">
        <v>250</v>
      </c>
      <c r="T683" s="4" t="s">
        <v>387</v>
      </c>
      <c r="U683" s="4">
        <v>0</v>
      </c>
      <c r="V683" s="4">
        <v>5</v>
      </c>
      <c r="W683" s="4">
        <v>42</v>
      </c>
    </row>
    <row r="684" spans="1:23" ht="11.25" customHeight="1" x14ac:dyDescent="0.25">
      <c r="A684" s="4" t="s">
        <v>21</v>
      </c>
      <c r="B684" s="4" t="s">
        <v>44</v>
      </c>
      <c r="C684" s="4" t="s">
        <v>23</v>
      </c>
      <c r="D684" s="4" t="s">
        <v>45</v>
      </c>
      <c r="E684" s="4" t="s">
        <v>47</v>
      </c>
      <c r="F684" s="4" t="s">
        <v>25</v>
      </c>
      <c r="G684" s="4" t="s">
        <v>25</v>
      </c>
      <c r="H684" s="4" t="s">
        <v>25</v>
      </c>
      <c r="I684" s="5">
        <v>44348</v>
      </c>
      <c r="J684" s="6">
        <v>0</v>
      </c>
      <c r="K684" s="6">
        <v>0</v>
      </c>
      <c r="L684" s="6">
        <v>211.64699999999999</v>
      </c>
      <c r="M684" s="6">
        <v>211.64699999999999</v>
      </c>
      <c r="N684" s="6">
        <v>211.64699999999999</v>
      </c>
      <c r="O684" s="6">
        <v>211.64699999999999</v>
      </c>
      <c r="P684" s="6">
        <v>44</v>
      </c>
      <c r="Q684" s="4" t="s">
        <v>26</v>
      </c>
      <c r="R684" s="4">
        <v>0</v>
      </c>
      <c r="S684" s="4" t="s">
        <v>251</v>
      </c>
      <c r="T684" s="4" t="s">
        <v>388</v>
      </c>
      <c r="U684" s="4">
        <v>0</v>
      </c>
      <c r="V684" s="4">
        <v>5</v>
      </c>
      <c r="W684" s="4">
        <v>42</v>
      </c>
    </row>
    <row r="685" spans="1:23" ht="11.25" customHeight="1" x14ac:dyDescent="0.25">
      <c r="A685" s="4" t="s">
        <v>21</v>
      </c>
      <c r="B685" s="4" t="s">
        <v>44</v>
      </c>
      <c r="C685" s="4" t="s">
        <v>23</v>
      </c>
      <c r="D685" s="4" t="s">
        <v>45</v>
      </c>
      <c r="E685" s="4" t="s">
        <v>47</v>
      </c>
      <c r="F685" s="4" t="s">
        <v>25</v>
      </c>
      <c r="G685" s="4" t="s">
        <v>25</v>
      </c>
      <c r="H685" s="4" t="s">
        <v>25</v>
      </c>
      <c r="I685" s="5">
        <v>44378</v>
      </c>
      <c r="J685" s="6">
        <v>0</v>
      </c>
      <c r="K685" s="6">
        <v>0</v>
      </c>
      <c r="L685" s="6">
        <v>202.92599999999999</v>
      </c>
      <c r="M685" s="6">
        <v>202.92599999999999</v>
      </c>
      <c r="N685" s="6">
        <v>202.92599999999999</v>
      </c>
      <c r="O685" s="6">
        <v>202.92599999999999</v>
      </c>
      <c r="P685" s="6">
        <v>44</v>
      </c>
      <c r="Q685" s="4" t="s">
        <v>26</v>
      </c>
      <c r="R685" s="4">
        <v>0</v>
      </c>
      <c r="S685" s="4" t="s">
        <v>252</v>
      </c>
      <c r="T685" s="4" t="s">
        <v>389</v>
      </c>
      <c r="U685" s="4">
        <v>0</v>
      </c>
      <c r="V685" s="4">
        <v>5</v>
      </c>
      <c r="W685" s="4">
        <v>42</v>
      </c>
    </row>
    <row r="686" spans="1:23" ht="11.25" customHeight="1" x14ac:dyDescent="0.25">
      <c r="A686" s="4" t="s">
        <v>21</v>
      </c>
      <c r="B686" s="4" t="s">
        <v>44</v>
      </c>
      <c r="C686" s="4" t="s">
        <v>23</v>
      </c>
      <c r="D686" s="4" t="s">
        <v>45</v>
      </c>
      <c r="E686" s="4" t="s">
        <v>47</v>
      </c>
      <c r="F686" s="4" t="s">
        <v>25</v>
      </c>
      <c r="G686" s="4" t="s">
        <v>25</v>
      </c>
      <c r="H686" s="4" t="s">
        <v>25</v>
      </c>
      <c r="I686" s="5">
        <v>44409</v>
      </c>
      <c r="J686" s="6">
        <v>0</v>
      </c>
      <c r="K686" s="6">
        <v>0</v>
      </c>
      <c r="L686" s="6">
        <v>201.93</v>
      </c>
      <c r="M686" s="6">
        <v>201.93</v>
      </c>
      <c r="N686" s="6">
        <v>201.93</v>
      </c>
      <c r="O686" s="6">
        <v>201.93</v>
      </c>
      <c r="P686" s="6">
        <v>44</v>
      </c>
      <c r="Q686" s="4" t="s">
        <v>26</v>
      </c>
      <c r="R686" s="4">
        <v>0</v>
      </c>
      <c r="S686" s="4" t="s">
        <v>253</v>
      </c>
      <c r="T686" s="4" t="s">
        <v>390</v>
      </c>
      <c r="U686" s="4">
        <v>0</v>
      </c>
      <c r="V686" s="4">
        <v>5</v>
      </c>
      <c r="W686" s="4">
        <v>42</v>
      </c>
    </row>
    <row r="687" spans="1:23" ht="11.25" customHeight="1" x14ac:dyDescent="0.25">
      <c r="A687" s="4" t="s">
        <v>21</v>
      </c>
      <c r="B687" s="4" t="s">
        <v>44</v>
      </c>
      <c r="C687" s="4" t="s">
        <v>23</v>
      </c>
      <c r="D687" s="4" t="s">
        <v>45</v>
      </c>
      <c r="E687" s="4" t="s">
        <v>47</v>
      </c>
      <c r="F687" s="4" t="s">
        <v>25</v>
      </c>
      <c r="G687" s="4" t="s">
        <v>25</v>
      </c>
      <c r="H687" s="4" t="s">
        <v>25</v>
      </c>
      <c r="I687" s="5">
        <v>44440</v>
      </c>
      <c r="J687" s="6">
        <v>0</v>
      </c>
      <c r="K687" s="6">
        <v>0</v>
      </c>
      <c r="L687" s="6">
        <v>191.06700000000001</v>
      </c>
      <c r="M687" s="6">
        <v>191.06700000000001</v>
      </c>
      <c r="N687" s="6">
        <v>191.06700000000001</v>
      </c>
      <c r="O687" s="6">
        <v>191.06700000000001</v>
      </c>
      <c r="P687" s="6">
        <v>44</v>
      </c>
      <c r="Q687" s="4" t="s">
        <v>26</v>
      </c>
      <c r="R687" s="4">
        <v>0</v>
      </c>
      <c r="S687" s="4" t="s">
        <v>254</v>
      </c>
      <c r="T687" s="4" t="s">
        <v>391</v>
      </c>
      <c r="U687" s="4">
        <v>0</v>
      </c>
      <c r="V687" s="4">
        <v>5</v>
      </c>
      <c r="W687" s="4">
        <v>42</v>
      </c>
    </row>
    <row r="688" spans="1:23" ht="11.25" customHeight="1" x14ac:dyDescent="0.25">
      <c r="A688" s="4" t="s">
        <v>21</v>
      </c>
      <c r="B688" s="4" t="s">
        <v>44</v>
      </c>
      <c r="C688" s="4" t="s">
        <v>23</v>
      </c>
      <c r="D688" s="4" t="s">
        <v>45</v>
      </c>
      <c r="E688" s="4" t="s">
        <v>47</v>
      </c>
      <c r="F688" s="4" t="s">
        <v>25</v>
      </c>
      <c r="G688" s="4" t="s">
        <v>25</v>
      </c>
      <c r="H688" s="4" t="s">
        <v>25</v>
      </c>
      <c r="I688" s="5">
        <v>44470</v>
      </c>
      <c r="J688" s="6">
        <v>0</v>
      </c>
      <c r="K688" s="6">
        <v>0</v>
      </c>
      <c r="L688" s="6">
        <v>173.85</v>
      </c>
      <c r="M688" s="6">
        <v>173.85</v>
      </c>
      <c r="N688" s="6">
        <v>173.85</v>
      </c>
      <c r="O688" s="6">
        <v>173.85</v>
      </c>
      <c r="P688" s="6">
        <v>44</v>
      </c>
      <c r="Q688" s="4" t="s">
        <v>26</v>
      </c>
      <c r="R688" s="4">
        <v>0</v>
      </c>
      <c r="S688" s="4" t="s">
        <v>255</v>
      </c>
      <c r="T688" s="4" t="s">
        <v>392</v>
      </c>
      <c r="U688" s="4">
        <v>0</v>
      </c>
      <c r="V688" s="4">
        <v>5</v>
      </c>
      <c r="W688" s="4">
        <v>42</v>
      </c>
    </row>
    <row r="689" spans="1:23" ht="11.25" customHeight="1" x14ac:dyDescent="0.25">
      <c r="A689" s="4" t="s">
        <v>21</v>
      </c>
      <c r="B689" s="4" t="s">
        <v>44</v>
      </c>
      <c r="C689" s="4" t="s">
        <v>23</v>
      </c>
      <c r="D689" s="4" t="s">
        <v>45</v>
      </c>
      <c r="E689" s="4" t="s">
        <v>47</v>
      </c>
      <c r="F689" s="4" t="s">
        <v>25</v>
      </c>
      <c r="G689" s="4" t="s">
        <v>25</v>
      </c>
      <c r="H689" s="4" t="s">
        <v>25</v>
      </c>
      <c r="I689" s="5">
        <v>44501</v>
      </c>
      <c r="J689" s="6">
        <v>0</v>
      </c>
      <c r="K689" s="6">
        <v>0</v>
      </c>
      <c r="L689" s="6">
        <v>169.73500000000001</v>
      </c>
      <c r="M689" s="6">
        <v>169.73500000000001</v>
      </c>
      <c r="N689" s="6">
        <v>169.73500000000001</v>
      </c>
      <c r="O689" s="6">
        <v>169.73500000000001</v>
      </c>
      <c r="P689" s="6">
        <v>44</v>
      </c>
      <c r="Q689" s="4" t="s">
        <v>26</v>
      </c>
      <c r="R689" s="4">
        <v>0</v>
      </c>
      <c r="S689" s="4" t="s">
        <v>256</v>
      </c>
      <c r="T689" s="4" t="s">
        <v>393</v>
      </c>
      <c r="U689" s="4">
        <v>0</v>
      </c>
      <c r="V689" s="4">
        <v>5</v>
      </c>
      <c r="W689" s="4">
        <v>42</v>
      </c>
    </row>
    <row r="690" spans="1:23" ht="11.25" customHeight="1" x14ac:dyDescent="0.25">
      <c r="A690" s="4" t="s">
        <v>21</v>
      </c>
      <c r="B690" s="4" t="s">
        <v>44</v>
      </c>
      <c r="C690" s="4" t="s">
        <v>23</v>
      </c>
      <c r="D690" s="4" t="s">
        <v>45</v>
      </c>
      <c r="E690" s="4" t="s">
        <v>47</v>
      </c>
      <c r="F690" s="4" t="s">
        <v>25</v>
      </c>
      <c r="G690" s="4" t="s">
        <v>25</v>
      </c>
      <c r="H690" s="4" t="s">
        <v>25</v>
      </c>
      <c r="I690" s="5">
        <v>44531</v>
      </c>
      <c r="J690" s="6">
        <v>0</v>
      </c>
      <c r="K690" s="6">
        <v>0</v>
      </c>
      <c r="L690" s="6">
        <v>159.703</v>
      </c>
      <c r="M690" s="6">
        <v>159.703</v>
      </c>
      <c r="N690" s="6">
        <v>159.703</v>
      </c>
      <c r="O690" s="6">
        <v>159.703</v>
      </c>
      <c r="P690" s="6">
        <v>44</v>
      </c>
      <c r="Q690" s="4" t="s">
        <v>26</v>
      </c>
      <c r="R690" s="4">
        <v>0</v>
      </c>
      <c r="S690" s="4" t="s">
        <v>257</v>
      </c>
      <c r="T690" s="4" t="s">
        <v>394</v>
      </c>
      <c r="U690" s="4">
        <v>0</v>
      </c>
      <c r="V690" s="4">
        <v>5</v>
      </c>
      <c r="W690" s="4">
        <v>42</v>
      </c>
    </row>
    <row r="691" spans="1:23" ht="11.25" customHeight="1" x14ac:dyDescent="0.25">
      <c r="A691" s="4" t="s">
        <v>21</v>
      </c>
      <c r="B691" s="4" t="s">
        <v>44</v>
      </c>
      <c r="C691" s="4" t="s">
        <v>23</v>
      </c>
      <c r="D691" s="4" t="s">
        <v>45</v>
      </c>
      <c r="E691" s="4" t="s">
        <v>47</v>
      </c>
      <c r="F691" s="4" t="s">
        <v>25</v>
      </c>
      <c r="G691" s="4" t="s">
        <v>25</v>
      </c>
      <c r="H691" s="4" t="s">
        <v>25</v>
      </c>
      <c r="I691" s="5">
        <v>44562</v>
      </c>
      <c r="J691" s="6">
        <v>0</v>
      </c>
      <c r="K691" s="6">
        <v>0</v>
      </c>
      <c r="L691" s="6">
        <v>167.80500000000001</v>
      </c>
      <c r="M691" s="6">
        <v>167.80500000000001</v>
      </c>
      <c r="N691" s="6">
        <v>167.80500000000001</v>
      </c>
      <c r="O691" s="6">
        <v>167.80500000000001</v>
      </c>
      <c r="P691" s="6">
        <v>44</v>
      </c>
      <c r="Q691" s="4" t="s">
        <v>26</v>
      </c>
      <c r="R691" s="4">
        <v>0</v>
      </c>
      <c r="S691" s="4" t="s">
        <v>258</v>
      </c>
      <c r="T691" s="4" t="s">
        <v>395</v>
      </c>
      <c r="U691" s="4">
        <v>0</v>
      </c>
      <c r="V691" s="4">
        <v>5</v>
      </c>
      <c r="W691" s="4">
        <v>42</v>
      </c>
    </row>
    <row r="692" spans="1:23" ht="11.25" customHeight="1" x14ac:dyDescent="0.25">
      <c r="A692" s="4" t="s">
        <v>21</v>
      </c>
      <c r="B692" s="4" t="s">
        <v>44</v>
      </c>
      <c r="C692" s="4" t="s">
        <v>23</v>
      </c>
      <c r="D692" s="4" t="s">
        <v>45</v>
      </c>
      <c r="E692" s="4" t="s">
        <v>47</v>
      </c>
      <c r="F692" s="4" t="s">
        <v>25</v>
      </c>
      <c r="G692" s="4" t="s">
        <v>25</v>
      </c>
      <c r="H692" s="4" t="s">
        <v>25</v>
      </c>
      <c r="I692" s="5">
        <v>44593</v>
      </c>
      <c r="J692" s="6">
        <v>0</v>
      </c>
      <c r="K692" s="6">
        <v>0</v>
      </c>
      <c r="L692" s="6">
        <v>176.07</v>
      </c>
      <c r="M692" s="6">
        <v>176.07</v>
      </c>
      <c r="N692" s="6">
        <v>176.07</v>
      </c>
      <c r="O692" s="6">
        <v>176.07</v>
      </c>
      <c r="P692" s="6">
        <v>44</v>
      </c>
      <c r="Q692" s="4" t="s">
        <v>26</v>
      </c>
      <c r="R692" s="4">
        <v>0</v>
      </c>
      <c r="S692" s="4" t="s">
        <v>259</v>
      </c>
      <c r="T692" s="4" t="s">
        <v>396</v>
      </c>
      <c r="U692" s="4">
        <v>0</v>
      </c>
      <c r="V692" s="4">
        <v>5</v>
      </c>
      <c r="W692" s="4">
        <v>42</v>
      </c>
    </row>
    <row r="693" spans="1:23" ht="11.25" customHeight="1" x14ac:dyDescent="0.25">
      <c r="A693" s="4" t="s">
        <v>54</v>
      </c>
      <c r="B693" s="4" t="s">
        <v>44</v>
      </c>
      <c r="C693" s="4" t="s">
        <v>23</v>
      </c>
      <c r="D693" s="4" t="s">
        <v>45</v>
      </c>
      <c r="E693" s="4" t="s">
        <v>47</v>
      </c>
      <c r="F693" s="4" t="s">
        <v>25</v>
      </c>
      <c r="G693" s="4" t="s">
        <v>25</v>
      </c>
      <c r="H693" s="4" t="s">
        <v>25</v>
      </c>
      <c r="I693" s="5">
        <v>44621</v>
      </c>
      <c r="J693" s="6">
        <v>0</v>
      </c>
      <c r="K693" s="6">
        <v>0</v>
      </c>
      <c r="L693" s="6">
        <v>176.07</v>
      </c>
      <c r="M693" s="6">
        <v>176.07</v>
      </c>
      <c r="N693" s="6">
        <v>176.07</v>
      </c>
      <c r="O693" s="6">
        <v>176.07</v>
      </c>
      <c r="P693" s="6">
        <v>44</v>
      </c>
      <c r="Q693" s="4" t="s">
        <v>26</v>
      </c>
      <c r="R693" s="4">
        <v>0</v>
      </c>
      <c r="S693" s="4" t="s">
        <v>260</v>
      </c>
      <c r="T693" s="4" t="s">
        <v>397</v>
      </c>
      <c r="U693" s="4">
        <v>0</v>
      </c>
      <c r="V693" s="4">
        <v>5</v>
      </c>
      <c r="W693" s="4">
        <v>42</v>
      </c>
    </row>
  </sheetData>
  <sortState xmlns:xlrd2="http://schemas.microsoft.com/office/spreadsheetml/2017/richdata2" ref="A2:W693">
    <sortCondition ref="B2:B693"/>
    <sortCondition ref="C2:C693"/>
    <sortCondition ref="D2:D693"/>
    <sortCondition ref="E2:E693"/>
    <sortCondition ref="F2:F693"/>
    <sortCondition ref="H2:H693"/>
  </sortState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317D-7BA9-44C7-B363-85633B578423}">
  <sheetPr codeName="Planilha2"/>
  <dimension ref="A1:H119"/>
  <sheetViews>
    <sheetView showGridLines="0" workbookViewId="0">
      <selection activeCell="H1" sqref="H1"/>
    </sheetView>
  </sheetViews>
  <sheetFormatPr defaultColWidth="9.140625"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57</v>
      </c>
      <c r="B1" s="7" t="s">
        <v>58</v>
      </c>
      <c r="C1" s="7" t="s">
        <v>59</v>
      </c>
      <c r="D1" s="7" t="s">
        <v>60</v>
      </c>
      <c r="E1" s="7" t="s">
        <v>61</v>
      </c>
      <c r="G1" s="7" t="s">
        <v>62</v>
      </c>
      <c r="H1" s="7">
        <f>COUNTA(A:A)</f>
        <v>119</v>
      </c>
    </row>
    <row r="2" spans="1:8" ht="11.25" customHeight="1" x14ac:dyDescent="0.25">
      <c r="A2" s="8" t="s">
        <v>286</v>
      </c>
      <c r="B2" s="8" t="s">
        <v>287</v>
      </c>
      <c r="C2" s="8" t="s">
        <v>288</v>
      </c>
      <c r="D2" s="8">
        <v>44</v>
      </c>
      <c r="E2" s="8" t="s">
        <v>289</v>
      </c>
    </row>
    <row r="3" spans="1:8" ht="11.25" customHeight="1" x14ac:dyDescent="0.25">
      <c r="A3" s="8" t="s">
        <v>286</v>
      </c>
      <c r="B3" s="8" t="s">
        <v>287</v>
      </c>
      <c r="C3" s="8" t="s">
        <v>288</v>
      </c>
      <c r="D3" s="8">
        <v>45</v>
      </c>
      <c r="E3" s="8" t="s">
        <v>289</v>
      </c>
    </row>
    <row r="4" spans="1:8" ht="11.25" customHeight="1" x14ac:dyDescent="0.25">
      <c r="A4" s="8" t="s">
        <v>286</v>
      </c>
      <c r="B4" s="8" t="s">
        <v>287</v>
      </c>
      <c r="C4" s="8" t="s">
        <v>288</v>
      </c>
      <c r="D4" s="8">
        <v>46</v>
      </c>
      <c r="E4" s="8" t="s">
        <v>289</v>
      </c>
    </row>
    <row r="5" spans="1:8" ht="11.25" customHeight="1" x14ac:dyDescent="0.25">
      <c r="A5" s="8" t="s">
        <v>286</v>
      </c>
      <c r="B5" s="8" t="s">
        <v>287</v>
      </c>
      <c r="C5" s="8" t="s">
        <v>288</v>
      </c>
      <c r="D5" s="8">
        <v>47</v>
      </c>
      <c r="E5" s="8" t="s">
        <v>289</v>
      </c>
    </row>
    <row r="6" spans="1:8" ht="11.25" customHeight="1" x14ac:dyDescent="0.25">
      <c r="A6" s="8" t="s">
        <v>286</v>
      </c>
      <c r="B6" s="8" t="s">
        <v>287</v>
      </c>
      <c r="C6" s="8" t="s">
        <v>288</v>
      </c>
      <c r="D6" s="8">
        <v>48</v>
      </c>
      <c r="E6" s="8" t="s">
        <v>289</v>
      </c>
    </row>
    <row r="7" spans="1:8" ht="11.25" customHeight="1" x14ac:dyDescent="0.25">
      <c r="A7" s="8" t="s">
        <v>286</v>
      </c>
      <c r="B7" s="8" t="s">
        <v>287</v>
      </c>
      <c r="C7" s="8" t="s">
        <v>288</v>
      </c>
      <c r="D7" s="8">
        <v>49</v>
      </c>
      <c r="E7" s="8" t="s">
        <v>289</v>
      </c>
    </row>
    <row r="8" spans="1:8" ht="11.25" customHeight="1" x14ac:dyDescent="0.25">
      <c r="A8" s="8" t="s">
        <v>286</v>
      </c>
      <c r="B8" s="8" t="s">
        <v>287</v>
      </c>
      <c r="C8" s="8" t="s">
        <v>288</v>
      </c>
      <c r="D8" s="8">
        <v>50</v>
      </c>
      <c r="E8" s="8" t="s">
        <v>289</v>
      </c>
    </row>
    <row r="9" spans="1:8" ht="11.25" customHeight="1" x14ac:dyDescent="0.25">
      <c r="A9" s="8" t="s">
        <v>286</v>
      </c>
      <c r="B9" s="8" t="s">
        <v>287</v>
      </c>
      <c r="C9" s="8" t="s">
        <v>288</v>
      </c>
      <c r="D9" s="8">
        <v>51</v>
      </c>
      <c r="E9" s="8" t="s">
        <v>289</v>
      </c>
    </row>
    <row r="10" spans="1:8" ht="11.25" customHeight="1" x14ac:dyDescent="0.25">
      <c r="A10" s="8" t="s">
        <v>286</v>
      </c>
      <c r="B10" s="8" t="s">
        <v>287</v>
      </c>
      <c r="C10" s="8" t="s">
        <v>288</v>
      </c>
      <c r="D10" s="8">
        <v>52</v>
      </c>
      <c r="E10" s="8" t="s">
        <v>289</v>
      </c>
    </row>
    <row r="11" spans="1:8" ht="11.25" customHeight="1" x14ac:dyDescent="0.25">
      <c r="A11" s="8" t="s">
        <v>286</v>
      </c>
      <c r="B11" s="8" t="s">
        <v>287</v>
      </c>
      <c r="C11" s="8" t="s">
        <v>288</v>
      </c>
      <c r="D11" s="8">
        <v>53</v>
      </c>
      <c r="E11" s="8" t="s">
        <v>289</v>
      </c>
    </row>
    <row r="12" spans="1:8" ht="11.25" customHeight="1" x14ac:dyDescent="0.25">
      <c r="A12" s="8" t="s">
        <v>286</v>
      </c>
      <c r="B12" s="8" t="s">
        <v>287</v>
      </c>
      <c r="C12" s="8" t="s">
        <v>288</v>
      </c>
      <c r="D12" s="8">
        <v>54</v>
      </c>
      <c r="E12" s="8" t="s">
        <v>289</v>
      </c>
    </row>
    <row r="13" spans="1:8" ht="11.25" customHeight="1" x14ac:dyDescent="0.25">
      <c r="A13" s="8" t="s">
        <v>286</v>
      </c>
      <c r="B13" s="8" t="s">
        <v>287</v>
      </c>
      <c r="C13" s="8" t="s">
        <v>288</v>
      </c>
      <c r="D13" s="8">
        <v>55</v>
      </c>
      <c r="E13" s="8" t="s">
        <v>289</v>
      </c>
    </row>
    <row r="14" spans="1:8" ht="11.25" customHeight="1" x14ac:dyDescent="0.25">
      <c r="A14" s="8" t="s">
        <v>286</v>
      </c>
      <c r="B14" s="8" t="s">
        <v>287</v>
      </c>
      <c r="C14" s="8" t="s">
        <v>288</v>
      </c>
      <c r="D14" s="8">
        <v>56</v>
      </c>
      <c r="E14" s="8" t="s">
        <v>289</v>
      </c>
    </row>
    <row r="15" spans="1:8" ht="11.25" customHeight="1" x14ac:dyDescent="0.25">
      <c r="A15" s="8" t="s">
        <v>286</v>
      </c>
      <c r="B15" s="8" t="s">
        <v>287</v>
      </c>
      <c r="C15" s="8" t="s">
        <v>288</v>
      </c>
      <c r="D15" s="8">
        <v>57</v>
      </c>
      <c r="E15" s="8" t="s">
        <v>289</v>
      </c>
    </row>
    <row r="16" spans="1:8" ht="11.25" customHeight="1" x14ac:dyDescent="0.25">
      <c r="A16" s="8" t="s">
        <v>286</v>
      </c>
      <c r="B16" s="8" t="s">
        <v>287</v>
      </c>
      <c r="C16" s="8" t="s">
        <v>288</v>
      </c>
      <c r="D16" s="8">
        <v>58</v>
      </c>
      <c r="E16" s="8" t="s">
        <v>289</v>
      </c>
    </row>
    <row r="17" spans="1:5" ht="11.25" customHeight="1" x14ac:dyDescent="0.25">
      <c r="A17" s="8" t="s">
        <v>286</v>
      </c>
      <c r="B17" s="8" t="s">
        <v>287</v>
      </c>
      <c r="C17" s="8" t="s">
        <v>288</v>
      </c>
      <c r="D17" s="8">
        <v>59</v>
      </c>
      <c r="E17" s="8" t="s">
        <v>289</v>
      </c>
    </row>
    <row r="18" spans="1:5" ht="11.25" customHeight="1" x14ac:dyDescent="0.25">
      <c r="A18" s="8" t="s">
        <v>286</v>
      </c>
      <c r="B18" s="8" t="s">
        <v>287</v>
      </c>
      <c r="C18" s="8" t="s">
        <v>288</v>
      </c>
      <c r="D18" s="8">
        <v>60</v>
      </c>
      <c r="E18" s="8" t="s">
        <v>289</v>
      </c>
    </row>
    <row r="19" spans="1:5" ht="11.25" customHeight="1" x14ac:dyDescent="0.25">
      <c r="A19" s="8" t="s">
        <v>286</v>
      </c>
      <c r="B19" s="8" t="s">
        <v>287</v>
      </c>
      <c r="C19" s="8" t="s">
        <v>288</v>
      </c>
      <c r="D19" s="8">
        <v>61</v>
      </c>
      <c r="E19" s="8" t="s">
        <v>289</v>
      </c>
    </row>
    <row r="20" spans="1:5" ht="11.25" customHeight="1" x14ac:dyDescent="0.25">
      <c r="A20" s="8" t="s">
        <v>286</v>
      </c>
      <c r="B20" s="8" t="s">
        <v>287</v>
      </c>
      <c r="C20" s="8" t="s">
        <v>288</v>
      </c>
      <c r="D20" s="8">
        <v>62</v>
      </c>
      <c r="E20" s="8" t="s">
        <v>289</v>
      </c>
    </row>
    <row r="21" spans="1:5" ht="11.25" customHeight="1" x14ac:dyDescent="0.25">
      <c r="A21" s="8" t="s">
        <v>286</v>
      </c>
      <c r="B21" s="8" t="s">
        <v>287</v>
      </c>
      <c r="C21" s="8" t="s">
        <v>288</v>
      </c>
      <c r="D21" s="8">
        <v>63</v>
      </c>
      <c r="E21" s="8" t="s">
        <v>289</v>
      </c>
    </row>
    <row r="22" spans="1:5" ht="11.25" customHeight="1" x14ac:dyDescent="0.25">
      <c r="A22" s="8" t="s">
        <v>286</v>
      </c>
      <c r="B22" s="8" t="s">
        <v>287</v>
      </c>
      <c r="C22" s="8" t="s">
        <v>288</v>
      </c>
      <c r="D22" s="8">
        <v>64</v>
      </c>
      <c r="E22" s="8" t="s">
        <v>289</v>
      </c>
    </row>
    <row r="23" spans="1:5" ht="11.25" customHeight="1" x14ac:dyDescent="0.25">
      <c r="A23" s="8" t="s">
        <v>286</v>
      </c>
      <c r="B23" s="8" t="s">
        <v>287</v>
      </c>
      <c r="C23" s="8" t="s">
        <v>288</v>
      </c>
      <c r="D23" s="8">
        <v>65</v>
      </c>
      <c r="E23" s="8" t="s">
        <v>289</v>
      </c>
    </row>
    <row r="24" spans="1:5" ht="11.25" customHeight="1" x14ac:dyDescent="0.25">
      <c r="A24" s="8" t="s">
        <v>286</v>
      </c>
      <c r="B24" s="8" t="s">
        <v>287</v>
      </c>
      <c r="C24" s="8" t="s">
        <v>288</v>
      </c>
      <c r="D24" s="8">
        <v>66</v>
      </c>
      <c r="E24" s="8" t="s">
        <v>289</v>
      </c>
    </row>
    <row r="25" spans="1:5" ht="11.25" customHeight="1" x14ac:dyDescent="0.25">
      <c r="A25" s="8" t="s">
        <v>286</v>
      </c>
      <c r="B25" s="8" t="s">
        <v>287</v>
      </c>
      <c r="C25" s="8" t="s">
        <v>288</v>
      </c>
      <c r="D25" s="8">
        <v>67</v>
      </c>
      <c r="E25" s="8" t="s">
        <v>289</v>
      </c>
    </row>
    <row r="26" spans="1:5" ht="11.25" customHeight="1" x14ac:dyDescent="0.25">
      <c r="A26" s="8" t="s">
        <v>286</v>
      </c>
      <c r="B26" s="8" t="s">
        <v>287</v>
      </c>
      <c r="C26" s="8" t="s">
        <v>288</v>
      </c>
      <c r="D26" s="8">
        <v>143</v>
      </c>
      <c r="E26" s="8" t="s">
        <v>289</v>
      </c>
    </row>
    <row r="27" spans="1:5" ht="11.25" customHeight="1" x14ac:dyDescent="0.25">
      <c r="A27" s="8" t="s">
        <v>286</v>
      </c>
      <c r="B27" s="8" t="s">
        <v>287</v>
      </c>
      <c r="C27" s="8" t="s">
        <v>288</v>
      </c>
      <c r="D27" s="8">
        <v>144</v>
      </c>
      <c r="E27" s="8" t="s">
        <v>289</v>
      </c>
    </row>
    <row r="28" spans="1:5" ht="11.25" customHeight="1" x14ac:dyDescent="0.25">
      <c r="A28" s="8" t="s">
        <v>286</v>
      </c>
      <c r="B28" s="8" t="s">
        <v>287</v>
      </c>
      <c r="C28" s="8" t="s">
        <v>288</v>
      </c>
      <c r="D28" s="8">
        <v>145</v>
      </c>
      <c r="E28" s="8" t="s">
        <v>289</v>
      </c>
    </row>
    <row r="29" spans="1:5" ht="11.25" customHeight="1" x14ac:dyDescent="0.25">
      <c r="A29" s="8" t="s">
        <v>286</v>
      </c>
      <c r="B29" s="8" t="s">
        <v>287</v>
      </c>
      <c r="C29" s="8" t="s">
        <v>288</v>
      </c>
      <c r="D29" s="8">
        <v>146</v>
      </c>
      <c r="E29" s="8" t="s">
        <v>289</v>
      </c>
    </row>
    <row r="30" spans="1:5" ht="11.25" customHeight="1" x14ac:dyDescent="0.25">
      <c r="A30" s="8" t="s">
        <v>286</v>
      </c>
      <c r="B30" s="8" t="s">
        <v>287</v>
      </c>
      <c r="C30" s="8" t="s">
        <v>288</v>
      </c>
      <c r="D30" s="8">
        <v>147</v>
      </c>
      <c r="E30" s="8" t="s">
        <v>289</v>
      </c>
    </row>
    <row r="31" spans="1:5" ht="11.25" customHeight="1" x14ac:dyDescent="0.25">
      <c r="A31" s="8" t="s">
        <v>286</v>
      </c>
      <c r="B31" s="8" t="s">
        <v>287</v>
      </c>
      <c r="C31" s="8" t="s">
        <v>288</v>
      </c>
      <c r="D31" s="8">
        <v>148</v>
      </c>
      <c r="E31" s="8" t="s">
        <v>289</v>
      </c>
    </row>
    <row r="32" spans="1:5" ht="11.25" customHeight="1" x14ac:dyDescent="0.25">
      <c r="A32" s="8" t="s">
        <v>286</v>
      </c>
      <c r="B32" s="8" t="s">
        <v>287</v>
      </c>
      <c r="C32" s="8" t="s">
        <v>288</v>
      </c>
      <c r="D32" s="8">
        <v>149</v>
      </c>
      <c r="E32" s="8" t="s">
        <v>289</v>
      </c>
    </row>
    <row r="33" spans="1:5" ht="11.25" customHeight="1" x14ac:dyDescent="0.25">
      <c r="A33" s="8" t="s">
        <v>286</v>
      </c>
      <c r="B33" s="8" t="s">
        <v>287</v>
      </c>
      <c r="C33" s="8" t="s">
        <v>288</v>
      </c>
      <c r="D33" s="8">
        <v>150</v>
      </c>
      <c r="E33" s="8" t="s">
        <v>289</v>
      </c>
    </row>
    <row r="34" spans="1:5" ht="11.25" customHeight="1" x14ac:dyDescent="0.25">
      <c r="A34" s="8" t="s">
        <v>286</v>
      </c>
      <c r="B34" s="8" t="s">
        <v>287</v>
      </c>
      <c r="C34" s="8" t="s">
        <v>288</v>
      </c>
      <c r="D34" s="8">
        <v>151</v>
      </c>
      <c r="E34" s="8" t="s">
        <v>289</v>
      </c>
    </row>
    <row r="35" spans="1:5" ht="11.25" customHeight="1" x14ac:dyDescent="0.25">
      <c r="A35" s="8" t="s">
        <v>286</v>
      </c>
      <c r="B35" s="8" t="s">
        <v>287</v>
      </c>
      <c r="C35" s="8" t="s">
        <v>288</v>
      </c>
      <c r="D35" s="8">
        <v>152</v>
      </c>
      <c r="E35" s="8" t="s">
        <v>289</v>
      </c>
    </row>
    <row r="36" spans="1:5" ht="11.25" customHeight="1" x14ac:dyDescent="0.25">
      <c r="A36" s="8" t="s">
        <v>286</v>
      </c>
      <c r="B36" s="8" t="s">
        <v>287</v>
      </c>
      <c r="C36" s="8" t="s">
        <v>288</v>
      </c>
      <c r="D36" s="8">
        <v>153</v>
      </c>
      <c r="E36" s="8" t="s">
        <v>289</v>
      </c>
    </row>
    <row r="37" spans="1:5" ht="11.25" customHeight="1" x14ac:dyDescent="0.25">
      <c r="A37" s="8" t="s">
        <v>286</v>
      </c>
      <c r="B37" s="8" t="s">
        <v>287</v>
      </c>
      <c r="C37" s="8" t="s">
        <v>288</v>
      </c>
      <c r="D37" s="8">
        <v>154</v>
      </c>
      <c r="E37" s="8" t="s">
        <v>289</v>
      </c>
    </row>
    <row r="38" spans="1:5" ht="11.25" customHeight="1" x14ac:dyDescent="0.25">
      <c r="A38" s="8" t="s">
        <v>286</v>
      </c>
      <c r="B38" s="8" t="s">
        <v>287</v>
      </c>
      <c r="C38" s="8" t="s">
        <v>288</v>
      </c>
      <c r="D38" s="8">
        <v>155</v>
      </c>
      <c r="E38" s="8" t="s">
        <v>289</v>
      </c>
    </row>
    <row r="39" spans="1:5" ht="11.25" customHeight="1" x14ac:dyDescent="0.25">
      <c r="A39" s="8" t="s">
        <v>286</v>
      </c>
      <c r="B39" s="8" t="s">
        <v>287</v>
      </c>
      <c r="C39" s="8" t="s">
        <v>288</v>
      </c>
      <c r="D39" s="8">
        <v>156</v>
      </c>
      <c r="E39" s="8" t="s">
        <v>289</v>
      </c>
    </row>
    <row r="40" spans="1:5" ht="11.25" customHeight="1" x14ac:dyDescent="0.25">
      <c r="A40" s="8" t="s">
        <v>286</v>
      </c>
      <c r="B40" s="8" t="s">
        <v>287</v>
      </c>
      <c r="C40" s="8" t="s">
        <v>288</v>
      </c>
      <c r="D40" s="8">
        <v>157</v>
      </c>
      <c r="E40" s="8" t="s">
        <v>289</v>
      </c>
    </row>
    <row r="41" spans="1:5" ht="11.25" customHeight="1" x14ac:dyDescent="0.25">
      <c r="A41" s="8" t="s">
        <v>286</v>
      </c>
      <c r="B41" s="8" t="s">
        <v>287</v>
      </c>
      <c r="C41" s="8" t="s">
        <v>288</v>
      </c>
      <c r="D41" s="8">
        <v>158</v>
      </c>
      <c r="E41" s="8" t="s">
        <v>289</v>
      </c>
    </row>
    <row r="42" spans="1:5" ht="11.25" customHeight="1" x14ac:dyDescent="0.25">
      <c r="A42" s="8" t="s">
        <v>286</v>
      </c>
      <c r="B42" s="8" t="s">
        <v>287</v>
      </c>
      <c r="C42" s="8" t="s">
        <v>288</v>
      </c>
      <c r="D42" s="8">
        <v>159</v>
      </c>
      <c r="E42" s="8" t="s">
        <v>289</v>
      </c>
    </row>
    <row r="43" spans="1:5" ht="11.25" customHeight="1" x14ac:dyDescent="0.25">
      <c r="A43" s="8" t="s">
        <v>286</v>
      </c>
      <c r="B43" s="8" t="s">
        <v>287</v>
      </c>
      <c r="C43" s="8" t="s">
        <v>288</v>
      </c>
      <c r="D43" s="8">
        <v>160</v>
      </c>
      <c r="E43" s="8" t="s">
        <v>289</v>
      </c>
    </row>
    <row r="44" spans="1:5" ht="11.25" customHeight="1" x14ac:dyDescent="0.25">
      <c r="A44" s="8" t="s">
        <v>286</v>
      </c>
      <c r="B44" s="8" t="s">
        <v>287</v>
      </c>
      <c r="C44" s="8" t="s">
        <v>288</v>
      </c>
      <c r="D44" s="8">
        <v>161</v>
      </c>
      <c r="E44" s="8" t="s">
        <v>289</v>
      </c>
    </row>
    <row r="45" spans="1:5" ht="11.25" customHeight="1" x14ac:dyDescent="0.25">
      <c r="A45" s="8" t="s">
        <v>286</v>
      </c>
      <c r="B45" s="8" t="s">
        <v>287</v>
      </c>
      <c r="C45" s="8" t="s">
        <v>288</v>
      </c>
      <c r="D45" s="8">
        <v>162</v>
      </c>
      <c r="E45" s="8" t="s">
        <v>289</v>
      </c>
    </row>
    <row r="46" spans="1:5" ht="11.25" customHeight="1" x14ac:dyDescent="0.25">
      <c r="A46" s="8" t="s">
        <v>286</v>
      </c>
      <c r="B46" s="8" t="s">
        <v>287</v>
      </c>
      <c r="C46" s="8" t="s">
        <v>288</v>
      </c>
      <c r="D46" s="8">
        <v>195</v>
      </c>
      <c r="E46" s="8" t="s">
        <v>289</v>
      </c>
    </row>
    <row r="47" spans="1:5" ht="11.25" customHeight="1" x14ac:dyDescent="0.25">
      <c r="A47" s="8" t="s">
        <v>286</v>
      </c>
      <c r="B47" s="8" t="s">
        <v>287</v>
      </c>
      <c r="C47" s="8" t="s">
        <v>288</v>
      </c>
      <c r="D47" s="8">
        <v>196</v>
      </c>
      <c r="E47" s="8" t="s">
        <v>289</v>
      </c>
    </row>
    <row r="48" spans="1:5" ht="11.25" customHeight="1" x14ac:dyDescent="0.25">
      <c r="A48" s="8" t="s">
        <v>286</v>
      </c>
      <c r="B48" s="8" t="s">
        <v>287</v>
      </c>
      <c r="C48" s="8" t="s">
        <v>288</v>
      </c>
      <c r="D48" s="8">
        <v>197</v>
      </c>
      <c r="E48" s="8" t="s">
        <v>289</v>
      </c>
    </row>
    <row r="49" spans="1:5" ht="11.25" customHeight="1" x14ac:dyDescent="0.25">
      <c r="A49" s="8" t="s">
        <v>286</v>
      </c>
      <c r="B49" s="8" t="s">
        <v>287</v>
      </c>
      <c r="C49" s="8" t="s">
        <v>288</v>
      </c>
      <c r="D49" s="8">
        <v>198</v>
      </c>
      <c r="E49" s="8" t="s">
        <v>289</v>
      </c>
    </row>
    <row r="50" spans="1:5" ht="11.25" customHeight="1" x14ac:dyDescent="0.25">
      <c r="A50" s="8" t="s">
        <v>286</v>
      </c>
      <c r="B50" s="8" t="s">
        <v>287</v>
      </c>
      <c r="C50" s="8" t="s">
        <v>288</v>
      </c>
      <c r="D50" s="8">
        <v>199</v>
      </c>
      <c r="E50" s="8" t="s">
        <v>289</v>
      </c>
    </row>
    <row r="51" spans="1:5" ht="11.25" customHeight="1" x14ac:dyDescent="0.25">
      <c r="A51" s="8" t="s">
        <v>286</v>
      </c>
      <c r="B51" s="8" t="s">
        <v>287</v>
      </c>
      <c r="C51" s="8" t="s">
        <v>288</v>
      </c>
      <c r="D51" s="8">
        <v>200</v>
      </c>
      <c r="E51" s="8" t="s">
        <v>289</v>
      </c>
    </row>
    <row r="52" spans="1:5" ht="11.25" customHeight="1" x14ac:dyDescent="0.25">
      <c r="A52" s="8" t="s">
        <v>286</v>
      </c>
      <c r="B52" s="8" t="s">
        <v>287</v>
      </c>
      <c r="C52" s="8" t="s">
        <v>288</v>
      </c>
      <c r="D52" s="8">
        <v>201</v>
      </c>
      <c r="E52" s="8" t="s">
        <v>289</v>
      </c>
    </row>
    <row r="53" spans="1:5" ht="11.25" customHeight="1" x14ac:dyDescent="0.25">
      <c r="A53" s="8" t="s">
        <v>286</v>
      </c>
      <c r="B53" s="8" t="s">
        <v>287</v>
      </c>
      <c r="C53" s="8" t="s">
        <v>288</v>
      </c>
      <c r="D53" s="8">
        <v>202</v>
      </c>
      <c r="E53" s="8" t="s">
        <v>289</v>
      </c>
    </row>
    <row r="54" spans="1:5" ht="11.25" customHeight="1" x14ac:dyDescent="0.25">
      <c r="A54" s="8" t="s">
        <v>286</v>
      </c>
      <c r="B54" s="8" t="s">
        <v>287</v>
      </c>
      <c r="C54" s="8" t="s">
        <v>288</v>
      </c>
      <c r="D54" s="8">
        <v>203</v>
      </c>
      <c r="E54" s="8" t="s">
        <v>289</v>
      </c>
    </row>
    <row r="55" spans="1:5" ht="11.25" customHeight="1" x14ac:dyDescent="0.25">
      <c r="A55" s="8" t="s">
        <v>286</v>
      </c>
      <c r="B55" s="8" t="s">
        <v>287</v>
      </c>
      <c r="C55" s="8" t="s">
        <v>288</v>
      </c>
      <c r="D55" s="8">
        <v>204</v>
      </c>
      <c r="E55" s="8" t="s">
        <v>289</v>
      </c>
    </row>
    <row r="56" spans="1:5" ht="11.25" customHeight="1" x14ac:dyDescent="0.25">
      <c r="A56" s="8" t="s">
        <v>286</v>
      </c>
      <c r="B56" s="8" t="s">
        <v>287</v>
      </c>
      <c r="C56" s="8" t="s">
        <v>288</v>
      </c>
      <c r="D56" s="8">
        <v>205</v>
      </c>
      <c r="E56" s="8" t="s">
        <v>289</v>
      </c>
    </row>
    <row r="57" spans="1:5" ht="11.25" customHeight="1" x14ac:dyDescent="0.25">
      <c r="A57" s="8" t="s">
        <v>286</v>
      </c>
      <c r="B57" s="8" t="s">
        <v>287</v>
      </c>
      <c r="C57" s="8" t="s">
        <v>288</v>
      </c>
      <c r="D57" s="8">
        <v>206</v>
      </c>
      <c r="E57" s="8" t="s">
        <v>289</v>
      </c>
    </row>
    <row r="58" spans="1:5" ht="11.25" customHeight="1" x14ac:dyDescent="0.25">
      <c r="A58" s="8" t="s">
        <v>286</v>
      </c>
      <c r="B58" s="8" t="s">
        <v>287</v>
      </c>
      <c r="C58" s="8" t="s">
        <v>288</v>
      </c>
      <c r="D58" s="8">
        <v>231</v>
      </c>
      <c r="E58" s="8" t="s">
        <v>289</v>
      </c>
    </row>
    <row r="59" spans="1:5" ht="11.25" customHeight="1" x14ac:dyDescent="0.25">
      <c r="A59" s="8" t="s">
        <v>286</v>
      </c>
      <c r="B59" s="8" t="s">
        <v>287</v>
      </c>
      <c r="C59" s="8" t="s">
        <v>288</v>
      </c>
      <c r="D59" s="8">
        <v>232</v>
      </c>
      <c r="E59" s="8" t="s">
        <v>289</v>
      </c>
    </row>
    <row r="60" spans="1:5" ht="11.25" customHeight="1" x14ac:dyDescent="0.25">
      <c r="A60" s="8" t="s">
        <v>286</v>
      </c>
      <c r="B60" s="8" t="s">
        <v>287</v>
      </c>
      <c r="C60" s="8" t="s">
        <v>288</v>
      </c>
      <c r="D60" s="8">
        <v>233</v>
      </c>
      <c r="E60" s="8" t="s">
        <v>289</v>
      </c>
    </row>
    <row r="61" spans="1:5" ht="11.25" customHeight="1" x14ac:dyDescent="0.25">
      <c r="A61" s="8" t="s">
        <v>286</v>
      </c>
      <c r="B61" s="8" t="s">
        <v>287</v>
      </c>
      <c r="C61" s="8" t="s">
        <v>288</v>
      </c>
      <c r="D61" s="8">
        <v>234</v>
      </c>
      <c r="E61" s="8" t="s">
        <v>289</v>
      </c>
    </row>
    <row r="62" spans="1:5" ht="11.25" customHeight="1" x14ac:dyDescent="0.25">
      <c r="A62" s="8" t="s">
        <v>286</v>
      </c>
      <c r="B62" s="8" t="s">
        <v>287</v>
      </c>
      <c r="C62" s="8" t="s">
        <v>288</v>
      </c>
      <c r="D62" s="8">
        <v>235</v>
      </c>
      <c r="E62" s="8" t="s">
        <v>289</v>
      </c>
    </row>
    <row r="63" spans="1:5" ht="11.25" customHeight="1" x14ac:dyDescent="0.25">
      <c r="A63" s="8" t="s">
        <v>286</v>
      </c>
      <c r="B63" s="8" t="s">
        <v>287</v>
      </c>
      <c r="C63" s="8" t="s">
        <v>288</v>
      </c>
      <c r="D63" s="8">
        <v>236</v>
      </c>
      <c r="E63" s="8" t="s">
        <v>289</v>
      </c>
    </row>
    <row r="64" spans="1:5" ht="11.25" customHeight="1" x14ac:dyDescent="0.25">
      <c r="A64" s="8" t="s">
        <v>286</v>
      </c>
      <c r="B64" s="8" t="s">
        <v>287</v>
      </c>
      <c r="C64" s="8" t="s">
        <v>288</v>
      </c>
      <c r="D64" s="8">
        <v>237</v>
      </c>
      <c r="E64" s="8" t="s">
        <v>289</v>
      </c>
    </row>
    <row r="65" spans="1:5" ht="11.25" customHeight="1" x14ac:dyDescent="0.25">
      <c r="A65" s="8" t="s">
        <v>286</v>
      </c>
      <c r="B65" s="8" t="s">
        <v>287</v>
      </c>
      <c r="C65" s="8" t="s">
        <v>288</v>
      </c>
      <c r="D65" s="8">
        <v>238</v>
      </c>
      <c r="E65" s="8" t="s">
        <v>289</v>
      </c>
    </row>
    <row r="66" spans="1:5" ht="11.25" customHeight="1" x14ac:dyDescent="0.25">
      <c r="A66" s="8" t="s">
        <v>286</v>
      </c>
      <c r="B66" s="8" t="s">
        <v>287</v>
      </c>
      <c r="C66" s="8" t="s">
        <v>288</v>
      </c>
      <c r="D66" s="8">
        <v>239</v>
      </c>
      <c r="E66" s="8" t="s">
        <v>289</v>
      </c>
    </row>
    <row r="67" spans="1:5" ht="11.25" customHeight="1" x14ac:dyDescent="0.25">
      <c r="A67" s="8" t="s">
        <v>286</v>
      </c>
      <c r="B67" s="8" t="s">
        <v>287</v>
      </c>
      <c r="C67" s="8" t="s">
        <v>288</v>
      </c>
      <c r="D67" s="8">
        <v>240</v>
      </c>
      <c r="E67" s="8" t="s">
        <v>289</v>
      </c>
    </row>
    <row r="68" spans="1:5" ht="11.25" customHeight="1" x14ac:dyDescent="0.25">
      <c r="A68" s="8" t="s">
        <v>286</v>
      </c>
      <c r="B68" s="8" t="s">
        <v>287</v>
      </c>
      <c r="C68" s="8" t="s">
        <v>288</v>
      </c>
      <c r="D68" s="8">
        <v>241</v>
      </c>
      <c r="E68" s="8" t="s">
        <v>289</v>
      </c>
    </row>
    <row r="69" spans="1:5" ht="11.25" customHeight="1" x14ac:dyDescent="0.25">
      <c r="A69" s="8" t="s">
        <v>286</v>
      </c>
      <c r="B69" s="8" t="s">
        <v>287</v>
      </c>
      <c r="C69" s="8" t="s">
        <v>288</v>
      </c>
      <c r="D69" s="8">
        <v>242</v>
      </c>
      <c r="E69" s="8" t="s">
        <v>289</v>
      </c>
    </row>
    <row r="70" spans="1:5" ht="11.25" customHeight="1" x14ac:dyDescent="0.25">
      <c r="A70" s="8" t="s">
        <v>286</v>
      </c>
      <c r="B70" s="8" t="s">
        <v>287</v>
      </c>
      <c r="C70" s="8" t="s">
        <v>288</v>
      </c>
      <c r="D70" s="8">
        <v>288</v>
      </c>
      <c r="E70" s="8" t="s">
        <v>289</v>
      </c>
    </row>
    <row r="71" spans="1:5" ht="11.25" customHeight="1" x14ac:dyDescent="0.25">
      <c r="A71" s="8" t="s">
        <v>286</v>
      </c>
      <c r="B71" s="8" t="s">
        <v>287</v>
      </c>
      <c r="C71" s="8" t="s">
        <v>288</v>
      </c>
      <c r="D71" s="8">
        <v>289</v>
      </c>
      <c r="E71" s="8" t="s">
        <v>289</v>
      </c>
    </row>
    <row r="72" spans="1:5" ht="11.25" customHeight="1" x14ac:dyDescent="0.25">
      <c r="A72" s="8" t="s">
        <v>286</v>
      </c>
      <c r="B72" s="8" t="s">
        <v>287</v>
      </c>
      <c r="C72" s="8" t="s">
        <v>288</v>
      </c>
      <c r="D72" s="8">
        <v>290</v>
      </c>
      <c r="E72" s="8" t="s">
        <v>289</v>
      </c>
    </row>
    <row r="73" spans="1:5" ht="11.25" customHeight="1" x14ac:dyDescent="0.25">
      <c r="A73" s="8" t="s">
        <v>286</v>
      </c>
      <c r="B73" s="8" t="s">
        <v>287</v>
      </c>
      <c r="C73" s="8" t="s">
        <v>288</v>
      </c>
      <c r="D73" s="8">
        <v>291</v>
      </c>
      <c r="E73" s="8" t="s">
        <v>289</v>
      </c>
    </row>
    <row r="74" spans="1:5" ht="11.25" customHeight="1" x14ac:dyDescent="0.25">
      <c r="A74" s="8" t="s">
        <v>286</v>
      </c>
      <c r="B74" s="8" t="s">
        <v>287</v>
      </c>
      <c r="C74" s="8" t="s">
        <v>288</v>
      </c>
      <c r="D74" s="8">
        <v>292</v>
      </c>
      <c r="E74" s="8" t="s">
        <v>289</v>
      </c>
    </row>
    <row r="75" spans="1:5" ht="11.25" customHeight="1" x14ac:dyDescent="0.25">
      <c r="A75" s="8" t="s">
        <v>286</v>
      </c>
      <c r="B75" s="8" t="s">
        <v>287</v>
      </c>
      <c r="C75" s="8" t="s">
        <v>288</v>
      </c>
      <c r="D75" s="8">
        <v>293</v>
      </c>
      <c r="E75" s="8" t="s">
        <v>289</v>
      </c>
    </row>
    <row r="76" spans="1:5" ht="11.25" customHeight="1" x14ac:dyDescent="0.25">
      <c r="A76" s="8" t="s">
        <v>286</v>
      </c>
      <c r="B76" s="8" t="s">
        <v>287</v>
      </c>
      <c r="C76" s="8" t="s">
        <v>288</v>
      </c>
      <c r="D76" s="8">
        <v>294</v>
      </c>
      <c r="E76" s="8" t="s">
        <v>289</v>
      </c>
    </row>
    <row r="77" spans="1:5" ht="11.25" customHeight="1" x14ac:dyDescent="0.25">
      <c r="A77" s="8" t="s">
        <v>286</v>
      </c>
      <c r="B77" s="8" t="s">
        <v>287</v>
      </c>
      <c r="C77" s="8" t="s">
        <v>288</v>
      </c>
      <c r="D77" s="8">
        <v>295</v>
      </c>
      <c r="E77" s="8" t="s">
        <v>289</v>
      </c>
    </row>
    <row r="78" spans="1:5" ht="11.25" customHeight="1" x14ac:dyDescent="0.25">
      <c r="A78" s="8" t="s">
        <v>286</v>
      </c>
      <c r="B78" s="8" t="s">
        <v>287</v>
      </c>
      <c r="C78" s="8" t="s">
        <v>288</v>
      </c>
      <c r="D78" s="8">
        <v>296</v>
      </c>
      <c r="E78" s="8" t="s">
        <v>289</v>
      </c>
    </row>
    <row r="79" spans="1:5" ht="11.25" customHeight="1" x14ac:dyDescent="0.25">
      <c r="A79" s="8" t="s">
        <v>286</v>
      </c>
      <c r="B79" s="8" t="s">
        <v>287</v>
      </c>
      <c r="C79" s="8" t="s">
        <v>288</v>
      </c>
      <c r="D79" s="8">
        <v>297</v>
      </c>
      <c r="E79" s="8" t="s">
        <v>289</v>
      </c>
    </row>
    <row r="80" spans="1:5" ht="11.25" customHeight="1" x14ac:dyDescent="0.25">
      <c r="A80" s="8" t="s">
        <v>286</v>
      </c>
      <c r="B80" s="8" t="s">
        <v>287</v>
      </c>
      <c r="C80" s="8" t="s">
        <v>288</v>
      </c>
      <c r="D80" s="8">
        <v>298</v>
      </c>
      <c r="E80" s="8" t="s">
        <v>289</v>
      </c>
    </row>
    <row r="81" spans="1:5" ht="11.25" customHeight="1" x14ac:dyDescent="0.25">
      <c r="A81" s="8" t="s">
        <v>286</v>
      </c>
      <c r="B81" s="8" t="s">
        <v>287</v>
      </c>
      <c r="C81" s="8" t="s">
        <v>288</v>
      </c>
      <c r="D81" s="8">
        <v>299</v>
      </c>
      <c r="E81" s="8" t="s">
        <v>289</v>
      </c>
    </row>
    <row r="82" spans="1:5" ht="11.25" customHeight="1" x14ac:dyDescent="0.25">
      <c r="A82" s="8" t="s">
        <v>286</v>
      </c>
      <c r="B82" s="8" t="s">
        <v>287</v>
      </c>
      <c r="C82" s="8" t="s">
        <v>288</v>
      </c>
      <c r="D82" s="8">
        <v>300</v>
      </c>
      <c r="E82" s="8" t="s">
        <v>289</v>
      </c>
    </row>
    <row r="83" spans="1:5" ht="11.25" customHeight="1" x14ac:dyDescent="0.25">
      <c r="A83" s="8" t="s">
        <v>286</v>
      </c>
      <c r="B83" s="8" t="s">
        <v>287</v>
      </c>
      <c r="C83" s="8" t="s">
        <v>288</v>
      </c>
      <c r="D83" s="8">
        <v>301</v>
      </c>
      <c r="E83" s="8" t="s">
        <v>289</v>
      </c>
    </row>
    <row r="84" spans="1:5" ht="11.25" customHeight="1" x14ac:dyDescent="0.25">
      <c r="A84" s="8" t="s">
        <v>286</v>
      </c>
      <c r="B84" s="8" t="s">
        <v>287</v>
      </c>
      <c r="C84" s="8" t="s">
        <v>288</v>
      </c>
      <c r="D84" s="8">
        <v>302</v>
      </c>
      <c r="E84" s="8" t="s">
        <v>289</v>
      </c>
    </row>
    <row r="85" spans="1:5" ht="11.25" customHeight="1" x14ac:dyDescent="0.25">
      <c r="A85" s="8" t="s">
        <v>286</v>
      </c>
      <c r="B85" s="8" t="s">
        <v>287</v>
      </c>
      <c r="C85" s="8" t="s">
        <v>288</v>
      </c>
      <c r="D85" s="8">
        <v>303</v>
      </c>
      <c r="E85" s="8" t="s">
        <v>289</v>
      </c>
    </row>
    <row r="86" spans="1:5" ht="11.25" customHeight="1" x14ac:dyDescent="0.25">
      <c r="A86" s="8" t="s">
        <v>286</v>
      </c>
      <c r="B86" s="8" t="s">
        <v>287</v>
      </c>
      <c r="C86" s="8" t="s">
        <v>288</v>
      </c>
      <c r="D86" s="8">
        <v>304</v>
      </c>
      <c r="E86" s="8" t="s">
        <v>289</v>
      </c>
    </row>
    <row r="87" spans="1:5" ht="11.25" customHeight="1" x14ac:dyDescent="0.25">
      <c r="A87" s="8" t="s">
        <v>286</v>
      </c>
      <c r="B87" s="8" t="s">
        <v>287</v>
      </c>
      <c r="C87" s="8" t="s">
        <v>288</v>
      </c>
      <c r="D87" s="8">
        <v>305</v>
      </c>
      <c r="E87" s="8" t="s">
        <v>289</v>
      </c>
    </row>
    <row r="88" spans="1:5" ht="11.25" customHeight="1" x14ac:dyDescent="0.25">
      <c r="A88" s="8" t="s">
        <v>286</v>
      </c>
      <c r="B88" s="8" t="s">
        <v>287</v>
      </c>
      <c r="C88" s="8" t="s">
        <v>288</v>
      </c>
      <c r="D88" s="8">
        <v>306</v>
      </c>
      <c r="E88" s="8" t="s">
        <v>289</v>
      </c>
    </row>
    <row r="89" spans="1:5" ht="11.25" customHeight="1" x14ac:dyDescent="0.25">
      <c r="A89" s="8" t="s">
        <v>286</v>
      </c>
      <c r="B89" s="8" t="s">
        <v>287</v>
      </c>
      <c r="C89" s="8" t="s">
        <v>288</v>
      </c>
      <c r="D89" s="8">
        <v>307</v>
      </c>
      <c r="E89" s="8" t="s">
        <v>289</v>
      </c>
    </row>
    <row r="90" spans="1:5" ht="11.25" customHeight="1" x14ac:dyDescent="0.25">
      <c r="A90" s="8" t="s">
        <v>286</v>
      </c>
      <c r="B90" s="8" t="s">
        <v>287</v>
      </c>
      <c r="C90" s="8" t="s">
        <v>288</v>
      </c>
      <c r="D90" s="8">
        <v>308</v>
      </c>
      <c r="E90" s="8" t="s">
        <v>289</v>
      </c>
    </row>
    <row r="91" spans="1:5" ht="11.25" customHeight="1" x14ac:dyDescent="0.25">
      <c r="A91" s="8" t="s">
        <v>286</v>
      </c>
      <c r="B91" s="8" t="s">
        <v>287</v>
      </c>
      <c r="C91" s="8" t="s">
        <v>288</v>
      </c>
      <c r="D91" s="8">
        <v>309</v>
      </c>
      <c r="E91" s="8" t="s">
        <v>289</v>
      </c>
    </row>
    <row r="92" spans="1:5" ht="11.25" customHeight="1" x14ac:dyDescent="0.25">
      <c r="A92" s="8" t="s">
        <v>286</v>
      </c>
      <c r="B92" s="8" t="s">
        <v>287</v>
      </c>
      <c r="C92" s="8" t="s">
        <v>288</v>
      </c>
      <c r="D92" s="8">
        <v>341</v>
      </c>
      <c r="E92" s="8" t="s">
        <v>289</v>
      </c>
    </row>
    <row r="93" spans="1:5" ht="11.25" customHeight="1" x14ac:dyDescent="0.25">
      <c r="A93" s="8" t="s">
        <v>286</v>
      </c>
      <c r="B93" s="8" t="s">
        <v>287</v>
      </c>
      <c r="C93" s="8" t="s">
        <v>288</v>
      </c>
      <c r="D93" s="8">
        <v>342</v>
      </c>
      <c r="E93" s="8" t="s">
        <v>289</v>
      </c>
    </row>
    <row r="94" spans="1:5" ht="11.25" customHeight="1" x14ac:dyDescent="0.25">
      <c r="A94" s="8" t="s">
        <v>286</v>
      </c>
      <c r="B94" s="8" t="s">
        <v>287</v>
      </c>
      <c r="C94" s="8" t="s">
        <v>288</v>
      </c>
      <c r="D94" s="8">
        <v>343</v>
      </c>
      <c r="E94" s="8" t="s">
        <v>289</v>
      </c>
    </row>
    <row r="95" spans="1:5" ht="11.25" customHeight="1" x14ac:dyDescent="0.25">
      <c r="A95" s="8" t="s">
        <v>286</v>
      </c>
      <c r="B95" s="8" t="s">
        <v>287</v>
      </c>
      <c r="C95" s="8" t="s">
        <v>288</v>
      </c>
      <c r="D95" s="8">
        <v>344</v>
      </c>
      <c r="E95" s="8" t="s">
        <v>289</v>
      </c>
    </row>
    <row r="96" spans="1:5" ht="11.25" customHeight="1" x14ac:dyDescent="0.25">
      <c r="A96" s="8" t="s">
        <v>286</v>
      </c>
      <c r="B96" s="8" t="s">
        <v>287</v>
      </c>
      <c r="C96" s="8" t="s">
        <v>288</v>
      </c>
      <c r="D96" s="8">
        <v>345</v>
      </c>
      <c r="E96" s="8" t="s">
        <v>289</v>
      </c>
    </row>
    <row r="97" spans="1:5" ht="11.25" customHeight="1" x14ac:dyDescent="0.25">
      <c r="A97" s="8" t="s">
        <v>286</v>
      </c>
      <c r="B97" s="8" t="s">
        <v>287</v>
      </c>
      <c r="C97" s="8" t="s">
        <v>288</v>
      </c>
      <c r="D97" s="8">
        <v>346</v>
      </c>
      <c r="E97" s="8" t="s">
        <v>289</v>
      </c>
    </row>
    <row r="98" spans="1:5" ht="11.25" customHeight="1" x14ac:dyDescent="0.25">
      <c r="A98" s="8" t="s">
        <v>286</v>
      </c>
      <c r="B98" s="8" t="s">
        <v>287</v>
      </c>
      <c r="C98" s="8" t="s">
        <v>288</v>
      </c>
      <c r="D98" s="8">
        <v>347</v>
      </c>
      <c r="E98" s="8" t="s">
        <v>289</v>
      </c>
    </row>
    <row r="99" spans="1:5" ht="11.25" customHeight="1" x14ac:dyDescent="0.25">
      <c r="A99" s="8" t="s">
        <v>286</v>
      </c>
      <c r="B99" s="8" t="s">
        <v>287</v>
      </c>
      <c r="C99" s="8" t="s">
        <v>288</v>
      </c>
      <c r="D99" s="8">
        <v>348</v>
      </c>
      <c r="E99" s="8" t="s">
        <v>289</v>
      </c>
    </row>
    <row r="100" spans="1:5" ht="11.25" customHeight="1" x14ac:dyDescent="0.25">
      <c r="A100" s="8" t="s">
        <v>286</v>
      </c>
      <c r="B100" s="8" t="s">
        <v>287</v>
      </c>
      <c r="C100" s="8" t="s">
        <v>288</v>
      </c>
      <c r="D100" s="8">
        <v>349</v>
      </c>
      <c r="E100" s="8" t="s">
        <v>289</v>
      </c>
    </row>
    <row r="101" spans="1:5" ht="11.25" customHeight="1" x14ac:dyDescent="0.25">
      <c r="A101" s="8" t="s">
        <v>286</v>
      </c>
      <c r="B101" s="8" t="s">
        <v>287</v>
      </c>
      <c r="C101" s="8" t="s">
        <v>288</v>
      </c>
      <c r="D101" s="8">
        <v>350</v>
      </c>
      <c r="E101" s="8" t="s">
        <v>289</v>
      </c>
    </row>
    <row r="102" spans="1:5" ht="11.25" customHeight="1" x14ac:dyDescent="0.25">
      <c r="A102" s="8" t="s">
        <v>286</v>
      </c>
      <c r="B102" s="8" t="s">
        <v>287</v>
      </c>
      <c r="C102" s="8" t="s">
        <v>288</v>
      </c>
      <c r="D102" s="8">
        <v>351</v>
      </c>
      <c r="E102" s="8" t="s">
        <v>289</v>
      </c>
    </row>
    <row r="103" spans="1:5" ht="11.25" customHeight="1" x14ac:dyDescent="0.25">
      <c r="A103" s="8" t="s">
        <v>286</v>
      </c>
      <c r="B103" s="8" t="s">
        <v>287</v>
      </c>
      <c r="C103" s="8" t="s">
        <v>288</v>
      </c>
      <c r="D103" s="8">
        <v>352</v>
      </c>
      <c r="E103" s="8" t="s">
        <v>289</v>
      </c>
    </row>
    <row r="104" spans="1:5" ht="11.25" customHeight="1" x14ac:dyDescent="0.25">
      <c r="A104" s="8" t="s">
        <v>286</v>
      </c>
      <c r="B104" s="8" t="s">
        <v>287</v>
      </c>
      <c r="C104" s="8" t="s">
        <v>288</v>
      </c>
      <c r="D104" s="8">
        <v>377</v>
      </c>
      <c r="E104" s="8" t="s">
        <v>289</v>
      </c>
    </row>
    <row r="105" spans="1:5" ht="11.25" customHeight="1" x14ac:dyDescent="0.25">
      <c r="A105" s="8" t="s">
        <v>286</v>
      </c>
      <c r="B105" s="8" t="s">
        <v>287</v>
      </c>
      <c r="C105" s="8" t="s">
        <v>288</v>
      </c>
      <c r="D105" s="8">
        <v>378</v>
      </c>
      <c r="E105" s="8" t="s">
        <v>289</v>
      </c>
    </row>
    <row r="106" spans="1:5" ht="11.25" customHeight="1" x14ac:dyDescent="0.25">
      <c r="A106" s="8" t="s">
        <v>286</v>
      </c>
      <c r="B106" s="8" t="s">
        <v>287</v>
      </c>
      <c r="C106" s="8" t="s">
        <v>288</v>
      </c>
      <c r="D106" s="8">
        <v>379</v>
      </c>
      <c r="E106" s="8" t="s">
        <v>289</v>
      </c>
    </row>
    <row r="107" spans="1:5" ht="11.25" customHeight="1" x14ac:dyDescent="0.25">
      <c r="A107" s="8" t="s">
        <v>286</v>
      </c>
      <c r="B107" s="8" t="s">
        <v>287</v>
      </c>
      <c r="C107" s="8" t="s">
        <v>288</v>
      </c>
      <c r="D107" s="8">
        <v>380</v>
      </c>
      <c r="E107" s="8" t="s">
        <v>289</v>
      </c>
    </row>
    <row r="108" spans="1:5" ht="11.25" customHeight="1" x14ac:dyDescent="0.25">
      <c r="A108" s="8" t="s">
        <v>286</v>
      </c>
      <c r="B108" s="8" t="s">
        <v>287</v>
      </c>
      <c r="C108" s="8" t="s">
        <v>288</v>
      </c>
      <c r="D108" s="8">
        <v>381</v>
      </c>
      <c r="E108" s="8" t="s">
        <v>289</v>
      </c>
    </row>
    <row r="109" spans="1:5" ht="11.25" customHeight="1" x14ac:dyDescent="0.25">
      <c r="A109" s="8" t="s">
        <v>286</v>
      </c>
      <c r="B109" s="8" t="s">
        <v>287</v>
      </c>
      <c r="C109" s="8" t="s">
        <v>288</v>
      </c>
      <c r="D109" s="8">
        <v>382</v>
      </c>
      <c r="E109" s="8" t="s">
        <v>289</v>
      </c>
    </row>
    <row r="110" spans="1:5" ht="11.25" customHeight="1" x14ac:dyDescent="0.25">
      <c r="A110" s="8" t="s">
        <v>286</v>
      </c>
      <c r="B110" s="8" t="s">
        <v>287</v>
      </c>
      <c r="C110" s="8" t="s">
        <v>288</v>
      </c>
      <c r="D110" s="8">
        <v>383</v>
      </c>
      <c r="E110" s="8" t="s">
        <v>289</v>
      </c>
    </row>
    <row r="111" spans="1:5" ht="11.25" customHeight="1" x14ac:dyDescent="0.25">
      <c r="A111" s="8" t="s">
        <v>286</v>
      </c>
      <c r="B111" s="8" t="s">
        <v>287</v>
      </c>
      <c r="C111" s="8" t="s">
        <v>288</v>
      </c>
      <c r="D111" s="8">
        <v>384</v>
      </c>
      <c r="E111" s="8" t="s">
        <v>289</v>
      </c>
    </row>
    <row r="112" spans="1:5" ht="11.25" customHeight="1" x14ac:dyDescent="0.25">
      <c r="A112" s="8" t="s">
        <v>286</v>
      </c>
      <c r="B112" s="8" t="s">
        <v>287</v>
      </c>
      <c r="C112" s="8" t="s">
        <v>288</v>
      </c>
      <c r="D112" s="8">
        <v>385</v>
      </c>
      <c r="E112" s="8" t="s">
        <v>289</v>
      </c>
    </row>
    <row r="113" spans="1:5" ht="11.25" customHeight="1" x14ac:dyDescent="0.25">
      <c r="A113" s="8" t="s">
        <v>286</v>
      </c>
      <c r="B113" s="8" t="s">
        <v>287</v>
      </c>
      <c r="C113" s="8" t="s">
        <v>288</v>
      </c>
      <c r="D113" s="8">
        <v>386</v>
      </c>
      <c r="E113" s="8" t="s">
        <v>289</v>
      </c>
    </row>
    <row r="114" spans="1:5" ht="11.25" customHeight="1" x14ac:dyDescent="0.25">
      <c r="A114" s="8" t="s">
        <v>286</v>
      </c>
      <c r="B114" s="8" t="s">
        <v>287</v>
      </c>
      <c r="C114" s="8" t="s">
        <v>288</v>
      </c>
      <c r="D114" s="8">
        <v>387</v>
      </c>
      <c r="E114" s="8" t="s">
        <v>289</v>
      </c>
    </row>
    <row r="115" spans="1:5" ht="11.25" customHeight="1" x14ac:dyDescent="0.25">
      <c r="A115" s="8" t="s">
        <v>286</v>
      </c>
      <c r="B115" s="8" t="s">
        <v>287</v>
      </c>
      <c r="C115" s="8" t="s">
        <v>288</v>
      </c>
      <c r="D115" s="8">
        <v>388</v>
      </c>
      <c r="E115" s="8" t="s">
        <v>289</v>
      </c>
    </row>
    <row r="116" spans="1:5" ht="11.25" customHeight="1" x14ac:dyDescent="0.25">
      <c r="A116" s="8" t="s">
        <v>286</v>
      </c>
      <c r="C116" s="8" t="s">
        <v>486</v>
      </c>
      <c r="D116" s="8">
        <v>39</v>
      </c>
      <c r="E116" s="8" t="s">
        <v>9</v>
      </c>
    </row>
    <row r="117" spans="1:5" ht="11.25" customHeight="1" x14ac:dyDescent="0.25">
      <c r="A117" s="8" t="s">
        <v>286</v>
      </c>
      <c r="C117" s="8" t="s">
        <v>486</v>
      </c>
      <c r="D117" s="8">
        <v>39</v>
      </c>
      <c r="E117" s="8" t="s">
        <v>9</v>
      </c>
    </row>
    <row r="118" spans="1:5" ht="11.25" customHeight="1" x14ac:dyDescent="0.25">
      <c r="A118" s="8" t="s">
        <v>286</v>
      </c>
      <c r="C118" s="8" t="s">
        <v>486</v>
      </c>
      <c r="D118" s="8">
        <v>39</v>
      </c>
      <c r="E118" s="8" t="s">
        <v>9</v>
      </c>
    </row>
    <row r="119" spans="1:5" ht="11.25" customHeight="1" x14ac:dyDescent="0.25">
      <c r="A119" s="8" t="s">
        <v>286</v>
      </c>
      <c r="C119" s="8" t="s">
        <v>486</v>
      </c>
      <c r="D119" s="8">
        <v>39</v>
      </c>
      <c r="E119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EB6AA-1C7A-452D-BA95-A93C15C5A60B}">
  <sheetPr codeName="Planilha3"/>
  <dimension ref="A1:AX85"/>
  <sheetViews>
    <sheetView showGridLines="0" workbookViewId="0"/>
  </sheetViews>
  <sheetFormatPr defaultColWidth="9.140625" defaultRowHeight="11.25" x14ac:dyDescent="0.25"/>
  <cols>
    <col min="1" max="1" width="4.7109375" style="59" bestFit="1" customWidth="1"/>
    <col min="2" max="2" width="8.85546875" style="59" bestFit="1" customWidth="1"/>
    <col min="3" max="3" width="8.7109375" style="59" bestFit="1" customWidth="1"/>
    <col min="4" max="4" width="27.140625" style="59" bestFit="1" customWidth="1"/>
    <col min="5" max="5" width="13.5703125" style="59" bestFit="1" customWidth="1"/>
    <col min="6" max="6" width="25.140625" style="59" bestFit="1" customWidth="1"/>
    <col min="7" max="9" width="10.28515625" style="59" bestFit="1" customWidth="1"/>
    <col min="10" max="10" width="6.85546875" style="59" bestFit="1" customWidth="1"/>
    <col min="11" max="11" width="4.5703125" style="59" bestFit="1" customWidth="1"/>
    <col min="12" max="12" width="4.42578125" style="59" bestFit="1" customWidth="1"/>
    <col min="13" max="13" width="6.7109375" style="59" bestFit="1" customWidth="1"/>
    <col min="14" max="14" width="6.28515625" style="59" bestFit="1" customWidth="1"/>
    <col min="15" max="15" width="11.140625" style="59" bestFit="1" customWidth="1"/>
    <col min="16" max="16" width="10.42578125" style="59" bestFit="1" customWidth="1"/>
    <col min="17" max="16384" width="9.140625" style="59"/>
  </cols>
  <sheetData>
    <row r="1" spans="1:50" ht="11.25" customHeight="1" x14ac:dyDescent="0.25">
      <c r="A1" s="60" t="s">
        <v>525</v>
      </c>
      <c r="B1" s="60" t="s">
        <v>515</v>
      </c>
      <c r="C1" s="60" t="s">
        <v>1</v>
      </c>
      <c r="D1" s="60" t="s">
        <v>2</v>
      </c>
      <c r="E1" s="60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516</v>
      </c>
      <c r="K1" s="60" t="s">
        <v>517</v>
      </c>
      <c r="L1" s="60" t="s">
        <v>518</v>
      </c>
      <c r="M1" s="60" t="s">
        <v>519</v>
      </c>
      <c r="N1" s="60" t="s">
        <v>520</v>
      </c>
      <c r="O1" s="60" t="s">
        <v>419</v>
      </c>
      <c r="P1" s="60" t="s">
        <v>405</v>
      </c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</row>
    <row r="2" spans="1:50" ht="11.25" customHeight="1" x14ac:dyDescent="0.25">
      <c r="A2" s="61">
        <v>1</v>
      </c>
      <c r="B2" s="61" t="s">
        <v>399</v>
      </c>
      <c r="C2" s="61" t="s">
        <v>37</v>
      </c>
      <c r="D2" s="61" t="s">
        <v>87</v>
      </c>
      <c r="E2" s="61" t="s">
        <v>25</v>
      </c>
      <c r="F2" s="61" t="s">
        <v>25</v>
      </c>
      <c r="G2" s="61" t="s">
        <v>25</v>
      </c>
      <c r="H2" s="61" t="s">
        <v>25</v>
      </c>
      <c r="I2" s="61" t="s">
        <v>36</v>
      </c>
      <c r="J2" s="61" t="s">
        <v>521</v>
      </c>
      <c r="K2" s="61" t="s">
        <v>522</v>
      </c>
      <c r="L2" s="61" t="s">
        <v>73</v>
      </c>
      <c r="M2" s="61">
        <v>2021</v>
      </c>
      <c r="N2" s="61">
        <v>0</v>
      </c>
      <c r="O2" s="61">
        <v>320.89</v>
      </c>
      <c r="P2" s="61">
        <v>54.913693424899598</v>
      </c>
    </row>
    <row r="3" spans="1:50" ht="11.25" customHeight="1" x14ac:dyDescent="0.25">
      <c r="A3" s="61">
        <v>2</v>
      </c>
      <c r="B3" s="61" t="s">
        <v>399</v>
      </c>
      <c r="C3" s="61" t="s">
        <v>37</v>
      </c>
      <c r="D3" s="61" t="s">
        <v>23</v>
      </c>
      <c r="E3" s="61" t="s">
        <v>25</v>
      </c>
      <c r="F3" s="61" t="s">
        <v>25</v>
      </c>
      <c r="G3" s="61" t="s">
        <v>25</v>
      </c>
      <c r="H3" s="61" t="s">
        <v>25</v>
      </c>
      <c r="I3" s="61" t="s">
        <v>25</v>
      </c>
      <c r="J3" s="61" t="s">
        <v>521</v>
      </c>
      <c r="K3" s="61" t="s">
        <v>522</v>
      </c>
      <c r="L3" s="61" t="s">
        <v>73</v>
      </c>
      <c r="M3" s="61">
        <v>2021</v>
      </c>
      <c r="N3" s="61">
        <v>0</v>
      </c>
      <c r="O3" s="61">
        <v>440.1</v>
      </c>
      <c r="P3" s="61">
        <v>54.913693424899598</v>
      </c>
    </row>
    <row r="4" spans="1:50" ht="11.25" customHeight="1" x14ac:dyDescent="0.25">
      <c r="A4" s="61">
        <v>3</v>
      </c>
      <c r="B4" s="61" t="s">
        <v>399</v>
      </c>
      <c r="C4" s="61" t="s">
        <v>37</v>
      </c>
      <c r="D4" s="61" t="s">
        <v>89</v>
      </c>
      <c r="E4" s="61" t="s">
        <v>25</v>
      </c>
      <c r="F4" s="61" t="s">
        <v>25</v>
      </c>
      <c r="G4" s="61" t="s">
        <v>25</v>
      </c>
      <c r="H4" s="61" t="s">
        <v>25</v>
      </c>
      <c r="I4" s="61" t="s">
        <v>25</v>
      </c>
      <c r="J4" s="61" t="s">
        <v>521</v>
      </c>
      <c r="K4" s="61" t="s">
        <v>522</v>
      </c>
      <c r="L4" s="61" t="s">
        <v>73</v>
      </c>
      <c r="M4" s="61">
        <v>2021</v>
      </c>
      <c r="N4" s="61">
        <v>0</v>
      </c>
      <c r="O4" s="61">
        <v>440.1</v>
      </c>
      <c r="P4" s="61">
        <v>54.913693424899598</v>
      </c>
    </row>
    <row r="5" spans="1:50" ht="11.25" customHeight="1" x14ac:dyDescent="0.25">
      <c r="A5" s="61">
        <v>4</v>
      </c>
      <c r="B5" s="61" t="s">
        <v>399</v>
      </c>
      <c r="C5" s="61" t="s">
        <v>44</v>
      </c>
      <c r="D5" s="61" t="s">
        <v>23</v>
      </c>
      <c r="E5" s="61" t="s">
        <v>45</v>
      </c>
      <c r="F5" s="61" t="s">
        <v>46</v>
      </c>
      <c r="G5" s="61" t="s">
        <v>25</v>
      </c>
      <c r="H5" s="61" t="s">
        <v>25</v>
      </c>
      <c r="I5" s="61" t="s">
        <v>25</v>
      </c>
      <c r="J5" s="61" t="s">
        <v>521</v>
      </c>
      <c r="K5" s="61" t="s">
        <v>522</v>
      </c>
      <c r="L5" s="61" t="s">
        <v>73</v>
      </c>
      <c r="M5" s="61">
        <v>2021</v>
      </c>
      <c r="N5" s="61">
        <v>0</v>
      </c>
      <c r="O5" s="61">
        <v>242.06</v>
      </c>
      <c r="P5" s="61">
        <v>30.202531383694801</v>
      </c>
    </row>
    <row r="6" spans="1:50" ht="11.25" customHeight="1" x14ac:dyDescent="0.25">
      <c r="A6" s="61">
        <v>5</v>
      </c>
      <c r="B6" s="61" t="s">
        <v>399</v>
      </c>
      <c r="C6" s="61" t="s">
        <v>44</v>
      </c>
      <c r="D6" s="61" t="s">
        <v>23</v>
      </c>
      <c r="E6" s="61" t="s">
        <v>45</v>
      </c>
      <c r="F6" s="61" t="s">
        <v>47</v>
      </c>
      <c r="G6" s="61" t="s">
        <v>25</v>
      </c>
      <c r="H6" s="61" t="s">
        <v>25</v>
      </c>
      <c r="I6" s="61" t="s">
        <v>25</v>
      </c>
      <c r="J6" s="61" t="s">
        <v>521</v>
      </c>
      <c r="K6" s="61" t="s">
        <v>522</v>
      </c>
      <c r="L6" s="61" t="s">
        <v>73</v>
      </c>
      <c r="M6" s="61">
        <v>2021</v>
      </c>
      <c r="N6" s="61">
        <v>0</v>
      </c>
      <c r="O6" s="61">
        <v>264.06</v>
      </c>
      <c r="P6" s="61">
        <v>32.948216054939699</v>
      </c>
    </row>
    <row r="7" spans="1:50" ht="11.25" customHeight="1" x14ac:dyDescent="0.25">
      <c r="A7" s="61">
        <v>6</v>
      </c>
      <c r="B7" s="61" t="s">
        <v>427</v>
      </c>
      <c r="C7" s="61" t="s">
        <v>33</v>
      </c>
      <c r="D7" s="61" t="s">
        <v>72</v>
      </c>
      <c r="E7" s="61" t="s">
        <v>25</v>
      </c>
      <c r="F7" s="61" t="s">
        <v>25</v>
      </c>
      <c r="G7" s="61" t="s">
        <v>25</v>
      </c>
      <c r="H7" s="61" t="s">
        <v>25</v>
      </c>
      <c r="I7" s="61" t="s">
        <v>35</v>
      </c>
      <c r="J7" s="61" t="s">
        <v>521</v>
      </c>
      <c r="K7" s="61" t="s">
        <v>522</v>
      </c>
      <c r="L7" s="61" t="s">
        <v>73</v>
      </c>
      <c r="M7" s="61">
        <v>2021</v>
      </c>
      <c r="N7" s="61">
        <v>0</v>
      </c>
      <c r="O7" s="61">
        <v>223.72</v>
      </c>
      <c r="P7" s="61"/>
    </row>
    <row r="8" spans="1:50" ht="11.25" customHeight="1" x14ac:dyDescent="0.25">
      <c r="A8" s="61">
        <v>7</v>
      </c>
      <c r="B8" s="61" t="s">
        <v>427</v>
      </c>
      <c r="C8" s="61" t="s">
        <v>22</v>
      </c>
      <c r="D8" s="61" t="s">
        <v>72</v>
      </c>
      <c r="E8" s="61" t="s">
        <v>24</v>
      </c>
      <c r="F8" s="61" t="s">
        <v>24</v>
      </c>
      <c r="G8" s="61" t="s">
        <v>25</v>
      </c>
      <c r="H8" s="61" t="s">
        <v>25</v>
      </c>
      <c r="I8" s="61" t="s">
        <v>523</v>
      </c>
      <c r="J8" s="61" t="s">
        <v>521</v>
      </c>
      <c r="K8" s="61" t="s">
        <v>522</v>
      </c>
      <c r="L8" s="61" t="s">
        <v>73</v>
      </c>
      <c r="M8" s="61">
        <v>2021</v>
      </c>
      <c r="N8" s="61">
        <v>0</v>
      </c>
      <c r="O8" s="61">
        <v>223.72</v>
      </c>
      <c r="P8" s="61"/>
    </row>
    <row r="9" spans="1:50" ht="11.25" customHeight="1" x14ac:dyDescent="0.25">
      <c r="A9" s="61">
        <v>8</v>
      </c>
      <c r="B9" s="61" t="s">
        <v>427</v>
      </c>
      <c r="C9" s="61" t="s">
        <v>22</v>
      </c>
      <c r="D9" s="61" t="s">
        <v>72</v>
      </c>
      <c r="E9" s="61" t="s">
        <v>24</v>
      </c>
      <c r="F9" s="61" t="s">
        <v>24</v>
      </c>
      <c r="G9" s="61" t="s">
        <v>25</v>
      </c>
      <c r="H9" s="61" t="s">
        <v>25</v>
      </c>
      <c r="I9" s="61" t="s">
        <v>36</v>
      </c>
      <c r="J9" s="61" t="s">
        <v>521</v>
      </c>
      <c r="K9" s="61" t="s">
        <v>522</v>
      </c>
      <c r="L9" s="61" t="s">
        <v>73</v>
      </c>
      <c r="M9" s="61">
        <v>2021</v>
      </c>
      <c r="N9" s="61">
        <v>0</v>
      </c>
      <c r="O9" s="61">
        <v>223.72</v>
      </c>
      <c r="P9" s="61"/>
    </row>
    <row r="10" spans="1:50" ht="11.25" customHeight="1" x14ac:dyDescent="0.25">
      <c r="A10" s="61">
        <v>9</v>
      </c>
      <c r="B10" s="61" t="s">
        <v>427</v>
      </c>
      <c r="C10" s="61" t="s">
        <v>22</v>
      </c>
      <c r="D10" s="61" t="s">
        <v>86</v>
      </c>
      <c r="E10" s="61" t="s">
        <v>24</v>
      </c>
      <c r="F10" s="61" t="s">
        <v>24</v>
      </c>
      <c r="G10" s="61" t="s">
        <v>25</v>
      </c>
      <c r="H10" s="61" t="s">
        <v>25</v>
      </c>
      <c r="I10" s="61" t="s">
        <v>25</v>
      </c>
      <c r="J10" s="61" t="s">
        <v>521</v>
      </c>
      <c r="K10" s="61" t="s">
        <v>522</v>
      </c>
      <c r="L10" s="61" t="s">
        <v>73</v>
      </c>
      <c r="M10" s="61">
        <v>2021</v>
      </c>
      <c r="N10" s="61">
        <v>0</v>
      </c>
      <c r="O10" s="61">
        <v>223.72</v>
      </c>
      <c r="P10" s="61"/>
    </row>
    <row r="11" spans="1:50" ht="11.25" customHeight="1" x14ac:dyDescent="0.25">
      <c r="A11" s="61">
        <v>10</v>
      </c>
      <c r="B11" s="61" t="s">
        <v>427</v>
      </c>
      <c r="C11" s="61" t="s">
        <v>22</v>
      </c>
      <c r="D11" s="61" t="s">
        <v>86</v>
      </c>
      <c r="E11" s="61" t="s">
        <v>24</v>
      </c>
      <c r="F11" s="61" t="s">
        <v>29</v>
      </c>
      <c r="G11" s="61" t="s">
        <v>25</v>
      </c>
      <c r="H11" s="61" t="s">
        <v>25</v>
      </c>
      <c r="I11" s="61" t="s">
        <v>25</v>
      </c>
      <c r="J11" s="61" t="s">
        <v>521</v>
      </c>
      <c r="K11" s="61" t="s">
        <v>522</v>
      </c>
      <c r="L11" s="61" t="s">
        <v>73</v>
      </c>
      <c r="M11" s="61">
        <v>2021</v>
      </c>
      <c r="N11" s="61">
        <v>0</v>
      </c>
      <c r="O11" s="61">
        <v>78.3</v>
      </c>
      <c r="P11" s="61"/>
    </row>
    <row r="12" spans="1:50" ht="11.25" customHeight="1" x14ac:dyDescent="0.25">
      <c r="A12" s="61">
        <v>11</v>
      </c>
      <c r="B12" s="61" t="s">
        <v>427</v>
      </c>
      <c r="C12" s="61" t="s">
        <v>22</v>
      </c>
      <c r="D12" s="61" t="s">
        <v>88</v>
      </c>
      <c r="E12" s="61" t="s">
        <v>24</v>
      </c>
      <c r="F12" s="61" t="s">
        <v>24</v>
      </c>
      <c r="G12" s="61" t="s">
        <v>25</v>
      </c>
      <c r="H12" s="61" t="s">
        <v>25</v>
      </c>
      <c r="I12" s="61" t="s">
        <v>25</v>
      </c>
      <c r="J12" s="61" t="s">
        <v>521</v>
      </c>
      <c r="K12" s="61" t="s">
        <v>522</v>
      </c>
      <c r="L12" s="61" t="s">
        <v>73</v>
      </c>
      <c r="M12" s="61">
        <v>2021</v>
      </c>
      <c r="N12" s="61">
        <v>0</v>
      </c>
      <c r="O12" s="61">
        <v>223.72</v>
      </c>
      <c r="P12" s="61"/>
    </row>
    <row r="13" spans="1:50" ht="11.25" customHeight="1" x14ac:dyDescent="0.25">
      <c r="A13" s="61">
        <v>12</v>
      </c>
      <c r="B13" s="61" t="s">
        <v>427</v>
      </c>
      <c r="C13" s="61" t="s">
        <v>22</v>
      </c>
      <c r="D13" s="61" t="s">
        <v>88</v>
      </c>
      <c r="E13" s="61" t="s">
        <v>24</v>
      </c>
      <c r="F13" s="61" t="s">
        <v>29</v>
      </c>
      <c r="G13" s="61" t="s">
        <v>25</v>
      </c>
      <c r="H13" s="61" t="s">
        <v>25</v>
      </c>
      <c r="I13" s="61" t="s">
        <v>25</v>
      </c>
      <c r="J13" s="61" t="s">
        <v>521</v>
      </c>
      <c r="K13" s="61" t="s">
        <v>522</v>
      </c>
      <c r="L13" s="61" t="s">
        <v>73</v>
      </c>
      <c r="M13" s="61">
        <v>2021</v>
      </c>
      <c r="N13" s="61">
        <v>0</v>
      </c>
      <c r="O13" s="61">
        <v>78.3</v>
      </c>
      <c r="P13" s="61"/>
    </row>
    <row r="14" spans="1:50" ht="11.25" customHeight="1" x14ac:dyDescent="0.25">
      <c r="A14" s="61">
        <v>13</v>
      </c>
      <c r="B14" s="61" t="s">
        <v>427</v>
      </c>
      <c r="C14" s="61" t="s">
        <v>22</v>
      </c>
      <c r="D14" s="61" t="s">
        <v>88</v>
      </c>
      <c r="E14" s="61" t="s">
        <v>24</v>
      </c>
      <c r="F14" s="61" t="s">
        <v>30</v>
      </c>
      <c r="G14" s="61" t="s">
        <v>25</v>
      </c>
      <c r="H14" s="61" t="s">
        <v>25</v>
      </c>
      <c r="I14" s="61" t="s">
        <v>25</v>
      </c>
      <c r="J14" s="61" t="s">
        <v>521</v>
      </c>
      <c r="K14" s="61" t="s">
        <v>522</v>
      </c>
      <c r="L14" s="61" t="s">
        <v>73</v>
      </c>
      <c r="M14" s="61">
        <v>2021</v>
      </c>
      <c r="N14" s="61">
        <v>0</v>
      </c>
      <c r="O14" s="61">
        <v>134.22999999999999</v>
      </c>
      <c r="P14" s="61"/>
    </row>
    <row r="15" spans="1:50" ht="11.25" customHeight="1" x14ac:dyDescent="0.25">
      <c r="A15" s="61">
        <v>14</v>
      </c>
      <c r="B15" s="61" t="s">
        <v>427</v>
      </c>
      <c r="C15" s="61" t="s">
        <v>22</v>
      </c>
      <c r="D15" s="61" t="s">
        <v>88</v>
      </c>
      <c r="E15" s="61" t="s">
        <v>24</v>
      </c>
      <c r="F15" s="61" t="s">
        <v>31</v>
      </c>
      <c r="G15" s="61" t="s">
        <v>25</v>
      </c>
      <c r="H15" s="61" t="s">
        <v>25</v>
      </c>
      <c r="I15" s="61" t="s">
        <v>25</v>
      </c>
      <c r="J15" s="61" t="s">
        <v>521</v>
      </c>
      <c r="K15" s="61" t="s">
        <v>522</v>
      </c>
      <c r="L15" s="61" t="s">
        <v>73</v>
      </c>
      <c r="M15" s="61">
        <v>2021</v>
      </c>
      <c r="N15" s="61">
        <v>0</v>
      </c>
      <c r="O15" s="61">
        <v>201.35</v>
      </c>
      <c r="P15" s="61"/>
    </row>
    <row r="16" spans="1:50" ht="11.25" customHeight="1" x14ac:dyDescent="0.25">
      <c r="A16" s="61">
        <v>15</v>
      </c>
      <c r="B16" s="61" t="s">
        <v>427</v>
      </c>
      <c r="C16" s="61" t="s">
        <v>40</v>
      </c>
      <c r="D16" s="61" t="s">
        <v>72</v>
      </c>
      <c r="E16" s="61" t="s">
        <v>41</v>
      </c>
      <c r="F16" s="61" t="s">
        <v>25</v>
      </c>
      <c r="G16" s="61" t="s">
        <v>25</v>
      </c>
      <c r="H16" s="61" t="s">
        <v>25</v>
      </c>
      <c r="I16" s="61" t="s">
        <v>36</v>
      </c>
      <c r="J16" s="61" t="s">
        <v>521</v>
      </c>
      <c r="K16" s="61" t="s">
        <v>522</v>
      </c>
      <c r="L16" s="61" t="s">
        <v>73</v>
      </c>
      <c r="M16" s="61">
        <v>2021</v>
      </c>
      <c r="N16" s="61">
        <v>0</v>
      </c>
      <c r="O16" s="61">
        <v>196.87</v>
      </c>
      <c r="P16" s="61"/>
    </row>
    <row r="17" spans="1:16" ht="11.25" customHeight="1" x14ac:dyDescent="0.25">
      <c r="A17" s="61">
        <v>16</v>
      </c>
      <c r="B17" s="61" t="s">
        <v>427</v>
      </c>
      <c r="C17" s="61" t="s">
        <v>40</v>
      </c>
      <c r="D17" s="61" t="s">
        <v>86</v>
      </c>
      <c r="E17" s="61" t="s">
        <v>41</v>
      </c>
      <c r="F17" s="61" t="s">
        <v>25</v>
      </c>
      <c r="G17" s="61" t="s">
        <v>25</v>
      </c>
      <c r="H17" s="61" t="s">
        <v>25</v>
      </c>
      <c r="I17" s="61" t="s">
        <v>25</v>
      </c>
      <c r="J17" s="61" t="s">
        <v>521</v>
      </c>
      <c r="K17" s="61" t="s">
        <v>522</v>
      </c>
      <c r="L17" s="61" t="s">
        <v>73</v>
      </c>
      <c r="M17" s="61">
        <v>2021</v>
      </c>
      <c r="N17" s="61">
        <v>0</v>
      </c>
      <c r="O17" s="61">
        <v>196.87</v>
      </c>
      <c r="P17" s="61"/>
    </row>
    <row r="18" spans="1:16" ht="11.25" customHeight="1" x14ac:dyDescent="0.25">
      <c r="A18" s="61">
        <v>17</v>
      </c>
      <c r="B18" s="61" t="s">
        <v>427</v>
      </c>
      <c r="C18" s="61" t="s">
        <v>40</v>
      </c>
      <c r="D18" s="61" t="s">
        <v>72</v>
      </c>
      <c r="E18" s="61" t="s">
        <v>41</v>
      </c>
      <c r="F18" s="61" t="s">
        <v>90</v>
      </c>
      <c r="G18" s="61" t="s">
        <v>25</v>
      </c>
      <c r="H18" s="61" t="s">
        <v>25</v>
      </c>
      <c r="I18" s="61" t="s">
        <v>35</v>
      </c>
      <c r="J18" s="61" t="s">
        <v>521</v>
      </c>
      <c r="K18" s="61" t="s">
        <v>522</v>
      </c>
      <c r="L18" s="61" t="s">
        <v>73</v>
      </c>
      <c r="M18" s="61">
        <v>2021</v>
      </c>
      <c r="N18" s="61">
        <v>0</v>
      </c>
      <c r="O18" s="61">
        <v>196.87</v>
      </c>
      <c r="P18" s="61"/>
    </row>
    <row r="19" spans="1:16" ht="11.25" customHeight="1" x14ac:dyDescent="0.25">
      <c r="A19" s="61">
        <v>18</v>
      </c>
      <c r="B19" s="61" t="s">
        <v>427</v>
      </c>
      <c r="C19" s="61" t="s">
        <v>40</v>
      </c>
      <c r="D19" s="61" t="s">
        <v>72</v>
      </c>
      <c r="E19" s="61" t="s">
        <v>41</v>
      </c>
      <c r="F19" s="61" t="s">
        <v>90</v>
      </c>
      <c r="G19" s="61" t="s">
        <v>25</v>
      </c>
      <c r="H19" s="61" t="s">
        <v>25</v>
      </c>
      <c r="I19" s="61" t="s">
        <v>523</v>
      </c>
      <c r="J19" s="61" t="s">
        <v>521</v>
      </c>
      <c r="K19" s="61" t="s">
        <v>522</v>
      </c>
      <c r="L19" s="61" t="s">
        <v>73</v>
      </c>
      <c r="M19" s="61">
        <v>2021</v>
      </c>
      <c r="N19" s="61">
        <v>0</v>
      </c>
      <c r="O19" s="61">
        <v>196.87</v>
      </c>
      <c r="P19" s="61"/>
    </row>
    <row r="20" spans="1:16" ht="11.25" customHeight="1" x14ac:dyDescent="0.25">
      <c r="A20" s="61">
        <v>19</v>
      </c>
      <c r="B20" s="61" t="s">
        <v>427</v>
      </c>
      <c r="C20" s="61" t="s">
        <v>40</v>
      </c>
      <c r="D20" s="61" t="s">
        <v>72</v>
      </c>
      <c r="E20" s="61" t="s">
        <v>41</v>
      </c>
      <c r="F20" s="61" t="s">
        <v>91</v>
      </c>
      <c r="G20" s="61" t="s">
        <v>25</v>
      </c>
      <c r="H20" s="61" t="s">
        <v>25</v>
      </c>
      <c r="I20" s="61" t="s">
        <v>35</v>
      </c>
      <c r="J20" s="61" t="s">
        <v>521</v>
      </c>
      <c r="K20" s="61" t="s">
        <v>522</v>
      </c>
      <c r="L20" s="61" t="s">
        <v>73</v>
      </c>
      <c r="M20" s="61">
        <v>2021</v>
      </c>
      <c r="N20" s="61">
        <v>0</v>
      </c>
      <c r="O20" s="61">
        <v>187.92</v>
      </c>
      <c r="P20" s="61"/>
    </row>
    <row r="21" spans="1:16" ht="11.25" customHeight="1" x14ac:dyDescent="0.25">
      <c r="A21" s="61">
        <v>20</v>
      </c>
      <c r="B21" s="61" t="s">
        <v>427</v>
      </c>
      <c r="C21" s="61" t="s">
        <v>40</v>
      </c>
      <c r="D21" s="61" t="s">
        <v>72</v>
      </c>
      <c r="E21" s="61" t="s">
        <v>41</v>
      </c>
      <c r="F21" s="61" t="s">
        <v>91</v>
      </c>
      <c r="G21" s="61" t="s">
        <v>25</v>
      </c>
      <c r="H21" s="61" t="s">
        <v>25</v>
      </c>
      <c r="I21" s="61" t="s">
        <v>523</v>
      </c>
      <c r="J21" s="61" t="s">
        <v>521</v>
      </c>
      <c r="K21" s="61" t="s">
        <v>522</v>
      </c>
      <c r="L21" s="61" t="s">
        <v>73</v>
      </c>
      <c r="M21" s="61">
        <v>2021</v>
      </c>
      <c r="N21" s="61">
        <v>0</v>
      </c>
      <c r="O21" s="61">
        <v>187.92</v>
      </c>
      <c r="P21" s="61"/>
    </row>
    <row r="22" spans="1:16" ht="11.25" customHeight="1" x14ac:dyDescent="0.25">
      <c r="A22" s="61">
        <v>21</v>
      </c>
      <c r="B22" s="61" t="s">
        <v>427</v>
      </c>
      <c r="C22" s="61" t="s">
        <v>40</v>
      </c>
      <c r="D22" s="61" t="s">
        <v>72</v>
      </c>
      <c r="E22" s="61" t="s">
        <v>41</v>
      </c>
      <c r="F22" s="61" t="s">
        <v>91</v>
      </c>
      <c r="G22" s="61" t="s">
        <v>25</v>
      </c>
      <c r="H22" s="61" t="s">
        <v>25</v>
      </c>
      <c r="I22" s="61" t="s">
        <v>36</v>
      </c>
      <c r="J22" s="61" t="s">
        <v>521</v>
      </c>
      <c r="K22" s="61" t="s">
        <v>522</v>
      </c>
      <c r="L22" s="61" t="s">
        <v>73</v>
      </c>
      <c r="M22" s="61">
        <v>2021</v>
      </c>
      <c r="N22" s="61">
        <v>0</v>
      </c>
      <c r="O22" s="61">
        <v>187.92</v>
      </c>
      <c r="P22" s="61"/>
    </row>
    <row r="23" spans="1:16" ht="11.25" customHeight="1" x14ac:dyDescent="0.25">
      <c r="A23" s="61">
        <v>22</v>
      </c>
      <c r="B23" s="61" t="s">
        <v>427</v>
      </c>
      <c r="C23" s="61" t="s">
        <v>40</v>
      </c>
      <c r="D23" s="61" t="s">
        <v>86</v>
      </c>
      <c r="E23" s="61" t="s">
        <v>41</v>
      </c>
      <c r="F23" s="61" t="s">
        <v>91</v>
      </c>
      <c r="G23" s="61" t="s">
        <v>25</v>
      </c>
      <c r="H23" s="61" t="s">
        <v>25</v>
      </c>
      <c r="I23" s="61" t="s">
        <v>25</v>
      </c>
      <c r="J23" s="61" t="s">
        <v>521</v>
      </c>
      <c r="K23" s="61" t="s">
        <v>522</v>
      </c>
      <c r="L23" s="61" t="s">
        <v>73</v>
      </c>
      <c r="M23" s="61">
        <v>2021</v>
      </c>
      <c r="N23" s="61">
        <v>0</v>
      </c>
      <c r="O23" s="61">
        <v>187.92</v>
      </c>
      <c r="P23" s="61"/>
    </row>
    <row r="24" spans="1:16" ht="11.25" customHeight="1" x14ac:dyDescent="0.25">
      <c r="A24" s="61">
        <v>23</v>
      </c>
      <c r="B24" s="61" t="s">
        <v>427</v>
      </c>
      <c r="C24" s="61" t="s">
        <v>37</v>
      </c>
      <c r="D24" s="61" t="s">
        <v>72</v>
      </c>
      <c r="E24" s="61" t="s">
        <v>25</v>
      </c>
      <c r="F24" s="61" t="s">
        <v>25</v>
      </c>
      <c r="G24" s="61" t="s">
        <v>25</v>
      </c>
      <c r="H24" s="61" t="s">
        <v>25</v>
      </c>
      <c r="I24" s="61" t="s">
        <v>35</v>
      </c>
      <c r="J24" s="61" t="s">
        <v>521</v>
      </c>
      <c r="K24" s="61" t="s">
        <v>522</v>
      </c>
      <c r="L24" s="61" t="s">
        <v>73</v>
      </c>
      <c r="M24" s="61">
        <v>2021</v>
      </c>
      <c r="N24" s="61">
        <v>0</v>
      </c>
      <c r="O24" s="61">
        <v>223.72</v>
      </c>
      <c r="P24" s="61"/>
    </row>
    <row r="25" spans="1:16" ht="11.25" customHeight="1" x14ac:dyDescent="0.25">
      <c r="A25" s="61">
        <v>24</v>
      </c>
      <c r="B25" s="61" t="s">
        <v>427</v>
      </c>
      <c r="C25" s="61" t="s">
        <v>37</v>
      </c>
      <c r="D25" s="61" t="s">
        <v>72</v>
      </c>
      <c r="E25" s="61" t="s">
        <v>25</v>
      </c>
      <c r="F25" s="61" t="s">
        <v>25</v>
      </c>
      <c r="G25" s="61" t="s">
        <v>25</v>
      </c>
      <c r="H25" s="61" t="s">
        <v>25</v>
      </c>
      <c r="I25" s="61" t="s">
        <v>523</v>
      </c>
      <c r="J25" s="61" t="s">
        <v>521</v>
      </c>
      <c r="K25" s="61" t="s">
        <v>522</v>
      </c>
      <c r="L25" s="61" t="s">
        <v>73</v>
      </c>
      <c r="M25" s="61">
        <v>2021</v>
      </c>
      <c r="N25" s="61">
        <v>0</v>
      </c>
      <c r="O25" s="61">
        <v>223.72</v>
      </c>
      <c r="P25" s="61"/>
    </row>
    <row r="26" spans="1:16" ht="11.25" customHeight="1" x14ac:dyDescent="0.25">
      <c r="A26" s="61">
        <v>25</v>
      </c>
      <c r="B26" s="61" t="s">
        <v>427</v>
      </c>
      <c r="C26" s="61" t="s">
        <v>37</v>
      </c>
      <c r="D26" s="61" t="s">
        <v>72</v>
      </c>
      <c r="E26" s="61" t="s">
        <v>25</v>
      </c>
      <c r="F26" s="61" t="s">
        <v>25</v>
      </c>
      <c r="G26" s="61" t="s">
        <v>25</v>
      </c>
      <c r="H26" s="61" t="s">
        <v>25</v>
      </c>
      <c r="I26" s="61" t="s">
        <v>36</v>
      </c>
      <c r="J26" s="61" t="s">
        <v>521</v>
      </c>
      <c r="K26" s="61" t="s">
        <v>522</v>
      </c>
      <c r="L26" s="61" t="s">
        <v>73</v>
      </c>
      <c r="M26" s="61">
        <v>2021</v>
      </c>
      <c r="N26" s="61">
        <v>0</v>
      </c>
      <c r="O26" s="61">
        <v>223.72</v>
      </c>
      <c r="P26" s="61"/>
    </row>
    <row r="27" spans="1:16" ht="11.25" customHeight="1" x14ac:dyDescent="0.25">
      <c r="A27" s="61">
        <v>26</v>
      </c>
      <c r="B27" s="61" t="s">
        <v>427</v>
      </c>
      <c r="C27" s="61" t="s">
        <v>37</v>
      </c>
      <c r="D27" s="61" t="s">
        <v>86</v>
      </c>
      <c r="E27" s="61" t="s">
        <v>25</v>
      </c>
      <c r="F27" s="61" t="s">
        <v>25</v>
      </c>
      <c r="G27" s="61" t="s">
        <v>25</v>
      </c>
      <c r="H27" s="61" t="s">
        <v>25</v>
      </c>
      <c r="I27" s="61" t="s">
        <v>25</v>
      </c>
      <c r="J27" s="61" t="s">
        <v>521</v>
      </c>
      <c r="K27" s="61" t="s">
        <v>522</v>
      </c>
      <c r="L27" s="61" t="s">
        <v>73</v>
      </c>
      <c r="M27" s="61">
        <v>2021</v>
      </c>
      <c r="N27" s="61">
        <v>0</v>
      </c>
      <c r="O27" s="61">
        <v>223.72</v>
      </c>
      <c r="P27" s="61"/>
    </row>
    <row r="28" spans="1:16" ht="11.25" customHeight="1" x14ac:dyDescent="0.25">
      <c r="A28" s="61">
        <v>27</v>
      </c>
      <c r="B28" s="61" t="s">
        <v>427</v>
      </c>
      <c r="C28" s="61" t="s">
        <v>33</v>
      </c>
      <c r="D28" s="61" t="s">
        <v>72</v>
      </c>
      <c r="E28" s="61" t="s">
        <v>25</v>
      </c>
      <c r="F28" s="61" t="s">
        <v>25</v>
      </c>
      <c r="G28" s="61" t="s">
        <v>25</v>
      </c>
      <c r="H28" s="61" t="s">
        <v>25</v>
      </c>
      <c r="I28" s="61" t="s">
        <v>36</v>
      </c>
      <c r="J28" s="61" t="s">
        <v>521</v>
      </c>
      <c r="K28" s="61" t="s">
        <v>522</v>
      </c>
      <c r="L28" s="61" t="s">
        <v>73</v>
      </c>
      <c r="M28" s="61">
        <v>2021</v>
      </c>
      <c r="N28" s="61">
        <v>0</v>
      </c>
      <c r="O28" s="61">
        <v>223.72</v>
      </c>
      <c r="P28" s="61"/>
    </row>
    <row r="29" spans="1:16" ht="11.25" customHeight="1" x14ac:dyDescent="0.25">
      <c r="A29" s="61">
        <v>28</v>
      </c>
      <c r="B29" s="61" t="s">
        <v>427</v>
      </c>
      <c r="C29" s="61" t="s">
        <v>22</v>
      </c>
      <c r="D29" s="61" t="s">
        <v>72</v>
      </c>
      <c r="E29" s="61" t="s">
        <v>24</v>
      </c>
      <c r="F29" s="61" t="s">
        <v>24</v>
      </c>
      <c r="G29" s="61" t="s">
        <v>25</v>
      </c>
      <c r="H29" s="61" t="s">
        <v>25</v>
      </c>
      <c r="I29" s="61" t="s">
        <v>35</v>
      </c>
      <c r="J29" s="61" t="s">
        <v>521</v>
      </c>
      <c r="K29" s="61" t="s">
        <v>522</v>
      </c>
      <c r="L29" s="61" t="s">
        <v>73</v>
      </c>
      <c r="M29" s="61">
        <v>2021</v>
      </c>
      <c r="N29" s="61">
        <v>0</v>
      </c>
      <c r="O29" s="61">
        <v>223.72</v>
      </c>
      <c r="P29" s="61"/>
    </row>
    <row r="30" spans="1:16" ht="11.25" customHeight="1" x14ac:dyDescent="0.25">
      <c r="A30" s="61">
        <v>29</v>
      </c>
      <c r="B30" s="61" t="s">
        <v>427</v>
      </c>
      <c r="C30" s="61" t="s">
        <v>22</v>
      </c>
      <c r="D30" s="61" t="s">
        <v>86</v>
      </c>
      <c r="E30" s="61" t="s">
        <v>24</v>
      </c>
      <c r="F30" s="61" t="s">
        <v>30</v>
      </c>
      <c r="G30" s="61" t="s">
        <v>25</v>
      </c>
      <c r="H30" s="61" t="s">
        <v>25</v>
      </c>
      <c r="I30" s="61" t="s">
        <v>25</v>
      </c>
      <c r="J30" s="61" t="s">
        <v>521</v>
      </c>
      <c r="K30" s="61" t="s">
        <v>522</v>
      </c>
      <c r="L30" s="61" t="s">
        <v>73</v>
      </c>
      <c r="M30" s="61">
        <v>2021</v>
      </c>
      <c r="N30" s="61">
        <v>0</v>
      </c>
      <c r="O30" s="61">
        <v>134.22999999999999</v>
      </c>
      <c r="P30" s="61"/>
    </row>
    <row r="31" spans="1:16" ht="11.25" customHeight="1" x14ac:dyDescent="0.25">
      <c r="A31" s="61">
        <v>30</v>
      </c>
      <c r="B31" s="61" t="s">
        <v>427</v>
      </c>
      <c r="C31" s="61" t="s">
        <v>22</v>
      </c>
      <c r="D31" s="61" t="s">
        <v>86</v>
      </c>
      <c r="E31" s="61" t="s">
        <v>24</v>
      </c>
      <c r="F31" s="61" t="s">
        <v>31</v>
      </c>
      <c r="G31" s="61" t="s">
        <v>25</v>
      </c>
      <c r="H31" s="61" t="s">
        <v>25</v>
      </c>
      <c r="I31" s="61" t="s">
        <v>25</v>
      </c>
      <c r="J31" s="61" t="s">
        <v>521</v>
      </c>
      <c r="K31" s="61" t="s">
        <v>522</v>
      </c>
      <c r="L31" s="61" t="s">
        <v>73</v>
      </c>
      <c r="M31" s="61">
        <v>2021</v>
      </c>
      <c r="N31" s="61">
        <v>0</v>
      </c>
      <c r="O31" s="61">
        <v>201.35</v>
      </c>
      <c r="P31" s="61"/>
    </row>
    <row r="32" spans="1:16" ht="11.25" customHeight="1" x14ac:dyDescent="0.25">
      <c r="A32" s="61">
        <v>31</v>
      </c>
      <c r="B32" s="61" t="s">
        <v>427</v>
      </c>
      <c r="C32" s="61" t="s">
        <v>22</v>
      </c>
      <c r="D32" s="61" t="s">
        <v>86</v>
      </c>
      <c r="E32" s="61" t="s">
        <v>24</v>
      </c>
      <c r="F32" s="61" t="s">
        <v>32</v>
      </c>
      <c r="G32" s="61" t="s">
        <v>25</v>
      </c>
      <c r="H32" s="61" t="s">
        <v>25</v>
      </c>
      <c r="I32" s="61" t="s">
        <v>25</v>
      </c>
      <c r="J32" s="61" t="s">
        <v>521</v>
      </c>
      <c r="K32" s="61" t="s">
        <v>522</v>
      </c>
      <c r="L32" s="61" t="s">
        <v>73</v>
      </c>
      <c r="M32" s="61">
        <v>2021</v>
      </c>
      <c r="N32" s="61">
        <v>0</v>
      </c>
      <c r="O32" s="61">
        <v>223.72</v>
      </c>
      <c r="P32" s="61"/>
    </row>
    <row r="33" spans="1:16" ht="11.25" customHeight="1" x14ac:dyDescent="0.25">
      <c r="A33" s="61">
        <v>32</v>
      </c>
      <c r="B33" s="61" t="s">
        <v>427</v>
      </c>
      <c r="C33" s="61" t="s">
        <v>22</v>
      </c>
      <c r="D33" s="61" t="s">
        <v>88</v>
      </c>
      <c r="E33" s="61" t="s">
        <v>24</v>
      </c>
      <c r="F33" s="61" t="s">
        <v>32</v>
      </c>
      <c r="G33" s="61" t="s">
        <v>25</v>
      </c>
      <c r="H33" s="61" t="s">
        <v>25</v>
      </c>
      <c r="I33" s="61" t="s">
        <v>25</v>
      </c>
      <c r="J33" s="61" t="s">
        <v>521</v>
      </c>
      <c r="K33" s="61" t="s">
        <v>522</v>
      </c>
      <c r="L33" s="61" t="s">
        <v>73</v>
      </c>
      <c r="M33" s="61">
        <v>2021</v>
      </c>
      <c r="N33" s="61">
        <v>0</v>
      </c>
      <c r="O33" s="61">
        <v>223.72</v>
      </c>
      <c r="P33" s="61"/>
    </row>
    <row r="34" spans="1:16" ht="11.25" customHeight="1" x14ac:dyDescent="0.25">
      <c r="A34" s="61">
        <v>33</v>
      </c>
      <c r="B34" s="61" t="s">
        <v>427</v>
      </c>
      <c r="C34" s="61" t="s">
        <v>40</v>
      </c>
      <c r="D34" s="61" t="s">
        <v>72</v>
      </c>
      <c r="E34" s="61" t="s">
        <v>41</v>
      </c>
      <c r="F34" s="61" t="s">
        <v>25</v>
      </c>
      <c r="G34" s="61" t="s">
        <v>25</v>
      </c>
      <c r="H34" s="61" t="s">
        <v>25</v>
      </c>
      <c r="I34" s="61" t="s">
        <v>35</v>
      </c>
      <c r="J34" s="61" t="s">
        <v>521</v>
      </c>
      <c r="K34" s="61" t="s">
        <v>522</v>
      </c>
      <c r="L34" s="61" t="s">
        <v>73</v>
      </c>
      <c r="M34" s="61">
        <v>2021</v>
      </c>
      <c r="N34" s="61">
        <v>0</v>
      </c>
      <c r="O34" s="61">
        <v>196.87</v>
      </c>
      <c r="P34" s="61"/>
    </row>
    <row r="35" spans="1:16" ht="11.25" customHeight="1" x14ac:dyDescent="0.25">
      <c r="A35" s="61">
        <v>34</v>
      </c>
      <c r="B35" s="61" t="s">
        <v>427</v>
      </c>
      <c r="C35" s="61" t="s">
        <v>40</v>
      </c>
      <c r="D35" s="61" t="s">
        <v>72</v>
      </c>
      <c r="E35" s="61" t="s">
        <v>41</v>
      </c>
      <c r="F35" s="61" t="s">
        <v>25</v>
      </c>
      <c r="G35" s="61" t="s">
        <v>25</v>
      </c>
      <c r="H35" s="61" t="s">
        <v>25</v>
      </c>
      <c r="I35" s="61" t="s">
        <v>523</v>
      </c>
      <c r="J35" s="61" t="s">
        <v>521</v>
      </c>
      <c r="K35" s="61" t="s">
        <v>522</v>
      </c>
      <c r="L35" s="61" t="s">
        <v>73</v>
      </c>
      <c r="M35" s="61">
        <v>2021</v>
      </c>
      <c r="N35" s="61">
        <v>0</v>
      </c>
      <c r="O35" s="61">
        <v>196.87</v>
      </c>
      <c r="P35" s="61"/>
    </row>
    <row r="36" spans="1:16" ht="11.25" customHeight="1" x14ac:dyDescent="0.25">
      <c r="A36" s="61">
        <v>35</v>
      </c>
      <c r="B36" s="61" t="s">
        <v>427</v>
      </c>
      <c r="C36" s="61" t="s">
        <v>40</v>
      </c>
      <c r="D36" s="61" t="s">
        <v>72</v>
      </c>
      <c r="E36" s="61" t="s">
        <v>41</v>
      </c>
      <c r="F36" s="61" t="s">
        <v>90</v>
      </c>
      <c r="G36" s="61" t="s">
        <v>25</v>
      </c>
      <c r="H36" s="61" t="s">
        <v>25</v>
      </c>
      <c r="I36" s="61" t="s">
        <v>36</v>
      </c>
      <c r="J36" s="61" t="s">
        <v>521</v>
      </c>
      <c r="K36" s="61" t="s">
        <v>522</v>
      </c>
      <c r="L36" s="61" t="s">
        <v>73</v>
      </c>
      <c r="M36" s="61">
        <v>2021</v>
      </c>
      <c r="N36" s="61">
        <v>0</v>
      </c>
      <c r="O36" s="61">
        <v>196.87</v>
      </c>
      <c r="P36" s="61"/>
    </row>
    <row r="37" spans="1:16" ht="11.25" customHeight="1" x14ac:dyDescent="0.25">
      <c r="A37" s="61">
        <v>36</v>
      </c>
      <c r="B37" s="61" t="s">
        <v>427</v>
      </c>
      <c r="C37" s="61" t="s">
        <v>40</v>
      </c>
      <c r="D37" s="61" t="s">
        <v>86</v>
      </c>
      <c r="E37" s="61" t="s">
        <v>41</v>
      </c>
      <c r="F37" s="61" t="s">
        <v>90</v>
      </c>
      <c r="G37" s="61" t="s">
        <v>25</v>
      </c>
      <c r="H37" s="61" t="s">
        <v>25</v>
      </c>
      <c r="I37" s="61" t="s">
        <v>25</v>
      </c>
      <c r="J37" s="61" t="s">
        <v>521</v>
      </c>
      <c r="K37" s="61" t="s">
        <v>522</v>
      </c>
      <c r="L37" s="61" t="s">
        <v>73</v>
      </c>
      <c r="M37" s="61">
        <v>2021</v>
      </c>
      <c r="N37" s="61">
        <v>0</v>
      </c>
      <c r="O37" s="61">
        <v>196.87</v>
      </c>
      <c r="P37" s="61"/>
    </row>
    <row r="38" spans="1:16" ht="11.25" customHeight="1" x14ac:dyDescent="0.25">
      <c r="A38" s="61">
        <v>37</v>
      </c>
      <c r="B38" s="61" t="s">
        <v>427</v>
      </c>
      <c r="C38" s="61" t="s">
        <v>40</v>
      </c>
      <c r="D38" s="61" t="s">
        <v>88</v>
      </c>
      <c r="E38" s="61" t="s">
        <v>41</v>
      </c>
      <c r="F38" s="61" t="s">
        <v>25</v>
      </c>
      <c r="G38" s="61" t="s">
        <v>25</v>
      </c>
      <c r="H38" s="61" t="s">
        <v>25</v>
      </c>
      <c r="I38" s="61" t="s">
        <v>25</v>
      </c>
      <c r="J38" s="61" t="s">
        <v>521</v>
      </c>
      <c r="K38" s="61" t="s">
        <v>522</v>
      </c>
      <c r="L38" s="61" t="s">
        <v>73</v>
      </c>
      <c r="M38" s="61">
        <v>2021</v>
      </c>
      <c r="N38" s="61">
        <v>0</v>
      </c>
      <c r="O38" s="61">
        <v>196.87</v>
      </c>
      <c r="P38" s="61"/>
    </row>
    <row r="39" spans="1:16" ht="11.25" customHeight="1" x14ac:dyDescent="0.25">
      <c r="A39" s="61">
        <v>38</v>
      </c>
      <c r="B39" s="61" t="s">
        <v>427</v>
      </c>
      <c r="C39" s="61" t="s">
        <v>40</v>
      </c>
      <c r="D39" s="61" t="s">
        <v>88</v>
      </c>
      <c r="E39" s="61" t="s">
        <v>41</v>
      </c>
      <c r="F39" s="61" t="s">
        <v>90</v>
      </c>
      <c r="G39" s="61" t="s">
        <v>25</v>
      </c>
      <c r="H39" s="61" t="s">
        <v>25</v>
      </c>
      <c r="I39" s="61" t="s">
        <v>25</v>
      </c>
      <c r="J39" s="61" t="s">
        <v>521</v>
      </c>
      <c r="K39" s="61" t="s">
        <v>522</v>
      </c>
      <c r="L39" s="61" t="s">
        <v>73</v>
      </c>
      <c r="M39" s="61">
        <v>2021</v>
      </c>
      <c r="N39" s="61">
        <v>0</v>
      </c>
      <c r="O39" s="61">
        <v>196.87</v>
      </c>
      <c r="P39" s="61"/>
    </row>
    <row r="40" spans="1:16" ht="11.25" customHeight="1" x14ac:dyDescent="0.25">
      <c r="A40" s="61">
        <v>39</v>
      </c>
      <c r="B40" s="61" t="s">
        <v>427</v>
      </c>
      <c r="C40" s="61" t="s">
        <v>40</v>
      </c>
      <c r="D40" s="61" t="s">
        <v>88</v>
      </c>
      <c r="E40" s="61" t="s">
        <v>41</v>
      </c>
      <c r="F40" s="61" t="s">
        <v>91</v>
      </c>
      <c r="G40" s="61" t="s">
        <v>25</v>
      </c>
      <c r="H40" s="61" t="s">
        <v>25</v>
      </c>
      <c r="I40" s="61" t="s">
        <v>25</v>
      </c>
      <c r="J40" s="61" t="s">
        <v>521</v>
      </c>
      <c r="K40" s="61" t="s">
        <v>522</v>
      </c>
      <c r="L40" s="61" t="s">
        <v>73</v>
      </c>
      <c r="M40" s="61">
        <v>2021</v>
      </c>
      <c r="N40" s="61">
        <v>0</v>
      </c>
      <c r="O40" s="61">
        <v>187.92</v>
      </c>
      <c r="P40" s="61"/>
    </row>
    <row r="41" spans="1:16" ht="11.25" customHeight="1" x14ac:dyDescent="0.25">
      <c r="A41" s="61">
        <v>40</v>
      </c>
      <c r="B41" s="61" t="s">
        <v>427</v>
      </c>
      <c r="C41" s="61" t="s">
        <v>37</v>
      </c>
      <c r="D41" s="61" t="s">
        <v>88</v>
      </c>
      <c r="E41" s="61" t="s">
        <v>25</v>
      </c>
      <c r="F41" s="61" t="s">
        <v>25</v>
      </c>
      <c r="G41" s="61" t="s">
        <v>25</v>
      </c>
      <c r="H41" s="61" t="s">
        <v>25</v>
      </c>
      <c r="I41" s="61" t="s">
        <v>25</v>
      </c>
      <c r="J41" s="61" t="s">
        <v>521</v>
      </c>
      <c r="K41" s="61" t="s">
        <v>522</v>
      </c>
      <c r="L41" s="61" t="s">
        <v>73</v>
      </c>
      <c r="M41" s="61">
        <v>2021</v>
      </c>
      <c r="N41" s="61">
        <v>0</v>
      </c>
      <c r="O41" s="61">
        <v>223.72</v>
      </c>
      <c r="P41" s="61"/>
    </row>
    <row r="42" spans="1:16" ht="11.25" customHeight="1" x14ac:dyDescent="0.25">
      <c r="A42" s="61">
        <v>41</v>
      </c>
      <c r="B42" s="61" t="s">
        <v>427</v>
      </c>
      <c r="C42" s="61" t="s">
        <v>44</v>
      </c>
      <c r="D42" s="61" t="s">
        <v>86</v>
      </c>
      <c r="E42" s="61" t="s">
        <v>45</v>
      </c>
      <c r="F42" s="61" t="s">
        <v>46</v>
      </c>
      <c r="G42" s="61" t="s">
        <v>25</v>
      </c>
      <c r="H42" s="61" t="s">
        <v>25</v>
      </c>
      <c r="I42" s="61" t="s">
        <v>25</v>
      </c>
      <c r="J42" s="61" t="s">
        <v>521</v>
      </c>
      <c r="K42" s="61" t="s">
        <v>522</v>
      </c>
      <c r="L42" s="61" t="s">
        <v>73</v>
      </c>
      <c r="M42" s="61">
        <v>2021</v>
      </c>
      <c r="N42" s="61">
        <v>0</v>
      </c>
      <c r="O42" s="61">
        <v>123.04</v>
      </c>
      <c r="P42" s="61"/>
    </row>
    <row r="43" spans="1:16" ht="11.25" customHeight="1" x14ac:dyDescent="0.25">
      <c r="A43" s="61">
        <v>42</v>
      </c>
      <c r="B43" s="61" t="s">
        <v>427</v>
      </c>
      <c r="C43" s="61" t="s">
        <v>44</v>
      </c>
      <c r="D43" s="61" t="s">
        <v>86</v>
      </c>
      <c r="E43" s="61" t="s">
        <v>45</v>
      </c>
      <c r="F43" s="61" t="s">
        <v>47</v>
      </c>
      <c r="G43" s="61" t="s">
        <v>25</v>
      </c>
      <c r="H43" s="61" t="s">
        <v>25</v>
      </c>
      <c r="I43" s="61" t="s">
        <v>25</v>
      </c>
      <c r="J43" s="61" t="s">
        <v>521</v>
      </c>
      <c r="K43" s="61" t="s">
        <v>522</v>
      </c>
      <c r="L43" s="61" t="s">
        <v>73</v>
      </c>
      <c r="M43" s="61">
        <v>2021</v>
      </c>
      <c r="N43" s="61">
        <v>0</v>
      </c>
      <c r="O43" s="61">
        <v>134.22999999999999</v>
      </c>
      <c r="P43" s="61"/>
    </row>
    <row r="44" spans="1:16" ht="11.25" customHeight="1" x14ac:dyDescent="0.25">
      <c r="A44" s="61">
        <v>43</v>
      </c>
      <c r="B44" s="61" t="s">
        <v>399</v>
      </c>
      <c r="C44" s="61" t="s">
        <v>33</v>
      </c>
      <c r="D44" s="61" t="s">
        <v>43</v>
      </c>
      <c r="E44" s="61" t="s">
        <v>25</v>
      </c>
      <c r="F44" s="61" t="s">
        <v>25</v>
      </c>
      <c r="G44" s="61" t="s">
        <v>25</v>
      </c>
      <c r="H44" s="61" t="s">
        <v>25</v>
      </c>
      <c r="I44" s="61" t="s">
        <v>36</v>
      </c>
      <c r="J44" s="61" t="s">
        <v>524</v>
      </c>
      <c r="K44" s="61" t="s">
        <v>522</v>
      </c>
      <c r="L44" s="61" t="s">
        <v>76</v>
      </c>
      <c r="M44" s="61">
        <v>2021</v>
      </c>
      <c r="N44" s="61">
        <v>0</v>
      </c>
      <c r="O44" s="61">
        <v>23.41</v>
      </c>
      <c r="P44" s="61">
        <v>0</v>
      </c>
    </row>
    <row r="45" spans="1:16" ht="11.25" customHeight="1" x14ac:dyDescent="0.25">
      <c r="A45" s="61">
        <v>44</v>
      </c>
      <c r="B45" s="61" t="s">
        <v>399</v>
      </c>
      <c r="C45" s="61" t="s">
        <v>33</v>
      </c>
      <c r="D45" s="61" t="s">
        <v>43</v>
      </c>
      <c r="E45" s="61" t="s">
        <v>25</v>
      </c>
      <c r="F45" s="61" t="s">
        <v>25</v>
      </c>
      <c r="G45" s="61" t="s">
        <v>25</v>
      </c>
      <c r="H45" s="61" t="s">
        <v>25</v>
      </c>
      <c r="I45" s="61" t="s">
        <v>25</v>
      </c>
      <c r="J45" s="61" t="s">
        <v>521</v>
      </c>
      <c r="K45" s="61" t="s">
        <v>522</v>
      </c>
      <c r="L45" s="61" t="s">
        <v>73</v>
      </c>
      <c r="M45" s="61">
        <v>2021</v>
      </c>
      <c r="N45" s="61">
        <v>0</v>
      </c>
      <c r="O45" s="61">
        <v>72.23</v>
      </c>
      <c r="P45" s="61">
        <v>47.774913279662599</v>
      </c>
    </row>
    <row r="46" spans="1:16" ht="11.25" customHeight="1" x14ac:dyDescent="0.25">
      <c r="A46" s="61">
        <v>45</v>
      </c>
      <c r="B46" s="61" t="s">
        <v>399</v>
      </c>
      <c r="C46" s="61" t="s">
        <v>33</v>
      </c>
      <c r="D46" s="61" t="s">
        <v>43</v>
      </c>
      <c r="E46" s="61" t="s">
        <v>25</v>
      </c>
      <c r="F46" s="61" t="s">
        <v>25</v>
      </c>
      <c r="G46" s="61" t="s">
        <v>80</v>
      </c>
      <c r="H46" s="61" t="s">
        <v>25</v>
      </c>
      <c r="I46" s="61" t="s">
        <v>25</v>
      </c>
      <c r="J46" s="61" t="s">
        <v>521</v>
      </c>
      <c r="K46" s="61" t="s">
        <v>522</v>
      </c>
      <c r="L46" s="61" t="s">
        <v>73</v>
      </c>
      <c r="M46" s="61">
        <v>2021</v>
      </c>
      <c r="N46" s="61">
        <v>0</v>
      </c>
      <c r="O46" s="61">
        <v>15.67</v>
      </c>
      <c r="P46" s="61">
        <v>0</v>
      </c>
    </row>
    <row r="47" spans="1:16" ht="11.25" customHeight="1" x14ac:dyDescent="0.25">
      <c r="A47" s="61">
        <v>46</v>
      </c>
      <c r="B47" s="61" t="s">
        <v>399</v>
      </c>
      <c r="C47" s="61" t="s">
        <v>33</v>
      </c>
      <c r="D47" s="61" t="s">
        <v>81</v>
      </c>
      <c r="E47" s="61" t="s">
        <v>25</v>
      </c>
      <c r="F47" s="61" t="s">
        <v>25</v>
      </c>
      <c r="G47" s="61" t="s">
        <v>25</v>
      </c>
      <c r="H47" s="61" t="s">
        <v>25</v>
      </c>
      <c r="I47" s="61" t="s">
        <v>25</v>
      </c>
      <c r="J47" s="61" t="s">
        <v>524</v>
      </c>
      <c r="K47" s="61" t="s">
        <v>522</v>
      </c>
      <c r="L47" s="61" t="s">
        <v>76</v>
      </c>
      <c r="M47" s="61">
        <v>2021</v>
      </c>
      <c r="N47" s="61">
        <v>0</v>
      </c>
      <c r="O47" s="61">
        <v>8.16</v>
      </c>
      <c r="P47" s="61">
        <v>0</v>
      </c>
    </row>
    <row r="48" spans="1:16" ht="11.25" customHeight="1" x14ac:dyDescent="0.25">
      <c r="A48" s="61">
        <v>47</v>
      </c>
      <c r="B48" s="61" t="s">
        <v>399</v>
      </c>
      <c r="C48" s="61" t="s">
        <v>33</v>
      </c>
      <c r="D48" s="61" t="s">
        <v>34</v>
      </c>
      <c r="E48" s="61" t="s">
        <v>25</v>
      </c>
      <c r="F48" s="61" t="s">
        <v>25</v>
      </c>
      <c r="G48" s="61" t="s">
        <v>25</v>
      </c>
      <c r="H48" s="61" t="s">
        <v>25</v>
      </c>
      <c r="I48" s="61" t="s">
        <v>36</v>
      </c>
      <c r="J48" s="61" t="s">
        <v>521</v>
      </c>
      <c r="K48" s="61" t="s">
        <v>522</v>
      </c>
      <c r="L48" s="61" t="s">
        <v>73</v>
      </c>
      <c r="M48" s="61">
        <v>2021</v>
      </c>
      <c r="N48" s="61">
        <v>0</v>
      </c>
      <c r="O48" s="61">
        <v>72.23</v>
      </c>
      <c r="P48" s="61">
        <v>47.774913279662599</v>
      </c>
    </row>
    <row r="49" spans="1:16" ht="11.25" customHeight="1" x14ac:dyDescent="0.25">
      <c r="A49" s="61">
        <v>48</v>
      </c>
      <c r="B49" s="61" t="s">
        <v>399</v>
      </c>
      <c r="C49" s="61" t="s">
        <v>33</v>
      </c>
      <c r="D49" s="61" t="s">
        <v>34</v>
      </c>
      <c r="E49" s="61" t="s">
        <v>25</v>
      </c>
      <c r="F49" s="61" t="s">
        <v>25</v>
      </c>
      <c r="G49" s="61" t="s">
        <v>80</v>
      </c>
      <c r="H49" s="61" t="s">
        <v>25</v>
      </c>
      <c r="I49" s="61" t="s">
        <v>35</v>
      </c>
      <c r="J49" s="61" t="s">
        <v>521</v>
      </c>
      <c r="K49" s="61" t="s">
        <v>522</v>
      </c>
      <c r="L49" s="61" t="s">
        <v>73</v>
      </c>
      <c r="M49" s="61">
        <v>2021</v>
      </c>
      <c r="N49" s="61">
        <v>0</v>
      </c>
      <c r="O49" s="61">
        <v>2207.0300000000002</v>
      </c>
      <c r="P49" s="61">
        <v>0</v>
      </c>
    </row>
    <row r="50" spans="1:16" ht="11.25" customHeight="1" x14ac:dyDescent="0.25">
      <c r="A50" s="61">
        <v>49</v>
      </c>
      <c r="B50" s="61" t="s">
        <v>399</v>
      </c>
      <c r="C50" s="61" t="s">
        <v>33</v>
      </c>
      <c r="D50" s="61" t="s">
        <v>34</v>
      </c>
      <c r="E50" s="61" t="s">
        <v>25</v>
      </c>
      <c r="F50" s="61" t="s">
        <v>25</v>
      </c>
      <c r="G50" s="61" t="s">
        <v>80</v>
      </c>
      <c r="H50" s="61" t="s">
        <v>25</v>
      </c>
      <c r="I50" s="61" t="s">
        <v>36</v>
      </c>
      <c r="J50" s="61" t="s">
        <v>521</v>
      </c>
      <c r="K50" s="61" t="s">
        <v>522</v>
      </c>
      <c r="L50" s="61" t="s">
        <v>73</v>
      </c>
      <c r="M50" s="61">
        <v>2021</v>
      </c>
      <c r="N50" s="61">
        <v>0</v>
      </c>
      <c r="O50" s="61">
        <v>15.67</v>
      </c>
      <c r="P50" s="61">
        <v>0</v>
      </c>
    </row>
    <row r="51" spans="1:16" ht="11.25" customHeight="1" x14ac:dyDescent="0.25">
      <c r="A51" s="61">
        <v>50</v>
      </c>
      <c r="B51" s="61" t="s">
        <v>399</v>
      </c>
      <c r="C51" s="61" t="s">
        <v>22</v>
      </c>
      <c r="D51" s="61" t="s">
        <v>87</v>
      </c>
      <c r="E51" s="61" t="s">
        <v>24</v>
      </c>
      <c r="F51" s="61" t="s">
        <v>24</v>
      </c>
      <c r="G51" s="61" t="s">
        <v>25</v>
      </c>
      <c r="H51" s="61" t="s">
        <v>25</v>
      </c>
      <c r="I51" s="61" t="s">
        <v>35</v>
      </c>
      <c r="J51" s="61" t="s">
        <v>521</v>
      </c>
      <c r="K51" s="61" t="s">
        <v>522</v>
      </c>
      <c r="L51" s="61" t="s">
        <v>73</v>
      </c>
      <c r="M51" s="61">
        <v>2021</v>
      </c>
      <c r="N51" s="61">
        <v>0</v>
      </c>
      <c r="O51" s="61">
        <v>869.92</v>
      </c>
      <c r="P51" s="61">
        <v>54.913693424899598</v>
      </c>
    </row>
    <row r="52" spans="1:16" ht="11.25" customHeight="1" x14ac:dyDescent="0.25">
      <c r="A52" s="61">
        <v>51</v>
      </c>
      <c r="B52" s="61" t="s">
        <v>399</v>
      </c>
      <c r="C52" s="61" t="s">
        <v>22</v>
      </c>
      <c r="D52" s="61" t="s">
        <v>87</v>
      </c>
      <c r="E52" s="61" t="s">
        <v>24</v>
      </c>
      <c r="F52" s="61" t="s">
        <v>24</v>
      </c>
      <c r="G52" s="61" t="s">
        <v>25</v>
      </c>
      <c r="H52" s="61" t="s">
        <v>25</v>
      </c>
      <c r="I52" s="61" t="s">
        <v>523</v>
      </c>
      <c r="J52" s="61" t="s">
        <v>521</v>
      </c>
      <c r="K52" s="61" t="s">
        <v>522</v>
      </c>
      <c r="L52" s="61" t="s">
        <v>73</v>
      </c>
      <c r="M52" s="61">
        <v>2021</v>
      </c>
      <c r="N52" s="61">
        <v>0</v>
      </c>
      <c r="O52" s="61">
        <v>216.6</v>
      </c>
      <c r="P52" s="61">
        <v>54.913693424899598</v>
      </c>
    </row>
    <row r="53" spans="1:16" ht="11.25" customHeight="1" x14ac:dyDescent="0.25">
      <c r="A53" s="61">
        <v>52</v>
      </c>
      <c r="B53" s="61" t="s">
        <v>399</v>
      </c>
      <c r="C53" s="61" t="s">
        <v>22</v>
      </c>
      <c r="D53" s="61" t="s">
        <v>87</v>
      </c>
      <c r="E53" s="61" t="s">
        <v>24</v>
      </c>
      <c r="F53" s="61" t="s">
        <v>24</v>
      </c>
      <c r="G53" s="61" t="s">
        <v>25</v>
      </c>
      <c r="H53" s="61" t="s">
        <v>25</v>
      </c>
      <c r="I53" s="61" t="s">
        <v>36</v>
      </c>
      <c r="J53" s="61" t="s">
        <v>521</v>
      </c>
      <c r="K53" s="61" t="s">
        <v>522</v>
      </c>
      <c r="L53" s="61" t="s">
        <v>73</v>
      </c>
      <c r="M53" s="61">
        <v>2021</v>
      </c>
      <c r="N53" s="61">
        <v>0</v>
      </c>
      <c r="O53" s="61">
        <v>302.57</v>
      </c>
      <c r="P53" s="61">
        <v>54.913693424899598</v>
      </c>
    </row>
    <row r="54" spans="1:16" ht="11.25" customHeight="1" x14ac:dyDescent="0.25">
      <c r="A54" s="61">
        <v>53</v>
      </c>
      <c r="B54" s="61" t="s">
        <v>399</v>
      </c>
      <c r="C54" s="61" t="s">
        <v>22</v>
      </c>
      <c r="D54" s="61" t="s">
        <v>23</v>
      </c>
      <c r="E54" s="61" t="s">
        <v>24</v>
      </c>
      <c r="F54" s="61" t="s">
        <v>24</v>
      </c>
      <c r="G54" s="61" t="s">
        <v>25</v>
      </c>
      <c r="H54" s="61" t="s">
        <v>25</v>
      </c>
      <c r="I54" s="61" t="s">
        <v>25</v>
      </c>
      <c r="J54" s="61" t="s">
        <v>521</v>
      </c>
      <c r="K54" s="61" t="s">
        <v>522</v>
      </c>
      <c r="L54" s="61" t="s">
        <v>73</v>
      </c>
      <c r="M54" s="61">
        <v>2021</v>
      </c>
      <c r="N54" s="61">
        <v>0</v>
      </c>
      <c r="O54" s="61">
        <v>440.1</v>
      </c>
      <c r="P54" s="61">
        <v>54.913693424899598</v>
      </c>
    </row>
    <row r="55" spans="1:16" ht="11.25" customHeight="1" x14ac:dyDescent="0.25">
      <c r="A55" s="61">
        <v>54</v>
      </c>
      <c r="B55" s="61" t="s">
        <v>399</v>
      </c>
      <c r="C55" s="61" t="s">
        <v>22</v>
      </c>
      <c r="D55" s="61" t="s">
        <v>23</v>
      </c>
      <c r="E55" s="61" t="s">
        <v>24</v>
      </c>
      <c r="F55" s="61" t="s">
        <v>31</v>
      </c>
      <c r="G55" s="61" t="s">
        <v>25</v>
      </c>
      <c r="H55" s="61" t="s">
        <v>25</v>
      </c>
      <c r="I55" s="61" t="s">
        <v>25</v>
      </c>
      <c r="J55" s="61" t="s">
        <v>521</v>
      </c>
      <c r="K55" s="61" t="s">
        <v>522</v>
      </c>
      <c r="L55" s="61" t="s">
        <v>73</v>
      </c>
      <c r="M55" s="61">
        <v>2021</v>
      </c>
      <c r="N55" s="61">
        <v>0</v>
      </c>
      <c r="O55" s="61">
        <v>338.77</v>
      </c>
      <c r="P55" s="61">
        <v>0</v>
      </c>
    </row>
    <row r="56" spans="1:16" ht="11.25" customHeight="1" x14ac:dyDescent="0.25">
      <c r="A56" s="61">
        <v>55</v>
      </c>
      <c r="B56" s="61" t="s">
        <v>399</v>
      </c>
      <c r="C56" s="61" t="s">
        <v>22</v>
      </c>
      <c r="D56" s="61" t="s">
        <v>23</v>
      </c>
      <c r="E56" s="61" t="s">
        <v>24</v>
      </c>
      <c r="F56" s="61" t="s">
        <v>32</v>
      </c>
      <c r="G56" s="61" t="s">
        <v>25</v>
      </c>
      <c r="H56" s="61" t="s">
        <v>25</v>
      </c>
      <c r="I56" s="61" t="s">
        <v>25</v>
      </c>
      <c r="J56" s="61" t="s">
        <v>521</v>
      </c>
      <c r="K56" s="61" t="s">
        <v>522</v>
      </c>
      <c r="L56" s="61" t="s">
        <v>73</v>
      </c>
      <c r="M56" s="61">
        <v>2021</v>
      </c>
      <c r="N56" s="61">
        <v>0</v>
      </c>
      <c r="O56" s="61">
        <v>376.41</v>
      </c>
      <c r="P56" s="61">
        <v>0</v>
      </c>
    </row>
    <row r="57" spans="1:16" ht="11.25" customHeight="1" x14ac:dyDescent="0.25">
      <c r="A57" s="61">
        <v>56</v>
      </c>
      <c r="B57" s="61" t="s">
        <v>399</v>
      </c>
      <c r="C57" s="61" t="s">
        <v>22</v>
      </c>
      <c r="D57" s="61" t="s">
        <v>89</v>
      </c>
      <c r="E57" s="61" t="s">
        <v>24</v>
      </c>
      <c r="F57" s="61" t="s">
        <v>24</v>
      </c>
      <c r="G57" s="61" t="s">
        <v>25</v>
      </c>
      <c r="H57" s="61" t="s">
        <v>25</v>
      </c>
      <c r="I57" s="61" t="s">
        <v>25</v>
      </c>
      <c r="J57" s="61" t="s">
        <v>521</v>
      </c>
      <c r="K57" s="61" t="s">
        <v>522</v>
      </c>
      <c r="L57" s="61" t="s">
        <v>73</v>
      </c>
      <c r="M57" s="61">
        <v>2021</v>
      </c>
      <c r="N57" s="61">
        <v>0</v>
      </c>
      <c r="O57" s="61">
        <v>440.1</v>
      </c>
      <c r="P57" s="61">
        <v>54.913693424899598</v>
      </c>
    </row>
    <row r="58" spans="1:16" ht="11.25" customHeight="1" x14ac:dyDescent="0.25">
      <c r="A58" s="61">
        <v>57</v>
      </c>
      <c r="B58" s="61" t="s">
        <v>399</v>
      </c>
      <c r="C58" s="61" t="s">
        <v>22</v>
      </c>
      <c r="D58" s="61" t="s">
        <v>89</v>
      </c>
      <c r="E58" s="61" t="s">
        <v>24</v>
      </c>
      <c r="F58" s="61" t="s">
        <v>31</v>
      </c>
      <c r="G58" s="61" t="s">
        <v>25</v>
      </c>
      <c r="H58" s="61" t="s">
        <v>25</v>
      </c>
      <c r="I58" s="61" t="s">
        <v>25</v>
      </c>
      <c r="J58" s="61" t="s">
        <v>521</v>
      </c>
      <c r="K58" s="61" t="s">
        <v>522</v>
      </c>
      <c r="L58" s="61" t="s">
        <v>73</v>
      </c>
      <c r="M58" s="61">
        <v>2021</v>
      </c>
      <c r="N58" s="61">
        <v>0</v>
      </c>
      <c r="O58" s="61">
        <v>338.77</v>
      </c>
      <c r="P58" s="61">
        <v>0</v>
      </c>
    </row>
    <row r="59" spans="1:16" ht="11.25" customHeight="1" x14ac:dyDescent="0.25">
      <c r="A59" s="61">
        <v>58</v>
      </c>
      <c r="B59" s="61" t="s">
        <v>399</v>
      </c>
      <c r="C59" s="61" t="s">
        <v>22</v>
      </c>
      <c r="D59" s="61" t="s">
        <v>89</v>
      </c>
      <c r="E59" s="61" t="s">
        <v>24</v>
      </c>
      <c r="F59" s="61" t="s">
        <v>32</v>
      </c>
      <c r="G59" s="61" t="s">
        <v>25</v>
      </c>
      <c r="H59" s="61" t="s">
        <v>25</v>
      </c>
      <c r="I59" s="61" t="s">
        <v>25</v>
      </c>
      <c r="J59" s="61" t="s">
        <v>521</v>
      </c>
      <c r="K59" s="61" t="s">
        <v>522</v>
      </c>
      <c r="L59" s="61" t="s">
        <v>73</v>
      </c>
      <c r="M59" s="61">
        <v>2021</v>
      </c>
      <c r="N59" s="61">
        <v>0</v>
      </c>
      <c r="O59" s="61">
        <v>376.41</v>
      </c>
      <c r="P59" s="61">
        <v>0</v>
      </c>
    </row>
    <row r="60" spans="1:16" ht="11.25" customHeight="1" x14ac:dyDescent="0.25">
      <c r="A60" s="61">
        <v>59</v>
      </c>
      <c r="B60" s="61" t="s">
        <v>399</v>
      </c>
      <c r="C60" s="61" t="s">
        <v>40</v>
      </c>
      <c r="D60" s="61" t="s">
        <v>87</v>
      </c>
      <c r="E60" s="61" t="s">
        <v>41</v>
      </c>
      <c r="F60" s="61" t="s">
        <v>25</v>
      </c>
      <c r="G60" s="61" t="s">
        <v>25</v>
      </c>
      <c r="H60" s="61" t="s">
        <v>25</v>
      </c>
      <c r="I60" s="61" t="s">
        <v>35</v>
      </c>
      <c r="J60" s="61" t="s">
        <v>521</v>
      </c>
      <c r="K60" s="61" t="s">
        <v>522</v>
      </c>
      <c r="L60" s="61" t="s">
        <v>73</v>
      </c>
      <c r="M60" s="61">
        <v>2021</v>
      </c>
      <c r="N60" s="61">
        <v>0</v>
      </c>
      <c r="O60" s="61">
        <v>828.19</v>
      </c>
      <c r="P60" s="61">
        <v>48.324050213911597</v>
      </c>
    </row>
    <row r="61" spans="1:16" ht="11.25" customHeight="1" x14ac:dyDescent="0.25">
      <c r="A61" s="61">
        <v>60</v>
      </c>
      <c r="B61" s="61" t="s">
        <v>399</v>
      </c>
      <c r="C61" s="61" t="s">
        <v>40</v>
      </c>
      <c r="D61" s="61" t="s">
        <v>23</v>
      </c>
      <c r="E61" s="61" t="s">
        <v>41</v>
      </c>
      <c r="F61" s="61" t="s">
        <v>25</v>
      </c>
      <c r="G61" s="61" t="s">
        <v>25</v>
      </c>
      <c r="H61" s="61" t="s">
        <v>25</v>
      </c>
      <c r="I61" s="61" t="s">
        <v>25</v>
      </c>
      <c r="J61" s="61" t="s">
        <v>521</v>
      </c>
      <c r="K61" s="61" t="s">
        <v>522</v>
      </c>
      <c r="L61" s="61" t="s">
        <v>73</v>
      </c>
      <c r="M61" s="61">
        <v>2021</v>
      </c>
      <c r="N61" s="61">
        <v>0</v>
      </c>
      <c r="O61" s="61">
        <v>387.29</v>
      </c>
      <c r="P61" s="61">
        <v>48.324050213911597</v>
      </c>
    </row>
    <row r="62" spans="1:16" ht="11.25" customHeight="1" x14ac:dyDescent="0.25">
      <c r="A62" s="61">
        <v>61</v>
      </c>
      <c r="B62" s="61" t="s">
        <v>399</v>
      </c>
      <c r="C62" s="61" t="s">
        <v>40</v>
      </c>
      <c r="D62" s="61" t="s">
        <v>87</v>
      </c>
      <c r="E62" s="61" t="s">
        <v>41</v>
      </c>
      <c r="F62" s="61" t="s">
        <v>90</v>
      </c>
      <c r="G62" s="61" t="s">
        <v>25</v>
      </c>
      <c r="H62" s="61" t="s">
        <v>25</v>
      </c>
      <c r="I62" s="61" t="s">
        <v>35</v>
      </c>
      <c r="J62" s="61" t="s">
        <v>521</v>
      </c>
      <c r="K62" s="61" t="s">
        <v>522</v>
      </c>
      <c r="L62" s="61" t="s">
        <v>73</v>
      </c>
      <c r="M62" s="61">
        <v>2021</v>
      </c>
      <c r="N62" s="61">
        <v>0</v>
      </c>
      <c r="O62" s="61">
        <v>828.19</v>
      </c>
      <c r="P62" s="61">
        <v>48.324050213911597</v>
      </c>
    </row>
    <row r="63" spans="1:16" ht="11.25" customHeight="1" x14ac:dyDescent="0.25">
      <c r="A63" s="61">
        <v>62</v>
      </c>
      <c r="B63" s="61" t="s">
        <v>399</v>
      </c>
      <c r="C63" s="61" t="s">
        <v>40</v>
      </c>
      <c r="D63" s="61" t="s">
        <v>87</v>
      </c>
      <c r="E63" s="61" t="s">
        <v>41</v>
      </c>
      <c r="F63" s="61" t="s">
        <v>90</v>
      </c>
      <c r="G63" s="61" t="s">
        <v>25</v>
      </c>
      <c r="H63" s="61" t="s">
        <v>25</v>
      </c>
      <c r="I63" s="61" t="s">
        <v>523</v>
      </c>
      <c r="J63" s="61" t="s">
        <v>521</v>
      </c>
      <c r="K63" s="61" t="s">
        <v>522</v>
      </c>
      <c r="L63" s="61" t="s">
        <v>73</v>
      </c>
      <c r="M63" s="61">
        <v>2021</v>
      </c>
      <c r="N63" s="61">
        <v>0</v>
      </c>
      <c r="O63" s="61">
        <v>530.77</v>
      </c>
      <c r="P63" s="61">
        <v>48.324050213911597</v>
      </c>
    </row>
    <row r="64" spans="1:16" ht="11.25" customHeight="1" x14ac:dyDescent="0.25">
      <c r="A64" s="61">
        <v>63</v>
      </c>
      <c r="B64" s="61" t="s">
        <v>399</v>
      </c>
      <c r="C64" s="61" t="s">
        <v>40</v>
      </c>
      <c r="D64" s="61" t="s">
        <v>87</v>
      </c>
      <c r="E64" s="61" t="s">
        <v>41</v>
      </c>
      <c r="F64" s="61" t="s">
        <v>90</v>
      </c>
      <c r="G64" s="61" t="s">
        <v>25</v>
      </c>
      <c r="H64" s="61" t="s">
        <v>25</v>
      </c>
      <c r="I64" s="61" t="s">
        <v>36</v>
      </c>
      <c r="J64" s="61" t="s">
        <v>521</v>
      </c>
      <c r="K64" s="61" t="s">
        <v>522</v>
      </c>
      <c r="L64" s="61" t="s">
        <v>73</v>
      </c>
      <c r="M64" s="61">
        <v>2021</v>
      </c>
      <c r="N64" s="61">
        <v>0</v>
      </c>
      <c r="O64" s="61">
        <v>233.38</v>
      </c>
      <c r="P64" s="61">
        <v>48.324050213911597</v>
      </c>
    </row>
    <row r="65" spans="1:16" ht="11.25" customHeight="1" x14ac:dyDescent="0.25">
      <c r="A65" s="61">
        <v>64</v>
      </c>
      <c r="B65" s="61" t="s">
        <v>399</v>
      </c>
      <c r="C65" s="61" t="s">
        <v>33</v>
      </c>
      <c r="D65" s="61" t="s">
        <v>43</v>
      </c>
      <c r="E65" s="61" t="s">
        <v>25</v>
      </c>
      <c r="F65" s="61" t="s">
        <v>25</v>
      </c>
      <c r="G65" s="61" t="s">
        <v>25</v>
      </c>
      <c r="H65" s="61" t="s">
        <v>25</v>
      </c>
      <c r="I65" s="61" t="s">
        <v>35</v>
      </c>
      <c r="J65" s="61" t="s">
        <v>524</v>
      </c>
      <c r="K65" s="61" t="s">
        <v>522</v>
      </c>
      <c r="L65" s="61" t="s">
        <v>76</v>
      </c>
      <c r="M65" s="61">
        <v>2021</v>
      </c>
      <c r="N65" s="61">
        <v>0</v>
      </c>
      <c r="O65" s="61">
        <v>91.15</v>
      </c>
      <c r="P65" s="61">
        <v>0</v>
      </c>
    </row>
    <row r="66" spans="1:16" ht="11.25" customHeight="1" x14ac:dyDescent="0.25">
      <c r="A66" s="61">
        <v>65</v>
      </c>
      <c r="B66" s="61" t="s">
        <v>399</v>
      </c>
      <c r="C66" s="61" t="s">
        <v>33</v>
      </c>
      <c r="D66" s="61" t="s">
        <v>34</v>
      </c>
      <c r="E66" s="61" t="s">
        <v>25</v>
      </c>
      <c r="F66" s="61" t="s">
        <v>25</v>
      </c>
      <c r="G66" s="61" t="s">
        <v>25</v>
      </c>
      <c r="H66" s="61" t="s">
        <v>25</v>
      </c>
      <c r="I66" s="61" t="s">
        <v>25</v>
      </c>
      <c r="J66" s="61" t="s">
        <v>524</v>
      </c>
      <c r="K66" s="61" t="s">
        <v>522</v>
      </c>
      <c r="L66" s="61" t="s">
        <v>76</v>
      </c>
      <c r="M66" s="61">
        <v>2021</v>
      </c>
      <c r="N66" s="61">
        <v>0</v>
      </c>
      <c r="O66" s="61">
        <v>23.41</v>
      </c>
      <c r="P66" s="61">
        <v>0</v>
      </c>
    </row>
    <row r="67" spans="1:16" ht="11.25" customHeight="1" x14ac:dyDescent="0.25">
      <c r="A67" s="61">
        <v>66</v>
      </c>
      <c r="B67" s="61" t="s">
        <v>399</v>
      </c>
      <c r="C67" s="61" t="s">
        <v>33</v>
      </c>
      <c r="D67" s="61" t="s">
        <v>34</v>
      </c>
      <c r="E67" s="61" t="s">
        <v>25</v>
      </c>
      <c r="F67" s="61" t="s">
        <v>25</v>
      </c>
      <c r="G67" s="61" t="s">
        <v>25</v>
      </c>
      <c r="H67" s="61" t="s">
        <v>25</v>
      </c>
      <c r="I67" s="61" t="s">
        <v>35</v>
      </c>
      <c r="J67" s="61" t="s">
        <v>521</v>
      </c>
      <c r="K67" s="61" t="s">
        <v>522</v>
      </c>
      <c r="L67" s="61" t="s">
        <v>73</v>
      </c>
      <c r="M67" s="61">
        <v>2021</v>
      </c>
      <c r="N67" s="61">
        <v>0</v>
      </c>
      <c r="O67" s="61">
        <v>2263.58</v>
      </c>
      <c r="P67" s="61">
        <v>47.774913279662599</v>
      </c>
    </row>
    <row r="68" spans="1:16" ht="11.25" customHeight="1" x14ac:dyDescent="0.25">
      <c r="A68" s="61">
        <v>67</v>
      </c>
      <c r="B68" s="61" t="s">
        <v>399</v>
      </c>
      <c r="C68" s="61" t="s">
        <v>82</v>
      </c>
      <c r="D68" s="61" t="s">
        <v>81</v>
      </c>
      <c r="E68" s="61" t="s">
        <v>25</v>
      </c>
      <c r="F68" s="61" t="s">
        <v>25</v>
      </c>
      <c r="G68" s="61" t="s">
        <v>83</v>
      </c>
      <c r="H68" s="61" t="s">
        <v>25</v>
      </c>
      <c r="I68" s="61" t="s">
        <v>25</v>
      </c>
      <c r="J68" s="61" t="s">
        <v>524</v>
      </c>
      <c r="K68" s="61" t="s">
        <v>522</v>
      </c>
      <c r="L68" s="61" t="s">
        <v>76</v>
      </c>
      <c r="M68" s="61">
        <v>2021</v>
      </c>
      <c r="N68" s="61">
        <v>0</v>
      </c>
      <c r="O68" s="61">
        <v>5.05</v>
      </c>
      <c r="P68" s="61">
        <v>0</v>
      </c>
    </row>
    <row r="69" spans="1:16" ht="11.25" customHeight="1" x14ac:dyDescent="0.25">
      <c r="A69" s="61">
        <v>68</v>
      </c>
      <c r="B69" s="61" t="s">
        <v>399</v>
      </c>
      <c r="C69" s="61" t="s">
        <v>82</v>
      </c>
      <c r="D69" s="61" t="s">
        <v>81</v>
      </c>
      <c r="E69" s="61" t="s">
        <v>25</v>
      </c>
      <c r="F69" s="61" t="s">
        <v>25</v>
      </c>
      <c r="G69" s="61" t="s">
        <v>84</v>
      </c>
      <c r="H69" s="61" t="s">
        <v>25</v>
      </c>
      <c r="I69" s="61" t="s">
        <v>25</v>
      </c>
      <c r="J69" s="61" t="s">
        <v>524</v>
      </c>
      <c r="K69" s="61" t="s">
        <v>522</v>
      </c>
      <c r="L69" s="61" t="s">
        <v>76</v>
      </c>
      <c r="M69" s="61">
        <v>2021</v>
      </c>
      <c r="N69" s="61">
        <v>0</v>
      </c>
      <c r="O69" s="61">
        <v>16.940000000000001</v>
      </c>
      <c r="P69" s="61">
        <v>0</v>
      </c>
    </row>
    <row r="70" spans="1:16" ht="11.25" customHeight="1" x14ac:dyDescent="0.25">
      <c r="A70" s="61">
        <v>69</v>
      </c>
      <c r="B70" s="61" t="s">
        <v>399</v>
      </c>
      <c r="C70" s="61" t="s">
        <v>22</v>
      </c>
      <c r="D70" s="61" t="s">
        <v>23</v>
      </c>
      <c r="E70" s="61" t="s">
        <v>24</v>
      </c>
      <c r="F70" s="61" t="s">
        <v>29</v>
      </c>
      <c r="G70" s="61" t="s">
        <v>25</v>
      </c>
      <c r="H70" s="61" t="s">
        <v>25</v>
      </c>
      <c r="I70" s="61" t="s">
        <v>25</v>
      </c>
      <c r="J70" s="61" t="s">
        <v>521</v>
      </c>
      <c r="K70" s="61" t="s">
        <v>522</v>
      </c>
      <c r="L70" s="61" t="s">
        <v>73</v>
      </c>
      <c r="M70" s="61">
        <v>2021</v>
      </c>
      <c r="N70" s="61">
        <v>0</v>
      </c>
      <c r="O70" s="61">
        <v>131.74</v>
      </c>
      <c r="P70" s="61">
        <v>0</v>
      </c>
    </row>
    <row r="71" spans="1:16" ht="11.25" customHeight="1" x14ac:dyDescent="0.25">
      <c r="A71" s="61">
        <v>70</v>
      </c>
      <c r="B71" s="61" t="s">
        <v>399</v>
      </c>
      <c r="C71" s="61" t="s">
        <v>22</v>
      </c>
      <c r="D71" s="61" t="s">
        <v>23</v>
      </c>
      <c r="E71" s="61" t="s">
        <v>24</v>
      </c>
      <c r="F71" s="61" t="s">
        <v>30</v>
      </c>
      <c r="G71" s="61" t="s">
        <v>25</v>
      </c>
      <c r="H71" s="61" t="s">
        <v>25</v>
      </c>
      <c r="I71" s="61" t="s">
        <v>25</v>
      </c>
      <c r="J71" s="61" t="s">
        <v>521</v>
      </c>
      <c r="K71" s="61" t="s">
        <v>522</v>
      </c>
      <c r="L71" s="61" t="s">
        <v>73</v>
      </c>
      <c r="M71" s="61">
        <v>2021</v>
      </c>
      <c r="N71" s="61">
        <v>0</v>
      </c>
      <c r="O71" s="61">
        <v>225.84</v>
      </c>
      <c r="P71" s="61">
        <v>0</v>
      </c>
    </row>
    <row r="72" spans="1:16" ht="11.25" customHeight="1" x14ac:dyDescent="0.25">
      <c r="A72" s="61">
        <v>71</v>
      </c>
      <c r="B72" s="61" t="s">
        <v>399</v>
      </c>
      <c r="C72" s="61" t="s">
        <v>22</v>
      </c>
      <c r="D72" s="61" t="s">
        <v>89</v>
      </c>
      <c r="E72" s="61" t="s">
        <v>24</v>
      </c>
      <c r="F72" s="61" t="s">
        <v>29</v>
      </c>
      <c r="G72" s="61" t="s">
        <v>25</v>
      </c>
      <c r="H72" s="61" t="s">
        <v>25</v>
      </c>
      <c r="I72" s="61" t="s">
        <v>25</v>
      </c>
      <c r="J72" s="61" t="s">
        <v>521</v>
      </c>
      <c r="K72" s="61" t="s">
        <v>522</v>
      </c>
      <c r="L72" s="61" t="s">
        <v>73</v>
      </c>
      <c r="M72" s="61">
        <v>2021</v>
      </c>
      <c r="N72" s="61">
        <v>0</v>
      </c>
      <c r="O72" s="61">
        <v>131.74</v>
      </c>
      <c r="P72" s="61">
        <v>0</v>
      </c>
    </row>
    <row r="73" spans="1:16" ht="11.25" customHeight="1" x14ac:dyDescent="0.25">
      <c r="A73" s="61">
        <v>72</v>
      </c>
      <c r="B73" s="61" t="s">
        <v>399</v>
      </c>
      <c r="C73" s="61" t="s">
        <v>22</v>
      </c>
      <c r="D73" s="61" t="s">
        <v>89</v>
      </c>
      <c r="E73" s="61" t="s">
        <v>24</v>
      </c>
      <c r="F73" s="61" t="s">
        <v>30</v>
      </c>
      <c r="G73" s="61" t="s">
        <v>25</v>
      </c>
      <c r="H73" s="61" t="s">
        <v>25</v>
      </c>
      <c r="I73" s="61" t="s">
        <v>25</v>
      </c>
      <c r="J73" s="61" t="s">
        <v>521</v>
      </c>
      <c r="K73" s="61" t="s">
        <v>522</v>
      </c>
      <c r="L73" s="61" t="s">
        <v>73</v>
      </c>
      <c r="M73" s="61">
        <v>2021</v>
      </c>
      <c r="N73" s="61">
        <v>0</v>
      </c>
      <c r="O73" s="61">
        <v>225.84</v>
      </c>
      <c r="P73" s="61">
        <v>0</v>
      </c>
    </row>
    <row r="74" spans="1:16" ht="11.25" customHeight="1" x14ac:dyDescent="0.25">
      <c r="A74" s="61">
        <v>73</v>
      </c>
      <c r="B74" s="61" t="s">
        <v>399</v>
      </c>
      <c r="C74" s="61" t="s">
        <v>40</v>
      </c>
      <c r="D74" s="61" t="s">
        <v>87</v>
      </c>
      <c r="E74" s="61" t="s">
        <v>41</v>
      </c>
      <c r="F74" s="61" t="s">
        <v>25</v>
      </c>
      <c r="G74" s="61" t="s">
        <v>25</v>
      </c>
      <c r="H74" s="61" t="s">
        <v>25</v>
      </c>
      <c r="I74" s="61" t="s">
        <v>523</v>
      </c>
      <c r="J74" s="61" t="s">
        <v>521</v>
      </c>
      <c r="K74" s="61" t="s">
        <v>522</v>
      </c>
      <c r="L74" s="61" t="s">
        <v>73</v>
      </c>
      <c r="M74" s="61">
        <v>2021</v>
      </c>
      <c r="N74" s="61">
        <v>0</v>
      </c>
      <c r="O74" s="61">
        <v>530.77</v>
      </c>
      <c r="P74" s="61">
        <v>48.324050213911597</v>
      </c>
    </row>
    <row r="75" spans="1:16" ht="11.25" customHeight="1" x14ac:dyDescent="0.25">
      <c r="A75" s="61">
        <v>74</v>
      </c>
      <c r="B75" s="61" t="s">
        <v>399</v>
      </c>
      <c r="C75" s="61" t="s">
        <v>40</v>
      </c>
      <c r="D75" s="61" t="s">
        <v>87</v>
      </c>
      <c r="E75" s="61" t="s">
        <v>41</v>
      </c>
      <c r="F75" s="61" t="s">
        <v>25</v>
      </c>
      <c r="G75" s="61" t="s">
        <v>25</v>
      </c>
      <c r="H75" s="61" t="s">
        <v>25</v>
      </c>
      <c r="I75" s="61" t="s">
        <v>36</v>
      </c>
      <c r="J75" s="61" t="s">
        <v>521</v>
      </c>
      <c r="K75" s="61" t="s">
        <v>522</v>
      </c>
      <c r="L75" s="61" t="s">
        <v>73</v>
      </c>
      <c r="M75" s="61">
        <v>2021</v>
      </c>
      <c r="N75" s="61">
        <v>0</v>
      </c>
      <c r="O75" s="61">
        <v>233.38</v>
      </c>
      <c r="P75" s="61">
        <v>48.324050213911597</v>
      </c>
    </row>
    <row r="76" spans="1:16" ht="11.25" customHeight="1" x14ac:dyDescent="0.25">
      <c r="A76" s="61">
        <v>75</v>
      </c>
      <c r="B76" s="61" t="s">
        <v>399</v>
      </c>
      <c r="C76" s="61" t="s">
        <v>40</v>
      </c>
      <c r="D76" s="61" t="s">
        <v>23</v>
      </c>
      <c r="E76" s="61" t="s">
        <v>41</v>
      </c>
      <c r="F76" s="61" t="s">
        <v>90</v>
      </c>
      <c r="G76" s="61" t="s">
        <v>25</v>
      </c>
      <c r="H76" s="61" t="s">
        <v>25</v>
      </c>
      <c r="I76" s="61" t="s">
        <v>25</v>
      </c>
      <c r="J76" s="61" t="s">
        <v>521</v>
      </c>
      <c r="K76" s="61" t="s">
        <v>522</v>
      </c>
      <c r="L76" s="61" t="s">
        <v>73</v>
      </c>
      <c r="M76" s="61">
        <v>2021</v>
      </c>
      <c r="N76" s="61">
        <v>0</v>
      </c>
      <c r="O76" s="61">
        <v>387.29</v>
      </c>
      <c r="P76" s="61">
        <v>48.324050213911597</v>
      </c>
    </row>
    <row r="77" spans="1:16" ht="11.25" customHeight="1" x14ac:dyDescent="0.25">
      <c r="A77" s="61">
        <v>76</v>
      </c>
      <c r="B77" s="61" t="s">
        <v>399</v>
      </c>
      <c r="C77" s="61" t="s">
        <v>40</v>
      </c>
      <c r="D77" s="61" t="s">
        <v>87</v>
      </c>
      <c r="E77" s="61" t="s">
        <v>41</v>
      </c>
      <c r="F77" s="61" t="s">
        <v>91</v>
      </c>
      <c r="G77" s="61" t="s">
        <v>25</v>
      </c>
      <c r="H77" s="61" t="s">
        <v>25</v>
      </c>
      <c r="I77" s="61" t="s">
        <v>35</v>
      </c>
      <c r="J77" s="61" t="s">
        <v>521</v>
      </c>
      <c r="K77" s="61" t="s">
        <v>522</v>
      </c>
      <c r="L77" s="61" t="s">
        <v>73</v>
      </c>
      <c r="M77" s="61">
        <v>2021</v>
      </c>
      <c r="N77" s="61">
        <v>0</v>
      </c>
      <c r="O77" s="61">
        <v>790.55</v>
      </c>
      <c r="P77" s="61">
        <v>46.127502476915602</v>
      </c>
    </row>
    <row r="78" spans="1:16" ht="11.25" customHeight="1" x14ac:dyDescent="0.25">
      <c r="A78" s="61">
        <v>77</v>
      </c>
      <c r="B78" s="61" t="s">
        <v>399</v>
      </c>
      <c r="C78" s="61" t="s">
        <v>40</v>
      </c>
      <c r="D78" s="61" t="s">
        <v>87</v>
      </c>
      <c r="E78" s="61" t="s">
        <v>41</v>
      </c>
      <c r="F78" s="61" t="s">
        <v>91</v>
      </c>
      <c r="G78" s="61" t="s">
        <v>25</v>
      </c>
      <c r="H78" s="61" t="s">
        <v>25</v>
      </c>
      <c r="I78" s="61" t="s">
        <v>523</v>
      </c>
      <c r="J78" s="61" t="s">
        <v>521</v>
      </c>
      <c r="K78" s="61" t="s">
        <v>522</v>
      </c>
      <c r="L78" s="61" t="s">
        <v>73</v>
      </c>
      <c r="M78" s="61">
        <v>2021</v>
      </c>
      <c r="N78" s="61">
        <v>0</v>
      </c>
      <c r="O78" s="61">
        <v>506.64</v>
      </c>
      <c r="P78" s="61">
        <v>46.127502476915602</v>
      </c>
    </row>
    <row r="79" spans="1:16" ht="11.25" customHeight="1" x14ac:dyDescent="0.25">
      <c r="A79" s="61">
        <v>78</v>
      </c>
      <c r="B79" s="61" t="s">
        <v>399</v>
      </c>
      <c r="C79" s="61" t="s">
        <v>40</v>
      </c>
      <c r="D79" s="61" t="s">
        <v>87</v>
      </c>
      <c r="E79" s="61" t="s">
        <v>41</v>
      </c>
      <c r="F79" s="61" t="s">
        <v>91</v>
      </c>
      <c r="G79" s="61" t="s">
        <v>25</v>
      </c>
      <c r="H79" s="61" t="s">
        <v>25</v>
      </c>
      <c r="I79" s="61" t="s">
        <v>36</v>
      </c>
      <c r="J79" s="61" t="s">
        <v>521</v>
      </c>
      <c r="K79" s="61" t="s">
        <v>522</v>
      </c>
      <c r="L79" s="61" t="s">
        <v>73</v>
      </c>
      <c r="M79" s="61">
        <v>2021</v>
      </c>
      <c r="N79" s="61">
        <v>0</v>
      </c>
      <c r="O79" s="61">
        <v>222.77</v>
      </c>
      <c r="P79" s="61">
        <v>46.127502476915602</v>
      </c>
    </row>
    <row r="80" spans="1:16" ht="11.25" customHeight="1" x14ac:dyDescent="0.25">
      <c r="A80" s="61">
        <v>79</v>
      </c>
      <c r="B80" s="61" t="s">
        <v>399</v>
      </c>
      <c r="C80" s="61" t="s">
        <v>40</v>
      </c>
      <c r="D80" s="61" t="s">
        <v>23</v>
      </c>
      <c r="E80" s="61" t="s">
        <v>41</v>
      </c>
      <c r="F80" s="61" t="s">
        <v>91</v>
      </c>
      <c r="G80" s="61" t="s">
        <v>25</v>
      </c>
      <c r="H80" s="61" t="s">
        <v>25</v>
      </c>
      <c r="I80" s="61" t="s">
        <v>25</v>
      </c>
      <c r="J80" s="61" t="s">
        <v>521</v>
      </c>
      <c r="K80" s="61" t="s">
        <v>522</v>
      </c>
      <c r="L80" s="61" t="s">
        <v>73</v>
      </c>
      <c r="M80" s="61">
        <v>2021</v>
      </c>
      <c r="N80" s="61">
        <v>0</v>
      </c>
      <c r="O80" s="61">
        <v>369.69</v>
      </c>
      <c r="P80" s="61">
        <v>46.127502476915602</v>
      </c>
    </row>
    <row r="81" spans="1:16" ht="11.25" customHeight="1" x14ac:dyDescent="0.25">
      <c r="A81" s="61">
        <v>80</v>
      </c>
      <c r="B81" s="61" t="s">
        <v>399</v>
      </c>
      <c r="C81" s="61" t="s">
        <v>40</v>
      </c>
      <c r="D81" s="61" t="s">
        <v>89</v>
      </c>
      <c r="E81" s="61" t="s">
        <v>41</v>
      </c>
      <c r="F81" s="61" t="s">
        <v>91</v>
      </c>
      <c r="G81" s="61" t="s">
        <v>25</v>
      </c>
      <c r="H81" s="61" t="s">
        <v>25</v>
      </c>
      <c r="I81" s="61" t="s">
        <v>25</v>
      </c>
      <c r="J81" s="61" t="s">
        <v>521</v>
      </c>
      <c r="K81" s="61" t="s">
        <v>522</v>
      </c>
      <c r="L81" s="61" t="s">
        <v>73</v>
      </c>
      <c r="M81" s="61">
        <v>2021</v>
      </c>
      <c r="N81" s="61">
        <v>0</v>
      </c>
      <c r="O81" s="61">
        <v>369.69</v>
      </c>
      <c r="P81" s="61">
        <v>46.127502476915602</v>
      </c>
    </row>
    <row r="82" spans="1:16" ht="11.25" customHeight="1" x14ac:dyDescent="0.25">
      <c r="A82" s="61">
        <v>81</v>
      </c>
      <c r="B82" s="61" t="s">
        <v>399</v>
      </c>
      <c r="C82" s="61" t="s">
        <v>37</v>
      </c>
      <c r="D82" s="61" t="s">
        <v>87</v>
      </c>
      <c r="E82" s="61" t="s">
        <v>25</v>
      </c>
      <c r="F82" s="61" t="s">
        <v>25</v>
      </c>
      <c r="G82" s="61" t="s">
        <v>25</v>
      </c>
      <c r="H82" s="61" t="s">
        <v>25</v>
      </c>
      <c r="I82" s="61" t="s">
        <v>35</v>
      </c>
      <c r="J82" s="61" t="s">
        <v>521</v>
      </c>
      <c r="K82" s="61" t="s">
        <v>522</v>
      </c>
      <c r="L82" s="61" t="s">
        <v>73</v>
      </c>
      <c r="M82" s="61">
        <v>2021</v>
      </c>
      <c r="N82" s="61">
        <v>0</v>
      </c>
      <c r="O82" s="61">
        <v>1219.6099999999999</v>
      </c>
      <c r="P82" s="61">
        <v>54.913693424899598</v>
      </c>
    </row>
    <row r="83" spans="1:16" ht="11.25" customHeight="1" x14ac:dyDescent="0.25">
      <c r="A83" s="61">
        <v>82</v>
      </c>
      <c r="B83" s="61" t="s">
        <v>399</v>
      </c>
      <c r="C83" s="61" t="s">
        <v>37</v>
      </c>
      <c r="D83" s="61" t="s">
        <v>87</v>
      </c>
      <c r="E83" s="61" t="s">
        <v>25</v>
      </c>
      <c r="F83" s="61" t="s">
        <v>25</v>
      </c>
      <c r="G83" s="61" t="s">
        <v>25</v>
      </c>
      <c r="H83" s="61" t="s">
        <v>25</v>
      </c>
      <c r="I83" s="61" t="s">
        <v>523</v>
      </c>
      <c r="J83" s="61" t="s">
        <v>521</v>
      </c>
      <c r="K83" s="61" t="s">
        <v>522</v>
      </c>
      <c r="L83" s="61" t="s">
        <v>73</v>
      </c>
      <c r="M83" s="61">
        <v>2021</v>
      </c>
      <c r="N83" s="61">
        <v>0</v>
      </c>
      <c r="O83" s="61">
        <v>770.25</v>
      </c>
      <c r="P83" s="61">
        <v>54.913693424899598</v>
      </c>
    </row>
    <row r="84" spans="1:16" ht="11.25" customHeight="1" x14ac:dyDescent="0.25">
      <c r="A84" s="61">
        <v>83</v>
      </c>
      <c r="B84" s="61" t="s">
        <v>399</v>
      </c>
      <c r="C84" s="61" t="s">
        <v>40</v>
      </c>
      <c r="D84" s="61" t="s">
        <v>89</v>
      </c>
      <c r="E84" s="61" t="s">
        <v>41</v>
      </c>
      <c r="F84" s="61" t="s">
        <v>25</v>
      </c>
      <c r="G84" s="61" t="s">
        <v>25</v>
      </c>
      <c r="H84" s="61" t="s">
        <v>25</v>
      </c>
      <c r="I84" s="61" t="s">
        <v>25</v>
      </c>
      <c r="J84" s="61" t="s">
        <v>521</v>
      </c>
      <c r="K84" s="61" t="s">
        <v>522</v>
      </c>
      <c r="L84" s="61" t="s">
        <v>73</v>
      </c>
      <c r="M84" s="61">
        <v>2021</v>
      </c>
      <c r="N84" s="61">
        <v>0</v>
      </c>
      <c r="O84" s="61">
        <v>387.29</v>
      </c>
      <c r="P84" s="61">
        <v>48.324050213911597</v>
      </c>
    </row>
    <row r="85" spans="1:16" ht="11.25" customHeight="1" x14ac:dyDescent="0.25">
      <c r="A85" s="61">
        <v>84</v>
      </c>
      <c r="B85" s="61" t="s">
        <v>399</v>
      </c>
      <c r="C85" s="61" t="s">
        <v>40</v>
      </c>
      <c r="D85" s="61" t="s">
        <v>89</v>
      </c>
      <c r="E85" s="61" t="s">
        <v>41</v>
      </c>
      <c r="F85" s="61" t="s">
        <v>90</v>
      </c>
      <c r="G85" s="61" t="s">
        <v>25</v>
      </c>
      <c r="H85" s="61" t="s">
        <v>25</v>
      </c>
      <c r="I85" s="61" t="s">
        <v>25</v>
      </c>
      <c r="J85" s="61" t="s">
        <v>521</v>
      </c>
      <c r="K85" s="61" t="s">
        <v>522</v>
      </c>
      <c r="L85" s="61" t="s">
        <v>73</v>
      </c>
      <c r="M85" s="61">
        <v>2021</v>
      </c>
      <c r="N85" s="61">
        <v>0</v>
      </c>
      <c r="O85" s="61">
        <v>387.29</v>
      </c>
      <c r="P85" s="61">
        <v>48.324050213911597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C6C73-D8F8-431C-828F-F325F72C56E1}">
  <sheetPr codeName="Planilha4"/>
  <dimension ref="A1:AD49"/>
  <sheetViews>
    <sheetView showGridLines="0" workbookViewId="0">
      <selection sqref="A1:W49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63</v>
      </c>
      <c r="B1" s="10" t="s">
        <v>64</v>
      </c>
      <c r="C1" s="10" t="s">
        <v>65</v>
      </c>
      <c r="D1" s="10" t="s">
        <v>66</v>
      </c>
      <c r="E1" s="10" t="s">
        <v>67</v>
      </c>
      <c r="F1" s="10" t="s">
        <v>68</v>
      </c>
      <c r="G1" s="10" t="s">
        <v>69</v>
      </c>
      <c r="H1" s="10" t="s">
        <v>70</v>
      </c>
      <c r="I1" s="11">
        <v>44287</v>
      </c>
      <c r="J1" s="11">
        <v>44317</v>
      </c>
      <c r="K1" s="11">
        <v>44348</v>
      </c>
      <c r="L1" s="11">
        <v>44378</v>
      </c>
      <c r="M1" s="11">
        <v>44409</v>
      </c>
      <c r="N1" s="11">
        <v>44440</v>
      </c>
      <c r="O1" s="11">
        <v>44470</v>
      </c>
      <c r="P1" s="11">
        <v>44501</v>
      </c>
      <c r="Q1" s="11">
        <v>44531</v>
      </c>
      <c r="R1" s="11">
        <v>44562</v>
      </c>
      <c r="S1" s="11">
        <v>44593</v>
      </c>
      <c r="T1" s="11">
        <v>44621</v>
      </c>
      <c r="U1" s="10" t="s">
        <v>71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15" t="s">
        <v>33</v>
      </c>
      <c r="B2" s="115" t="s">
        <v>43</v>
      </c>
      <c r="C2" s="115" t="s">
        <v>25</v>
      </c>
      <c r="D2" s="115" t="s">
        <v>25</v>
      </c>
      <c r="E2" s="115" t="s">
        <v>25</v>
      </c>
      <c r="F2" s="115" t="s">
        <v>25</v>
      </c>
      <c r="G2" s="12" t="s">
        <v>77</v>
      </c>
      <c r="H2" s="12" t="s">
        <v>76</v>
      </c>
      <c r="I2" s="12">
        <f>SUMIF(Mercado_Receita!$S$2:$S$693,"44287A4AzulNão se aplicaNão se aplicaNão se aplicaNão se aplicaPonta",Mercado_Receita!$J$2:$J$693)+SUMIF(Mercado_Receita!$S$2:$S$693,"44287A4AzulNão se aplicaNão se aplicaAPENão se aplicaPonta",Mercado_Receita!$J$2:$J$693)</f>
        <v>141</v>
      </c>
      <c r="J2" s="12">
        <f>SUMIF(Mercado_Receita!$S$2:$S$693,"44317A4AzulNão se aplicaNão se aplicaNão se aplicaNão se aplicaPonta",Mercado_Receita!$J$2:$J$693)+SUMIF(Mercado_Receita!$S$2:$S$693,"44317A4AzulNão se aplicaNão se aplicaAPENão se aplicaPonta",Mercado_Receita!$J$2:$J$693)</f>
        <v>130</v>
      </c>
      <c r="K2" s="12">
        <f>SUMIF(Mercado_Receita!$S$2:$S$693,"44348A4AzulNão se aplicaNão se aplicaNão se aplicaNão se aplicaPonta",Mercado_Receita!$J$2:$J$693)+SUMIF(Mercado_Receita!$S$2:$S$693,"44348A4AzulNão se aplicaNão se aplicaAPENão se aplicaPonta",Mercado_Receita!$J$2:$J$693)</f>
        <v>131</v>
      </c>
      <c r="L2" s="12">
        <f>SUMIF(Mercado_Receita!$S$2:$S$693,"44378A4AzulNão se aplicaNão se aplicaNão se aplicaNão se aplicaPonta",Mercado_Receita!$J$2:$J$693)+SUMIF(Mercado_Receita!$S$2:$S$693,"44378A4AzulNão se aplicaNão se aplicaAPENão se aplicaPonta",Mercado_Receita!$J$2:$J$693)</f>
        <v>138</v>
      </c>
      <c r="M2" s="12">
        <f>SUMIF(Mercado_Receita!$S$2:$S$693,"44409A4AzulNão se aplicaNão se aplicaNão se aplicaNão se aplicaPonta",Mercado_Receita!$J$2:$J$693)+SUMIF(Mercado_Receita!$S$2:$S$693,"44409A4AzulNão se aplicaNão se aplicaAPENão se aplicaPonta",Mercado_Receita!$J$2:$J$693)</f>
        <v>147</v>
      </c>
      <c r="N2" s="12">
        <f>SUMIF(Mercado_Receita!$S$2:$S$693,"44440A4AzulNão se aplicaNão se aplicaNão se aplicaNão se aplicaPonta",Mercado_Receita!$J$2:$J$693)+SUMIF(Mercado_Receita!$S$2:$S$693,"44440A4AzulNão se aplicaNão se aplicaAPENão se aplicaPonta",Mercado_Receita!$J$2:$J$693)</f>
        <v>140</v>
      </c>
      <c r="O2" s="12">
        <f>SUMIF(Mercado_Receita!$S$2:$S$693,"44470A4AzulNão se aplicaNão se aplicaNão se aplicaNão se aplicaPonta",Mercado_Receita!$J$2:$J$693)+SUMIF(Mercado_Receita!$S$2:$S$693,"44470A4AzulNão se aplicaNão se aplicaAPENão se aplicaPonta",Mercado_Receita!$J$2:$J$693)</f>
        <v>146</v>
      </c>
      <c r="P2" s="12">
        <f>SUMIF(Mercado_Receita!$S$2:$S$693,"44501A4AzulNão se aplicaNão se aplicaNão se aplicaNão se aplicaPonta",Mercado_Receita!$J$2:$J$693)+SUMIF(Mercado_Receita!$S$2:$S$693,"44501A4AzulNão se aplicaNão se aplicaAPENão se aplicaPonta",Mercado_Receita!$J$2:$J$693)</f>
        <v>135</v>
      </c>
      <c r="Q2" s="12">
        <f>SUMIF(Mercado_Receita!$S$2:$S$693,"44531A4AzulNão se aplicaNão se aplicaNão se aplicaNão se aplicaPonta",Mercado_Receita!$J$2:$J$693)+SUMIF(Mercado_Receita!$S$2:$S$693,"44531A4AzulNão se aplicaNão se aplicaAPENão se aplicaPonta",Mercado_Receita!$J$2:$J$693)</f>
        <v>149</v>
      </c>
      <c r="R2" s="12">
        <f>SUMIF(Mercado_Receita!$S$2:$S$693,"44562A4AzulNão se aplicaNão se aplicaNão se aplicaNão se aplicaPonta",Mercado_Receita!$J$2:$J$693)+SUMIF(Mercado_Receita!$S$2:$S$693,"44562A4AzulNão se aplicaNão se aplicaAPENão se aplicaPonta",Mercado_Receita!$J$2:$J$693)</f>
        <v>140</v>
      </c>
      <c r="S2" s="12">
        <f>SUMIF(Mercado_Receita!$S$2:$S$693,"44593A4AzulNão se aplicaNão se aplicaNão se aplicaNão se aplicaPonta",Mercado_Receita!$J$2:$J$693)+SUMIF(Mercado_Receita!$S$2:$S$693,"44593A4AzulNão se aplicaNão se aplicaAPENão se aplicaPonta",Mercado_Receita!$J$2:$J$693)</f>
        <v>141</v>
      </c>
      <c r="T2" s="12">
        <f>SUMIF(Mercado_Receita!$S$2:$S$693,"44621A4AzulNão se aplicaNão se aplicaNão se aplicaNão se aplicaPonta",Mercado_Receita!$J$2:$J$693)+SUMIF(Mercado_Receita!$S$2:$S$693,"44621A4AzulNão se aplicaNão se aplicaAPENão se aplicaPonta",Mercado_Receita!$J$2:$J$693)</f>
        <v>141</v>
      </c>
      <c r="U2" s="12">
        <f t="shared" ref="U2:U48" si="0">SUM(I2:T2)</f>
        <v>1679</v>
      </c>
      <c r="V2" s="12"/>
      <c r="W2" s="12"/>
    </row>
    <row r="3" spans="1:30" ht="11.25" customHeight="1" x14ac:dyDescent="0.25">
      <c r="A3" s="116"/>
      <c r="B3" s="116"/>
      <c r="C3" s="116"/>
      <c r="D3" s="116"/>
      <c r="E3" s="116"/>
      <c r="F3" s="116"/>
      <c r="G3" s="12" t="s">
        <v>78</v>
      </c>
      <c r="H3" s="12" t="s">
        <v>76</v>
      </c>
      <c r="I3" s="12">
        <f>SUMIF(Mercado_Receita!$S$2:$S$693,"44287A4AzulNão se aplicaNão se aplicaNão se aplicaNão se aplicaFora ponta",Mercado_Receita!$J$2:$J$693)+SUMIF(Mercado_Receita!$S$2:$S$693,"44287A4AzulNão se aplicaNão se aplicaAPENão se aplicaFora ponta",Mercado_Receita!$J$2:$J$693)</f>
        <v>144</v>
      </c>
      <c r="J3" s="12">
        <f>SUMIF(Mercado_Receita!$S$2:$S$693,"44317A4AzulNão se aplicaNão se aplicaNão se aplicaNão se aplicaFora ponta",Mercado_Receita!$J$2:$J$693)+SUMIF(Mercado_Receita!$S$2:$S$693,"44317A4AzulNão se aplicaNão se aplicaAPENão se aplicaFora ponta",Mercado_Receita!$J$2:$J$693)</f>
        <v>141</v>
      </c>
      <c r="K3" s="12">
        <f>SUMIF(Mercado_Receita!$S$2:$S$693,"44348A4AzulNão se aplicaNão se aplicaNão se aplicaNão se aplicaFora ponta",Mercado_Receita!$J$2:$J$693)+SUMIF(Mercado_Receita!$S$2:$S$693,"44348A4AzulNão se aplicaNão se aplicaAPENão se aplicaFora ponta",Mercado_Receita!$J$2:$J$693)</f>
        <v>133</v>
      </c>
      <c r="L3" s="12">
        <f>SUMIF(Mercado_Receita!$S$2:$S$693,"44378A4AzulNão se aplicaNão se aplicaNão se aplicaNão se aplicaFora ponta",Mercado_Receita!$J$2:$J$693)+SUMIF(Mercado_Receita!$S$2:$S$693,"44378A4AzulNão se aplicaNão se aplicaAPENão se aplicaFora ponta",Mercado_Receita!$J$2:$J$693)</f>
        <v>130</v>
      </c>
      <c r="M3" s="12">
        <f>SUMIF(Mercado_Receita!$S$2:$S$693,"44409A4AzulNão se aplicaNão se aplicaNão se aplicaNão se aplicaFora ponta",Mercado_Receita!$J$2:$J$693)+SUMIF(Mercado_Receita!$S$2:$S$693,"44409A4AzulNão se aplicaNão se aplicaAPENão se aplicaFora ponta",Mercado_Receita!$J$2:$J$693)</f>
        <v>134</v>
      </c>
      <c r="N3" s="12">
        <f>SUMIF(Mercado_Receita!$S$2:$S$693,"44440A4AzulNão se aplicaNão se aplicaNão se aplicaNão se aplicaFora ponta",Mercado_Receita!$J$2:$J$693)+SUMIF(Mercado_Receita!$S$2:$S$693,"44440A4AzulNão se aplicaNão se aplicaAPENão se aplicaFora ponta",Mercado_Receita!$J$2:$J$693)</f>
        <v>144</v>
      </c>
      <c r="O3" s="12">
        <f>SUMIF(Mercado_Receita!$S$2:$S$693,"44470A4AzulNão se aplicaNão se aplicaNão se aplicaNão se aplicaFora ponta",Mercado_Receita!$J$2:$J$693)+SUMIF(Mercado_Receita!$S$2:$S$693,"44470A4AzulNão se aplicaNão se aplicaAPENão se aplicaFora ponta",Mercado_Receita!$J$2:$J$693)</f>
        <v>146</v>
      </c>
      <c r="P3" s="12">
        <f>SUMIF(Mercado_Receita!$S$2:$S$693,"44501A4AzulNão se aplicaNão se aplicaNão se aplicaNão se aplicaFora ponta",Mercado_Receita!$J$2:$J$693)+SUMIF(Mercado_Receita!$S$2:$S$693,"44501A4AzulNão se aplicaNão se aplicaAPENão se aplicaFora ponta",Mercado_Receita!$J$2:$J$693)</f>
        <v>136</v>
      </c>
      <c r="Q3" s="12">
        <f>SUMIF(Mercado_Receita!$S$2:$S$693,"44531A4AzulNão se aplicaNão se aplicaNão se aplicaNão se aplicaFora ponta",Mercado_Receita!$J$2:$J$693)+SUMIF(Mercado_Receita!$S$2:$S$693,"44531A4AzulNão se aplicaNão se aplicaAPENão se aplicaFora ponta",Mercado_Receita!$J$2:$J$693)</f>
        <v>145</v>
      </c>
      <c r="R3" s="12">
        <f>SUMIF(Mercado_Receita!$S$2:$S$693,"44562A4AzulNão se aplicaNão se aplicaNão se aplicaNão se aplicaFora ponta",Mercado_Receita!$J$2:$J$693)+SUMIF(Mercado_Receita!$S$2:$S$693,"44562A4AzulNão se aplicaNão se aplicaAPENão se aplicaFora ponta",Mercado_Receita!$J$2:$J$693)</f>
        <v>138</v>
      </c>
      <c r="S3" s="12">
        <f>SUMIF(Mercado_Receita!$S$2:$S$693,"44593A4AzulNão se aplicaNão se aplicaNão se aplicaNão se aplicaFora ponta",Mercado_Receita!$J$2:$J$693)+SUMIF(Mercado_Receita!$S$2:$S$693,"44593A4AzulNão se aplicaNão se aplicaAPENão se aplicaFora ponta",Mercado_Receita!$J$2:$J$693)</f>
        <v>146</v>
      </c>
      <c r="T3" s="12">
        <f>SUMIF(Mercado_Receita!$S$2:$S$693,"44621A4AzulNão se aplicaNão se aplicaNão se aplicaNão se aplicaFora ponta",Mercado_Receita!$J$2:$J$693)+SUMIF(Mercado_Receita!$S$2:$S$693,"44621A4AzulNão se aplicaNão se aplicaAPENão se aplicaFora ponta",Mercado_Receita!$J$2:$J$693)</f>
        <v>146</v>
      </c>
      <c r="U3" s="12">
        <f t="shared" si="0"/>
        <v>1683</v>
      </c>
      <c r="V3" s="12"/>
      <c r="W3" s="12"/>
    </row>
    <row r="4" spans="1:30" ht="11.25" customHeight="1" x14ac:dyDescent="0.25">
      <c r="A4" s="116"/>
      <c r="B4" s="116"/>
      <c r="C4" s="116"/>
      <c r="D4" s="116"/>
      <c r="E4" s="116"/>
      <c r="F4" s="116"/>
      <c r="G4" s="12" t="s">
        <v>79</v>
      </c>
      <c r="H4" s="12" t="s">
        <v>73</v>
      </c>
      <c r="I4" s="12">
        <f>SUMIF(Mercado_Receita!$S$2:$S$693,"44287A4AzulNão se aplicaNão se aplicaNão se aplicaNão se aplicaPonta",Mercado_Receita!$L$2:$L$693)+SUMIF(Mercado_Receita!$S$2:$S$693,"44287A4AzulNão se aplicaNão se aplicaNão se aplicaNão se aplicaFora ponta",Mercado_Receita!$L$2:$L$693)+SUMIF(Mercado_Receita!$S$2:$S$693,"44287A4AzulNão se aplicaNão se aplicaNão se aplicaNão se aplicaIntermediário",Mercado_Receita!$L$2:$L$693)+SUMIF(Mercado_Receita!$S$2:$S$693,"44287A4AzulNão se aplicaNão se aplicaNão se aplicaNão se aplicaNão se aplica",Mercado_Receita!$L$2:$L$693)</f>
        <v>54.720999999999997</v>
      </c>
      <c r="J4" s="12">
        <f>SUMIF(Mercado_Receita!$S$2:$S$693,"44317A4AzulNão se aplicaNão se aplicaNão se aplicaNão se aplicaPonta",Mercado_Receita!$L$2:$L$693)+SUMIF(Mercado_Receita!$S$2:$S$693,"44317A4AzulNão se aplicaNão se aplicaNão se aplicaNão se aplicaFora ponta",Mercado_Receita!$L$2:$L$693)+SUMIF(Mercado_Receita!$S$2:$S$693,"44317A4AzulNão se aplicaNão se aplicaNão se aplicaNão se aplicaIntermediário",Mercado_Receita!$L$2:$L$693)+SUMIF(Mercado_Receita!$S$2:$S$693,"44317A4AzulNão se aplicaNão se aplicaNão se aplicaNão se aplicaNão se aplica",Mercado_Receita!$L$2:$L$693)</f>
        <v>52.160000000000004</v>
      </c>
      <c r="K4" s="12">
        <f>SUMIF(Mercado_Receita!$S$2:$S$693,"44348A4AzulNão se aplicaNão se aplicaNão se aplicaNão se aplicaPonta",Mercado_Receita!$L$2:$L$693)+SUMIF(Mercado_Receita!$S$2:$S$693,"44348A4AzulNão se aplicaNão se aplicaNão se aplicaNão se aplicaFora ponta",Mercado_Receita!$L$2:$L$693)+SUMIF(Mercado_Receita!$S$2:$S$693,"44348A4AzulNão se aplicaNão se aplicaNão se aplicaNão se aplicaIntermediário",Mercado_Receita!$L$2:$L$693)+SUMIF(Mercado_Receita!$S$2:$S$693,"44348A4AzulNão se aplicaNão se aplicaNão se aplicaNão se aplicaNão se aplica",Mercado_Receita!$L$2:$L$693)</f>
        <v>53.583999999999996</v>
      </c>
      <c r="L4" s="12">
        <f>SUMIF(Mercado_Receita!$S$2:$S$693,"44378A4AzulNão se aplicaNão se aplicaNão se aplicaNão se aplicaPonta",Mercado_Receita!$L$2:$L$693)+SUMIF(Mercado_Receita!$S$2:$S$693,"44378A4AzulNão se aplicaNão se aplicaNão se aplicaNão se aplicaFora ponta",Mercado_Receita!$L$2:$L$693)+SUMIF(Mercado_Receita!$S$2:$S$693,"44378A4AzulNão se aplicaNão se aplicaNão se aplicaNão se aplicaIntermediário",Mercado_Receita!$L$2:$L$693)+SUMIF(Mercado_Receita!$S$2:$S$693,"44378A4AzulNão se aplicaNão se aplicaNão se aplicaNão se aplicaNão se aplica",Mercado_Receita!$L$2:$L$693)</f>
        <v>50.253</v>
      </c>
      <c r="M4" s="12">
        <f>SUMIF(Mercado_Receita!$S$2:$S$693,"44409A4AzulNão se aplicaNão se aplicaNão se aplicaNão se aplicaPonta",Mercado_Receita!$L$2:$L$693)+SUMIF(Mercado_Receita!$S$2:$S$693,"44409A4AzulNão se aplicaNão se aplicaNão se aplicaNão se aplicaFora ponta",Mercado_Receita!$L$2:$L$693)+SUMIF(Mercado_Receita!$S$2:$S$693,"44409A4AzulNão se aplicaNão se aplicaNão se aplicaNão se aplicaIntermediário",Mercado_Receita!$L$2:$L$693)+SUMIF(Mercado_Receita!$S$2:$S$693,"44409A4AzulNão se aplicaNão se aplicaNão se aplicaNão se aplicaNão se aplica",Mercado_Receita!$L$2:$L$693)</f>
        <v>55.261000000000003</v>
      </c>
      <c r="N4" s="12">
        <f>SUMIF(Mercado_Receita!$S$2:$S$693,"44440A4AzulNão se aplicaNão se aplicaNão se aplicaNão se aplicaPonta",Mercado_Receita!$L$2:$L$693)+SUMIF(Mercado_Receita!$S$2:$S$693,"44440A4AzulNão se aplicaNão se aplicaNão se aplicaNão se aplicaFora ponta",Mercado_Receita!$L$2:$L$693)+SUMIF(Mercado_Receita!$S$2:$S$693,"44440A4AzulNão se aplicaNão se aplicaNão se aplicaNão se aplicaIntermediário",Mercado_Receita!$L$2:$L$693)+SUMIF(Mercado_Receita!$S$2:$S$693,"44440A4AzulNão se aplicaNão se aplicaNão se aplicaNão se aplicaNão se aplica",Mercado_Receita!$L$2:$L$693)</f>
        <v>54.86</v>
      </c>
      <c r="O4" s="12">
        <f>SUMIF(Mercado_Receita!$S$2:$S$693,"44470A4AzulNão se aplicaNão se aplicaNão se aplicaNão se aplicaPonta",Mercado_Receita!$L$2:$L$693)+SUMIF(Mercado_Receita!$S$2:$S$693,"44470A4AzulNão se aplicaNão se aplicaNão se aplicaNão se aplicaFora ponta",Mercado_Receita!$L$2:$L$693)+SUMIF(Mercado_Receita!$S$2:$S$693,"44470A4AzulNão se aplicaNão se aplicaNão se aplicaNão se aplicaIntermediário",Mercado_Receita!$L$2:$L$693)+SUMIF(Mercado_Receita!$S$2:$S$693,"44470A4AzulNão se aplicaNão se aplicaNão se aplicaNão se aplicaNão se aplica",Mercado_Receita!$L$2:$L$693)</f>
        <v>52.6</v>
      </c>
      <c r="P4" s="12">
        <f>SUMIF(Mercado_Receita!$S$2:$S$693,"44501A4AzulNão se aplicaNão se aplicaNão se aplicaNão se aplicaPonta",Mercado_Receita!$L$2:$L$693)+SUMIF(Mercado_Receita!$S$2:$S$693,"44501A4AzulNão se aplicaNão se aplicaNão se aplicaNão se aplicaFora ponta",Mercado_Receita!$L$2:$L$693)+SUMIF(Mercado_Receita!$S$2:$S$693,"44501A4AzulNão se aplicaNão se aplicaNão se aplicaNão se aplicaIntermediário",Mercado_Receita!$L$2:$L$693)+SUMIF(Mercado_Receita!$S$2:$S$693,"44501A4AzulNão se aplicaNão se aplicaNão se aplicaNão se aplicaNão se aplica",Mercado_Receita!$L$2:$L$693)</f>
        <v>53.583000000000006</v>
      </c>
      <c r="Q4" s="12">
        <f>SUMIF(Mercado_Receita!$S$2:$S$693,"44531A4AzulNão se aplicaNão se aplicaNão se aplicaNão se aplicaPonta",Mercado_Receita!$L$2:$L$693)+SUMIF(Mercado_Receita!$S$2:$S$693,"44531A4AzulNão se aplicaNão se aplicaNão se aplicaNão se aplicaFora ponta",Mercado_Receita!$L$2:$L$693)+SUMIF(Mercado_Receita!$S$2:$S$693,"44531A4AzulNão se aplicaNão se aplicaNão se aplicaNão se aplicaIntermediário",Mercado_Receita!$L$2:$L$693)+SUMIF(Mercado_Receita!$S$2:$S$693,"44531A4AzulNão se aplicaNão se aplicaNão se aplicaNão se aplicaNão se aplica",Mercado_Receita!$L$2:$L$693)</f>
        <v>53.11</v>
      </c>
      <c r="R4" s="12">
        <f>SUMIF(Mercado_Receita!$S$2:$S$693,"44562A4AzulNão se aplicaNão se aplicaNão se aplicaNão se aplicaPonta",Mercado_Receita!$L$2:$L$693)+SUMIF(Mercado_Receita!$S$2:$S$693,"44562A4AzulNão se aplicaNão se aplicaNão se aplicaNão se aplicaFora ponta",Mercado_Receita!$L$2:$L$693)+SUMIF(Mercado_Receita!$S$2:$S$693,"44562A4AzulNão se aplicaNão se aplicaNão se aplicaNão se aplicaIntermediário",Mercado_Receita!$L$2:$L$693)+SUMIF(Mercado_Receita!$S$2:$S$693,"44562A4AzulNão se aplicaNão se aplicaNão se aplicaNão se aplicaNão se aplica",Mercado_Receita!$L$2:$L$693)</f>
        <v>54.297000000000004</v>
      </c>
      <c r="S4" s="12">
        <f>SUMIF(Mercado_Receita!$S$2:$S$693,"44593A4AzulNão se aplicaNão se aplicaNão se aplicaNão se aplicaPonta",Mercado_Receita!$L$2:$L$693)+SUMIF(Mercado_Receita!$S$2:$S$693,"44593A4AzulNão se aplicaNão se aplicaNão se aplicaNão se aplicaFora ponta",Mercado_Receita!$L$2:$L$693)+SUMIF(Mercado_Receita!$S$2:$S$693,"44593A4AzulNão se aplicaNão se aplicaNão se aplicaNão se aplicaIntermediário",Mercado_Receita!$L$2:$L$693)+SUMIF(Mercado_Receita!$S$2:$S$693,"44593A4AzulNão se aplicaNão se aplicaNão se aplicaNão se aplicaNão se aplica",Mercado_Receita!$L$2:$L$693)</f>
        <v>55.349000000000004</v>
      </c>
      <c r="T4" s="12">
        <f>SUMIF(Mercado_Receita!$S$2:$S$693,"44621A4AzulNão se aplicaNão se aplicaNão se aplicaNão se aplicaPonta",Mercado_Receita!$L$2:$L$693)+SUMIF(Mercado_Receita!$S$2:$S$693,"44621A4AzulNão se aplicaNão se aplicaNão se aplicaNão se aplicaFora ponta",Mercado_Receita!$L$2:$L$693)+SUMIF(Mercado_Receita!$S$2:$S$693,"44621A4AzulNão se aplicaNão se aplicaNão se aplicaNão se aplicaIntermediário",Mercado_Receita!$L$2:$L$693)+SUMIF(Mercado_Receita!$S$2:$S$693,"44621A4AzulNão se aplicaNão se aplicaNão se aplicaNão se aplicaNão se aplica",Mercado_Receita!$L$2:$L$693)</f>
        <v>55.349000000000004</v>
      </c>
      <c r="U4" s="12">
        <f t="shared" si="0"/>
        <v>645.12700000000018</v>
      </c>
      <c r="V4" s="12"/>
      <c r="W4" s="12"/>
    </row>
    <row r="5" spans="1:30" ht="11.25" customHeight="1" x14ac:dyDescent="0.25">
      <c r="A5" s="116"/>
      <c r="B5" s="116"/>
      <c r="C5" s="116"/>
      <c r="D5" s="116"/>
      <c r="E5" s="13" t="s">
        <v>80</v>
      </c>
      <c r="F5" s="13" t="s">
        <v>25</v>
      </c>
      <c r="G5" s="12" t="s">
        <v>79</v>
      </c>
      <c r="H5" s="12" t="s">
        <v>73</v>
      </c>
      <c r="I5" s="12">
        <f>SUMIF(Mercado_Receita!$S$2:$S$693,"44287A4AzulNão se aplicaNão se aplicaAPENão se aplicaPonta",Mercado_Receita!$L$2:$L$693)+SUMIF(Mercado_Receita!$S$2:$S$693,"44287A4AzulNão se aplicaNão se aplicaAPENão se aplicaFora ponta",Mercado_Receita!$L$2:$L$693)+SUMIF(Mercado_Receita!$S$2:$S$693,"44287A4AzulNão se aplicaNão se aplicaAPENão se aplicaIntermediário",Mercado_Receita!$L$2:$L$693)+SUMIF(Mercado_Receita!$S$2:$S$693,"44287A4AzulNão se aplicaNão se aplicaAPENão se aplicaNão se aplica",Mercado_Receita!$L$2:$L$693)</f>
        <v>0</v>
      </c>
      <c r="J5" s="12">
        <f>SUMIF(Mercado_Receita!$S$2:$S$693,"44317A4AzulNão se aplicaNão se aplicaAPENão se aplicaPonta",Mercado_Receita!$L$2:$L$693)+SUMIF(Mercado_Receita!$S$2:$S$693,"44317A4AzulNão se aplicaNão se aplicaAPENão se aplicaFora ponta",Mercado_Receita!$L$2:$L$693)+SUMIF(Mercado_Receita!$S$2:$S$693,"44317A4AzulNão se aplicaNão se aplicaAPENão se aplicaIntermediário",Mercado_Receita!$L$2:$L$693)+SUMIF(Mercado_Receita!$S$2:$S$693,"44317A4AzulNão se aplicaNão se aplicaAPENão se aplicaNão se aplica",Mercado_Receita!$L$2:$L$693)</f>
        <v>0</v>
      </c>
      <c r="K5" s="12">
        <f>SUMIF(Mercado_Receita!$S$2:$S$693,"44348A4AzulNão se aplicaNão se aplicaAPENão se aplicaPonta",Mercado_Receita!$L$2:$L$693)+SUMIF(Mercado_Receita!$S$2:$S$693,"44348A4AzulNão se aplicaNão se aplicaAPENão se aplicaFora ponta",Mercado_Receita!$L$2:$L$693)+SUMIF(Mercado_Receita!$S$2:$S$693,"44348A4AzulNão se aplicaNão se aplicaAPENão se aplicaIntermediário",Mercado_Receita!$L$2:$L$693)+SUMIF(Mercado_Receita!$S$2:$S$693,"44348A4AzulNão se aplicaNão se aplicaAPENão se aplicaNão se aplica",Mercado_Receita!$L$2:$L$693)</f>
        <v>0</v>
      </c>
      <c r="L5" s="12">
        <f>SUMIF(Mercado_Receita!$S$2:$S$693,"44378A4AzulNão se aplicaNão se aplicaAPENão se aplicaPonta",Mercado_Receita!$L$2:$L$693)+SUMIF(Mercado_Receita!$S$2:$S$693,"44378A4AzulNão se aplicaNão se aplicaAPENão se aplicaFora ponta",Mercado_Receita!$L$2:$L$693)+SUMIF(Mercado_Receita!$S$2:$S$693,"44378A4AzulNão se aplicaNão se aplicaAPENão se aplicaIntermediário",Mercado_Receita!$L$2:$L$693)+SUMIF(Mercado_Receita!$S$2:$S$693,"44378A4AzulNão se aplicaNão se aplicaAPENão se aplicaNão se aplica",Mercado_Receita!$L$2:$L$693)</f>
        <v>0</v>
      </c>
      <c r="M5" s="12">
        <f>SUMIF(Mercado_Receita!$S$2:$S$693,"44409A4AzulNão se aplicaNão se aplicaAPENão se aplicaPonta",Mercado_Receita!$L$2:$L$693)+SUMIF(Mercado_Receita!$S$2:$S$693,"44409A4AzulNão se aplicaNão se aplicaAPENão se aplicaFora ponta",Mercado_Receita!$L$2:$L$693)+SUMIF(Mercado_Receita!$S$2:$S$693,"44409A4AzulNão se aplicaNão se aplicaAPENão se aplicaIntermediário",Mercado_Receita!$L$2:$L$693)+SUMIF(Mercado_Receita!$S$2:$S$693,"44409A4AzulNão se aplicaNão se aplicaAPENão se aplicaNão se aplica",Mercado_Receita!$L$2:$L$693)</f>
        <v>0</v>
      </c>
      <c r="N5" s="12">
        <f>SUMIF(Mercado_Receita!$S$2:$S$693,"44440A4AzulNão se aplicaNão se aplicaAPENão se aplicaPonta",Mercado_Receita!$L$2:$L$693)+SUMIF(Mercado_Receita!$S$2:$S$693,"44440A4AzulNão se aplicaNão se aplicaAPENão se aplicaFora ponta",Mercado_Receita!$L$2:$L$693)+SUMIF(Mercado_Receita!$S$2:$S$693,"44440A4AzulNão se aplicaNão se aplicaAPENão se aplicaIntermediário",Mercado_Receita!$L$2:$L$693)+SUMIF(Mercado_Receita!$S$2:$S$693,"44440A4AzulNão se aplicaNão se aplicaAPENão se aplicaNão se aplica",Mercado_Receita!$L$2:$L$693)</f>
        <v>0</v>
      </c>
      <c r="O5" s="12">
        <f>SUMIF(Mercado_Receita!$S$2:$S$693,"44470A4AzulNão se aplicaNão se aplicaAPENão se aplicaPonta",Mercado_Receita!$L$2:$L$693)+SUMIF(Mercado_Receita!$S$2:$S$693,"44470A4AzulNão se aplicaNão se aplicaAPENão se aplicaFora ponta",Mercado_Receita!$L$2:$L$693)+SUMIF(Mercado_Receita!$S$2:$S$693,"44470A4AzulNão se aplicaNão se aplicaAPENão se aplicaIntermediário",Mercado_Receita!$L$2:$L$693)+SUMIF(Mercado_Receita!$S$2:$S$693,"44470A4AzulNão se aplicaNão se aplicaAPENão se aplicaNão se aplica",Mercado_Receita!$L$2:$L$693)</f>
        <v>0</v>
      </c>
      <c r="P5" s="12">
        <f>SUMIF(Mercado_Receita!$S$2:$S$693,"44501A4AzulNão se aplicaNão se aplicaAPENão se aplicaPonta",Mercado_Receita!$L$2:$L$693)+SUMIF(Mercado_Receita!$S$2:$S$693,"44501A4AzulNão se aplicaNão se aplicaAPENão se aplicaFora ponta",Mercado_Receita!$L$2:$L$693)+SUMIF(Mercado_Receita!$S$2:$S$693,"44501A4AzulNão se aplicaNão se aplicaAPENão se aplicaIntermediário",Mercado_Receita!$L$2:$L$693)+SUMIF(Mercado_Receita!$S$2:$S$693,"44501A4AzulNão se aplicaNão se aplicaAPENão se aplicaNão se aplica",Mercado_Receita!$L$2:$L$693)</f>
        <v>0</v>
      </c>
      <c r="Q5" s="12">
        <f>SUMIF(Mercado_Receita!$S$2:$S$693,"44531A4AzulNão se aplicaNão se aplicaAPENão se aplicaPonta",Mercado_Receita!$L$2:$L$693)+SUMIF(Mercado_Receita!$S$2:$S$693,"44531A4AzulNão se aplicaNão se aplicaAPENão se aplicaFora ponta",Mercado_Receita!$L$2:$L$693)+SUMIF(Mercado_Receita!$S$2:$S$693,"44531A4AzulNão se aplicaNão se aplicaAPENão se aplicaIntermediário",Mercado_Receita!$L$2:$L$693)+SUMIF(Mercado_Receita!$S$2:$S$693,"44531A4AzulNão se aplicaNão se aplicaAPENão se aplicaNão se aplica",Mercado_Receita!$L$2:$L$693)</f>
        <v>0</v>
      </c>
      <c r="R5" s="12">
        <f>SUMIF(Mercado_Receita!$S$2:$S$693,"44562A4AzulNão se aplicaNão se aplicaAPENão se aplicaPonta",Mercado_Receita!$L$2:$L$693)+SUMIF(Mercado_Receita!$S$2:$S$693,"44562A4AzulNão se aplicaNão se aplicaAPENão se aplicaFora ponta",Mercado_Receita!$L$2:$L$693)+SUMIF(Mercado_Receita!$S$2:$S$693,"44562A4AzulNão se aplicaNão se aplicaAPENão se aplicaIntermediário",Mercado_Receita!$L$2:$L$693)+SUMIF(Mercado_Receita!$S$2:$S$693,"44562A4AzulNão se aplicaNão se aplicaAPENão se aplicaNão se aplica",Mercado_Receita!$L$2:$L$693)</f>
        <v>0</v>
      </c>
      <c r="S5" s="12">
        <f>SUMIF(Mercado_Receita!$S$2:$S$693,"44593A4AzulNão se aplicaNão se aplicaAPENão se aplicaPonta",Mercado_Receita!$L$2:$L$693)+SUMIF(Mercado_Receita!$S$2:$S$693,"44593A4AzulNão se aplicaNão se aplicaAPENão se aplicaFora ponta",Mercado_Receita!$L$2:$L$693)+SUMIF(Mercado_Receita!$S$2:$S$693,"44593A4AzulNão se aplicaNão se aplicaAPENão se aplicaIntermediário",Mercado_Receita!$L$2:$L$693)+SUMIF(Mercado_Receita!$S$2:$S$693,"44593A4AzulNão se aplicaNão se aplicaAPENão se aplicaNão se aplica",Mercado_Receita!$L$2:$L$693)</f>
        <v>0</v>
      </c>
      <c r="T5" s="12">
        <f>SUMIF(Mercado_Receita!$S$2:$S$693,"44621A4AzulNão se aplicaNão se aplicaAPENão se aplicaPonta",Mercado_Receita!$L$2:$L$693)+SUMIF(Mercado_Receita!$S$2:$S$693,"44621A4AzulNão se aplicaNão se aplicaAPENão se aplicaFora ponta",Mercado_Receita!$L$2:$L$693)+SUMIF(Mercado_Receita!$S$2:$S$693,"44621A4AzulNão se aplicaNão se aplicaAPENão se aplicaIntermediário",Mercado_Receita!$L$2:$L$693)+SUMIF(Mercado_Receita!$S$2:$S$693,"44621A4AzulNão se aplicaNão se aplicaAPENão se aplicaNão se aplica",Mercado_Receita!$L$2:$L$693)</f>
        <v>0</v>
      </c>
      <c r="U5" s="12">
        <f t="shared" si="0"/>
        <v>0</v>
      </c>
      <c r="V5" s="12"/>
      <c r="W5" s="12"/>
    </row>
    <row r="6" spans="1:30" ht="11.25" customHeight="1" x14ac:dyDescent="0.25">
      <c r="A6" s="116"/>
      <c r="B6" s="13" t="s">
        <v>81</v>
      </c>
      <c r="C6" s="13" t="s">
        <v>25</v>
      </c>
      <c r="D6" s="13" t="s">
        <v>25</v>
      </c>
      <c r="E6" s="13" t="s">
        <v>25</v>
      </c>
      <c r="F6" s="13" t="s">
        <v>25</v>
      </c>
      <c r="G6" s="12" t="s">
        <v>9</v>
      </c>
      <c r="H6" s="12" t="s">
        <v>76</v>
      </c>
      <c r="I6" s="12">
        <f>SUMIF(Mercado_Receita!$S$2:$S$693,"44287A4GeraçãoNão se aplicaNão se aplicaNão se aplicaNão se aplicaNão se aplica",Mercado_Receita!$J$2:$J$693)+SUMIF(Mercado_Receita!$S$2:$S$693,"44287A4GeraçãoNão se aplicaNão se aplicaAPENão se aplicaNão se aplica",Mercado_Receita!$J$2:$J$693)</f>
        <v>0</v>
      </c>
      <c r="J6" s="12">
        <f>SUMIF(Mercado_Receita!$S$2:$S$693,"44317A4GeraçãoNão se aplicaNão se aplicaNão se aplicaNão se aplicaNão se aplica",Mercado_Receita!$J$2:$J$693)+SUMIF(Mercado_Receita!$S$2:$S$693,"44317A4GeraçãoNão se aplicaNão se aplicaAPENão se aplicaNão se aplica",Mercado_Receita!$J$2:$J$693)</f>
        <v>0</v>
      </c>
      <c r="K6" s="12">
        <f>SUMIF(Mercado_Receita!$S$2:$S$693,"44348A4GeraçãoNão se aplicaNão se aplicaNão se aplicaNão se aplicaNão se aplica",Mercado_Receita!$J$2:$J$693)+SUMIF(Mercado_Receita!$S$2:$S$693,"44348A4GeraçãoNão se aplicaNão se aplicaAPENão se aplicaNão se aplica",Mercado_Receita!$J$2:$J$693)</f>
        <v>0</v>
      </c>
      <c r="L6" s="12">
        <f>SUMIF(Mercado_Receita!$S$2:$S$693,"44378A4GeraçãoNão se aplicaNão se aplicaNão se aplicaNão se aplicaNão se aplica",Mercado_Receita!$J$2:$J$693)+SUMIF(Mercado_Receita!$S$2:$S$693,"44378A4GeraçãoNão se aplicaNão se aplicaAPENão se aplicaNão se aplica",Mercado_Receita!$J$2:$J$693)</f>
        <v>0</v>
      </c>
      <c r="M6" s="12">
        <f>SUMIF(Mercado_Receita!$S$2:$S$693,"44409A4GeraçãoNão se aplicaNão se aplicaNão se aplicaNão se aplicaNão se aplica",Mercado_Receita!$J$2:$J$693)+SUMIF(Mercado_Receita!$S$2:$S$693,"44409A4GeraçãoNão se aplicaNão se aplicaAPENão se aplicaNão se aplica",Mercado_Receita!$J$2:$J$693)</f>
        <v>0</v>
      </c>
      <c r="N6" s="12">
        <f>SUMIF(Mercado_Receita!$S$2:$S$693,"44440A4GeraçãoNão se aplicaNão se aplicaNão se aplicaNão se aplicaNão se aplica",Mercado_Receita!$J$2:$J$693)+SUMIF(Mercado_Receita!$S$2:$S$693,"44440A4GeraçãoNão se aplicaNão se aplicaAPENão se aplicaNão se aplica",Mercado_Receita!$J$2:$J$693)</f>
        <v>0</v>
      </c>
      <c r="O6" s="12">
        <f>SUMIF(Mercado_Receita!$S$2:$S$693,"44470A4GeraçãoNão se aplicaNão se aplicaNão se aplicaNão se aplicaNão se aplica",Mercado_Receita!$J$2:$J$693)+SUMIF(Mercado_Receita!$S$2:$S$693,"44470A4GeraçãoNão se aplicaNão se aplicaAPENão se aplicaNão se aplica",Mercado_Receita!$J$2:$J$693)</f>
        <v>0</v>
      </c>
      <c r="P6" s="12">
        <f>SUMIF(Mercado_Receita!$S$2:$S$693,"44501A4GeraçãoNão se aplicaNão se aplicaNão se aplicaNão se aplicaNão se aplica",Mercado_Receita!$J$2:$J$693)+SUMIF(Mercado_Receita!$S$2:$S$693,"44501A4GeraçãoNão se aplicaNão se aplicaAPENão se aplicaNão se aplica",Mercado_Receita!$J$2:$J$693)</f>
        <v>0</v>
      </c>
      <c r="Q6" s="12">
        <f>SUMIF(Mercado_Receita!$S$2:$S$693,"44531A4GeraçãoNão se aplicaNão se aplicaNão se aplicaNão se aplicaNão se aplica",Mercado_Receita!$J$2:$J$693)+SUMIF(Mercado_Receita!$S$2:$S$693,"44531A4GeraçãoNão se aplicaNão se aplicaAPENão se aplicaNão se aplica",Mercado_Receita!$J$2:$J$693)</f>
        <v>0</v>
      </c>
      <c r="R6" s="12">
        <f>SUMIF(Mercado_Receita!$S$2:$S$693,"44562A4GeraçãoNão se aplicaNão se aplicaNão se aplicaNão se aplicaNão se aplica",Mercado_Receita!$J$2:$J$693)+SUMIF(Mercado_Receita!$S$2:$S$693,"44562A4GeraçãoNão se aplicaNão se aplicaAPENão se aplicaNão se aplica",Mercado_Receita!$J$2:$J$693)</f>
        <v>0</v>
      </c>
      <c r="S6" s="12">
        <f>SUMIF(Mercado_Receita!$S$2:$S$693,"44593A4GeraçãoNão se aplicaNão se aplicaNão se aplicaNão se aplicaNão se aplica",Mercado_Receita!$J$2:$J$693)+SUMIF(Mercado_Receita!$S$2:$S$693,"44593A4GeraçãoNão se aplicaNão se aplicaAPENão se aplicaNão se aplica",Mercado_Receita!$J$2:$J$693)</f>
        <v>0</v>
      </c>
      <c r="T6" s="12">
        <f>SUMIF(Mercado_Receita!$S$2:$S$693,"44621A4GeraçãoNão se aplicaNão se aplicaNão se aplicaNão se aplicaNão se aplica",Mercado_Receita!$J$2:$J$693)+SUMIF(Mercado_Receita!$S$2:$S$693,"44621A4GeraçãoNão se aplicaNão se aplicaAPENão se aplicaNão se aplica",Mercado_Receita!$J$2:$J$693)</f>
        <v>0</v>
      </c>
      <c r="U6" s="12">
        <f t="shared" si="0"/>
        <v>0</v>
      </c>
      <c r="V6" s="12"/>
      <c r="W6" s="12"/>
    </row>
    <row r="7" spans="1:30" ht="11.25" customHeight="1" x14ac:dyDescent="0.25">
      <c r="A7" s="116"/>
      <c r="B7" s="115" t="s">
        <v>34</v>
      </c>
      <c r="C7" s="115" t="s">
        <v>25</v>
      </c>
      <c r="D7" s="115" t="s">
        <v>25</v>
      </c>
      <c r="E7" s="115" t="s">
        <v>25</v>
      </c>
      <c r="F7" s="115" t="s">
        <v>25</v>
      </c>
      <c r="G7" s="12" t="s">
        <v>9</v>
      </c>
      <c r="H7" s="12" t="s">
        <v>76</v>
      </c>
      <c r="I7" s="12">
        <f>SUMIF(Mercado_Receita!$S$2:$S$693,"44287A4VerdeNão se aplicaNão se aplicaNão se aplicaNão se aplicaNão se aplica",Mercado_Receita!$J$2:$J$693)+SUMIF(Mercado_Receita!$S$2:$S$693,"44287A4VerdeNão se aplicaNão se aplicaAPENão se aplicaNão se aplica",Mercado_Receita!$J$2:$J$693)</f>
        <v>52634</v>
      </c>
      <c r="J7" s="12">
        <f>SUMIF(Mercado_Receita!$S$2:$S$693,"44317A4VerdeNão se aplicaNão se aplicaNão se aplicaNão se aplicaNão se aplica",Mercado_Receita!$J$2:$J$693)+SUMIF(Mercado_Receita!$S$2:$S$693,"44317A4VerdeNão se aplicaNão se aplicaAPENão se aplicaNão se aplica",Mercado_Receita!$J$2:$J$693)</f>
        <v>51762</v>
      </c>
      <c r="K7" s="12">
        <f>SUMIF(Mercado_Receita!$S$2:$S$693,"44348A4VerdeNão se aplicaNão se aplicaNão se aplicaNão se aplicaNão se aplica",Mercado_Receita!$J$2:$J$693)+SUMIF(Mercado_Receita!$S$2:$S$693,"44348A4VerdeNão se aplicaNão se aplicaAPENão se aplicaNão se aplica",Mercado_Receita!$J$2:$J$693)</f>
        <v>44396</v>
      </c>
      <c r="L7" s="12">
        <f>SUMIF(Mercado_Receita!$S$2:$S$693,"44378A4VerdeNão se aplicaNão se aplicaNão se aplicaNão se aplicaNão se aplica",Mercado_Receita!$J$2:$J$693)+SUMIF(Mercado_Receita!$S$2:$S$693,"44378A4VerdeNão se aplicaNão se aplicaAPENão se aplicaNão se aplica",Mercado_Receita!$J$2:$J$693)</f>
        <v>44909</v>
      </c>
      <c r="M7" s="12">
        <f>SUMIF(Mercado_Receita!$S$2:$S$693,"44409A4VerdeNão se aplicaNão se aplicaNão se aplicaNão se aplicaNão se aplica",Mercado_Receita!$J$2:$J$693)+SUMIF(Mercado_Receita!$S$2:$S$693,"44409A4VerdeNão se aplicaNão se aplicaAPENão se aplicaNão se aplica",Mercado_Receita!$J$2:$J$693)</f>
        <v>52590</v>
      </c>
      <c r="N7" s="12">
        <f>SUMIF(Mercado_Receita!$S$2:$S$693,"44440A4VerdeNão se aplicaNão se aplicaNão se aplicaNão se aplicaNão se aplica",Mercado_Receita!$J$2:$J$693)+SUMIF(Mercado_Receita!$S$2:$S$693,"44440A4VerdeNão se aplicaNão se aplicaAPENão se aplicaNão se aplica",Mercado_Receita!$J$2:$J$693)</f>
        <v>54197</v>
      </c>
      <c r="O7" s="12">
        <f>SUMIF(Mercado_Receita!$S$2:$S$693,"44470A4VerdeNão se aplicaNão se aplicaNão se aplicaNão se aplicaNão se aplica",Mercado_Receita!$J$2:$J$693)+SUMIF(Mercado_Receita!$S$2:$S$693,"44470A4VerdeNão se aplicaNão se aplicaAPENão se aplicaNão se aplica",Mercado_Receita!$J$2:$J$693)</f>
        <v>59209</v>
      </c>
      <c r="P7" s="12">
        <f>SUMIF(Mercado_Receita!$S$2:$S$693,"44501A4VerdeNão se aplicaNão se aplicaNão se aplicaNão se aplicaNão se aplica",Mercado_Receita!$J$2:$J$693)+SUMIF(Mercado_Receita!$S$2:$S$693,"44501A4VerdeNão se aplicaNão se aplicaAPENão se aplicaNão se aplica",Mercado_Receita!$J$2:$J$693)</f>
        <v>58769</v>
      </c>
      <c r="Q7" s="12">
        <f>SUMIF(Mercado_Receita!$S$2:$S$693,"44531A4VerdeNão se aplicaNão se aplicaNão se aplicaNão se aplicaNão se aplica",Mercado_Receita!$J$2:$J$693)+SUMIF(Mercado_Receita!$S$2:$S$693,"44531A4VerdeNão se aplicaNão se aplicaAPENão se aplicaNão se aplica",Mercado_Receita!$J$2:$J$693)</f>
        <v>57347</v>
      </c>
      <c r="R7" s="12">
        <f>SUMIF(Mercado_Receita!$S$2:$S$693,"44562A4VerdeNão se aplicaNão se aplicaNão se aplicaNão se aplicaNão se aplica",Mercado_Receita!$J$2:$J$693)+SUMIF(Mercado_Receita!$S$2:$S$693,"44562A4VerdeNão se aplicaNão se aplicaAPENão se aplicaNão se aplica",Mercado_Receita!$J$2:$J$693)</f>
        <v>55249</v>
      </c>
      <c r="S7" s="12">
        <f>SUMIF(Mercado_Receita!$S$2:$S$693,"44593A4VerdeNão se aplicaNão se aplicaNão se aplicaNão se aplicaNão se aplica",Mercado_Receita!$J$2:$J$693)+SUMIF(Mercado_Receita!$S$2:$S$693,"44593A4VerdeNão se aplicaNão se aplicaAPENão se aplicaNão se aplica",Mercado_Receita!$J$2:$J$693)</f>
        <v>56298</v>
      </c>
      <c r="T7" s="12">
        <f>SUMIF(Mercado_Receita!$S$2:$S$693,"44621A4VerdeNão se aplicaNão se aplicaNão se aplicaNão se aplicaNão se aplica",Mercado_Receita!$J$2:$J$693)+SUMIF(Mercado_Receita!$S$2:$S$693,"44621A4VerdeNão se aplicaNão se aplicaAPENão se aplicaNão se aplica",Mercado_Receita!$J$2:$J$693)</f>
        <v>56298</v>
      </c>
      <c r="U7" s="12">
        <f t="shared" si="0"/>
        <v>643658</v>
      </c>
      <c r="V7" s="12"/>
      <c r="W7" s="12"/>
    </row>
    <row r="8" spans="1:30" ht="11.25" customHeight="1" x14ac:dyDescent="0.25">
      <c r="A8" s="116"/>
      <c r="B8" s="116"/>
      <c r="C8" s="116"/>
      <c r="D8" s="116"/>
      <c r="E8" s="116"/>
      <c r="F8" s="116"/>
      <c r="G8" s="12" t="s">
        <v>74</v>
      </c>
      <c r="H8" s="12" t="s">
        <v>73</v>
      </c>
      <c r="I8" s="12">
        <f>SUMIF(Mercado_Receita!$S$2:$S$693,"44287A4VerdeNão se aplicaNão se aplicaNão se aplicaNão se aplicaPonta",Mercado_Receita!$L$2:$L$693)</f>
        <v>216.83900000000003</v>
      </c>
      <c r="J8" s="12">
        <f>SUMIF(Mercado_Receita!$S$2:$S$693,"44317A4VerdeNão se aplicaNão se aplicaNão se aplicaNão se aplicaPonta",Mercado_Receita!$L$2:$L$693)</f>
        <v>175.22799999999998</v>
      </c>
      <c r="K8" s="12">
        <f>SUMIF(Mercado_Receita!$S$2:$S$693,"44348A4VerdeNão se aplicaNão se aplicaNão se aplicaNão se aplicaPonta",Mercado_Receita!$L$2:$L$693)</f>
        <v>204.95000000000002</v>
      </c>
      <c r="L8" s="12">
        <f>SUMIF(Mercado_Receita!$S$2:$S$693,"44378A4VerdeNão se aplicaNão se aplicaNão se aplicaNão se aplicaPonta",Mercado_Receita!$L$2:$L$693)</f>
        <v>302.61799999999999</v>
      </c>
      <c r="M8" s="12">
        <f>SUMIF(Mercado_Receita!$S$2:$S$693,"44409A4VerdeNão se aplicaNão se aplicaNão se aplicaNão se aplicaPonta",Mercado_Receita!$L$2:$L$693)</f>
        <v>265.73</v>
      </c>
      <c r="N8" s="12">
        <f>SUMIF(Mercado_Receita!$S$2:$S$693,"44440A4VerdeNão se aplicaNão se aplicaNão se aplicaNão se aplicaPonta",Mercado_Receita!$L$2:$L$693)</f>
        <v>220.02099999999999</v>
      </c>
      <c r="O8" s="12">
        <f>SUMIF(Mercado_Receita!$S$2:$S$693,"44470A4VerdeNão se aplicaNão se aplicaNão se aplicaNão se aplicaPonta",Mercado_Receita!$L$2:$L$693)</f>
        <v>175.70499999999998</v>
      </c>
      <c r="P8" s="12">
        <f>SUMIF(Mercado_Receita!$S$2:$S$693,"44501A4VerdeNão se aplicaNão se aplicaNão se aplicaNão se aplicaPonta",Mercado_Receita!$L$2:$L$693)</f>
        <v>194.62899999999999</v>
      </c>
      <c r="Q8" s="12">
        <f>SUMIF(Mercado_Receita!$S$2:$S$693,"44531A4VerdeNão se aplicaNão se aplicaNão se aplicaNão se aplicaPonta",Mercado_Receita!$L$2:$L$693)</f>
        <v>232.90900000000002</v>
      </c>
      <c r="R8" s="12">
        <f>SUMIF(Mercado_Receita!$S$2:$S$693,"44562A4VerdeNão se aplicaNão se aplicaNão se aplicaNão se aplicaPonta",Mercado_Receita!$L$2:$L$693)</f>
        <v>247.90100000000004</v>
      </c>
      <c r="S8" s="12">
        <f>SUMIF(Mercado_Receita!$S$2:$S$693,"44593A4VerdeNão se aplicaNão se aplicaNão se aplicaNão se aplicaPonta",Mercado_Receita!$L$2:$L$693)</f>
        <v>342.84199999999998</v>
      </c>
      <c r="T8" s="12">
        <f>SUMIF(Mercado_Receita!$S$2:$S$693,"44621A4VerdeNão se aplicaNão se aplicaNão se aplicaNão se aplicaPonta",Mercado_Receita!$L$2:$L$693)</f>
        <v>342.84199999999998</v>
      </c>
      <c r="U8" s="12">
        <f t="shared" si="0"/>
        <v>2922.2139999999999</v>
      </c>
      <c r="V8" s="12"/>
      <c r="W8" s="12"/>
    </row>
    <row r="9" spans="1:30" ht="11.25" customHeight="1" x14ac:dyDescent="0.25">
      <c r="A9" s="116"/>
      <c r="B9" s="116"/>
      <c r="C9" s="116"/>
      <c r="D9" s="116"/>
      <c r="E9" s="116"/>
      <c r="F9" s="116"/>
      <c r="G9" s="12" t="s">
        <v>75</v>
      </c>
      <c r="H9" s="12" t="s">
        <v>73</v>
      </c>
      <c r="I9" s="12">
        <f>SUMIF(Mercado_Receita!$S$2:$S$693,"44287A4VerdeNão se aplicaNão se aplicaNão se aplicaNão se aplicaFora ponta",Mercado_Receita!$L$2:$L$693)</f>
        <v>8713.3880000000008</v>
      </c>
      <c r="J9" s="12">
        <f>SUMIF(Mercado_Receita!$S$2:$S$693,"44317A4VerdeNão se aplicaNão se aplicaNão se aplicaNão se aplicaFora ponta",Mercado_Receita!$L$2:$L$693)</f>
        <v>7210.8140000000003</v>
      </c>
      <c r="K9" s="12">
        <f>SUMIF(Mercado_Receita!$S$2:$S$693,"44348A4VerdeNão se aplicaNão se aplicaNão se aplicaNão se aplicaFora ponta",Mercado_Receita!$L$2:$L$693)</f>
        <v>3595.2460000000001</v>
      </c>
      <c r="L9" s="12">
        <f>SUMIF(Mercado_Receita!$S$2:$S$693,"44378A4VerdeNão se aplicaNão se aplicaNão se aplicaNão se aplicaFora ponta",Mercado_Receita!$L$2:$L$693)</f>
        <v>6092.0190000000002</v>
      </c>
      <c r="M9" s="12">
        <f>SUMIF(Mercado_Receita!$S$2:$S$693,"44409A4VerdeNão se aplicaNão se aplicaNão se aplicaNão se aplicaFora ponta",Mercado_Receita!$L$2:$L$693)</f>
        <v>7653.777</v>
      </c>
      <c r="N9" s="12">
        <f>SUMIF(Mercado_Receita!$S$2:$S$693,"44440A4VerdeNão se aplicaNão se aplicaNão se aplicaNão se aplicaFora ponta",Mercado_Receita!$L$2:$L$693)</f>
        <v>7231.2930000000015</v>
      </c>
      <c r="O9" s="12">
        <f>SUMIF(Mercado_Receita!$S$2:$S$693,"44470A4VerdeNão se aplicaNão se aplicaNão se aplicaNão se aplicaFora ponta",Mercado_Receita!$L$2:$L$693)</f>
        <v>5925.7120000000004</v>
      </c>
      <c r="P9" s="12">
        <f>SUMIF(Mercado_Receita!$S$2:$S$693,"44501A4VerdeNão se aplicaNão se aplicaNão se aplicaNão se aplicaFora ponta",Mercado_Receita!$L$2:$L$693)</f>
        <v>8938.1320000000014</v>
      </c>
      <c r="Q9" s="12">
        <f>SUMIF(Mercado_Receita!$S$2:$S$693,"44531A4VerdeNão se aplicaNão se aplicaNão se aplicaNão se aplicaFora ponta",Mercado_Receita!$L$2:$L$693)</f>
        <v>7942.2849999999999</v>
      </c>
      <c r="R9" s="12">
        <f>SUMIF(Mercado_Receita!$S$2:$S$693,"44562A4VerdeNão se aplicaNão se aplicaNão se aplicaNão se aplicaFora ponta",Mercado_Receita!$L$2:$L$693)</f>
        <v>5863.5540000000001</v>
      </c>
      <c r="S9" s="12">
        <f>SUMIF(Mercado_Receita!$S$2:$S$693,"44593A4VerdeNão se aplicaNão se aplicaNão se aplicaNão se aplicaFora ponta",Mercado_Receita!$L$2:$L$693)</f>
        <v>7439.2990000000009</v>
      </c>
      <c r="T9" s="12">
        <f>SUMIF(Mercado_Receita!$S$2:$S$693,"44621A4VerdeNão se aplicaNão se aplicaNão se aplicaNão se aplicaFora ponta",Mercado_Receita!$L$2:$L$693)</f>
        <v>7439.2990000000009</v>
      </c>
      <c r="U9" s="12">
        <f t="shared" si="0"/>
        <v>84044.817999999999</v>
      </c>
      <c r="V9" s="12"/>
      <c r="W9" s="12"/>
    </row>
    <row r="10" spans="1:30" ht="11.25" customHeight="1" x14ac:dyDescent="0.25">
      <c r="A10" s="116"/>
      <c r="B10" s="116"/>
      <c r="C10" s="116"/>
      <c r="D10" s="116"/>
      <c r="E10" s="115" t="s">
        <v>80</v>
      </c>
      <c r="F10" s="115" t="s">
        <v>25</v>
      </c>
      <c r="G10" s="12" t="s">
        <v>74</v>
      </c>
      <c r="H10" s="12" t="s">
        <v>73</v>
      </c>
      <c r="I10" s="12">
        <f>SUMIF(Mercado_Receita!$S$2:$S$693,"44287A4VerdeNão se aplicaNão se aplicaAPENão se aplicaPonta",Mercado_Receita!$L$2:$L$693)</f>
        <v>0</v>
      </c>
      <c r="J10" s="12">
        <f>SUMIF(Mercado_Receita!$S$2:$S$693,"44317A4VerdeNão se aplicaNão se aplicaAPENão se aplicaPonta",Mercado_Receita!$L$2:$L$693)</f>
        <v>0</v>
      </c>
      <c r="K10" s="12">
        <f>SUMIF(Mercado_Receita!$S$2:$S$693,"44348A4VerdeNão se aplicaNão se aplicaAPENão se aplicaPonta",Mercado_Receita!$L$2:$L$693)</f>
        <v>0</v>
      </c>
      <c r="L10" s="12">
        <f>SUMIF(Mercado_Receita!$S$2:$S$693,"44378A4VerdeNão se aplicaNão se aplicaAPENão se aplicaPonta",Mercado_Receita!$L$2:$L$693)</f>
        <v>0</v>
      </c>
      <c r="M10" s="12">
        <f>SUMIF(Mercado_Receita!$S$2:$S$693,"44409A4VerdeNão se aplicaNão se aplicaAPENão se aplicaPonta",Mercado_Receita!$L$2:$L$693)</f>
        <v>0</v>
      </c>
      <c r="N10" s="12">
        <f>SUMIF(Mercado_Receita!$S$2:$S$693,"44440A4VerdeNão se aplicaNão se aplicaAPENão se aplicaPonta",Mercado_Receita!$L$2:$L$693)</f>
        <v>0</v>
      </c>
      <c r="O10" s="12">
        <f>SUMIF(Mercado_Receita!$S$2:$S$693,"44470A4VerdeNão se aplicaNão se aplicaAPENão se aplicaPonta",Mercado_Receita!$L$2:$L$693)</f>
        <v>0</v>
      </c>
      <c r="P10" s="12">
        <f>SUMIF(Mercado_Receita!$S$2:$S$693,"44501A4VerdeNão se aplicaNão se aplicaAPENão se aplicaPonta",Mercado_Receita!$L$2:$L$693)</f>
        <v>0</v>
      </c>
      <c r="Q10" s="12">
        <f>SUMIF(Mercado_Receita!$S$2:$S$693,"44531A4VerdeNão se aplicaNão se aplicaAPENão se aplicaPonta",Mercado_Receita!$L$2:$L$693)</f>
        <v>0</v>
      </c>
      <c r="R10" s="12">
        <f>SUMIF(Mercado_Receita!$S$2:$S$693,"44562A4VerdeNão se aplicaNão se aplicaAPENão se aplicaPonta",Mercado_Receita!$L$2:$L$693)</f>
        <v>0</v>
      </c>
      <c r="S10" s="12">
        <f>SUMIF(Mercado_Receita!$S$2:$S$693,"44593A4VerdeNão se aplicaNão se aplicaAPENão se aplicaPonta",Mercado_Receita!$L$2:$L$693)</f>
        <v>0</v>
      </c>
      <c r="T10" s="12">
        <f>SUMIF(Mercado_Receita!$S$2:$S$693,"44621A4VerdeNão se aplicaNão se aplicaAPENão se aplicaPonta",Mercado_Receita!$L$2:$L$693)</f>
        <v>0</v>
      </c>
      <c r="U10" s="12">
        <f t="shared" si="0"/>
        <v>0</v>
      </c>
      <c r="V10" s="12"/>
      <c r="W10" s="12"/>
    </row>
    <row r="11" spans="1:30" ht="11.25" customHeight="1" x14ac:dyDescent="0.25">
      <c r="A11" s="116"/>
      <c r="B11" s="116"/>
      <c r="C11" s="116"/>
      <c r="D11" s="116"/>
      <c r="E11" s="116"/>
      <c r="F11" s="116"/>
      <c r="G11" s="12" t="s">
        <v>75</v>
      </c>
      <c r="H11" s="12" t="s">
        <v>73</v>
      </c>
      <c r="I11" s="12">
        <f>SUMIF(Mercado_Receita!$S$2:$S$693,"44287A4VerdeNão se aplicaNão se aplicaAPENão se aplicaFora ponta",Mercado_Receita!$L$2:$L$693)</f>
        <v>0</v>
      </c>
      <c r="J11" s="12">
        <f>SUMIF(Mercado_Receita!$S$2:$S$693,"44317A4VerdeNão se aplicaNão se aplicaAPENão se aplicaFora ponta",Mercado_Receita!$L$2:$L$693)</f>
        <v>0</v>
      </c>
      <c r="K11" s="12">
        <f>SUMIF(Mercado_Receita!$S$2:$S$693,"44348A4VerdeNão se aplicaNão se aplicaAPENão se aplicaFora ponta",Mercado_Receita!$L$2:$L$693)</f>
        <v>0</v>
      </c>
      <c r="L11" s="12">
        <f>SUMIF(Mercado_Receita!$S$2:$S$693,"44378A4VerdeNão se aplicaNão se aplicaAPENão se aplicaFora ponta",Mercado_Receita!$L$2:$L$693)</f>
        <v>0</v>
      </c>
      <c r="M11" s="12">
        <f>SUMIF(Mercado_Receita!$S$2:$S$693,"44409A4VerdeNão se aplicaNão se aplicaAPENão se aplicaFora ponta",Mercado_Receita!$L$2:$L$693)</f>
        <v>0</v>
      </c>
      <c r="N11" s="12">
        <f>SUMIF(Mercado_Receita!$S$2:$S$693,"44440A4VerdeNão se aplicaNão se aplicaAPENão se aplicaFora ponta",Mercado_Receita!$L$2:$L$693)</f>
        <v>0</v>
      </c>
      <c r="O11" s="12">
        <f>SUMIF(Mercado_Receita!$S$2:$S$693,"44470A4VerdeNão se aplicaNão se aplicaAPENão se aplicaFora ponta",Mercado_Receita!$L$2:$L$693)</f>
        <v>0</v>
      </c>
      <c r="P11" s="12">
        <f>SUMIF(Mercado_Receita!$S$2:$S$693,"44501A4VerdeNão se aplicaNão se aplicaAPENão se aplicaFora ponta",Mercado_Receita!$L$2:$L$693)</f>
        <v>0</v>
      </c>
      <c r="Q11" s="12">
        <f>SUMIF(Mercado_Receita!$S$2:$S$693,"44531A4VerdeNão se aplicaNão se aplicaAPENão se aplicaFora ponta",Mercado_Receita!$L$2:$L$693)</f>
        <v>0</v>
      </c>
      <c r="R11" s="12">
        <f>SUMIF(Mercado_Receita!$S$2:$S$693,"44562A4VerdeNão se aplicaNão se aplicaAPENão se aplicaFora ponta",Mercado_Receita!$L$2:$L$693)</f>
        <v>0</v>
      </c>
      <c r="S11" s="12">
        <f>SUMIF(Mercado_Receita!$S$2:$S$693,"44593A4VerdeNão se aplicaNão se aplicaAPENão se aplicaFora ponta",Mercado_Receita!$L$2:$L$693)</f>
        <v>0</v>
      </c>
      <c r="T11" s="12">
        <f>SUMIF(Mercado_Receita!$S$2:$S$693,"44621A4VerdeNão se aplicaNão se aplicaAPENão se aplicaFora ponta",Mercado_Receita!$L$2:$L$693)</f>
        <v>0</v>
      </c>
      <c r="U11" s="12">
        <f t="shared" si="0"/>
        <v>0</v>
      </c>
      <c r="V11" s="12"/>
      <c r="W11" s="12"/>
    </row>
    <row r="12" spans="1:30" ht="11.25" customHeight="1" x14ac:dyDescent="0.25">
      <c r="A12" s="115" t="s">
        <v>82</v>
      </c>
      <c r="B12" s="115" t="s">
        <v>81</v>
      </c>
      <c r="C12" s="115" t="s">
        <v>25</v>
      </c>
      <c r="D12" s="115" t="s">
        <v>25</v>
      </c>
      <c r="E12" s="13" t="s">
        <v>83</v>
      </c>
      <c r="F12" s="13" t="s">
        <v>25</v>
      </c>
      <c r="G12" s="12" t="s">
        <v>9</v>
      </c>
      <c r="H12" s="12" t="s">
        <v>76</v>
      </c>
      <c r="I12" s="12">
        <f>SUMIF(Mercado_Receita!$S$2:$S$693,"44287BGeraçãoNão se aplicaNão se aplicaTIPO 01Não se aplicaNão se aplica",Mercado_Receita!$J$2:$J$693)+SUMIF(Mercado_Receita!$S$2:$S$693,"44287BGeraçãoNão se aplicaNão se aplicaAPENão se aplicaNão se aplica",Mercado_Receita!$J$2:$J$693)</f>
        <v>0</v>
      </c>
      <c r="J12" s="12">
        <f>SUMIF(Mercado_Receita!$S$2:$S$693,"44317BGeraçãoNão se aplicaNão se aplicaTIPO 01Não se aplicaNão se aplica",Mercado_Receita!$J$2:$J$693)+SUMIF(Mercado_Receita!$S$2:$S$693,"44317BGeraçãoNão se aplicaNão se aplicaAPENão se aplicaNão se aplica",Mercado_Receita!$J$2:$J$693)</f>
        <v>0</v>
      </c>
      <c r="K12" s="12">
        <f>SUMIF(Mercado_Receita!$S$2:$S$693,"44348BGeraçãoNão se aplicaNão se aplicaTIPO 01Não se aplicaNão se aplica",Mercado_Receita!$J$2:$J$693)+SUMIF(Mercado_Receita!$S$2:$S$693,"44348BGeraçãoNão se aplicaNão se aplicaAPENão se aplicaNão se aplica",Mercado_Receita!$J$2:$J$693)</f>
        <v>0</v>
      </c>
      <c r="L12" s="12">
        <f>SUMIF(Mercado_Receita!$S$2:$S$693,"44378BGeraçãoNão se aplicaNão se aplicaTIPO 01Não se aplicaNão se aplica",Mercado_Receita!$J$2:$J$693)+SUMIF(Mercado_Receita!$S$2:$S$693,"44378BGeraçãoNão se aplicaNão se aplicaAPENão se aplicaNão se aplica",Mercado_Receita!$J$2:$J$693)</f>
        <v>0</v>
      </c>
      <c r="M12" s="12">
        <f>SUMIF(Mercado_Receita!$S$2:$S$693,"44409BGeraçãoNão se aplicaNão se aplicaTIPO 01Não se aplicaNão se aplica",Mercado_Receita!$J$2:$J$693)+SUMIF(Mercado_Receita!$S$2:$S$693,"44409BGeraçãoNão se aplicaNão se aplicaAPENão se aplicaNão se aplica",Mercado_Receita!$J$2:$J$693)</f>
        <v>0</v>
      </c>
      <c r="N12" s="12">
        <f>SUMIF(Mercado_Receita!$S$2:$S$693,"44440BGeraçãoNão se aplicaNão se aplicaTIPO 01Não se aplicaNão se aplica",Mercado_Receita!$J$2:$J$693)+SUMIF(Mercado_Receita!$S$2:$S$693,"44440BGeraçãoNão se aplicaNão se aplicaAPENão se aplicaNão se aplica",Mercado_Receita!$J$2:$J$693)</f>
        <v>0</v>
      </c>
      <c r="O12" s="12">
        <f>SUMIF(Mercado_Receita!$S$2:$S$693,"44470BGeraçãoNão se aplicaNão se aplicaTIPO 01Não se aplicaNão se aplica",Mercado_Receita!$J$2:$J$693)+SUMIF(Mercado_Receita!$S$2:$S$693,"44470BGeraçãoNão se aplicaNão se aplicaAPENão se aplicaNão se aplica",Mercado_Receita!$J$2:$J$693)</f>
        <v>0</v>
      </c>
      <c r="P12" s="12">
        <f>SUMIF(Mercado_Receita!$S$2:$S$693,"44501BGeraçãoNão se aplicaNão se aplicaTIPO 01Não se aplicaNão se aplica",Mercado_Receita!$J$2:$J$693)+SUMIF(Mercado_Receita!$S$2:$S$693,"44501BGeraçãoNão se aplicaNão se aplicaAPENão se aplicaNão se aplica",Mercado_Receita!$J$2:$J$693)</f>
        <v>0</v>
      </c>
      <c r="Q12" s="12">
        <f>SUMIF(Mercado_Receita!$S$2:$S$693,"44531BGeraçãoNão se aplicaNão se aplicaTIPO 01Não se aplicaNão se aplica",Mercado_Receita!$J$2:$J$693)+SUMIF(Mercado_Receita!$S$2:$S$693,"44531BGeraçãoNão se aplicaNão se aplicaAPENão se aplicaNão se aplica",Mercado_Receita!$J$2:$J$693)</f>
        <v>0</v>
      </c>
      <c r="R12" s="12">
        <f>SUMIF(Mercado_Receita!$S$2:$S$693,"44562BGeraçãoNão se aplicaNão se aplicaTIPO 01Não se aplicaNão se aplica",Mercado_Receita!$J$2:$J$693)+SUMIF(Mercado_Receita!$S$2:$S$693,"44562BGeraçãoNão se aplicaNão se aplicaAPENão se aplicaNão se aplica",Mercado_Receita!$J$2:$J$693)</f>
        <v>0</v>
      </c>
      <c r="S12" s="12">
        <f>SUMIF(Mercado_Receita!$S$2:$S$693,"44593BGeraçãoNão se aplicaNão se aplicaTIPO 01Não se aplicaNão se aplica",Mercado_Receita!$J$2:$J$693)+SUMIF(Mercado_Receita!$S$2:$S$693,"44593BGeraçãoNão se aplicaNão se aplicaAPENão se aplicaNão se aplica",Mercado_Receita!$J$2:$J$693)</f>
        <v>0</v>
      </c>
      <c r="T12" s="12">
        <f>SUMIF(Mercado_Receita!$S$2:$S$693,"44621BGeraçãoNão se aplicaNão se aplicaTIPO 01Não se aplicaNão se aplica",Mercado_Receita!$J$2:$J$693)+SUMIF(Mercado_Receita!$S$2:$S$693,"44621BGeraçãoNão se aplicaNão se aplicaAPENão se aplicaNão se aplica",Mercado_Receita!$J$2:$J$693)</f>
        <v>0</v>
      </c>
      <c r="U12" s="12">
        <f t="shared" si="0"/>
        <v>0</v>
      </c>
      <c r="V12" s="12"/>
      <c r="W12" s="12"/>
    </row>
    <row r="13" spans="1:30" ht="11.25" customHeight="1" x14ac:dyDescent="0.25">
      <c r="A13" s="116"/>
      <c r="B13" s="116"/>
      <c r="C13" s="116"/>
      <c r="D13" s="116"/>
      <c r="E13" s="13" t="s">
        <v>84</v>
      </c>
      <c r="F13" s="13" t="s">
        <v>25</v>
      </c>
      <c r="G13" s="12" t="s">
        <v>9</v>
      </c>
      <c r="H13" s="12" t="s">
        <v>76</v>
      </c>
      <c r="I13" s="12">
        <f>SUMIF(Mercado_Receita!$S$2:$S$693,"44287BGeraçãoNão se aplicaNão se aplicaTIPO 02Não se aplicaNão se aplica",Mercado_Receita!$J$2:$J$693)+SUMIF(Mercado_Receita!$S$2:$S$693,"44287BGeraçãoNão se aplicaNão se aplicaAPENão se aplicaNão se aplica",Mercado_Receita!$J$2:$J$693)</f>
        <v>0</v>
      </c>
      <c r="J13" s="12">
        <f>SUMIF(Mercado_Receita!$S$2:$S$693,"44317BGeraçãoNão se aplicaNão se aplicaTIPO 02Não se aplicaNão se aplica",Mercado_Receita!$J$2:$J$693)+SUMIF(Mercado_Receita!$S$2:$S$693,"44317BGeraçãoNão se aplicaNão se aplicaAPENão se aplicaNão se aplica",Mercado_Receita!$J$2:$J$693)</f>
        <v>0</v>
      </c>
      <c r="K13" s="12">
        <f>SUMIF(Mercado_Receita!$S$2:$S$693,"44348BGeraçãoNão se aplicaNão se aplicaTIPO 02Não se aplicaNão se aplica",Mercado_Receita!$J$2:$J$693)+SUMIF(Mercado_Receita!$S$2:$S$693,"44348BGeraçãoNão se aplicaNão se aplicaAPENão se aplicaNão se aplica",Mercado_Receita!$J$2:$J$693)</f>
        <v>0</v>
      </c>
      <c r="L13" s="12">
        <f>SUMIF(Mercado_Receita!$S$2:$S$693,"44378BGeraçãoNão se aplicaNão se aplicaTIPO 02Não se aplicaNão se aplica",Mercado_Receita!$J$2:$J$693)+SUMIF(Mercado_Receita!$S$2:$S$693,"44378BGeraçãoNão se aplicaNão se aplicaAPENão se aplicaNão se aplica",Mercado_Receita!$J$2:$J$693)</f>
        <v>0</v>
      </c>
      <c r="M13" s="12">
        <f>SUMIF(Mercado_Receita!$S$2:$S$693,"44409BGeraçãoNão se aplicaNão se aplicaTIPO 02Não se aplicaNão se aplica",Mercado_Receita!$J$2:$J$693)+SUMIF(Mercado_Receita!$S$2:$S$693,"44409BGeraçãoNão se aplicaNão se aplicaAPENão se aplicaNão se aplica",Mercado_Receita!$J$2:$J$693)</f>
        <v>0</v>
      </c>
      <c r="N13" s="12">
        <f>SUMIF(Mercado_Receita!$S$2:$S$693,"44440BGeraçãoNão se aplicaNão se aplicaTIPO 02Não se aplicaNão se aplica",Mercado_Receita!$J$2:$J$693)+SUMIF(Mercado_Receita!$S$2:$S$693,"44440BGeraçãoNão se aplicaNão se aplicaAPENão se aplicaNão se aplica",Mercado_Receita!$J$2:$J$693)</f>
        <v>0</v>
      </c>
      <c r="O13" s="12">
        <f>SUMIF(Mercado_Receita!$S$2:$S$693,"44470BGeraçãoNão se aplicaNão se aplicaTIPO 02Não se aplicaNão se aplica",Mercado_Receita!$J$2:$J$693)+SUMIF(Mercado_Receita!$S$2:$S$693,"44470BGeraçãoNão se aplicaNão se aplicaAPENão se aplicaNão se aplica",Mercado_Receita!$J$2:$J$693)</f>
        <v>0</v>
      </c>
      <c r="P13" s="12">
        <f>SUMIF(Mercado_Receita!$S$2:$S$693,"44501BGeraçãoNão se aplicaNão se aplicaTIPO 02Não se aplicaNão se aplica",Mercado_Receita!$J$2:$J$693)+SUMIF(Mercado_Receita!$S$2:$S$693,"44501BGeraçãoNão se aplicaNão se aplicaAPENão se aplicaNão se aplica",Mercado_Receita!$J$2:$J$693)</f>
        <v>0</v>
      </c>
      <c r="Q13" s="12">
        <f>SUMIF(Mercado_Receita!$S$2:$S$693,"44531BGeraçãoNão se aplicaNão se aplicaTIPO 02Não se aplicaNão se aplica",Mercado_Receita!$J$2:$J$693)+SUMIF(Mercado_Receita!$S$2:$S$693,"44531BGeraçãoNão se aplicaNão se aplicaAPENão se aplicaNão se aplica",Mercado_Receita!$J$2:$J$693)</f>
        <v>0</v>
      </c>
      <c r="R13" s="12">
        <f>SUMIF(Mercado_Receita!$S$2:$S$693,"44562BGeraçãoNão se aplicaNão se aplicaTIPO 02Não se aplicaNão se aplica",Mercado_Receita!$J$2:$J$693)+SUMIF(Mercado_Receita!$S$2:$S$693,"44562BGeraçãoNão se aplicaNão se aplicaAPENão se aplicaNão se aplica",Mercado_Receita!$J$2:$J$693)</f>
        <v>0</v>
      </c>
      <c r="S13" s="12">
        <f>SUMIF(Mercado_Receita!$S$2:$S$693,"44593BGeraçãoNão se aplicaNão se aplicaTIPO 02Não se aplicaNão se aplica",Mercado_Receita!$J$2:$J$693)+SUMIF(Mercado_Receita!$S$2:$S$693,"44593BGeraçãoNão se aplicaNão se aplicaAPENão se aplicaNão se aplica",Mercado_Receita!$J$2:$J$693)</f>
        <v>0</v>
      </c>
      <c r="T13" s="12">
        <f>SUMIF(Mercado_Receita!$S$2:$S$693,"44621BGeraçãoNão se aplicaNão se aplicaTIPO 02Não se aplicaNão se aplica",Mercado_Receita!$J$2:$J$693)+SUMIF(Mercado_Receita!$S$2:$S$693,"44621BGeraçãoNão se aplicaNão se aplicaAPENão se aplicaNão se aplica",Mercado_Receita!$J$2:$J$693)</f>
        <v>0</v>
      </c>
      <c r="U13" s="12">
        <f t="shared" si="0"/>
        <v>0</v>
      </c>
      <c r="V13" s="12"/>
      <c r="W13" s="12"/>
    </row>
    <row r="14" spans="1:30" ht="11.25" customHeight="1" x14ac:dyDescent="0.25">
      <c r="A14" s="115" t="s">
        <v>22</v>
      </c>
      <c r="B14" s="115" t="s">
        <v>87</v>
      </c>
      <c r="C14" s="115" t="s">
        <v>24</v>
      </c>
      <c r="D14" s="115" t="s">
        <v>24</v>
      </c>
      <c r="E14" s="115" t="s">
        <v>25</v>
      </c>
      <c r="F14" s="115" t="s">
        <v>25</v>
      </c>
      <c r="G14" s="12" t="s">
        <v>74</v>
      </c>
      <c r="H14" s="12" t="s">
        <v>73</v>
      </c>
      <c r="I14" s="12">
        <f>SUMIF(Mercado_Receita!$S$2:$S$693,"44287B1BrancaResidencialResidencialNão se aplicaNão se aplicaPonta",Mercado_Receita!$L$2:$L$693)</f>
        <v>0</v>
      </c>
      <c r="J14" s="12">
        <f>SUMIF(Mercado_Receita!$S$2:$S$693,"44317B1BrancaResidencialResidencialNão se aplicaNão se aplicaPonta",Mercado_Receita!$L$2:$L$693)</f>
        <v>0</v>
      </c>
      <c r="K14" s="12">
        <f>SUMIF(Mercado_Receita!$S$2:$S$693,"44348B1BrancaResidencialResidencialNão se aplicaNão se aplicaPonta",Mercado_Receita!$L$2:$L$693)</f>
        <v>0</v>
      </c>
      <c r="L14" s="12">
        <f>SUMIF(Mercado_Receita!$S$2:$S$693,"44378B1BrancaResidencialResidencialNão se aplicaNão se aplicaPonta",Mercado_Receita!$L$2:$L$693)</f>
        <v>0</v>
      </c>
      <c r="M14" s="12">
        <f>SUMIF(Mercado_Receita!$S$2:$S$693,"44409B1BrancaResidencialResidencialNão se aplicaNão se aplicaPonta",Mercado_Receita!$L$2:$L$693)</f>
        <v>0</v>
      </c>
      <c r="N14" s="12">
        <f>SUMIF(Mercado_Receita!$S$2:$S$693,"44440B1BrancaResidencialResidencialNão se aplicaNão se aplicaPonta",Mercado_Receita!$L$2:$L$693)</f>
        <v>0</v>
      </c>
      <c r="O14" s="12">
        <f>SUMIF(Mercado_Receita!$S$2:$S$693,"44470B1BrancaResidencialResidencialNão se aplicaNão se aplicaPonta",Mercado_Receita!$L$2:$L$693)</f>
        <v>0</v>
      </c>
      <c r="P14" s="12">
        <f>SUMIF(Mercado_Receita!$S$2:$S$693,"44501B1BrancaResidencialResidencialNão se aplicaNão se aplicaPonta",Mercado_Receita!$L$2:$L$693)</f>
        <v>0</v>
      </c>
      <c r="Q14" s="12">
        <f>SUMIF(Mercado_Receita!$S$2:$S$693,"44531B1BrancaResidencialResidencialNão se aplicaNão se aplicaPonta",Mercado_Receita!$L$2:$L$693)</f>
        <v>0</v>
      </c>
      <c r="R14" s="12">
        <f>SUMIF(Mercado_Receita!$S$2:$S$693,"44562B1BrancaResidencialResidencialNão se aplicaNão se aplicaPonta",Mercado_Receita!$L$2:$L$693)</f>
        <v>0</v>
      </c>
      <c r="S14" s="12">
        <f>SUMIF(Mercado_Receita!$S$2:$S$693,"44593B1BrancaResidencialResidencialNão se aplicaNão se aplicaPonta",Mercado_Receita!$L$2:$L$693)</f>
        <v>0</v>
      </c>
      <c r="T14" s="12">
        <f>SUMIF(Mercado_Receita!$S$2:$S$693,"44621B1BrancaResidencialResidencialNão se aplicaNão se aplicaPonta",Mercado_Receita!$L$2:$L$693)</f>
        <v>0</v>
      </c>
      <c r="U14" s="12">
        <f t="shared" si="0"/>
        <v>0</v>
      </c>
      <c r="V14" s="12"/>
      <c r="W14" s="12"/>
    </row>
    <row r="15" spans="1:30" ht="11.25" customHeight="1" x14ac:dyDescent="0.25">
      <c r="A15" s="116"/>
      <c r="B15" s="116"/>
      <c r="C15" s="116"/>
      <c r="D15" s="116"/>
      <c r="E15" s="116"/>
      <c r="F15" s="116"/>
      <c r="G15" s="12" t="s">
        <v>85</v>
      </c>
      <c r="H15" s="12" t="s">
        <v>73</v>
      </c>
      <c r="I15" s="12">
        <f>SUMIF(Mercado_Receita!$S$2:$S$693,"44287B1BrancaResidencialResidencialNão se aplicaNão se aplicaIntermediário",Mercado_Receita!$L$2:$L$693)</f>
        <v>0</v>
      </c>
      <c r="J15" s="12">
        <f>SUMIF(Mercado_Receita!$S$2:$S$693,"44317B1BrancaResidencialResidencialNão se aplicaNão se aplicaIntermediário",Mercado_Receita!$L$2:$L$693)</f>
        <v>0</v>
      </c>
      <c r="K15" s="12">
        <f>SUMIF(Mercado_Receita!$S$2:$S$693,"44348B1BrancaResidencialResidencialNão se aplicaNão se aplicaIntermediário",Mercado_Receita!$L$2:$L$693)</f>
        <v>0</v>
      </c>
      <c r="L15" s="12">
        <f>SUMIF(Mercado_Receita!$S$2:$S$693,"44378B1BrancaResidencialResidencialNão se aplicaNão se aplicaIntermediário",Mercado_Receita!$L$2:$L$693)</f>
        <v>0</v>
      </c>
      <c r="M15" s="12">
        <f>SUMIF(Mercado_Receita!$S$2:$S$693,"44409B1BrancaResidencialResidencialNão se aplicaNão se aplicaIntermediário",Mercado_Receita!$L$2:$L$693)</f>
        <v>0</v>
      </c>
      <c r="N15" s="12">
        <f>SUMIF(Mercado_Receita!$S$2:$S$693,"44440B1BrancaResidencialResidencialNão se aplicaNão se aplicaIntermediário",Mercado_Receita!$L$2:$L$693)</f>
        <v>0</v>
      </c>
      <c r="O15" s="12">
        <f>SUMIF(Mercado_Receita!$S$2:$S$693,"44470B1BrancaResidencialResidencialNão se aplicaNão se aplicaIntermediário",Mercado_Receita!$L$2:$L$693)</f>
        <v>0</v>
      </c>
      <c r="P15" s="12">
        <f>SUMIF(Mercado_Receita!$S$2:$S$693,"44501B1BrancaResidencialResidencialNão se aplicaNão se aplicaIntermediário",Mercado_Receita!$L$2:$L$693)</f>
        <v>0</v>
      </c>
      <c r="Q15" s="12">
        <f>SUMIF(Mercado_Receita!$S$2:$S$693,"44531B1BrancaResidencialResidencialNão se aplicaNão se aplicaIntermediário",Mercado_Receita!$L$2:$L$693)</f>
        <v>0</v>
      </c>
      <c r="R15" s="12">
        <f>SUMIF(Mercado_Receita!$S$2:$S$693,"44562B1BrancaResidencialResidencialNão se aplicaNão se aplicaIntermediário",Mercado_Receita!$L$2:$L$693)</f>
        <v>0</v>
      </c>
      <c r="S15" s="12">
        <f>SUMIF(Mercado_Receita!$S$2:$S$693,"44593B1BrancaResidencialResidencialNão se aplicaNão se aplicaIntermediário",Mercado_Receita!$L$2:$L$693)</f>
        <v>0</v>
      </c>
      <c r="T15" s="12">
        <f>SUMIF(Mercado_Receita!$S$2:$S$693,"44621B1BrancaResidencialResidencialNão se aplicaNão se aplicaIntermediário",Mercado_Receita!$L$2:$L$693)</f>
        <v>0</v>
      </c>
      <c r="U15" s="12">
        <f t="shared" si="0"/>
        <v>0</v>
      </c>
      <c r="V15" s="12"/>
      <c r="W15" s="12"/>
    </row>
    <row r="16" spans="1:30" ht="11.25" customHeight="1" x14ac:dyDescent="0.25">
      <c r="A16" s="116"/>
      <c r="B16" s="116"/>
      <c r="C16" s="116"/>
      <c r="D16" s="116"/>
      <c r="E16" s="116"/>
      <c r="F16" s="116"/>
      <c r="G16" s="12" t="s">
        <v>75</v>
      </c>
      <c r="H16" s="12" t="s">
        <v>73</v>
      </c>
      <c r="I16" s="12">
        <f>SUMIF(Mercado_Receita!$S$2:$S$693,"44287B1BrancaResidencialResidencialNão se aplicaNão se aplicaFora ponta",Mercado_Receita!$L$2:$L$693)</f>
        <v>0</v>
      </c>
      <c r="J16" s="12">
        <f>SUMIF(Mercado_Receita!$S$2:$S$693,"44317B1BrancaResidencialResidencialNão se aplicaNão se aplicaFora ponta",Mercado_Receita!$L$2:$L$693)</f>
        <v>0</v>
      </c>
      <c r="K16" s="12">
        <f>SUMIF(Mercado_Receita!$S$2:$S$693,"44348B1BrancaResidencialResidencialNão se aplicaNão se aplicaFora ponta",Mercado_Receita!$L$2:$L$693)</f>
        <v>0</v>
      </c>
      <c r="L16" s="12">
        <f>SUMIF(Mercado_Receita!$S$2:$S$693,"44378B1BrancaResidencialResidencialNão se aplicaNão se aplicaFora ponta",Mercado_Receita!$L$2:$L$693)</f>
        <v>0</v>
      </c>
      <c r="M16" s="12">
        <f>SUMIF(Mercado_Receita!$S$2:$S$693,"44409B1BrancaResidencialResidencialNão se aplicaNão se aplicaFora ponta",Mercado_Receita!$L$2:$L$693)</f>
        <v>0</v>
      </c>
      <c r="N16" s="12">
        <f>SUMIF(Mercado_Receita!$S$2:$S$693,"44440B1BrancaResidencialResidencialNão se aplicaNão se aplicaFora ponta",Mercado_Receita!$L$2:$L$693)</f>
        <v>0</v>
      </c>
      <c r="O16" s="12">
        <f>SUMIF(Mercado_Receita!$S$2:$S$693,"44470B1BrancaResidencialResidencialNão se aplicaNão se aplicaFora ponta",Mercado_Receita!$L$2:$L$693)</f>
        <v>0</v>
      </c>
      <c r="P16" s="12">
        <f>SUMIF(Mercado_Receita!$S$2:$S$693,"44501B1BrancaResidencialResidencialNão se aplicaNão se aplicaFora ponta",Mercado_Receita!$L$2:$L$693)</f>
        <v>0</v>
      </c>
      <c r="Q16" s="12">
        <f>SUMIF(Mercado_Receita!$S$2:$S$693,"44531B1BrancaResidencialResidencialNão se aplicaNão se aplicaFora ponta",Mercado_Receita!$L$2:$L$693)</f>
        <v>0</v>
      </c>
      <c r="R16" s="12">
        <f>SUMIF(Mercado_Receita!$S$2:$S$693,"44562B1BrancaResidencialResidencialNão se aplicaNão se aplicaFora ponta",Mercado_Receita!$L$2:$L$693)</f>
        <v>0</v>
      </c>
      <c r="S16" s="12">
        <f>SUMIF(Mercado_Receita!$S$2:$S$693,"44593B1BrancaResidencialResidencialNão se aplicaNão se aplicaFora ponta",Mercado_Receita!$L$2:$L$693)</f>
        <v>0</v>
      </c>
      <c r="T16" s="12">
        <f>SUMIF(Mercado_Receita!$S$2:$S$693,"44621B1BrancaResidencialResidencialNão se aplicaNão se aplicaFora ponta",Mercado_Receita!$L$2:$L$693)</f>
        <v>0</v>
      </c>
      <c r="U16" s="12">
        <f t="shared" si="0"/>
        <v>0</v>
      </c>
      <c r="V16" s="12"/>
      <c r="W16" s="12"/>
    </row>
    <row r="17" spans="1:23" ht="11.25" customHeight="1" x14ac:dyDescent="0.25">
      <c r="A17" s="116"/>
      <c r="B17" s="115" t="s">
        <v>23</v>
      </c>
      <c r="C17" s="115" t="s">
        <v>24</v>
      </c>
      <c r="D17" s="13" t="s">
        <v>24</v>
      </c>
      <c r="E17" s="13" t="s">
        <v>25</v>
      </c>
      <c r="F17" s="13" t="s">
        <v>25</v>
      </c>
      <c r="G17" s="12" t="s">
        <v>79</v>
      </c>
      <c r="H17" s="12" t="s">
        <v>73</v>
      </c>
      <c r="I17" s="12">
        <f>SUMIF(Mercado_Receita!$S$2:$S$693,"44287B1ConvencionalResidencialResidencialNão se aplicaNão se aplicaPonta",Mercado_Receita!$L$2:$L$693)+SUMIF(Mercado_Receita!$S$2:$S$693,"44287B1ConvencionalResidencialResidencialNão se aplicaNão se aplicaFora ponta",Mercado_Receita!$L$2:$L$693)+SUMIF(Mercado_Receita!$S$2:$S$693,"44287B1ConvencionalResidencialResidencialNão se aplicaNão se aplicaIntermediário",Mercado_Receita!$L$2:$L$693)+SUMIF(Mercado_Receita!$S$2:$S$693,"44287B1ConvencionalResidencialResidencialNão se aplicaNão se aplicaNão se aplica",Mercado_Receita!$L$2:$L$693)</f>
        <v>2211.3290000000002</v>
      </c>
      <c r="J17" s="12">
        <f>SUMIF(Mercado_Receita!$S$2:$S$693,"44317B1ConvencionalResidencialResidencialNão se aplicaNão se aplicaPonta",Mercado_Receita!$L$2:$L$693)+SUMIF(Mercado_Receita!$S$2:$S$693,"44317B1ConvencionalResidencialResidencialNão se aplicaNão se aplicaFora ponta",Mercado_Receita!$L$2:$L$693)+SUMIF(Mercado_Receita!$S$2:$S$693,"44317B1ConvencionalResidencialResidencialNão se aplicaNão se aplicaIntermediário",Mercado_Receita!$L$2:$L$693)+SUMIF(Mercado_Receita!$S$2:$S$693,"44317B1ConvencionalResidencialResidencialNão se aplicaNão se aplicaNão se aplica",Mercado_Receita!$L$2:$L$693)</f>
        <v>1922.8400000000001</v>
      </c>
      <c r="K17" s="12">
        <f>SUMIF(Mercado_Receita!$S$2:$S$693,"44348B1ConvencionalResidencialResidencialNão se aplicaNão se aplicaPonta",Mercado_Receita!$L$2:$L$693)+SUMIF(Mercado_Receita!$S$2:$S$693,"44348B1ConvencionalResidencialResidencialNão se aplicaNão se aplicaFora ponta",Mercado_Receita!$L$2:$L$693)+SUMIF(Mercado_Receita!$S$2:$S$693,"44348B1ConvencionalResidencialResidencialNão se aplicaNão se aplicaIntermediário",Mercado_Receita!$L$2:$L$693)+SUMIF(Mercado_Receita!$S$2:$S$693,"44348B1ConvencionalResidencialResidencialNão se aplicaNão se aplicaNão se aplica",Mercado_Receita!$L$2:$L$693)</f>
        <v>1795.519</v>
      </c>
      <c r="L17" s="12">
        <f>SUMIF(Mercado_Receita!$S$2:$S$693,"44378B1ConvencionalResidencialResidencialNão se aplicaNão se aplicaPonta",Mercado_Receita!$L$2:$L$693)+SUMIF(Mercado_Receita!$S$2:$S$693,"44378B1ConvencionalResidencialResidencialNão se aplicaNão se aplicaFora ponta",Mercado_Receita!$L$2:$L$693)+SUMIF(Mercado_Receita!$S$2:$S$693,"44378B1ConvencionalResidencialResidencialNão se aplicaNão se aplicaIntermediário",Mercado_Receita!$L$2:$L$693)+SUMIF(Mercado_Receita!$S$2:$S$693,"44378B1ConvencionalResidencialResidencialNão se aplicaNão se aplicaNão se aplica",Mercado_Receita!$L$2:$L$693)</f>
        <v>1813.8710000000001</v>
      </c>
      <c r="M17" s="12">
        <f>SUMIF(Mercado_Receita!$S$2:$S$693,"44409B1ConvencionalResidencialResidencialNão se aplicaNão se aplicaPonta",Mercado_Receita!$L$2:$L$693)+SUMIF(Mercado_Receita!$S$2:$S$693,"44409B1ConvencionalResidencialResidencialNão se aplicaNão se aplicaFora ponta",Mercado_Receita!$L$2:$L$693)+SUMIF(Mercado_Receita!$S$2:$S$693,"44409B1ConvencionalResidencialResidencialNão se aplicaNão se aplicaIntermediário",Mercado_Receita!$L$2:$L$693)+SUMIF(Mercado_Receita!$S$2:$S$693,"44409B1ConvencionalResidencialResidencialNão se aplicaNão se aplicaNão se aplica",Mercado_Receita!$L$2:$L$693)</f>
        <v>1855.4360000000001</v>
      </c>
      <c r="N17" s="12">
        <f>SUMIF(Mercado_Receita!$S$2:$S$693,"44440B1ConvencionalResidencialResidencialNão se aplicaNão se aplicaPonta",Mercado_Receita!$L$2:$L$693)+SUMIF(Mercado_Receita!$S$2:$S$693,"44440B1ConvencionalResidencialResidencialNão se aplicaNão se aplicaFora ponta",Mercado_Receita!$L$2:$L$693)+SUMIF(Mercado_Receita!$S$2:$S$693,"44440B1ConvencionalResidencialResidencialNão se aplicaNão se aplicaIntermediário",Mercado_Receita!$L$2:$L$693)+SUMIF(Mercado_Receita!$S$2:$S$693,"44440B1ConvencionalResidencialResidencialNão se aplicaNão se aplicaNão se aplica",Mercado_Receita!$L$2:$L$693)</f>
        <v>1966.9379999999999</v>
      </c>
      <c r="O17" s="12">
        <f>SUMIF(Mercado_Receita!$S$2:$S$693,"44470B1ConvencionalResidencialResidencialNão se aplicaNão se aplicaPonta",Mercado_Receita!$L$2:$L$693)+SUMIF(Mercado_Receita!$S$2:$S$693,"44470B1ConvencionalResidencialResidencialNão se aplicaNão se aplicaFora ponta",Mercado_Receita!$L$2:$L$693)+SUMIF(Mercado_Receita!$S$2:$S$693,"44470B1ConvencionalResidencialResidencialNão se aplicaNão se aplicaIntermediário",Mercado_Receita!$L$2:$L$693)+SUMIF(Mercado_Receita!$S$2:$S$693,"44470B1ConvencionalResidencialResidencialNão se aplicaNão se aplicaNão se aplica",Mercado_Receita!$L$2:$L$693)</f>
        <v>1781.258</v>
      </c>
      <c r="P17" s="12">
        <f>SUMIF(Mercado_Receita!$S$2:$S$693,"44501B1ConvencionalResidencialResidencialNão se aplicaNão se aplicaPonta",Mercado_Receita!$L$2:$L$693)+SUMIF(Mercado_Receita!$S$2:$S$693,"44501B1ConvencionalResidencialResidencialNão se aplicaNão se aplicaFora ponta",Mercado_Receita!$L$2:$L$693)+SUMIF(Mercado_Receita!$S$2:$S$693,"44501B1ConvencionalResidencialResidencialNão se aplicaNão se aplicaIntermediário",Mercado_Receita!$L$2:$L$693)+SUMIF(Mercado_Receita!$S$2:$S$693,"44501B1ConvencionalResidencialResidencialNão se aplicaNão se aplicaNão se aplica",Mercado_Receita!$L$2:$L$693)</f>
        <v>1991.6859999999999</v>
      </c>
      <c r="Q17" s="12">
        <f>SUMIF(Mercado_Receita!$S$2:$S$693,"44531B1ConvencionalResidencialResidencialNão se aplicaNão se aplicaPonta",Mercado_Receita!$L$2:$L$693)+SUMIF(Mercado_Receita!$S$2:$S$693,"44531B1ConvencionalResidencialResidencialNão se aplicaNão se aplicaFora ponta",Mercado_Receita!$L$2:$L$693)+SUMIF(Mercado_Receita!$S$2:$S$693,"44531B1ConvencionalResidencialResidencialNão se aplicaNão se aplicaIntermediário",Mercado_Receita!$L$2:$L$693)+SUMIF(Mercado_Receita!$S$2:$S$693,"44531B1ConvencionalResidencialResidencialNão se aplicaNão se aplicaNão se aplica",Mercado_Receita!$L$2:$L$693)</f>
        <v>1863.825</v>
      </c>
      <c r="R17" s="12">
        <f>SUMIF(Mercado_Receita!$S$2:$S$693,"44562B1ConvencionalResidencialResidencialNão se aplicaNão se aplicaPonta",Mercado_Receita!$L$2:$L$693)+SUMIF(Mercado_Receita!$S$2:$S$693,"44562B1ConvencionalResidencialResidencialNão se aplicaNão se aplicaFora ponta",Mercado_Receita!$L$2:$L$693)+SUMIF(Mercado_Receita!$S$2:$S$693,"44562B1ConvencionalResidencialResidencialNão se aplicaNão se aplicaIntermediário",Mercado_Receita!$L$2:$L$693)+SUMIF(Mercado_Receita!$S$2:$S$693,"44562B1ConvencionalResidencialResidencialNão se aplicaNão se aplicaNão se aplica",Mercado_Receita!$L$2:$L$693)</f>
        <v>2418.1579999999999</v>
      </c>
      <c r="S17" s="12">
        <f>SUMIF(Mercado_Receita!$S$2:$S$693,"44593B1ConvencionalResidencialResidencialNão se aplicaNão se aplicaPonta",Mercado_Receita!$L$2:$L$693)+SUMIF(Mercado_Receita!$S$2:$S$693,"44593B1ConvencionalResidencialResidencialNão se aplicaNão se aplicaFora ponta",Mercado_Receita!$L$2:$L$693)+SUMIF(Mercado_Receita!$S$2:$S$693,"44593B1ConvencionalResidencialResidencialNão se aplicaNão se aplicaIntermediário",Mercado_Receita!$L$2:$L$693)+SUMIF(Mercado_Receita!$S$2:$S$693,"44593B1ConvencionalResidencialResidencialNão se aplicaNão se aplicaNão se aplica",Mercado_Receita!$L$2:$L$693)</f>
        <v>2141.5360000000005</v>
      </c>
      <c r="T17" s="12">
        <f>SUMIF(Mercado_Receita!$S$2:$S$693,"44621B1ConvencionalResidencialResidencialNão se aplicaNão se aplicaPonta",Mercado_Receita!$L$2:$L$693)+SUMIF(Mercado_Receita!$S$2:$S$693,"44621B1ConvencionalResidencialResidencialNão se aplicaNão se aplicaFora ponta",Mercado_Receita!$L$2:$L$693)+SUMIF(Mercado_Receita!$S$2:$S$693,"44621B1ConvencionalResidencialResidencialNão se aplicaNão se aplicaIntermediário",Mercado_Receita!$L$2:$L$693)+SUMIF(Mercado_Receita!$S$2:$S$693,"44621B1ConvencionalResidencialResidencialNão se aplicaNão se aplicaNão se aplica",Mercado_Receita!$L$2:$L$693)</f>
        <v>2141.5360000000005</v>
      </c>
      <c r="U17" s="12">
        <f t="shared" si="0"/>
        <v>23903.932000000001</v>
      </c>
      <c r="V17" s="12"/>
      <c r="W17" s="12"/>
    </row>
    <row r="18" spans="1:23" ht="11.25" customHeight="1" x14ac:dyDescent="0.25">
      <c r="A18" s="116"/>
      <c r="B18" s="116"/>
      <c r="C18" s="116"/>
      <c r="D18" s="13" t="s">
        <v>29</v>
      </c>
      <c r="E18" s="13" t="s">
        <v>25</v>
      </c>
      <c r="F18" s="13" t="s">
        <v>25</v>
      </c>
      <c r="G18" s="12" t="s">
        <v>79</v>
      </c>
      <c r="H18" s="12" t="s">
        <v>73</v>
      </c>
      <c r="I18" s="12">
        <f>SUMIF(Mercado_Receita!$S$2:$S$693,"44287B1ConvencionalResidencialResidencial baixa renda – faixa 01Não se aplicaNão se aplicaPonta",Mercado_Receita!$L$2:$L$693)+SUMIF(Mercado_Receita!$S$2:$S$693,"44287B1ConvencionalResidencialResidencial baixa renda – faixa 01Não se aplicaNão se aplicaFora ponta",Mercado_Receita!$L$2:$L$693)+SUMIF(Mercado_Receita!$S$2:$S$693,"44287B1ConvencionalResidencialResidencial baixa renda – faixa 01Não se aplicaNão se aplicaIntermediário",Mercado_Receita!$L$2:$L$693)+SUMIF(Mercado_Receita!$S$2:$S$693,"44287B1ConvencionalResidencialResidencial baixa renda – faixa 01Não se aplicaNão se aplicaNão se aplica",Mercado_Receita!$L$2:$L$693)</f>
        <v>1.32</v>
      </c>
      <c r="J18" s="12">
        <f>SUMIF(Mercado_Receita!$S$2:$S$693,"44317B1ConvencionalResidencialResidencial baixa renda – faixa 01Não se aplicaNão se aplicaPonta",Mercado_Receita!$L$2:$L$693)+SUMIF(Mercado_Receita!$S$2:$S$693,"44317B1ConvencionalResidencialResidencial baixa renda – faixa 01Não se aplicaNão se aplicaFora ponta",Mercado_Receita!$L$2:$L$693)+SUMIF(Mercado_Receita!$S$2:$S$693,"44317B1ConvencionalResidencialResidencial baixa renda – faixa 01Não se aplicaNão se aplicaIntermediário",Mercado_Receita!$L$2:$L$693)+SUMIF(Mercado_Receita!$S$2:$S$693,"44317B1ConvencionalResidencialResidencial baixa renda – faixa 01Não se aplicaNão se aplicaNão se aplica",Mercado_Receita!$L$2:$L$693)</f>
        <v>1.35</v>
      </c>
      <c r="K18" s="12">
        <f>SUMIF(Mercado_Receita!$S$2:$S$693,"44348B1ConvencionalResidencialResidencial baixa renda – faixa 01Não se aplicaNão se aplicaPonta",Mercado_Receita!$L$2:$L$693)+SUMIF(Mercado_Receita!$S$2:$S$693,"44348B1ConvencionalResidencialResidencial baixa renda – faixa 01Não se aplicaNão se aplicaFora ponta",Mercado_Receita!$L$2:$L$693)+SUMIF(Mercado_Receita!$S$2:$S$693,"44348B1ConvencionalResidencialResidencial baixa renda – faixa 01Não se aplicaNão se aplicaIntermediário",Mercado_Receita!$L$2:$L$693)+SUMIF(Mercado_Receita!$S$2:$S$693,"44348B1ConvencionalResidencialResidencial baixa renda – faixa 01Não se aplicaNão se aplicaNão se aplica",Mercado_Receita!$L$2:$L$693)</f>
        <v>1.38</v>
      </c>
      <c r="L18" s="12">
        <f>SUMIF(Mercado_Receita!$S$2:$S$693,"44378B1ConvencionalResidencialResidencial baixa renda – faixa 01Não se aplicaNão se aplicaPonta",Mercado_Receita!$L$2:$L$693)+SUMIF(Mercado_Receita!$S$2:$S$693,"44378B1ConvencionalResidencialResidencial baixa renda – faixa 01Não se aplicaNão se aplicaFora ponta",Mercado_Receita!$L$2:$L$693)+SUMIF(Mercado_Receita!$S$2:$S$693,"44378B1ConvencionalResidencialResidencial baixa renda – faixa 01Não se aplicaNão se aplicaIntermediário",Mercado_Receita!$L$2:$L$693)+SUMIF(Mercado_Receita!$S$2:$S$693,"44378B1ConvencionalResidencialResidencial baixa renda – faixa 01Não se aplicaNão se aplicaNão se aplica",Mercado_Receita!$L$2:$L$693)</f>
        <v>1.38</v>
      </c>
      <c r="M18" s="12">
        <f>SUMIF(Mercado_Receita!$S$2:$S$693,"44409B1ConvencionalResidencialResidencial baixa renda – faixa 01Não se aplicaNão se aplicaPonta",Mercado_Receita!$L$2:$L$693)+SUMIF(Mercado_Receita!$S$2:$S$693,"44409B1ConvencionalResidencialResidencial baixa renda – faixa 01Não se aplicaNão se aplicaFora ponta",Mercado_Receita!$L$2:$L$693)+SUMIF(Mercado_Receita!$S$2:$S$693,"44409B1ConvencionalResidencialResidencial baixa renda – faixa 01Não se aplicaNão se aplicaIntermediário",Mercado_Receita!$L$2:$L$693)+SUMIF(Mercado_Receita!$S$2:$S$693,"44409B1ConvencionalResidencialResidencial baixa renda – faixa 01Não se aplicaNão se aplicaNão se aplica",Mercado_Receita!$L$2:$L$693)</f>
        <v>1.47</v>
      </c>
      <c r="N18" s="12">
        <f>SUMIF(Mercado_Receita!$S$2:$S$693,"44440B1ConvencionalResidencialResidencial baixa renda – faixa 01Não se aplicaNão se aplicaPonta",Mercado_Receita!$L$2:$L$693)+SUMIF(Mercado_Receita!$S$2:$S$693,"44440B1ConvencionalResidencialResidencial baixa renda – faixa 01Não se aplicaNão se aplicaFora ponta",Mercado_Receita!$L$2:$L$693)+SUMIF(Mercado_Receita!$S$2:$S$693,"44440B1ConvencionalResidencialResidencial baixa renda – faixa 01Não se aplicaNão se aplicaIntermediário",Mercado_Receita!$L$2:$L$693)+SUMIF(Mercado_Receita!$S$2:$S$693,"44440B1ConvencionalResidencialResidencial baixa renda – faixa 01Não se aplicaNão se aplicaNão se aplica",Mercado_Receita!$L$2:$L$693)</f>
        <v>1.44</v>
      </c>
      <c r="O18" s="12">
        <f>SUMIF(Mercado_Receita!$S$2:$S$693,"44470B1ConvencionalResidencialResidencial baixa renda – faixa 01Não se aplicaNão se aplicaPonta",Mercado_Receita!$L$2:$L$693)+SUMIF(Mercado_Receita!$S$2:$S$693,"44470B1ConvencionalResidencialResidencial baixa renda – faixa 01Não se aplicaNão se aplicaFora ponta",Mercado_Receita!$L$2:$L$693)+SUMIF(Mercado_Receita!$S$2:$S$693,"44470B1ConvencionalResidencialResidencial baixa renda – faixa 01Não se aplicaNão se aplicaIntermediário",Mercado_Receita!$L$2:$L$693)+SUMIF(Mercado_Receita!$S$2:$S$693,"44470B1ConvencionalResidencialResidencial baixa renda – faixa 01Não se aplicaNão se aplicaNão se aplica",Mercado_Receita!$L$2:$L$693)</f>
        <v>1.44</v>
      </c>
      <c r="P18" s="12">
        <f>SUMIF(Mercado_Receita!$S$2:$S$693,"44501B1ConvencionalResidencialResidencial baixa renda – faixa 01Não se aplicaNão se aplicaPonta",Mercado_Receita!$L$2:$L$693)+SUMIF(Mercado_Receita!$S$2:$S$693,"44501B1ConvencionalResidencialResidencial baixa renda – faixa 01Não se aplicaNão se aplicaFora ponta",Mercado_Receita!$L$2:$L$693)+SUMIF(Mercado_Receita!$S$2:$S$693,"44501B1ConvencionalResidencialResidencial baixa renda – faixa 01Não se aplicaNão se aplicaIntermediário",Mercado_Receita!$L$2:$L$693)+SUMIF(Mercado_Receita!$S$2:$S$693,"44501B1ConvencionalResidencialResidencial baixa renda – faixa 01Não se aplicaNão se aplicaNão se aplica",Mercado_Receita!$L$2:$L$693)</f>
        <v>1.47</v>
      </c>
      <c r="Q18" s="12">
        <f>SUMIF(Mercado_Receita!$S$2:$S$693,"44531B1ConvencionalResidencialResidencial baixa renda – faixa 01Não se aplicaNão se aplicaPonta",Mercado_Receita!$L$2:$L$693)+SUMIF(Mercado_Receita!$S$2:$S$693,"44531B1ConvencionalResidencialResidencial baixa renda – faixa 01Não se aplicaNão se aplicaFora ponta",Mercado_Receita!$L$2:$L$693)+SUMIF(Mercado_Receita!$S$2:$S$693,"44531B1ConvencionalResidencialResidencial baixa renda – faixa 01Não se aplicaNão se aplicaIntermediário",Mercado_Receita!$L$2:$L$693)+SUMIF(Mercado_Receita!$S$2:$S$693,"44531B1ConvencionalResidencialResidencial baixa renda – faixa 01Não se aplicaNão se aplicaNão se aplica",Mercado_Receita!$L$2:$L$693)</f>
        <v>1.47</v>
      </c>
      <c r="R18" s="12">
        <f>SUMIF(Mercado_Receita!$S$2:$S$693,"44562B1ConvencionalResidencialResidencial baixa renda – faixa 01Não se aplicaNão se aplicaPonta",Mercado_Receita!$L$2:$L$693)+SUMIF(Mercado_Receita!$S$2:$S$693,"44562B1ConvencionalResidencialResidencial baixa renda – faixa 01Não se aplicaNão se aplicaFora ponta",Mercado_Receita!$L$2:$L$693)+SUMIF(Mercado_Receita!$S$2:$S$693,"44562B1ConvencionalResidencialResidencial baixa renda – faixa 01Não se aplicaNão se aplicaIntermediário",Mercado_Receita!$L$2:$L$693)+SUMIF(Mercado_Receita!$S$2:$S$693,"44562B1ConvencionalResidencialResidencial baixa renda – faixa 01Não se aplicaNão se aplicaNão se aplica",Mercado_Receita!$L$2:$L$693)</f>
        <v>1.44</v>
      </c>
      <c r="S18" s="12">
        <f>SUMIF(Mercado_Receita!$S$2:$S$693,"44593B1ConvencionalResidencialResidencial baixa renda – faixa 01Não se aplicaNão se aplicaPonta",Mercado_Receita!$L$2:$L$693)+SUMIF(Mercado_Receita!$S$2:$S$693,"44593B1ConvencionalResidencialResidencial baixa renda – faixa 01Não se aplicaNão se aplicaFora ponta",Mercado_Receita!$L$2:$L$693)+SUMIF(Mercado_Receita!$S$2:$S$693,"44593B1ConvencionalResidencialResidencial baixa renda – faixa 01Não se aplicaNão se aplicaIntermediário",Mercado_Receita!$L$2:$L$693)+SUMIF(Mercado_Receita!$S$2:$S$693,"44593B1ConvencionalResidencialResidencial baixa renda – faixa 01Não se aplicaNão se aplicaNão se aplica",Mercado_Receita!$L$2:$L$693)</f>
        <v>1.44</v>
      </c>
      <c r="T18" s="12">
        <f>SUMIF(Mercado_Receita!$S$2:$S$693,"44621B1ConvencionalResidencialResidencial baixa renda – faixa 01Não se aplicaNão se aplicaPonta",Mercado_Receita!$L$2:$L$693)+SUMIF(Mercado_Receita!$S$2:$S$693,"44621B1ConvencionalResidencialResidencial baixa renda – faixa 01Não se aplicaNão se aplicaFora ponta",Mercado_Receita!$L$2:$L$693)+SUMIF(Mercado_Receita!$S$2:$S$693,"44621B1ConvencionalResidencialResidencial baixa renda – faixa 01Não se aplicaNão se aplicaIntermediário",Mercado_Receita!$L$2:$L$693)+SUMIF(Mercado_Receita!$S$2:$S$693,"44621B1ConvencionalResidencialResidencial baixa renda – faixa 01Não se aplicaNão se aplicaNão se aplica",Mercado_Receita!$L$2:$L$693)</f>
        <v>1.44</v>
      </c>
      <c r="U18" s="12">
        <f t="shared" si="0"/>
        <v>17.04</v>
      </c>
      <c r="V18" s="12"/>
      <c r="W18" s="12"/>
    </row>
    <row r="19" spans="1:23" ht="11.25" customHeight="1" x14ac:dyDescent="0.25">
      <c r="A19" s="116"/>
      <c r="B19" s="116"/>
      <c r="C19" s="116"/>
      <c r="D19" s="13" t="s">
        <v>30</v>
      </c>
      <c r="E19" s="13" t="s">
        <v>25</v>
      </c>
      <c r="F19" s="13" t="s">
        <v>25</v>
      </c>
      <c r="G19" s="12" t="s">
        <v>79</v>
      </c>
      <c r="H19" s="12" t="s">
        <v>73</v>
      </c>
      <c r="I19" s="12">
        <f>SUMIF(Mercado_Receita!$S$2:$S$693,"44287B1ConvencionalResidencialResidencial baixa renda – faixa 02Não se aplicaNão se aplicaPonta",Mercado_Receita!$L$2:$L$693)+SUMIF(Mercado_Receita!$S$2:$S$693,"44287B1ConvencionalResidencialResidencial baixa renda – faixa 02Não se aplicaNão se aplicaFora ponta",Mercado_Receita!$L$2:$L$693)+SUMIF(Mercado_Receita!$S$2:$S$693,"44287B1ConvencionalResidencialResidencial baixa renda – faixa 02Não se aplicaNão se aplicaIntermediário",Mercado_Receita!$L$2:$L$693)+SUMIF(Mercado_Receita!$S$2:$S$693,"44287B1ConvencionalResidencialResidencial baixa renda – faixa 02Não se aplicaNão se aplicaNão se aplica",Mercado_Receita!$L$2:$L$693)</f>
        <v>2.7629999999999999</v>
      </c>
      <c r="J19" s="12">
        <f>SUMIF(Mercado_Receita!$S$2:$S$693,"44317B1ConvencionalResidencialResidencial baixa renda – faixa 02Não se aplicaNão se aplicaPonta",Mercado_Receita!$L$2:$L$693)+SUMIF(Mercado_Receita!$S$2:$S$693,"44317B1ConvencionalResidencialResidencial baixa renda – faixa 02Não se aplicaNão se aplicaFora ponta",Mercado_Receita!$L$2:$L$693)+SUMIF(Mercado_Receita!$S$2:$S$693,"44317B1ConvencionalResidencialResidencial baixa renda – faixa 02Não se aplicaNão se aplicaIntermediário",Mercado_Receita!$L$2:$L$693)+SUMIF(Mercado_Receita!$S$2:$S$693,"44317B1ConvencionalResidencialResidencial baixa renda – faixa 02Não se aplicaNão se aplicaNão se aplica",Mercado_Receita!$L$2:$L$693)</f>
        <v>2.8559999999999999</v>
      </c>
      <c r="K19" s="12">
        <f>SUMIF(Mercado_Receita!$S$2:$S$693,"44348B1ConvencionalResidencialResidencial baixa renda – faixa 02Não se aplicaNão se aplicaPonta",Mercado_Receita!$L$2:$L$693)+SUMIF(Mercado_Receita!$S$2:$S$693,"44348B1ConvencionalResidencialResidencial baixa renda – faixa 02Não se aplicaNão se aplicaFora ponta",Mercado_Receita!$L$2:$L$693)+SUMIF(Mercado_Receita!$S$2:$S$693,"44348B1ConvencionalResidencialResidencial baixa renda – faixa 02Não se aplicaNão se aplicaIntermediário",Mercado_Receita!$L$2:$L$693)+SUMIF(Mercado_Receita!$S$2:$S$693,"44348B1ConvencionalResidencialResidencial baixa renda – faixa 02Não se aplicaNão se aplicaNão se aplica",Mercado_Receita!$L$2:$L$693)</f>
        <v>2.8679999999999999</v>
      </c>
      <c r="L19" s="12">
        <f>SUMIF(Mercado_Receita!$S$2:$S$693,"44378B1ConvencionalResidencialResidencial baixa renda – faixa 02Não se aplicaNão se aplicaPonta",Mercado_Receita!$L$2:$L$693)+SUMIF(Mercado_Receita!$S$2:$S$693,"44378B1ConvencionalResidencialResidencial baixa renda – faixa 02Não se aplicaNão se aplicaFora ponta",Mercado_Receita!$L$2:$L$693)+SUMIF(Mercado_Receita!$S$2:$S$693,"44378B1ConvencionalResidencialResidencial baixa renda – faixa 02Não se aplicaNão se aplicaIntermediário",Mercado_Receita!$L$2:$L$693)+SUMIF(Mercado_Receita!$S$2:$S$693,"44378B1ConvencionalResidencialResidencial baixa renda – faixa 02Não se aplicaNão se aplicaNão se aplica",Mercado_Receita!$L$2:$L$693)</f>
        <v>2.835</v>
      </c>
      <c r="M19" s="12">
        <f>SUMIF(Mercado_Receita!$S$2:$S$693,"44409B1ConvencionalResidencialResidencial baixa renda – faixa 02Não se aplicaNão se aplicaPonta",Mercado_Receita!$L$2:$L$693)+SUMIF(Mercado_Receita!$S$2:$S$693,"44409B1ConvencionalResidencialResidencial baixa renda – faixa 02Não se aplicaNão se aplicaFora ponta",Mercado_Receita!$L$2:$L$693)+SUMIF(Mercado_Receita!$S$2:$S$693,"44409B1ConvencionalResidencialResidencial baixa renda – faixa 02Não se aplicaNão se aplicaIntermediário",Mercado_Receita!$L$2:$L$693)+SUMIF(Mercado_Receita!$S$2:$S$693,"44409B1ConvencionalResidencialResidencial baixa renda – faixa 02Não se aplicaNão se aplicaNão se aplica",Mercado_Receita!$L$2:$L$693)</f>
        <v>3.1</v>
      </c>
      <c r="N19" s="12">
        <f>SUMIF(Mercado_Receita!$S$2:$S$693,"44440B1ConvencionalResidencialResidencial baixa renda – faixa 02Não se aplicaNão se aplicaPonta",Mercado_Receita!$L$2:$L$693)+SUMIF(Mercado_Receita!$S$2:$S$693,"44440B1ConvencionalResidencialResidencial baixa renda – faixa 02Não se aplicaNão se aplicaFora ponta",Mercado_Receita!$L$2:$L$693)+SUMIF(Mercado_Receita!$S$2:$S$693,"44440B1ConvencionalResidencialResidencial baixa renda – faixa 02Não se aplicaNão se aplicaIntermediário",Mercado_Receita!$L$2:$L$693)+SUMIF(Mercado_Receita!$S$2:$S$693,"44440B1ConvencionalResidencialResidencial baixa renda – faixa 02Não se aplicaNão se aplicaNão se aplica",Mercado_Receita!$L$2:$L$693)</f>
        <v>3.0750000000000002</v>
      </c>
      <c r="O19" s="12">
        <f>SUMIF(Mercado_Receita!$S$2:$S$693,"44470B1ConvencionalResidencialResidencial baixa renda – faixa 02Não se aplicaNão se aplicaPonta",Mercado_Receita!$L$2:$L$693)+SUMIF(Mercado_Receita!$S$2:$S$693,"44470B1ConvencionalResidencialResidencial baixa renda – faixa 02Não se aplicaNão se aplicaFora ponta",Mercado_Receita!$L$2:$L$693)+SUMIF(Mercado_Receita!$S$2:$S$693,"44470B1ConvencionalResidencialResidencial baixa renda – faixa 02Não se aplicaNão se aplicaIntermediário",Mercado_Receita!$L$2:$L$693)+SUMIF(Mercado_Receita!$S$2:$S$693,"44470B1ConvencionalResidencialResidencial baixa renda – faixa 02Não se aplicaNão se aplicaNão se aplica",Mercado_Receita!$L$2:$L$693)</f>
        <v>3.0350000000000001</v>
      </c>
      <c r="P19" s="12">
        <f>SUMIF(Mercado_Receita!$S$2:$S$693,"44501B1ConvencionalResidencialResidencial baixa renda – faixa 02Não se aplicaNão se aplicaPonta",Mercado_Receita!$L$2:$L$693)+SUMIF(Mercado_Receita!$S$2:$S$693,"44501B1ConvencionalResidencialResidencial baixa renda – faixa 02Não se aplicaNão se aplicaFora ponta",Mercado_Receita!$L$2:$L$693)+SUMIF(Mercado_Receita!$S$2:$S$693,"44501B1ConvencionalResidencialResidencial baixa renda – faixa 02Não se aplicaNão se aplicaIntermediário",Mercado_Receita!$L$2:$L$693)+SUMIF(Mercado_Receita!$S$2:$S$693,"44501B1ConvencionalResidencialResidencial baixa renda – faixa 02Não se aplicaNão se aplicaNão se aplica",Mercado_Receita!$L$2:$L$693)</f>
        <v>3.1309999999999998</v>
      </c>
      <c r="Q19" s="12">
        <f>SUMIF(Mercado_Receita!$S$2:$S$693,"44531B1ConvencionalResidencialResidencial baixa renda – faixa 02Não se aplicaNão se aplicaPonta",Mercado_Receita!$L$2:$L$693)+SUMIF(Mercado_Receita!$S$2:$S$693,"44531B1ConvencionalResidencialResidencial baixa renda – faixa 02Não se aplicaNão se aplicaFora ponta",Mercado_Receita!$L$2:$L$693)+SUMIF(Mercado_Receita!$S$2:$S$693,"44531B1ConvencionalResidencialResidencial baixa renda – faixa 02Não se aplicaNão se aplicaIntermediário",Mercado_Receita!$L$2:$L$693)+SUMIF(Mercado_Receita!$S$2:$S$693,"44531B1ConvencionalResidencialResidencial baixa renda – faixa 02Não se aplicaNão se aplicaNão se aplica",Mercado_Receita!$L$2:$L$693)</f>
        <v>3.0840000000000001</v>
      </c>
      <c r="R19" s="12">
        <f>SUMIF(Mercado_Receita!$S$2:$S$693,"44562B1ConvencionalResidencialResidencial baixa renda – faixa 02Não se aplicaNão se aplicaPonta",Mercado_Receita!$L$2:$L$693)+SUMIF(Mercado_Receita!$S$2:$S$693,"44562B1ConvencionalResidencialResidencial baixa renda – faixa 02Não se aplicaNão se aplicaFora ponta",Mercado_Receita!$L$2:$L$693)+SUMIF(Mercado_Receita!$S$2:$S$693,"44562B1ConvencionalResidencialResidencial baixa renda – faixa 02Não se aplicaNão se aplicaIntermediário",Mercado_Receita!$L$2:$L$693)+SUMIF(Mercado_Receita!$S$2:$S$693,"44562B1ConvencionalResidencialResidencial baixa renda – faixa 02Não se aplicaNão se aplicaNão se aplica",Mercado_Receita!$L$2:$L$693)</f>
        <v>3.0219999999999998</v>
      </c>
      <c r="S19" s="12">
        <f>SUMIF(Mercado_Receita!$S$2:$S$693,"44593B1ConvencionalResidencialResidencial baixa renda – faixa 02Não se aplicaNão se aplicaPonta",Mercado_Receita!$L$2:$L$693)+SUMIF(Mercado_Receita!$S$2:$S$693,"44593B1ConvencionalResidencialResidencial baixa renda – faixa 02Não se aplicaNão se aplicaFora ponta",Mercado_Receita!$L$2:$L$693)+SUMIF(Mercado_Receita!$S$2:$S$693,"44593B1ConvencionalResidencialResidencial baixa renda – faixa 02Não se aplicaNão se aplicaIntermediário",Mercado_Receita!$L$2:$L$693)+SUMIF(Mercado_Receita!$S$2:$S$693,"44593B1ConvencionalResidencialResidencial baixa renda – faixa 02Não se aplicaNão se aplicaNão se aplica",Mercado_Receita!$L$2:$L$693)</f>
        <v>3.14</v>
      </c>
      <c r="T19" s="12">
        <f>SUMIF(Mercado_Receita!$S$2:$S$693,"44621B1ConvencionalResidencialResidencial baixa renda – faixa 02Não se aplicaNão se aplicaPonta",Mercado_Receita!$L$2:$L$693)+SUMIF(Mercado_Receita!$S$2:$S$693,"44621B1ConvencionalResidencialResidencial baixa renda – faixa 02Não se aplicaNão se aplicaFora ponta",Mercado_Receita!$L$2:$L$693)+SUMIF(Mercado_Receita!$S$2:$S$693,"44621B1ConvencionalResidencialResidencial baixa renda – faixa 02Não se aplicaNão se aplicaIntermediário",Mercado_Receita!$L$2:$L$693)+SUMIF(Mercado_Receita!$S$2:$S$693,"44621B1ConvencionalResidencialResidencial baixa renda – faixa 02Não se aplicaNão se aplicaNão se aplica",Mercado_Receita!$L$2:$L$693)</f>
        <v>3.14</v>
      </c>
      <c r="U19" s="12">
        <f t="shared" si="0"/>
        <v>36.048999999999999</v>
      </c>
      <c r="V19" s="12"/>
      <c r="W19" s="12"/>
    </row>
    <row r="20" spans="1:23" ht="11.25" customHeight="1" x14ac:dyDescent="0.25">
      <c r="A20" s="116"/>
      <c r="B20" s="116"/>
      <c r="C20" s="116"/>
      <c r="D20" s="13" t="s">
        <v>31</v>
      </c>
      <c r="E20" s="13" t="s">
        <v>25</v>
      </c>
      <c r="F20" s="13" t="s">
        <v>25</v>
      </c>
      <c r="G20" s="12" t="s">
        <v>79</v>
      </c>
      <c r="H20" s="12" t="s">
        <v>73</v>
      </c>
      <c r="I20" s="12">
        <f>SUMIF(Mercado_Receita!$S$2:$S$693,"44287B1ConvencionalResidencialResidencial baixa renda – faixa 03Não se aplicaNão se aplicaPonta",Mercado_Receita!$L$2:$L$693)+SUMIF(Mercado_Receita!$S$2:$S$693,"44287B1ConvencionalResidencialResidencial baixa renda – faixa 03Não se aplicaNão se aplicaFora ponta",Mercado_Receita!$L$2:$L$693)+SUMIF(Mercado_Receita!$S$2:$S$693,"44287B1ConvencionalResidencialResidencial baixa renda – faixa 03Não se aplicaNão se aplicaIntermediário",Mercado_Receita!$L$2:$L$693)+SUMIF(Mercado_Receita!$S$2:$S$693,"44287B1ConvencionalResidencialResidencial baixa renda – faixa 03Não se aplicaNão se aplicaNão se aplica",Mercado_Receita!$L$2:$L$693)</f>
        <v>2.3380000000000001</v>
      </c>
      <c r="J20" s="12">
        <f>SUMIF(Mercado_Receita!$S$2:$S$693,"44317B1ConvencionalResidencialResidencial baixa renda – faixa 03Não se aplicaNão se aplicaPonta",Mercado_Receita!$L$2:$L$693)+SUMIF(Mercado_Receita!$S$2:$S$693,"44317B1ConvencionalResidencialResidencial baixa renda – faixa 03Não se aplicaNão se aplicaFora ponta",Mercado_Receita!$L$2:$L$693)+SUMIF(Mercado_Receita!$S$2:$S$693,"44317B1ConvencionalResidencialResidencial baixa renda – faixa 03Não se aplicaNão se aplicaIntermediário",Mercado_Receita!$L$2:$L$693)+SUMIF(Mercado_Receita!$S$2:$S$693,"44317B1ConvencionalResidencialResidencial baixa renda – faixa 03Não se aplicaNão se aplicaNão se aplica",Mercado_Receita!$L$2:$L$693)</f>
        <v>2.4510000000000001</v>
      </c>
      <c r="K20" s="12">
        <f>SUMIF(Mercado_Receita!$S$2:$S$693,"44348B1ConvencionalResidencialResidencial baixa renda – faixa 03Não se aplicaNão se aplicaPonta",Mercado_Receita!$L$2:$L$693)+SUMIF(Mercado_Receita!$S$2:$S$693,"44348B1ConvencionalResidencialResidencial baixa renda – faixa 03Não se aplicaNão se aplicaFora ponta",Mercado_Receita!$L$2:$L$693)+SUMIF(Mercado_Receita!$S$2:$S$693,"44348B1ConvencionalResidencialResidencial baixa renda – faixa 03Não se aplicaNão se aplicaIntermediário",Mercado_Receita!$L$2:$L$693)+SUMIF(Mercado_Receita!$S$2:$S$693,"44348B1ConvencionalResidencialResidencial baixa renda – faixa 03Não se aplicaNão se aplicaNão se aplica",Mercado_Receita!$L$2:$L$693)</f>
        <v>2.5870000000000002</v>
      </c>
      <c r="L20" s="12">
        <f>SUMIF(Mercado_Receita!$S$2:$S$693,"44378B1ConvencionalResidencialResidencial baixa renda – faixa 03Não se aplicaNão se aplicaPonta",Mercado_Receita!$L$2:$L$693)+SUMIF(Mercado_Receita!$S$2:$S$693,"44378B1ConvencionalResidencialResidencial baixa renda – faixa 03Não se aplicaNão se aplicaFora ponta",Mercado_Receita!$L$2:$L$693)+SUMIF(Mercado_Receita!$S$2:$S$693,"44378B1ConvencionalResidencialResidencial baixa renda – faixa 03Não se aplicaNão se aplicaIntermediário",Mercado_Receita!$L$2:$L$693)+SUMIF(Mercado_Receita!$S$2:$S$693,"44378B1ConvencionalResidencialResidencial baixa renda – faixa 03Não se aplicaNão se aplicaNão se aplica",Mercado_Receita!$L$2:$L$693)</f>
        <v>2.4989999999999997</v>
      </c>
      <c r="M20" s="12">
        <f>SUMIF(Mercado_Receita!$S$2:$S$693,"44409B1ConvencionalResidencialResidencial baixa renda – faixa 03Não se aplicaNão se aplicaPonta",Mercado_Receita!$L$2:$L$693)+SUMIF(Mercado_Receita!$S$2:$S$693,"44409B1ConvencionalResidencialResidencial baixa renda – faixa 03Não se aplicaNão se aplicaFora ponta",Mercado_Receita!$L$2:$L$693)+SUMIF(Mercado_Receita!$S$2:$S$693,"44409B1ConvencionalResidencialResidencial baixa renda – faixa 03Não se aplicaNão se aplicaIntermediário",Mercado_Receita!$L$2:$L$693)+SUMIF(Mercado_Receita!$S$2:$S$693,"44409B1ConvencionalResidencialResidencial baixa renda – faixa 03Não se aplicaNão se aplicaNão se aplica",Mercado_Receita!$L$2:$L$693)</f>
        <v>2.9670000000000001</v>
      </c>
      <c r="N20" s="12">
        <f>SUMIF(Mercado_Receita!$S$2:$S$693,"44440B1ConvencionalResidencialResidencial baixa renda – faixa 03Não se aplicaNão se aplicaPonta",Mercado_Receita!$L$2:$L$693)+SUMIF(Mercado_Receita!$S$2:$S$693,"44440B1ConvencionalResidencialResidencial baixa renda – faixa 03Não se aplicaNão se aplicaFora ponta",Mercado_Receita!$L$2:$L$693)+SUMIF(Mercado_Receita!$S$2:$S$693,"44440B1ConvencionalResidencialResidencial baixa renda – faixa 03Não se aplicaNão se aplicaIntermediário",Mercado_Receita!$L$2:$L$693)+SUMIF(Mercado_Receita!$S$2:$S$693,"44440B1ConvencionalResidencialResidencial baixa renda – faixa 03Não se aplicaNão se aplicaNão se aplica",Mercado_Receita!$L$2:$L$693)</f>
        <v>2.8450000000000002</v>
      </c>
      <c r="O20" s="12">
        <f>SUMIF(Mercado_Receita!$S$2:$S$693,"44470B1ConvencionalResidencialResidencial baixa renda – faixa 03Não se aplicaNão se aplicaPonta",Mercado_Receita!$L$2:$L$693)+SUMIF(Mercado_Receita!$S$2:$S$693,"44470B1ConvencionalResidencialResidencial baixa renda – faixa 03Não se aplicaNão se aplicaFora ponta",Mercado_Receita!$L$2:$L$693)+SUMIF(Mercado_Receita!$S$2:$S$693,"44470B1ConvencionalResidencialResidencial baixa renda – faixa 03Não se aplicaNão se aplicaIntermediário",Mercado_Receita!$L$2:$L$693)+SUMIF(Mercado_Receita!$S$2:$S$693,"44470B1ConvencionalResidencialResidencial baixa renda – faixa 03Não se aplicaNão se aplicaNão se aplica",Mercado_Receita!$L$2:$L$693)</f>
        <v>2.8010000000000002</v>
      </c>
      <c r="P20" s="12">
        <f>SUMIF(Mercado_Receita!$S$2:$S$693,"44501B1ConvencionalResidencialResidencial baixa renda – faixa 03Não se aplicaNão se aplicaPonta",Mercado_Receita!$L$2:$L$693)+SUMIF(Mercado_Receita!$S$2:$S$693,"44501B1ConvencionalResidencialResidencial baixa renda – faixa 03Não se aplicaNão se aplicaFora ponta",Mercado_Receita!$L$2:$L$693)+SUMIF(Mercado_Receita!$S$2:$S$693,"44501B1ConvencionalResidencialResidencial baixa renda – faixa 03Não se aplicaNão se aplicaIntermediário",Mercado_Receita!$L$2:$L$693)+SUMIF(Mercado_Receita!$S$2:$S$693,"44501B1ConvencionalResidencialResidencial baixa renda – faixa 03Não se aplicaNão se aplicaNão se aplica",Mercado_Receita!$L$2:$L$693)</f>
        <v>2.819</v>
      </c>
      <c r="Q20" s="12">
        <f>SUMIF(Mercado_Receita!$S$2:$S$693,"44531B1ConvencionalResidencialResidencial baixa renda – faixa 03Não se aplicaNão se aplicaPonta",Mercado_Receita!$L$2:$L$693)+SUMIF(Mercado_Receita!$S$2:$S$693,"44531B1ConvencionalResidencialResidencial baixa renda – faixa 03Não se aplicaNão se aplicaFora ponta",Mercado_Receita!$L$2:$L$693)+SUMIF(Mercado_Receita!$S$2:$S$693,"44531B1ConvencionalResidencialResidencial baixa renda – faixa 03Não se aplicaNão se aplicaIntermediário",Mercado_Receita!$L$2:$L$693)+SUMIF(Mercado_Receita!$S$2:$S$693,"44531B1ConvencionalResidencialResidencial baixa renda – faixa 03Não se aplicaNão se aplicaNão se aplica",Mercado_Receita!$L$2:$L$693)</f>
        <v>2.585</v>
      </c>
      <c r="R20" s="12">
        <f>SUMIF(Mercado_Receita!$S$2:$S$693,"44562B1ConvencionalResidencialResidencial baixa renda – faixa 03Não se aplicaNão se aplicaPonta",Mercado_Receita!$L$2:$L$693)+SUMIF(Mercado_Receita!$S$2:$S$693,"44562B1ConvencionalResidencialResidencial baixa renda – faixa 03Não se aplicaNão se aplicaFora ponta",Mercado_Receita!$L$2:$L$693)+SUMIF(Mercado_Receita!$S$2:$S$693,"44562B1ConvencionalResidencialResidencial baixa renda – faixa 03Não se aplicaNão se aplicaIntermediário",Mercado_Receita!$L$2:$L$693)+SUMIF(Mercado_Receita!$S$2:$S$693,"44562B1ConvencionalResidencialResidencial baixa renda – faixa 03Não se aplicaNão se aplicaNão se aplica",Mercado_Receita!$L$2:$L$693)</f>
        <v>2.6150000000000002</v>
      </c>
      <c r="S20" s="12">
        <f>SUMIF(Mercado_Receita!$S$2:$S$693,"44593B1ConvencionalResidencialResidencial baixa renda – faixa 03Não se aplicaNão se aplicaPonta",Mercado_Receita!$L$2:$L$693)+SUMIF(Mercado_Receita!$S$2:$S$693,"44593B1ConvencionalResidencialResidencial baixa renda – faixa 03Não se aplicaNão se aplicaFora ponta",Mercado_Receita!$L$2:$L$693)+SUMIF(Mercado_Receita!$S$2:$S$693,"44593B1ConvencionalResidencialResidencial baixa renda – faixa 03Não se aplicaNão se aplicaIntermediário",Mercado_Receita!$L$2:$L$693)+SUMIF(Mercado_Receita!$S$2:$S$693,"44593B1ConvencionalResidencialResidencial baixa renda – faixa 03Não se aplicaNão se aplicaNão se aplica",Mercado_Receita!$L$2:$L$693)</f>
        <v>3.1640000000000001</v>
      </c>
      <c r="T20" s="12">
        <f>SUMIF(Mercado_Receita!$S$2:$S$693,"44621B1ConvencionalResidencialResidencial baixa renda – faixa 03Não se aplicaNão se aplicaPonta",Mercado_Receita!$L$2:$L$693)+SUMIF(Mercado_Receita!$S$2:$S$693,"44621B1ConvencionalResidencialResidencial baixa renda – faixa 03Não se aplicaNão se aplicaFora ponta",Mercado_Receita!$L$2:$L$693)+SUMIF(Mercado_Receita!$S$2:$S$693,"44621B1ConvencionalResidencialResidencial baixa renda – faixa 03Não se aplicaNão se aplicaIntermediário",Mercado_Receita!$L$2:$L$693)+SUMIF(Mercado_Receita!$S$2:$S$693,"44621B1ConvencionalResidencialResidencial baixa renda – faixa 03Não se aplicaNão se aplicaNão se aplica",Mercado_Receita!$L$2:$L$693)</f>
        <v>3.1640000000000001</v>
      </c>
      <c r="U20" s="12">
        <f t="shared" si="0"/>
        <v>32.835000000000001</v>
      </c>
      <c r="V20" s="12"/>
      <c r="W20" s="12"/>
    </row>
    <row r="21" spans="1:23" ht="11.25" customHeight="1" x14ac:dyDescent="0.25">
      <c r="A21" s="116"/>
      <c r="B21" s="116"/>
      <c r="C21" s="116"/>
      <c r="D21" s="13" t="s">
        <v>32</v>
      </c>
      <c r="E21" s="13" t="s">
        <v>25</v>
      </c>
      <c r="F21" s="13" t="s">
        <v>25</v>
      </c>
      <c r="G21" s="12" t="s">
        <v>79</v>
      </c>
      <c r="H21" s="12" t="s">
        <v>73</v>
      </c>
      <c r="I21" s="12">
        <f>SUMIF(Mercado_Receita!$S$2:$S$693,"44287B1ConvencionalResidencialResidencial baixa renda – faixa 04Não se aplicaNão se aplicaPonta",Mercado_Receita!$L$2:$L$693)+SUMIF(Mercado_Receita!$S$2:$S$693,"44287B1ConvencionalResidencialResidencial baixa renda – faixa 04Não se aplicaNão se aplicaFora ponta",Mercado_Receita!$L$2:$L$693)+SUMIF(Mercado_Receita!$S$2:$S$693,"44287B1ConvencionalResidencialResidencial baixa renda – faixa 04Não se aplicaNão se aplicaIntermediário",Mercado_Receita!$L$2:$L$693)+SUMIF(Mercado_Receita!$S$2:$S$693,"44287B1ConvencionalResidencialResidencial baixa renda – faixa 04Não se aplicaNão se aplicaNão se aplica",Mercado_Receita!$L$2:$L$693)</f>
        <v>0.67500000000000004</v>
      </c>
      <c r="J21" s="12">
        <f>SUMIF(Mercado_Receita!$S$2:$S$693,"44317B1ConvencionalResidencialResidencial baixa renda – faixa 04Não se aplicaNão se aplicaPonta",Mercado_Receita!$L$2:$L$693)+SUMIF(Mercado_Receita!$S$2:$S$693,"44317B1ConvencionalResidencialResidencial baixa renda – faixa 04Não se aplicaNão se aplicaFora ponta",Mercado_Receita!$L$2:$L$693)+SUMIF(Mercado_Receita!$S$2:$S$693,"44317B1ConvencionalResidencialResidencial baixa renda – faixa 04Não se aplicaNão se aplicaIntermediário",Mercado_Receita!$L$2:$L$693)+SUMIF(Mercado_Receita!$S$2:$S$693,"44317B1ConvencionalResidencialResidencial baixa renda – faixa 04Não se aplicaNão se aplicaNão se aplica",Mercado_Receita!$L$2:$L$693)</f>
        <v>0.72299999999999998</v>
      </c>
      <c r="K21" s="12">
        <f>SUMIF(Mercado_Receita!$S$2:$S$693,"44348B1ConvencionalResidencialResidencial baixa renda – faixa 04Não se aplicaNão se aplicaPonta",Mercado_Receita!$L$2:$L$693)+SUMIF(Mercado_Receita!$S$2:$S$693,"44348B1ConvencionalResidencialResidencial baixa renda – faixa 04Não se aplicaNão se aplicaFora ponta",Mercado_Receita!$L$2:$L$693)+SUMIF(Mercado_Receita!$S$2:$S$693,"44348B1ConvencionalResidencialResidencial baixa renda – faixa 04Não se aplicaNão se aplicaIntermediário",Mercado_Receita!$L$2:$L$693)+SUMIF(Mercado_Receita!$S$2:$S$693,"44348B1ConvencionalResidencialResidencial baixa renda – faixa 04Não se aplicaNão se aplicaNão se aplica",Mercado_Receita!$L$2:$L$693)</f>
        <v>1.0489999999999999</v>
      </c>
      <c r="L21" s="12">
        <f>SUMIF(Mercado_Receita!$S$2:$S$693,"44378B1ConvencionalResidencialResidencial baixa renda – faixa 04Não se aplicaNão se aplicaPonta",Mercado_Receita!$L$2:$L$693)+SUMIF(Mercado_Receita!$S$2:$S$693,"44378B1ConvencionalResidencialResidencial baixa renda – faixa 04Não se aplicaNão se aplicaFora ponta",Mercado_Receita!$L$2:$L$693)+SUMIF(Mercado_Receita!$S$2:$S$693,"44378B1ConvencionalResidencialResidencial baixa renda – faixa 04Não se aplicaNão se aplicaIntermediário",Mercado_Receita!$L$2:$L$693)+SUMIF(Mercado_Receita!$S$2:$S$693,"44378B1ConvencionalResidencialResidencial baixa renda – faixa 04Não se aplicaNão se aplicaNão se aplica",Mercado_Receita!$L$2:$L$693)</f>
        <v>0.11799999999999999</v>
      </c>
      <c r="M21" s="12">
        <f>SUMIF(Mercado_Receita!$S$2:$S$693,"44409B1ConvencionalResidencialResidencial baixa renda – faixa 04Não se aplicaNão se aplicaPonta",Mercado_Receita!$L$2:$L$693)+SUMIF(Mercado_Receita!$S$2:$S$693,"44409B1ConvencionalResidencialResidencial baixa renda – faixa 04Não se aplicaNão se aplicaFora ponta",Mercado_Receita!$L$2:$L$693)+SUMIF(Mercado_Receita!$S$2:$S$693,"44409B1ConvencionalResidencialResidencial baixa renda – faixa 04Não se aplicaNão se aplicaIntermediário",Mercado_Receita!$L$2:$L$693)+SUMIF(Mercado_Receita!$S$2:$S$693,"44409B1ConvencionalResidencialResidencial baixa renda – faixa 04Não se aplicaNão se aplicaNão se aplica",Mercado_Receita!$L$2:$L$693)</f>
        <v>0.92400000000000004</v>
      </c>
      <c r="N21" s="12">
        <f>SUMIF(Mercado_Receita!$S$2:$S$693,"44440B1ConvencionalResidencialResidencial baixa renda – faixa 04Não se aplicaNão se aplicaPonta",Mercado_Receita!$L$2:$L$693)+SUMIF(Mercado_Receita!$S$2:$S$693,"44440B1ConvencionalResidencialResidencial baixa renda – faixa 04Não se aplicaNão se aplicaFora ponta",Mercado_Receita!$L$2:$L$693)+SUMIF(Mercado_Receita!$S$2:$S$693,"44440B1ConvencionalResidencialResidencial baixa renda – faixa 04Não se aplicaNão se aplicaIntermediário",Mercado_Receita!$L$2:$L$693)+SUMIF(Mercado_Receita!$S$2:$S$693,"44440B1ConvencionalResidencialResidencial baixa renda – faixa 04Não se aplicaNão se aplicaNão se aplica",Mercado_Receita!$L$2:$L$693)</f>
        <v>0.90300000000000002</v>
      </c>
      <c r="O21" s="12">
        <f>SUMIF(Mercado_Receita!$S$2:$S$693,"44470B1ConvencionalResidencialResidencial baixa renda – faixa 04Não se aplicaNão se aplicaPonta",Mercado_Receita!$L$2:$L$693)+SUMIF(Mercado_Receita!$S$2:$S$693,"44470B1ConvencionalResidencialResidencial baixa renda – faixa 04Não se aplicaNão se aplicaFora ponta",Mercado_Receita!$L$2:$L$693)+SUMIF(Mercado_Receita!$S$2:$S$693,"44470B1ConvencionalResidencialResidencial baixa renda – faixa 04Não se aplicaNão se aplicaIntermediário",Mercado_Receita!$L$2:$L$693)+SUMIF(Mercado_Receita!$S$2:$S$693,"44470B1ConvencionalResidencialResidencial baixa renda – faixa 04Não se aplicaNão se aplicaNão se aplica",Mercado_Receita!$L$2:$L$693)</f>
        <v>0.79</v>
      </c>
      <c r="P21" s="12">
        <f>SUMIF(Mercado_Receita!$S$2:$S$693,"44501B1ConvencionalResidencialResidencial baixa renda – faixa 04Não se aplicaNão se aplicaPonta",Mercado_Receita!$L$2:$L$693)+SUMIF(Mercado_Receita!$S$2:$S$693,"44501B1ConvencionalResidencialResidencial baixa renda – faixa 04Não se aplicaNão se aplicaFora ponta",Mercado_Receita!$L$2:$L$693)+SUMIF(Mercado_Receita!$S$2:$S$693,"44501B1ConvencionalResidencialResidencial baixa renda – faixa 04Não se aplicaNão se aplicaIntermediário",Mercado_Receita!$L$2:$L$693)+SUMIF(Mercado_Receita!$S$2:$S$693,"44501B1ConvencionalResidencialResidencial baixa renda – faixa 04Não se aplicaNão se aplicaNão se aplica",Mercado_Receita!$L$2:$L$693)</f>
        <v>1.0900000000000001</v>
      </c>
      <c r="Q21" s="12">
        <f>SUMIF(Mercado_Receita!$S$2:$S$693,"44531B1ConvencionalResidencialResidencial baixa renda – faixa 04Não se aplicaNão se aplicaPonta",Mercado_Receita!$L$2:$L$693)+SUMIF(Mercado_Receita!$S$2:$S$693,"44531B1ConvencionalResidencialResidencial baixa renda – faixa 04Não se aplicaNão se aplicaFora ponta",Mercado_Receita!$L$2:$L$693)+SUMIF(Mercado_Receita!$S$2:$S$693,"44531B1ConvencionalResidencialResidencial baixa renda – faixa 04Não se aplicaNão se aplicaIntermediário",Mercado_Receita!$L$2:$L$693)+SUMIF(Mercado_Receita!$S$2:$S$693,"44531B1ConvencionalResidencialResidencial baixa renda – faixa 04Não se aplicaNão se aplicaNão se aplica",Mercado_Receita!$L$2:$L$693)</f>
        <v>0.83899999999999997</v>
      </c>
      <c r="R21" s="12">
        <f>SUMIF(Mercado_Receita!$S$2:$S$693,"44562B1ConvencionalResidencialResidencial baixa renda – faixa 04Não se aplicaNão se aplicaPonta",Mercado_Receita!$L$2:$L$693)+SUMIF(Mercado_Receita!$S$2:$S$693,"44562B1ConvencionalResidencialResidencial baixa renda – faixa 04Não se aplicaNão se aplicaFora ponta",Mercado_Receita!$L$2:$L$693)+SUMIF(Mercado_Receita!$S$2:$S$693,"44562B1ConvencionalResidencialResidencial baixa renda – faixa 04Não se aplicaNão se aplicaIntermediário",Mercado_Receita!$L$2:$L$693)+SUMIF(Mercado_Receita!$S$2:$S$693,"44562B1ConvencionalResidencialResidencial baixa renda – faixa 04Não se aplicaNão se aplicaNão se aplica",Mercado_Receita!$L$2:$L$693)</f>
        <v>0.78500000000000003</v>
      </c>
      <c r="S21" s="12">
        <f>SUMIF(Mercado_Receita!$S$2:$S$693,"44593B1ConvencionalResidencialResidencial baixa renda – faixa 04Não se aplicaNão se aplicaPonta",Mercado_Receita!$L$2:$L$693)+SUMIF(Mercado_Receita!$S$2:$S$693,"44593B1ConvencionalResidencialResidencial baixa renda – faixa 04Não se aplicaNão se aplicaFora ponta",Mercado_Receita!$L$2:$L$693)+SUMIF(Mercado_Receita!$S$2:$S$693,"44593B1ConvencionalResidencialResidencial baixa renda – faixa 04Não se aplicaNão se aplicaIntermediário",Mercado_Receita!$L$2:$L$693)+SUMIF(Mercado_Receita!$S$2:$S$693,"44593B1ConvencionalResidencialResidencial baixa renda – faixa 04Não se aplicaNão se aplicaNão se aplica",Mercado_Receita!$L$2:$L$693)</f>
        <v>1.3360000000000001</v>
      </c>
      <c r="T21" s="12">
        <f>SUMIF(Mercado_Receita!$S$2:$S$693,"44621B1ConvencionalResidencialResidencial baixa renda – faixa 04Não se aplicaNão se aplicaPonta",Mercado_Receita!$L$2:$L$693)+SUMIF(Mercado_Receita!$S$2:$S$693,"44621B1ConvencionalResidencialResidencial baixa renda – faixa 04Não se aplicaNão se aplicaFora ponta",Mercado_Receita!$L$2:$L$693)+SUMIF(Mercado_Receita!$S$2:$S$693,"44621B1ConvencionalResidencialResidencial baixa renda – faixa 04Não se aplicaNão se aplicaIntermediário",Mercado_Receita!$L$2:$L$693)+SUMIF(Mercado_Receita!$S$2:$S$693,"44621B1ConvencionalResidencialResidencial baixa renda – faixa 04Não se aplicaNão se aplicaNão se aplica",Mercado_Receita!$L$2:$L$693)</f>
        <v>1.3360000000000001</v>
      </c>
      <c r="U21" s="12">
        <f t="shared" si="0"/>
        <v>10.568</v>
      </c>
      <c r="V21" s="12"/>
      <c r="W21" s="12"/>
    </row>
    <row r="22" spans="1:23" ht="11.25" customHeight="1" x14ac:dyDescent="0.25">
      <c r="A22" s="116"/>
      <c r="B22" s="115" t="s">
        <v>89</v>
      </c>
      <c r="C22" s="115" t="s">
        <v>24</v>
      </c>
      <c r="D22" s="13" t="s">
        <v>24</v>
      </c>
      <c r="E22" s="13" t="s">
        <v>25</v>
      </c>
      <c r="F22" s="13" t="s">
        <v>25</v>
      </c>
      <c r="G22" s="12" t="s">
        <v>79</v>
      </c>
      <c r="H22" s="12" t="s">
        <v>73</v>
      </c>
      <c r="I22" s="12">
        <f>SUMIF(Mercado_Receita!$S$2:$S$693,"44287B1Convencional pré-pagamentoResidencialResidencialNão se aplicaNão se aplicaPonta",Mercado_Receita!$L$2:$L$693)+SUMIF(Mercado_Receita!$S$2:$S$693,"44287B1Convencional pré-pagamentoResidencialResidencialNão se aplicaNão se aplicaFora ponta",Mercado_Receita!$L$2:$L$693)+SUMIF(Mercado_Receita!$S$2:$S$693,"44287B1Convencional pré-pagamentoResidencialResidencialNão se aplicaNão se aplicaIntermediário",Mercado_Receita!$L$2:$L$693)+SUMIF(Mercado_Receita!$S$2:$S$693,"44287B1Convencional pré-pagamentoResidencialResidencialNão se aplicaNão se aplicaNão se aplica",Mercado_Receita!$L$2:$L$693)</f>
        <v>0</v>
      </c>
      <c r="J22" s="12">
        <f>SUMIF(Mercado_Receita!$S$2:$S$693,"44317B1Convencional pré-pagamentoResidencialResidencialNão se aplicaNão se aplicaPonta",Mercado_Receita!$L$2:$L$693)+SUMIF(Mercado_Receita!$S$2:$S$693,"44317B1Convencional pré-pagamentoResidencialResidencialNão se aplicaNão se aplicaFora ponta",Mercado_Receita!$L$2:$L$693)+SUMIF(Mercado_Receita!$S$2:$S$693,"44317B1Convencional pré-pagamentoResidencialResidencialNão se aplicaNão se aplicaIntermediário",Mercado_Receita!$L$2:$L$693)+SUMIF(Mercado_Receita!$S$2:$S$693,"44317B1Convencional pré-pagamentoResidencialResidencialNão se aplicaNão se aplicaNão se aplica",Mercado_Receita!$L$2:$L$693)</f>
        <v>0</v>
      </c>
      <c r="K22" s="12">
        <f>SUMIF(Mercado_Receita!$S$2:$S$693,"44348B1Convencional pré-pagamentoResidencialResidencialNão se aplicaNão se aplicaPonta",Mercado_Receita!$L$2:$L$693)+SUMIF(Mercado_Receita!$S$2:$S$693,"44348B1Convencional pré-pagamentoResidencialResidencialNão se aplicaNão se aplicaFora ponta",Mercado_Receita!$L$2:$L$693)+SUMIF(Mercado_Receita!$S$2:$S$693,"44348B1Convencional pré-pagamentoResidencialResidencialNão se aplicaNão se aplicaIntermediário",Mercado_Receita!$L$2:$L$693)+SUMIF(Mercado_Receita!$S$2:$S$693,"44348B1Convencional pré-pagamentoResidencialResidencialNão se aplicaNão se aplicaNão se aplica",Mercado_Receita!$L$2:$L$693)</f>
        <v>0</v>
      </c>
      <c r="L22" s="12">
        <f>SUMIF(Mercado_Receita!$S$2:$S$693,"44378B1Convencional pré-pagamentoResidencialResidencialNão se aplicaNão se aplicaPonta",Mercado_Receita!$L$2:$L$693)+SUMIF(Mercado_Receita!$S$2:$S$693,"44378B1Convencional pré-pagamentoResidencialResidencialNão se aplicaNão se aplicaFora ponta",Mercado_Receita!$L$2:$L$693)+SUMIF(Mercado_Receita!$S$2:$S$693,"44378B1Convencional pré-pagamentoResidencialResidencialNão se aplicaNão se aplicaIntermediário",Mercado_Receita!$L$2:$L$693)+SUMIF(Mercado_Receita!$S$2:$S$693,"44378B1Convencional pré-pagamentoResidencialResidencialNão se aplicaNão se aplicaNão se aplica",Mercado_Receita!$L$2:$L$693)</f>
        <v>0</v>
      </c>
      <c r="M22" s="12">
        <f>SUMIF(Mercado_Receita!$S$2:$S$693,"44409B1Convencional pré-pagamentoResidencialResidencialNão se aplicaNão se aplicaPonta",Mercado_Receita!$L$2:$L$693)+SUMIF(Mercado_Receita!$S$2:$S$693,"44409B1Convencional pré-pagamentoResidencialResidencialNão se aplicaNão se aplicaFora ponta",Mercado_Receita!$L$2:$L$693)+SUMIF(Mercado_Receita!$S$2:$S$693,"44409B1Convencional pré-pagamentoResidencialResidencialNão se aplicaNão se aplicaIntermediário",Mercado_Receita!$L$2:$L$693)+SUMIF(Mercado_Receita!$S$2:$S$693,"44409B1Convencional pré-pagamentoResidencialResidencialNão se aplicaNão se aplicaNão se aplica",Mercado_Receita!$L$2:$L$693)</f>
        <v>0</v>
      </c>
      <c r="N22" s="12">
        <f>SUMIF(Mercado_Receita!$S$2:$S$693,"44440B1Convencional pré-pagamentoResidencialResidencialNão se aplicaNão se aplicaPonta",Mercado_Receita!$L$2:$L$693)+SUMIF(Mercado_Receita!$S$2:$S$693,"44440B1Convencional pré-pagamentoResidencialResidencialNão se aplicaNão se aplicaFora ponta",Mercado_Receita!$L$2:$L$693)+SUMIF(Mercado_Receita!$S$2:$S$693,"44440B1Convencional pré-pagamentoResidencialResidencialNão se aplicaNão se aplicaIntermediário",Mercado_Receita!$L$2:$L$693)+SUMIF(Mercado_Receita!$S$2:$S$693,"44440B1Convencional pré-pagamentoResidencialResidencialNão se aplicaNão se aplicaNão se aplica",Mercado_Receita!$L$2:$L$693)</f>
        <v>0</v>
      </c>
      <c r="O22" s="12">
        <f>SUMIF(Mercado_Receita!$S$2:$S$693,"44470B1Convencional pré-pagamentoResidencialResidencialNão se aplicaNão se aplicaPonta",Mercado_Receita!$L$2:$L$693)+SUMIF(Mercado_Receita!$S$2:$S$693,"44470B1Convencional pré-pagamentoResidencialResidencialNão se aplicaNão se aplicaFora ponta",Mercado_Receita!$L$2:$L$693)+SUMIF(Mercado_Receita!$S$2:$S$693,"44470B1Convencional pré-pagamentoResidencialResidencialNão se aplicaNão se aplicaIntermediário",Mercado_Receita!$L$2:$L$693)+SUMIF(Mercado_Receita!$S$2:$S$693,"44470B1Convencional pré-pagamentoResidencialResidencialNão se aplicaNão se aplicaNão se aplica",Mercado_Receita!$L$2:$L$693)</f>
        <v>0</v>
      </c>
      <c r="P22" s="12">
        <f>SUMIF(Mercado_Receita!$S$2:$S$693,"44501B1Convencional pré-pagamentoResidencialResidencialNão se aplicaNão se aplicaPonta",Mercado_Receita!$L$2:$L$693)+SUMIF(Mercado_Receita!$S$2:$S$693,"44501B1Convencional pré-pagamentoResidencialResidencialNão se aplicaNão se aplicaFora ponta",Mercado_Receita!$L$2:$L$693)+SUMIF(Mercado_Receita!$S$2:$S$693,"44501B1Convencional pré-pagamentoResidencialResidencialNão se aplicaNão se aplicaIntermediário",Mercado_Receita!$L$2:$L$693)+SUMIF(Mercado_Receita!$S$2:$S$693,"44501B1Convencional pré-pagamentoResidencialResidencialNão se aplicaNão se aplicaNão se aplica",Mercado_Receita!$L$2:$L$693)</f>
        <v>0</v>
      </c>
      <c r="Q22" s="12">
        <f>SUMIF(Mercado_Receita!$S$2:$S$693,"44531B1Convencional pré-pagamentoResidencialResidencialNão se aplicaNão se aplicaPonta",Mercado_Receita!$L$2:$L$693)+SUMIF(Mercado_Receita!$S$2:$S$693,"44531B1Convencional pré-pagamentoResidencialResidencialNão se aplicaNão se aplicaFora ponta",Mercado_Receita!$L$2:$L$693)+SUMIF(Mercado_Receita!$S$2:$S$693,"44531B1Convencional pré-pagamentoResidencialResidencialNão se aplicaNão se aplicaIntermediário",Mercado_Receita!$L$2:$L$693)+SUMIF(Mercado_Receita!$S$2:$S$693,"44531B1Convencional pré-pagamentoResidencialResidencialNão se aplicaNão se aplicaNão se aplica",Mercado_Receita!$L$2:$L$693)</f>
        <v>0</v>
      </c>
      <c r="R22" s="12">
        <f>SUMIF(Mercado_Receita!$S$2:$S$693,"44562B1Convencional pré-pagamentoResidencialResidencialNão se aplicaNão se aplicaPonta",Mercado_Receita!$L$2:$L$693)+SUMIF(Mercado_Receita!$S$2:$S$693,"44562B1Convencional pré-pagamentoResidencialResidencialNão se aplicaNão se aplicaFora ponta",Mercado_Receita!$L$2:$L$693)+SUMIF(Mercado_Receita!$S$2:$S$693,"44562B1Convencional pré-pagamentoResidencialResidencialNão se aplicaNão se aplicaIntermediário",Mercado_Receita!$L$2:$L$693)+SUMIF(Mercado_Receita!$S$2:$S$693,"44562B1Convencional pré-pagamentoResidencialResidencialNão se aplicaNão se aplicaNão se aplica",Mercado_Receita!$L$2:$L$693)</f>
        <v>0</v>
      </c>
      <c r="S22" s="12">
        <f>SUMIF(Mercado_Receita!$S$2:$S$693,"44593B1Convencional pré-pagamentoResidencialResidencialNão se aplicaNão se aplicaPonta",Mercado_Receita!$L$2:$L$693)+SUMIF(Mercado_Receita!$S$2:$S$693,"44593B1Convencional pré-pagamentoResidencialResidencialNão se aplicaNão se aplicaFora ponta",Mercado_Receita!$L$2:$L$693)+SUMIF(Mercado_Receita!$S$2:$S$693,"44593B1Convencional pré-pagamentoResidencialResidencialNão se aplicaNão se aplicaIntermediário",Mercado_Receita!$L$2:$L$693)+SUMIF(Mercado_Receita!$S$2:$S$693,"44593B1Convencional pré-pagamentoResidencialResidencialNão se aplicaNão se aplicaNão se aplica",Mercado_Receita!$L$2:$L$693)</f>
        <v>0</v>
      </c>
      <c r="T22" s="12">
        <f>SUMIF(Mercado_Receita!$S$2:$S$693,"44621B1Convencional pré-pagamentoResidencialResidencialNão se aplicaNão se aplicaPonta",Mercado_Receita!$L$2:$L$693)+SUMIF(Mercado_Receita!$S$2:$S$693,"44621B1Convencional pré-pagamentoResidencialResidencialNão se aplicaNão se aplicaFora ponta",Mercado_Receita!$L$2:$L$693)+SUMIF(Mercado_Receita!$S$2:$S$693,"44621B1Convencional pré-pagamentoResidencialResidencialNão se aplicaNão se aplicaIntermediário",Mercado_Receita!$L$2:$L$693)+SUMIF(Mercado_Receita!$S$2:$S$693,"44621B1Convencional pré-pagamentoResidencialResidencialNão se aplicaNão se aplicaNão se aplica",Mercado_Receita!$L$2:$L$693)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116"/>
      <c r="B23" s="116"/>
      <c r="C23" s="116"/>
      <c r="D23" s="13" t="s">
        <v>29</v>
      </c>
      <c r="E23" s="13" t="s">
        <v>25</v>
      </c>
      <c r="F23" s="13" t="s">
        <v>25</v>
      </c>
      <c r="G23" s="12" t="s">
        <v>79</v>
      </c>
      <c r="H23" s="12" t="s">
        <v>73</v>
      </c>
      <c r="I23" s="12">
        <f>SUMIF(Mercado_Receita!$S$2:$S$693,"44287B1Convencional pré-pagamentoResidencialResidencial baixa renda – faixa 01Não se aplicaNão se aplicaPonta",Mercado_Receita!$L$2:$L$693)+SUMIF(Mercado_Receita!$S$2:$S$693,"44287B1Convencional pré-pagamentoResidencialResidencial baixa renda – faixa 01Não se aplicaNão se aplicaFora ponta",Mercado_Receita!$L$2:$L$693)+SUMIF(Mercado_Receita!$S$2:$S$693,"44287B1Convencional pré-pagamentoResidencialResidencial baixa renda – faixa 01Não se aplicaNão se aplicaIntermediário",Mercado_Receita!$L$2:$L$693)+SUMIF(Mercado_Receita!$S$2:$S$693,"44287B1Convencional pré-pagamentoResidencialResidencial baixa renda – faixa 01Não se aplicaNão se aplicaNão se aplica",Mercado_Receita!$L$2:$L$693)</f>
        <v>0</v>
      </c>
      <c r="J23" s="12">
        <f>SUMIF(Mercado_Receita!$S$2:$S$693,"44317B1Convencional pré-pagamentoResidencialResidencial baixa renda – faixa 01Não se aplicaNão se aplicaPonta",Mercado_Receita!$L$2:$L$693)+SUMIF(Mercado_Receita!$S$2:$S$693,"44317B1Convencional pré-pagamentoResidencialResidencial baixa renda – faixa 01Não se aplicaNão se aplicaFora ponta",Mercado_Receita!$L$2:$L$693)+SUMIF(Mercado_Receita!$S$2:$S$693,"44317B1Convencional pré-pagamentoResidencialResidencial baixa renda – faixa 01Não se aplicaNão se aplicaIntermediário",Mercado_Receita!$L$2:$L$693)+SUMIF(Mercado_Receita!$S$2:$S$693,"44317B1Convencional pré-pagamentoResidencialResidencial baixa renda – faixa 01Não se aplicaNão se aplicaNão se aplica",Mercado_Receita!$L$2:$L$693)</f>
        <v>0</v>
      </c>
      <c r="K23" s="12">
        <f>SUMIF(Mercado_Receita!$S$2:$S$693,"44348B1Convencional pré-pagamentoResidencialResidencial baixa renda – faixa 01Não se aplicaNão se aplicaPonta",Mercado_Receita!$L$2:$L$693)+SUMIF(Mercado_Receita!$S$2:$S$693,"44348B1Convencional pré-pagamentoResidencialResidencial baixa renda – faixa 01Não se aplicaNão se aplicaFora ponta",Mercado_Receita!$L$2:$L$693)+SUMIF(Mercado_Receita!$S$2:$S$693,"44348B1Convencional pré-pagamentoResidencialResidencial baixa renda – faixa 01Não se aplicaNão se aplicaIntermediário",Mercado_Receita!$L$2:$L$693)+SUMIF(Mercado_Receita!$S$2:$S$693,"44348B1Convencional pré-pagamentoResidencialResidencial baixa renda – faixa 01Não se aplicaNão se aplicaNão se aplica",Mercado_Receita!$L$2:$L$693)</f>
        <v>0</v>
      </c>
      <c r="L23" s="12">
        <f>SUMIF(Mercado_Receita!$S$2:$S$693,"44378B1Convencional pré-pagamentoResidencialResidencial baixa renda – faixa 01Não se aplicaNão se aplicaPonta",Mercado_Receita!$L$2:$L$693)+SUMIF(Mercado_Receita!$S$2:$S$693,"44378B1Convencional pré-pagamentoResidencialResidencial baixa renda – faixa 01Não se aplicaNão se aplicaFora ponta",Mercado_Receita!$L$2:$L$693)+SUMIF(Mercado_Receita!$S$2:$S$693,"44378B1Convencional pré-pagamentoResidencialResidencial baixa renda – faixa 01Não se aplicaNão se aplicaIntermediário",Mercado_Receita!$L$2:$L$693)+SUMIF(Mercado_Receita!$S$2:$S$693,"44378B1Convencional pré-pagamentoResidencialResidencial baixa renda – faixa 01Não se aplicaNão se aplicaNão se aplica",Mercado_Receita!$L$2:$L$693)</f>
        <v>0</v>
      </c>
      <c r="M23" s="12">
        <f>SUMIF(Mercado_Receita!$S$2:$S$693,"44409B1Convencional pré-pagamentoResidencialResidencial baixa renda – faixa 01Não se aplicaNão se aplicaPonta",Mercado_Receita!$L$2:$L$693)+SUMIF(Mercado_Receita!$S$2:$S$693,"44409B1Convencional pré-pagamentoResidencialResidencial baixa renda – faixa 01Não se aplicaNão se aplicaFora ponta",Mercado_Receita!$L$2:$L$693)+SUMIF(Mercado_Receita!$S$2:$S$693,"44409B1Convencional pré-pagamentoResidencialResidencial baixa renda – faixa 01Não se aplicaNão se aplicaIntermediário",Mercado_Receita!$L$2:$L$693)+SUMIF(Mercado_Receita!$S$2:$S$693,"44409B1Convencional pré-pagamentoResidencialResidencial baixa renda – faixa 01Não se aplicaNão se aplicaNão se aplica",Mercado_Receita!$L$2:$L$693)</f>
        <v>0</v>
      </c>
      <c r="N23" s="12">
        <f>SUMIF(Mercado_Receita!$S$2:$S$693,"44440B1Convencional pré-pagamentoResidencialResidencial baixa renda – faixa 01Não se aplicaNão se aplicaPonta",Mercado_Receita!$L$2:$L$693)+SUMIF(Mercado_Receita!$S$2:$S$693,"44440B1Convencional pré-pagamentoResidencialResidencial baixa renda – faixa 01Não se aplicaNão se aplicaFora ponta",Mercado_Receita!$L$2:$L$693)+SUMIF(Mercado_Receita!$S$2:$S$693,"44440B1Convencional pré-pagamentoResidencialResidencial baixa renda – faixa 01Não se aplicaNão se aplicaIntermediário",Mercado_Receita!$L$2:$L$693)+SUMIF(Mercado_Receita!$S$2:$S$693,"44440B1Convencional pré-pagamentoResidencialResidencial baixa renda – faixa 01Não se aplicaNão se aplicaNão se aplica",Mercado_Receita!$L$2:$L$693)</f>
        <v>0</v>
      </c>
      <c r="O23" s="12">
        <f>SUMIF(Mercado_Receita!$S$2:$S$693,"44470B1Convencional pré-pagamentoResidencialResidencial baixa renda – faixa 01Não se aplicaNão se aplicaPonta",Mercado_Receita!$L$2:$L$693)+SUMIF(Mercado_Receita!$S$2:$S$693,"44470B1Convencional pré-pagamentoResidencialResidencial baixa renda – faixa 01Não se aplicaNão se aplicaFora ponta",Mercado_Receita!$L$2:$L$693)+SUMIF(Mercado_Receita!$S$2:$S$693,"44470B1Convencional pré-pagamentoResidencialResidencial baixa renda – faixa 01Não se aplicaNão se aplicaIntermediário",Mercado_Receita!$L$2:$L$693)+SUMIF(Mercado_Receita!$S$2:$S$693,"44470B1Convencional pré-pagamentoResidencialResidencial baixa renda – faixa 01Não se aplicaNão se aplicaNão se aplica",Mercado_Receita!$L$2:$L$693)</f>
        <v>0</v>
      </c>
      <c r="P23" s="12">
        <f>SUMIF(Mercado_Receita!$S$2:$S$693,"44501B1Convencional pré-pagamentoResidencialResidencial baixa renda – faixa 01Não se aplicaNão se aplicaPonta",Mercado_Receita!$L$2:$L$693)+SUMIF(Mercado_Receita!$S$2:$S$693,"44501B1Convencional pré-pagamentoResidencialResidencial baixa renda – faixa 01Não se aplicaNão se aplicaFora ponta",Mercado_Receita!$L$2:$L$693)+SUMIF(Mercado_Receita!$S$2:$S$693,"44501B1Convencional pré-pagamentoResidencialResidencial baixa renda – faixa 01Não se aplicaNão se aplicaIntermediário",Mercado_Receita!$L$2:$L$693)+SUMIF(Mercado_Receita!$S$2:$S$693,"44501B1Convencional pré-pagamentoResidencialResidencial baixa renda – faixa 01Não se aplicaNão se aplicaNão se aplica",Mercado_Receita!$L$2:$L$693)</f>
        <v>0</v>
      </c>
      <c r="Q23" s="12">
        <f>SUMIF(Mercado_Receita!$S$2:$S$693,"44531B1Convencional pré-pagamentoResidencialResidencial baixa renda – faixa 01Não se aplicaNão se aplicaPonta",Mercado_Receita!$L$2:$L$693)+SUMIF(Mercado_Receita!$S$2:$S$693,"44531B1Convencional pré-pagamentoResidencialResidencial baixa renda – faixa 01Não se aplicaNão se aplicaFora ponta",Mercado_Receita!$L$2:$L$693)+SUMIF(Mercado_Receita!$S$2:$S$693,"44531B1Convencional pré-pagamentoResidencialResidencial baixa renda – faixa 01Não se aplicaNão se aplicaIntermediário",Mercado_Receita!$L$2:$L$693)+SUMIF(Mercado_Receita!$S$2:$S$693,"44531B1Convencional pré-pagamentoResidencialResidencial baixa renda – faixa 01Não se aplicaNão se aplicaNão se aplica",Mercado_Receita!$L$2:$L$693)</f>
        <v>0</v>
      </c>
      <c r="R23" s="12">
        <f>SUMIF(Mercado_Receita!$S$2:$S$693,"44562B1Convencional pré-pagamentoResidencialResidencial baixa renda – faixa 01Não se aplicaNão se aplicaPonta",Mercado_Receita!$L$2:$L$693)+SUMIF(Mercado_Receita!$S$2:$S$693,"44562B1Convencional pré-pagamentoResidencialResidencial baixa renda – faixa 01Não se aplicaNão se aplicaFora ponta",Mercado_Receita!$L$2:$L$693)+SUMIF(Mercado_Receita!$S$2:$S$693,"44562B1Convencional pré-pagamentoResidencialResidencial baixa renda – faixa 01Não se aplicaNão se aplicaIntermediário",Mercado_Receita!$L$2:$L$693)+SUMIF(Mercado_Receita!$S$2:$S$693,"44562B1Convencional pré-pagamentoResidencialResidencial baixa renda – faixa 01Não se aplicaNão se aplicaNão se aplica",Mercado_Receita!$L$2:$L$693)</f>
        <v>0</v>
      </c>
      <c r="S23" s="12">
        <f>SUMIF(Mercado_Receita!$S$2:$S$693,"44593B1Convencional pré-pagamentoResidencialResidencial baixa renda – faixa 01Não se aplicaNão se aplicaPonta",Mercado_Receita!$L$2:$L$693)+SUMIF(Mercado_Receita!$S$2:$S$693,"44593B1Convencional pré-pagamentoResidencialResidencial baixa renda – faixa 01Não se aplicaNão se aplicaFora ponta",Mercado_Receita!$L$2:$L$693)+SUMIF(Mercado_Receita!$S$2:$S$693,"44593B1Convencional pré-pagamentoResidencialResidencial baixa renda – faixa 01Não se aplicaNão se aplicaIntermediário",Mercado_Receita!$L$2:$L$693)+SUMIF(Mercado_Receita!$S$2:$S$693,"44593B1Convencional pré-pagamentoResidencialResidencial baixa renda – faixa 01Não se aplicaNão se aplicaNão se aplica",Mercado_Receita!$L$2:$L$693)</f>
        <v>0</v>
      </c>
      <c r="T23" s="12">
        <f>SUMIF(Mercado_Receita!$S$2:$S$693,"44621B1Convencional pré-pagamentoResidencialResidencial baixa renda – faixa 01Não se aplicaNão se aplicaPonta",Mercado_Receita!$L$2:$L$693)+SUMIF(Mercado_Receita!$S$2:$S$693,"44621B1Convencional pré-pagamentoResidencialResidencial baixa renda – faixa 01Não se aplicaNão se aplicaFora ponta",Mercado_Receita!$L$2:$L$693)+SUMIF(Mercado_Receita!$S$2:$S$693,"44621B1Convencional pré-pagamentoResidencialResidencial baixa renda – faixa 01Não se aplicaNão se aplicaIntermediário",Mercado_Receita!$L$2:$L$693)+SUMIF(Mercado_Receita!$S$2:$S$693,"44621B1Convencional pré-pagamentoResidencialResidencial baixa renda – faixa 01Não se aplicaNão se aplicaNão se aplica",Mercado_Receita!$L$2:$L$693)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116"/>
      <c r="B24" s="116"/>
      <c r="C24" s="116"/>
      <c r="D24" s="13" t="s">
        <v>30</v>
      </c>
      <c r="E24" s="13" t="s">
        <v>25</v>
      </c>
      <c r="F24" s="13" t="s">
        <v>25</v>
      </c>
      <c r="G24" s="12" t="s">
        <v>79</v>
      </c>
      <c r="H24" s="12" t="s">
        <v>73</v>
      </c>
      <c r="I24" s="12">
        <f>SUMIF(Mercado_Receita!$S$2:$S$693,"44287B1Convencional pré-pagamentoResidencialResidencial baixa renda – faixa 02Não se aplicaNão se aplicaPonta",Mercado_Receita!$L$2:$L$693)+SUMIF(Mercado_Receita!$S$2:$S$693,"44287B1Convencional pré-pagamentoResidencialResidencial baixa renda – faixa 02Não se aplicaNão se aplicaFora ponta",Mercado_Receita!$L$2:$L$693)+SUMIF(Mercado_Receita!$S$2:$S$693,"44287B1Convencional pré-pagamentoResidencialResidencial baixa renda – faixa 02Não se aplicaNão se aplicaIntermediário",Mercado_Receita!$L$2:$L$693)+SUMIF(Mercado_Receita!$S$2:$S$693,"44287B1Convencional pré-pagamentoResidencialResidencial baixa renda – faixa 02Não se aplicaNão se aplicaNão se aplica",Mercado_Receita!$L$2:$L$693)</f>
        <v>0</v>
      </c>
      <c r="J24" s="12">
        <f>SUMIF(Mercado_Receita!$S$2:$S$693,"44317B1Convencional pré-pagamentoResidencialResidencial baixa renda – faixa 02Não se aplicaNão se aplicaPonta",Mercado_Receita!$L$2:$L$693)+SUMIF(Mercado_Receita!$S$2:$S$693,"44317B1Convencional pré-pagamentoResidencialResidencial baixa renda – faixa 02Não se aplicaNão se aplicaFora ponta",Mercado_Receita!$L$2:$L$693)+SUMIF(Mercado_Receita!$S$2:$S$693,"44317B1Convencional pré-pagamentoResidencialResidencial baixa renda – faixa 02Não se aplicaNão se aplicaIntermediário",Mercado_Receita!$L$2:$L$693)+SUMIF(Mercado_Receita!$S$2:$S$693,"44317B1Convencional pré-pagamentoResidencialResidencial baixa renda – faixa 02Não se aplicaNão se aplicaNão se aplica",Mercado_Receita!$L$2:$L$693)</f>
        <v>0</v>
      </c>
      <c r="K24" s="12">
        <f>SUMIF(Mercado_Receita!$S$2:$S$693,"44348B1Convencional pré-pagamentoResidencialResidencial baixa renda – faixa 02Não se aplicaNão se aplicaPonta",Mercado_Receita!$L$2:$L$693)+SUMIF(Mercado_Receita!$S$2:$S$693,"44348B1Convencional pré-pagamentoResidencialResidencial baixa renda – faixa 02Não se aplicaNão se aplicaFora ponta",Mercado_Receita!$L$2:$L$693)+SUMIF(Mercado_Receita!$S$2:$S$693,"44348B1Convencional pré-pagamentoResidencialResidencial baixa renda – faixa 02Não se aplicaNão se aplicaIntermediário",Mercado_Receita!$L$2:$L$693)+SUMIF(Mercado_Receita!$S$2:$S$693,"44348B1Convencional pré-pagamentoResidencialResidencial baixa renda – faixa 02Não se aplicaNão se aplicaNão se aplica",Mercado_Receita!$L$2:$L$693)</f>
        <v>0</v>
      </c>
      <c r="L24" s="12">
        <f>SUMIF(Mercado_Receita!$S$2:$S$693,"44378B1Convencional pré-pagamentoResidencialResidencial baixa renda – faixa 02Não se aplicaNão se aplicaPonta",Mercado_Receita!$L$2:$L$693)+SUMIF(Mercado_Receita!$S$2:$S$693,"44378B1Convencional pré-pagamentoResidencialResidencial baixa renda – faixa 02Não se aplicaNão se aplicaFora ponta",Mercado_Receita!$L$2:$L$693)+SUMIF(Mercado_Receita!$S$2:$S$693,"44378B1Convencional pré-pagamentoResidencialResidencial baixa renda – faixa 02Não se aplicaNão se aplicaIntermediário",Mercado_Receita!$L$2:$L$693)+SUMIF(Mercado_Receita!$S$2:$S$693,"44378B1Convencional pré-pagamentoResidencialResidencial baixa renda – faixa 02Não se aplicaNão se aplicaNão se aplica",Mercado_Receita!$L$2:$L$693)</f>
        <v>0</v>
      </c>
      <c r="M24" s="12">
        <f>SUMIF(Mercado_Receita!$S$2:$S$693,"44409B1Convencional pré-pagamentoResidencialResidencial baixa renda – faixa 02Não se aplicaNão se aplicaPonta",Mercado_Receita!$L$2:$L$693)+SUMIF(Mercado_Receita!$S$2:$S$693,"44409B1Convencional pré-pagamentoResidencialResidencial baixa renda – faixa 02Não se aplicaNão se aplicaFora ponta",Mercado_Receita!$L$2:$L$693)+SUMIF(Mercado_Receita!$S$2:$S$693,"44409B1Convencional pré-pagamentoResidencialResidencial baixa renda – faixa 02Não se aplicaNão se aplicaIntermediário",Mercado_Receita!$L$2:$L$693)+SUMIF(Mercado_Receita!$S$2:$S$693,"44409B1Convencional pré-pagamentoResidencialResidencial baixa renda – faixa 02Não se aplicaNão se aplicaNão se aplica",Mercado_Receita!$L$2:$L$693)</f>
        <v>0</v>
      </c>
      <c r="N24" s="12">
        <f>SUMIF(Mercado_Receita!$S$2:$S$693,"44440B1Convencional pré-pagamentoResidencialResidencial baixa renda – faixa 02Não se aplicaNão se aplicaPonta",Mercado_Receita!$L$2:$L$693)+SUMIF(Mercado_Receita!$S$2:$S$693,"44440B1Convencional pré-pagamentoResidencialResidencial baixa renda – faixa 02Não se aplicaNão se aplicaFora ponta",Mercado_Receita!$L$2:$L$693)+SUMIF(Mercado_Receita!$S$2:$S$693,"44440B1Convencional pré-pagamentoResidencialResidencial baixa renda – faixa 02Não se aplicaNão se aplicaIntermediário",Mercado_Receita!$L$2:$L$693)+SUMIF(Mercado_Receita!$S$2:$S$693,"44440B1Convencional pré-pagamentoResidencialResidencial baixa renda – faixa 02Não se aplicaNão se aplicaNão se aplica",Mercado_Receita!$L$2:$L$693)</f>
        <v>0</v>
      </c>
      <c r="O24" s="12">
        <f>SUMIF(Mercado_Receita!$S$2:$S$693,"44470B1Convencional pré-pagamentoResidencialResidencial baixa renda – faixa 02Não se aplicaNão se aplicaPonta",Mercado_Receita!$L$2:$L$693)+SUMIF(Mercado_Receita!$S$2:$S$693,"44470B1Convencional pré-pagamentoResidencialResidencial baixa renda – faixa 02Não se aplicaNão se aplicaFora ponta",Mercado_Receita!$L$2:$L$693)+SUMIF(Mercado_Receita!$S$2:$S$693,"44470B1Convencional pré-pagamentoResidencialResidencial baixa renda – faixa 02Não se aplicaNão se aplicaIntermediário",Mercado_Receita!$L$2:$L$693)+SUMIF(Mercado_Receita!$S$2:$S$693,"44470B1Convencional pré-pagamentoResidencialResidencial baixa renda – faixa 02Não se aplicaNão se aplicaNão se aplica",Mercado_Receita!$L$2:$L$693)</f>
        <v>0</v>
      </c>
      <c r="P24" s="12">
        <f>SUMIF(Mercado_Receita!$S$2:$S$693,"44501B1Convencional pré-pagamentoResidencialResidencial baixa renda – faixa 02Não se aplicaNão se aplicaPonta",Mercado_Receita!$L$2:$L$693)+SUMIF(Mercado_Receita!$S$2:$S$693,"44501B1Convencional pré-pagamentoResidencialResidencial baixa renda – faixa 02Não se aplicaNão se aplicaFora ponta",Mercado_Receita!$L$2:$L$693)+SUMIF(Mercado_Receita!$S$2:$S$693,"44501B1Convencional pré-pagamentoResidencialResidencial baixa renda – faixa 02Não se aplicaNão se aplicaIntermediário",Mercado_Receita!$L$2:$L$693)+SUMIF(Mercado_Receita!$S$2:$S$693,"44501B1Convencional pré-pagamentoResidencialResidencial baixa renda – faixa 02Não se aplicaNão se aplicaNão se aplica",Mercado_Receita!$L$2:$L$693)</f>
        <v>0</v>
      </c>
      <c r="Q24" s="12">
        <f>SUMIF(Mercado_Receita!$S$2:$S$693,"44531B1Convencional pré-pagamentoResidencialResidencial baixa renda – faixa 02Não se aplicaNão se aplicaPonta",Mercado_Receita!$L$2:$L$693)+SUMIF(Mercado_Receita!$S$2:$S$693,"44531B1Convencional pré-pagamentoResidencialResidencial baixa renda – faixa 02Não se aplicaNão se aplicaFora ponta",Mercado_Receita!$L$2:$L$693)+SUMIF(Mercado_Receita!$S$2:$S$693,"44531B1Convencional pré-pagamentoResidencialResidencial baixa renda – faixa 02Não se aplicaNão se aplicaIntermediário",Mercado_Receita!$L$2:$L$693)+SUMIF(Mercado_Receita!$S$2:$S$693,"44531B1Convencional pré-pagamentoResidencialResidencial baixa renda – faixa 02Não se aplicaNão se aplicaNão se aplica",Mercado_Receita!$L$2:$L$693)</f>
        <v>0</v>
      </c>
      <c r="R24" s="12">
        <f>SUMIF(Mercado_Receita!$S$2:$S$693,"44562B1Convencional pré-pagamentoResidencialResidencial baixa renda – faixa 02Não se aplicaNão se aplicaPonta",Mercado_Receita!$L$2:$L$693)+SUMIF(Mercado_Receita!$S$2:$S$693,"44562B1Convencional pré-pagamentoResidencialResidencial baixa renda – faixa 02Não se aplicaNão se aplicaFora ponta",Mercado_Receita!$L$2:$L$693)+SUMIF(Mercado_Receita!$S$2:$S$693,"44562B1Convencional pré-pagamentoResidencialResidencial baixa renda – faixa 02Não se aplicaNão se aplicaIntermediário",Mercado_Receita!$L$2:$L$693)+SUMIF(Mercado_Receita!$S$2:$S$693,"44562B1Convencional pré-pagamentoResidencialResidencial baixa renda – faixa 02Não se aplicaNão se aplicaNão se aplica",Mercado_Receita!$L$2:$L$693)</f>
        <v>0</v>
      </c>
      <c r="S24" s="12">
        <f>SUMIF(Mercado_Receita!$S$2:$S$693,"44593B1Convencional pré-pagamentoResidencialResidencial baixa renda – faixa 02Não se aplicaNão se aplicaPonta",Mercado_Receita!$L$2:$L$693)+SUMIF(Mercado_Receita!$S$2:$S$693,"44593B1Convencional pré-pagamentoResidencialResidencial baixa renda – faixa 02Não se aplicaNão se aplicaFora ponta",Mercado_Receita!$L$2:$L$693)+SUMIF(Mercado_Receita!$S$2:$S$693,"44593B1Convencional pré-pagamentoResidencialResidencial baixa renda – faixa 02Não se aplicaNão se aplicaIntermediário",Mercado_Receita!$L$2:$L$693)+SUMIF(Mercado_Receita!$S$2:$S$693,"44593B1Convencional pré-pagamentoResidencialResidencial baixa renda – faixa 02Não se aplicaNão se aplicaNão se aplica",Mercado_Receita!$L$2:$L$693)</f>
        <v>0</v>
      </c>
      <c r="T24" s="12">
        <f>SUMIF(Mercado_Receita!$S$2:$S$693,"44621B1Convencional pré-pagamentoResidencialResidencial baixa renda – faixa 02Não se aplicaNão se aplicaPonta",Mercado_Receita!$L$2:$L$693)+SUMIF(Mercado_Receita!$S$2:$S$693,"44621B1Convencional pré-pagamentoResidencialResidencial baixa renda – faixa 02Não se aplicaNão se aplicaFora ponta",Mercado_Receita!$L$2:$L$693)+SUMIF(Mercado_Receita!$S$2:$S$693,"44621B1Convencional pré-pagamentoResidencialResidencial baixa renda – faixa 02Não se aplicaNão se aplicaIntermediário",Mercado_Receita!$L$2:$L$693)+SUMIF(Mercado_Receita!$S$2:$S$693,"44621B1Convencional pré-pagamentoResidencialResidencial baixa renda – faixa 02Não se aplicaNão se aplicaNão se aplica",Mercado_Receita!$L$2:$L$693)</f>
        <v>0</v>
      </c>
      <c r="U24" s="12">
        <f t="shared" si="0"/>
        <v>0</v>
      </c>
      <c r="V24" s="12"/>
      <c r="W24" s="12"/>
    </row>
    <row r="25" spans="1:23" ht="11.25" customHeight="1" x14ac:dyDescent="0.25">
      <c r="A25" s="116"/>
      <c r="B25" s="116"/>
      <c r="C25" s="116"/>
      <c r="D25" s="13" t="s">
        <v>31</v>
      </c>
      <c r="E25" s="13" t="s">
        <v>25</v>
      </c>
      <c r="F25" s="13" t="s">
        <v>25</v>
      </c>
      <c r="G25" s="12" t="s">
        <v>79</v>
      </c>
      <c r="H25" s="12" t="s">
        <v>73</v>
      </c>
      <c r="I25" s="12">
        <f>SUMIF(Mercado_Receita!$S$2:$S$693,"44287B1Convencional pré-pagamentoResidencialResidencial baixa renda – faixa 03Não se aplicaNão se aplicaPonta",Mercado_Receita!$L$2:$L$693)+SUMIF(Mercado_Receita!$S$2:$S$693,"44287B1Convencional pré-pagamentoResidencialResidencial baixa renda – faixa 03Não se aplicaNão se aplicaFora ponta",Mercado_Receita!$L$2:$L$693)+SUMIF(Mercado_Receita!$S$2:$S$693,"44287B1Convencional pré-pagamentoResidencialResidencial baixa renda – faixa 03Não se aplicaNão se aplicaIntermediário",Mercado_Receita!$L$2:$L$693)+SUMIF(Mercado_Receita!$S$2:$S$693,"44287B1Convencional pré-pagamentoResidencialResidencial baixa renda – faixa 03Não se aplicaNão se aplicaNão se aplica",Mercado_Receita!$L$2:$L$693)</f>
        <v>0</v>
      </c>
      <c r="J25" s="12">
        <f>SUMIF(Mercado_Receita!$S$2:$S$693,"44317B1Convencional pré-pagamentoResidencialResidencial baixa renda – faixa 03Não se aplicaNão se aplicaPonta",Mercado_Receita!$L$2:$L$693)+SUMIF(Mercado_Receita!$S$2:$S$693,"44317B1Convencional pré-pagamentoResidencialResidencial baixa renda – faixa 03Não se aplicaNão se aplicaFora ponta",Mercado_Receita!$L$2:$L$693)+SUMIF(Mercado_Receita!$S$2:$S$693,"44317B1Convencional pré-pagamentoResidencialResidencial baixa renda – faixa 03Não se aplicaNão se aplicaIntermediário",Mercado_Receita!$L$2:$L$693)+SUMIF(Mercado_Receita!$S$2:$S$693,"44317B1Convencional pré-pagamentoResidencialResidencial baixa renda – faixa 03Não se aplicaNão se aplicaNão se aplica",Mercado_Receita!$L$2:$L$693)</f>
        <v>0</v>
      </c>
      <c r="K25" s="12">
        <f>SUMIF(Mercado_Receita!$S$2:$S$693,"44348B1Convencional pré-pagamentoResidencialResidencial baixa renda – faixa 03Não se aplicaNão se aplicaPonta",Mercado_Receita!$L$2:$L$693)+SUMIF(Mercado_Receita!$S$2:$S$693,"44348B1Convencional pré-pagamentoResidencialResidencial baixa renda – faixa 03Não se aplicaNão se aplicaFora ponta",Mercado_Receita!$L$2:$L$693)+SUMIF(Mercado_Receita!$S$2:$S$693,"44348B1Convencional pré-pagamentoResidencialResidencial baixa renda – faixa 03Não se aplicaNão se aplicaIntermediário",Mercado_Receita!$L$2:$L$693)+SUMIF(Mercado_Receita!$S$2:$S$693,"44348B1Convencional pré-pagamentoResidencialResidencial baixa renda – faixa 03Não se aplicaNão se aplicaNão se aplica",Mercado_Receita!$L$2:$L$693)</f>
        <v>0</v>
      </c>
      <c r="L25" s="12">
        <f>SUMIF(Mercado_Receita!$S$2:$S$693,"44378B1Convencional pré-pagamentoResidencialResidencial baixa renda – faixa 03Não se aplicaNão se aplicaPonta",Mercado_Receita!$L$2:$L$693)+SUMIF(Mercado_Receita!$S$2:$S$693,"44378B1Convencional pré-pagamentoResidencialResidencial baixa renda – faixa 03Não se aplicaNão se aplicaFora ponta",Mercado_Receita!$L$2:$L$693)+SUMIF(Mercado_Receita!$S$2:$S$693,"44378B1Convencional pré-pagamentoResidencialResidencial baixa renda – faixa 03Não se aplicaNão se aplicaIntermediário",Mercado_Receita!$L$2:$L$693)+SUMIF(Mercado_Receita!$S$2:$S$693,"44378B1Convencional pré-pagamentoResidencialResidencial baixa renda – faixa 03Não se aplicaNão se aplicaNão se aplica",Mercado_Receita!$L$2:$L$693)</f>
        <v>0</v>
      </c>
      <c r="M25" s="12">
        <f>SUMIF(Mercado_Receita!$S$2:$S$693,"44409B1Convencional pré-pagamentoResidencialResidencial baixa renda – faixa 03Não se aplicaNão se aplicaPonta",Mercado_Receita!$L$2:$L$693)+SUMIF(Mercado_Receita!$S$2:$S$693,"44409B1Convencional pré-pagamentoResidencialResidencial baixa renda – faixa 03Não se aplicaNão se aplicaFora ponta",Mercado_Receita!$L$2:$L$693)+SUMIF(Mercado_Receita!$S$2:$S$693,"44409B1Convencional pré-pagamentoResidencialResidencial baixa renda – faixa 03Não se aplicaNão se aplicaIntermediário",Mercado_Receita!$L$2:$L$693)+SUMIF(Mercado_Receita!$S$2:$S$693,"44409B1Convencional pré-pagamentoResidencialResidencial baixa renda – faixa 03Não se aplicaNão se aplicaNão se aplica",Mercado_Receita!$L$2:$L$693)</f>
        <v>0</v>
      </c>
      <c r="N25" s="12">
        <f>SUMIF(Mercado_Receita!$S$2:$S$693,"44440B1Convencional pré-pagamentoResidencialResidencial baixa renda – faixa 03Não se aplicaNão se aplicaPonta",Mercado_Receita!$L$2:$L$693)+SUMIF(Mercado_Receita!$S$2:$S$693,"44440B1Convencional pré-pagamentoResidencialResidencial baixa renda – faixa 03Não se aplicaNão se aplicaFora ponta",Mercado_Receita!$L$2:$L$693)+SUMIF(Mercado_Receita!$S$2:$S$693,"44440B1Convencional pré-pagamentoResidencialResidencial baixa renda – faixa 03Não se aplicaNão se aplicaIntermediário",Mercado_Receita!$L$2:$L$693)+SUMIF(Mercado_Receita!$S$2:$S$693,"44440B1Convencional pré-pagamentoResidencialResidencial baixa renda – faixa 03Não se aplicaNão se aplicaNão se aplica",Mercado_Receita!$L$2:$L$693)</f>
        <v>0</v>
      </c>
      <c r="O25" s="12">
        <f>SUMIF(Mercado_Receita!$S$2:$S$693,"44470B1Convencional pré-pagamentoResidencialResidencial baixa renda – faixa 03Não se aplicaNão se aplicaPonta",Mercado_Receita!$L$2:$L$693)+SUMIF(Mercado_Receita!$S$2:$S$693,"44470B1Convencional pré-pagamentoResidencialResidencial baixa renda – faixa 03Não se aplicaNão se aplicaFora ponta",Mercado_Receita!$L$2:$L$693)+SUMIF(Mercado_Receita!$S$2:$S$693,"44470B1Convencional pré-pagamentoResidencialResidencial baixa renda – faixa 03Não se aplicaNão se aplicaIntermediário",Mercado_Receita!$L$2:$L$693)+SUMIF(Mercado_Receita!$S$2:$S$693,"44470B1Convencional pré-pagamentoResidencialResidencial baixa renda – faixa 03Não se aplicaNão se aplicaNão se aplica",Mercado_Receita!$L$2:$L$693)</f>
        <v>0</v>
      </c>
      <c r="P25" s="12">
        <f>SUMIF(Mercado_Receita!$S$2:$S$693,"44501B1Convencional pré-pagamentoResidencialResidencial baixa renda – faixa 03Não se aplicaNão se aplicaPonta",Mercado_Receita!$L$2:$L$693)+SUMIF(Mercado_Receita!$S$2:$S$693,"44501B1Convencional pré-pagamentoResidencialResidencial baixa renda – faixa 03Não se aplicaNão se aplicaFora ponta",Mercado_Receita!$L$2:$L$693)+SUMIF(Mercado_Receita!$S$2:$S$693,"44501B1Convencional pré-pagamentoResidencialResidencial baixa renda – faixa 03Não se aplicaNão se aplicaIntermediário",Mercado_Receita!$L$2:$L$693)+SUMIF(Mercado_Receita!$S$2:$S$693,"44501B1Convencional pré-pagamentoResidencialResidencial baixa renda – faixa 03Não se aplicaNão se aplicaNão se aplica",Mercado_Receita!$L$2:$L$693)</f>
        <v>0</v>
      </c>
      <c r="Q25" s="12">
        <f>SUMIF(Mercado_Receita!$S$2:$S$693,"44531B1Convencional pré-pagamentoResidencialResidencial baixa renda – faixa 03Não se aplicaNão se aplicaPonta",Mercado_Receita!$L$2:$L$693)+SUMIF(Mercado_Receita!$S$2:$S$693,"44531B1Convencional pré-pagamentoResidencialResidencial baixa renda – faixa 03Não se aplicaNão se aplicaFora ponta",Mercado_Receita!$L$2:$L$693)+SUMIF(Mercado_Receita!$S$2:$S$693,"44531B1Convencional pré-pagamentoResidencialResidencial baixa renda – faixa 03Não se aplicaNão se aplicaIntermediário",Mercado_Receita!$L$2:$L$693)+SUMIF(Mercado_Receita!$S$2:$S$693,"44531B1Convencional pré-pagamentoResidencialResidencial baixa renda – faixa 03Não se aplicaNão se aplicaNão se aplica",Mercado_Receita!$L$2:$L$693)</f>
        <v>0</v>
      </c>
      <c r="R25" s="12">
        <f>SUMIF(Mercado_Receita!$S$2:$S$693,"44562B1Convencional pré-pagamentoResidencialResidencial baixa renda – faixa 03Não se aplicaNão se aplicaPonta",Mercado_Receita!$L$2:$L$693)+SUMIF(Mercado_Receita!$S$2:$S$693,"44562B1Convencional pré-pagamentoResidencialResidencial baixa renda – faixa 03Não se aplicaNão se aplicaFora ponta",Mercado_Receita!$L$2:$L$693)+SUMIF(Mercado_Receita!$S$2:$S$693,"44562B1Convencional pré-pagamentoResidencialResidencial baixa renda – faixa 03Não se aplicaNão se aplicaIntermediário",Mercado_Receita!$L$2:$L$693)+SUMIF(Mercado_Receita!$S$2:$S$693,"44562B1Convencional pré-pagamentoResidencialResidencial baixa renda – faixa 03Não se aplicaNão se aplicaNão se aplica",Mercado_Receita!$L$2:$L$693)</f>
        <v>0</v>
      </c>
      <c r="S25" s="12">
        <f>SUMIF(Mercado_Receita!$S$2:$S$693,"44593B1Convencional pré-pagamentoResidencialResidencial baixa renda – faixa 03Não se aplicaNão se aplicaPonta",Mercado_Receita!$L$2:$L$693)+SUMIF(Mercado_Receita!$S$2:$S$693,"44593B1Convencional pré-pagamentoResidencialResidencial baixa renda – faixa 03Não se aplicaNão se aplicaFora ponta",Mercado_Receita!$L$2:$L$693)+SUMIF(Mercado_Receita!$S$2:$S$693,"44593B1Convencional pré-pagamentoResidencialResidencial baixa renda – faixa 03Não se aplicaNão se aplicaIntermediário",Mercado_Receita!$L$2:$L$693)+SUMIF(Mercado_Receita!$S$2:$S$693,"44593B1Convencional pré-pagamentoResidencialResidencial baixa renda – faixa 03Não se aplicaNão se aplicaNão se aplica",Mercado_Receita!$L$2:$L$693)</f>
        <v>0</v>
      </c>
      <c r="T25" s="12">
        <f>SUMIF(Mercado_Receita!$S$2:$S$693,"44621B1Convencional pré-pagamentoResidencialResidencial baixa renda – faixa 03Não se aplicaNão se aplicaPonta",Mercado_Receita!$L$2:$L$693)+SUMIF(Mercado_Receita!$S$2:$S$693,"44621B1Convencional pré-pagamentoResidencialResidencial baixa renda – faixa 03Não se aplicaNão se aplicaFora ponta",Mercado_Receita!$L$2:$L$693)+SUMIF(Mercado_Receita!$S$2:$S$693,"44621B1Convencional pré-pagamentoResidencialResidencial baixa renda – faixa 03Não se aplicaNão se aplicaIntermediário",Mercado_Receita!$L$2:$L$693)+SUMIF(Mercado_Receita!$S$2:$S$693,"44621B1Convencional pré-pagamentoResidencialResidencial baixa renda – faixa 03Não se aplicaNão se aplicaNão se aplica",Mercado_Receita!$L$2:$L$693)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116"/>
      <c r="B26" s="116"/>
      <c r="C26" s="116"/>
      <c r="D26" s="13" t="s">
        <v>32</v>
      </c>
      <c r="E26" s="13" t="s">
        <v>25</v>
      </c>
      <c r="F26" s="13" t="s">
        <v>25</v>
      </c>
      <c r="G26" s="12" t="s">
        <v>79</v>
      </c>
      <c r="H26" s="12" t="s">
        <v>73</v>
      </c>
      <c r="I26" s="12">
        <f>SUMIF(Mercado_Receita!$S$2:$S$693,"44287B1Convencional pré-pagamentoResidencialResidencial baixa renda – faixa 04Não se aplicaNão se aplicaPonta",Mercado_Receita!$L$2:$L$693)+SUMIF(Mercado_Receita!$S$2:$S$693,"44287B1Convencional pré-pagamentoResidencialResidencial baixa renda – faixa 04Não se aplicaNão se aplicaFora ponta",Mercado_Receita!$L$2:$L$693)+SUMIF(Mercado_Receita!$S$2:$S$693,"44287B1Convencional pré-pagamentoResidencialResidencial baixa renda – faixa 04Não se aplicaNão se aplicaIntermediário",Mercado_Receita!$L$2:$L$693)+SUMIF(Mercado_Receita!$S$2:$S$693,"44287B1Convencional pré-pagamentoResidencialResidencial baixa renda – faixa 04Não se aplicaNão se aplicaNão se aplica",Mercado_Receita!$L$2:$L$693)</f>
        <v>0</v>
      </c>
      <c r="J26" s="12">
        <f>SUMIF(Mercado_Receita!$S$2:$S$693,"44317B1Convencional pré-pagamentoResidencialResidencial baixa renda – faixa 04Não se aplicaNão se aplicaPonta",Mercado_Receita!$L$2:$L$693)+SUMIF(Mercado_Receita!$S$2:$S$693,"44317B1Convencional pré-pagamentoResidencialResidencial baixa renda – faixa 04Não se aplicaNão se aplicaFora ponta",Mercado_Receita!$L$2:$L$693)+SUMIF(Mercado_Receita!$S$2:$S$693,"44317B1Convencional pré-pagamentoResidencialResidencial baixa renda – faixa 04Não se aplicaNão se aplicaIntermediário",Mercado_Receita!$L$2:$L$693)+SUMIF(Mercado_Receita!$S$2:$S$693,"44317B1Convencional pré-pagamentoResidencialResidencial baixa renda – faixa 04Não se aplicaNão se aplicaNão se aplica",Mercado_Receita!$L$2:$L$693)</f>
        <v>0</v>
      </c>
      <c r="K26" s="12">
        <f>SUMIF(Mercado_Receita!$S$2:$S$693,"44348B1Convencional pré-pagamentoResidencialResidencial baixa renda – faixa 04Não se aplicaNão se aplicaPonta",Mercado_Receita!$L$2:$L$693)+SUMIF(Mercado_Receita!$S$2:$S$693,"44348B1Convencional pré-pagamentoResidencialResidencial baixa renda – faixa 04Não se aplicaNão se aplicaFora ponta",Mercado_Receita!$L$2:$L$693)+SUMIF(Mercado_Receita!$S$2:$S$693,"44348B1Convencional pré-pagamentoResidencialResidencial baixa renda – faixa 04Não se aplicaNão se aplicaIntermediário",Mercado_Receita!$L$2:$L$693)+SUMIF(Mercado_Receita!$S$2:$S$693,"44348B1Convencional pré-pagamentoResidencialResidencial baixa renda – faixa 04Não se aplicaNão se aplicaNão se aplica",Mercado_Receita!$L$2:$L$693)</f>
        <v>0</v>
      </c>
      <c r="L26" s="12">
        <f>SUMIF(Mercado_Receita!$S$2:$S$693,"44378B1Convencional pré-pagamentoResidencialResidencial baixa renda – faixa 04Não se aplicaNão se aplicaPonta",Mercado_Receita!$L$2:$L$693)+SUMIF(Mercado_Receita!$S$2:$S$693,"44378B1Convencional pré-pagamentoResidencialResidencial baixa renda – faixa 04Não se aplicaNão se aplicaFora ponta",Mercado_Receita!$L$2:$L$693)+SUMIF(Mercado_Receita!$S$2:$S$693,"44378B1Convencional pré-pagamentoResidencialResidencial baixa renda – faixa 04Não se aplicaNão se aplicaIntermediário",Mercado_Receita!$L$2:$L$693)+SUMIF(Mercado_Receita!$S$2:$S$693,"44378B1Convencional pré-pagamentoResidencialResidencial baixa renda – faixa 04Não se aplicaNão se aplicaNão se aplica",Mercado_Receita!$L$2:$L$693)</f>
        <v>0</v>
      </c>
      <c r="M26" s="12">
        <f>SUMIF(Mercado_Receita!$S$2:$S$693,"44409B1Convencional pré-pagamentoResidencialResidencial baixa renda – faixa 04Não se aplicaNão se aplicaPonta",Mercado_Receita!$L$2:$L$693)+SUMIF(Mercado_Receita!$S$2:$S$693,"44409B1Convencional pré-pagamentoResidencialResidencial baixa renda – faixa 04Não se aplicaNão se aplicaFora ponta",Mercado_Receita!$L$2:$L$693)+SUMIF(Mercado_Receita!$S$2:$S$693,"44409B1Convencional pré-pagamentoResidencialResidencial baixa renda – faixa 04Não se aplicaNão se aplicaIntermediário",Mercado_Receita!$L$2:$L$693)+SUMIF(Mercado_Receita!$S$2:$S$693,"44409B1Convencional pré-pagamentoResidencialResidencial baixa renda – faixa 04Não se aplicaNão se aplicaNão se aplica",Mercado_Receita!$L$2:$L$693)</f>
        <v>0</v>
      </c>
      <c r="N26" s="12">
        <f>SUMIF(Mercado_Receita!$S$2:$S$693,"44440B1Convencional pré-pagamentoResidencialResidencial baixa renda – faixa 04Não se aplicaNão se aplicaPonta",Mercado_Receita!$L$2:$L$693)+SUMIF(Mercado_Receita!$S$2:$S$693,"44440B1Convencional pré-pagamentoResidencialResidencial baixa renda – faixa 04Não se aplicaNão se aplicaFora ponta",Mercado_Receita!$L$2:$L$693)+SUMIF(Mercado_Receita!$S$2:$S$693,"44440B1Convencional pré-pagamentoResidencialResidencial baixa renda – faixa 04Não se aplicaNão se aplicaIntermediário",Mercado_Receita!$L$2:$L$693)+SUMIF(Mercado_Receita!$S$2:$S$693,"44440B1Convencional pré-pagamentoResidencialResidencial baixa renda – faixa 04Não se aplicaNão se aplicaNão se aplica",Mercado_Receita!$L$2:$L$693)</f>
        <v>0</v>
      </c>
      <c r="O26" s="12">
        <f>SUMIF(Mercado_Receita!$S$2:$S$693,"44470B1Convencional pré-pagamentoResidencialResidencial baixa renda – faixa 04Não se aplicaNão se aplicaPonta",Mercado_Receita!$L$2:$L$693)+SUMIF(Mercado_Receita!$S$2:$S$693,"44470B1Convencional pré-pagamentoResidencialResidencial baixa renda – faixa 04Não se aplicaNão se aplicaFora ponta",Mercado_Receita!$L$2:$L$693)+SUMIF(Mercado_Receita!$S$2:$S$693,"44470B1Convencional pré-pagamentoResidencialResidencial baixa renda – faixa 04Não se aplicaNão se aplicaIntermediário",Mercado_Receita!$L$2:$L$693)+SUMIF(Mercado_Receita!$S$2:$S$693,"44470B1Convencional pré-pagamentoResidencialResidencial baixa renda – faixa 04Não se aplicaNão se aplicaNão se aplica",Mercado_Receita!$L$2:$L$693)</f>
        <v>0</v>
      </c>
      <c r="P26" s="12">
        <f>SUMIF(Mercado_Receita!$S$2:$S$693,"44501B1Convencional pré-pagamentoResidencialResidencial baixa renda – faixa 04Não se aplicaNão se aplicaPonta",Mercado_Receita!$L$2:$L$693)+SUMIF(Mercado_Receita!$S$2:$S$693,"44501B1Convencional pré-pagamentoResidencialResidencial baixa renda – faixa 04Não se aplicaNão se aplicaFora ponta",Mercado_Receita!$L$2:$L$693)+SUMIF(Mercado_Receita!$S$2:$S$693,"44501B1Convencional pré-pagamentoResidencialResidencial baixa renda – faixa 04Não se aplicaNão se aplicaIntermediário",Mercado_Receita!$L$2:$L$693)+SUMIF(Mercado_Receita!$S$2:$S$693,"44501B1Convencional pré-pagamentoResidencialResidencial baixa renda – faixa 04Não se aplicaNão se aplicaNão se aplica",Mercado_Receita!$L$2:$L$693)</f>
        <v>0</v>
      </c>
      <c r="Q26" s="12">
        <f>SUMIF(Mercado_Receita!$S$2:$S$693,"44531B1Convencional pré-pagamentoResidencialResidencial baixa renda – faixa 04Não se aplicaNão se aplicaPonta",Mercado_Receita!$L$2:$L$693)+SUMIF(Mercado_Receita!$S$2:$S$693,"44531B1Convencional pré-pagamentoResidencialResidencial baixa renda – faixa 04Não se aplicaNão se aplicaFora ponta",Mercado_Receita!$L$2:$L$693)+SUMIF(Mercado_Receita!$S$2:$S$693,"44531B1Convencional pré-pagamentoResidencialResidencial baixa renda – faixa 04Não se aplicaNão se aplicaIntermediário",Mercado_Receita!$L$2:$L$693)+SUMIF(Mercado_Receita!$S$2:$S$693,"44531B1Convencional pré-pagamentoResidencialResidencial baixa renda – faixa 04Não se aplicaNão se aplicaNão se aplica",Mercado_Receita!$L$2:$L$693)</f>
        <v>0</v>
      </c>
      <c r="R26" s="12">
        <f>SUMIF(Mercado_Receita!$S$2:$S$693,"44562B1Convencional pré-pagamentoResidencialResidencial baixa renda – faixa 04Não se aplicaNão se aplicaPonta",Mercado_Receita!$L$2:$L$693)+SUMIF(Mercado_Receita!$S$2:$S$693,"44562B1Convencional pré-pagamentoResidencialResidencial baixa renda – faixa 04Não se aplicaNão se aplicaFora ponta",Mercado_Receita!$L$2:$L$693)+SUMIF(Mercado_Receita!$S$2:$S$693,"44562B1Convencional pré-pagamentoResidencialResidencial baixa renda – faixa 04Não se aplicaNão se aplicaIntermediário",Mercado_Receita!$L$2:$L$693)+SUMIF(Mercado_Receita!$S$2:$S$693,"44562B1Convencional pré-pagamentoResidencialResidencial baixa renda – faixa 04Não se aplicaNão se aplicaNão se aplica",Mercado_Receita!$L$2:$L$693)</f>
        <v>0</v>
      </c>
      <c r="S26" s="12">
        <f>SUMIF(Mercado_Receita!$S$2:$S$693,"44593B1Convencional pré-pagamentoResidencialResidencial baixa renda – faixa 04Não se aplicaNão se aplicaPonta",Mercado_Receita!$L$2:$L$693)+SUMIF(Mercado_Receita!$S$2:$S$693,"44593B1Convencional pré-pagamentoResidencialResidencial baixa renda – faixa 04Não se aplicaNão se aplicaFora ponta",Mercado_Receita!$L$2:$L$693)+SUMIF(Mercado_Receita!$S$2:$S$693,"44593B1Convencional pré-pagamentoResidencialResidencial baixa renda – faixa 04Não se aplicaNão se aplicaIntermediário",Mercado_Receita!$L$2:$L$693)+SUMIF(Mercado_Receita!$S$2:$S$693,"44593B1Convencional pré-pagamentoResidencialResidencial baixa renda – faixa 04Não se aplicaNão se aplicaNão se aplica",Mercado_Receita!$L$2:$L$693)</f>
        <v>0</v>
      </c>
      <c r="T26" s="12">
        <f>SUMIF(Mercado_Receita!$S$2:$S$693,"44621B1Convencional pré-pagamentoResidencialResidencial baixa renda – faixa 04Não se aplicaNão se aplicaPonta",Mercado_Receita!$L$2:$L$693)+SUMIF(Mercado_Receita!$S$2:$S$693,"44621B1Convencional pré-pagamentoResidencialResidencial baixa renda – faixa 04Não se aplicaNão se aplicaFora ponta",Mercado_Receita!$L$2:$L$693)+SUMIF(Mercado_Receita!$S$2:$S$693,"44621B1Convencional pré-pagamentoResidencialResidencial baixa renda – faixa 04Não se aplicaNão se aplicaIntermediário",Mercado_Receita!$L$2:$L$693)+SUMIF(Mercado_Receita!$S$2:$S$693,"44621B1Convencional pré-pagamentoResidencialResidencial baixa renda – faixa 04Não se aplicaNão se aplicaNão se aplica",Mercado_Receita!$L$2:$L$693)</f>
        <v>0</v>
      </c>
      <c r="U26" s="12">
        <f t="shared" si="0"/>
        <v>0</v>
      </c>
      <c r="V26" s="12"/>
      <c r="W26" s="12"/>
    </row>
    <row r="27" spans="1:23" ht="11.25" customHeight="1" x14ac:dyDescent="0.25">
      <c r="A27" s="115" t="s">
        <v>40</v>
      </c>
      <c r="B27" s="115" t="s">
        <v>87</v>
      </c>
      <c r="C27" s="115" t="s">
        <v>41</v>
      </c>
      <c r="D27" s="115" t="s">
        <v>25</v>
      </c>
      <c r="E27" s="115" t="s">
        <v>25</v>
      </c>
      <c r="F27" s="115" t="s">
        <v>25</v>
      </c>
      <c r="G27" s="12" t="s">
        <v>74</v>
      </c>
      <c r="H27" s="12" t="s">
        <v>73</v>
      </c>
      <c r="I27" s="12">
        <f>SUMIF(Mercado_Receita!$S$2:$S$693,"44287B2BrancaRuralNão se aplicaNão se aplicaNão se aplicaPonta",Mercado_Receita!$L$2:$L$693)</f>
        <v>0</v>
      </c>
      <c r="J27" s="12">
        <f>SUMIF(Mercado_Receita!$S$2:$S$693,"44317B2BrancaRuralNão se aplicaNão se aplicaNão se aplicaPonta",Mercado_Receita!$L$2:$L$693)</f>
        <v>0</v>
      </c>
      <c r="K27" s="12">
        <f>SUMIF(Mercado_Receita!$S$2:$S$693,"44348B2BrancaRuralNão se aplicaNão se aplicaNão se aplicaPonta",Mercado_Receita!$L$2:$L$693)</f>
        <v>0</v>
      </c>
      <c r="L27" s="12">
        <f>SUMIF(Mercado_Receita!$S$2:$S$693,"44378B2BrancaRuralNão se aplicaNão se aplicaNão se aplicaPonta",Mercado_Receita!$L$2:$L$693)</f>
        <v>0</v>
      </c>
      <c r="M27" s="12">
        <f>SUMIF(Mercado_Receita!$S$2:$S$693,"44409B2BrancaRuralNão se aplicaNão se aplicaNão se aplicaPonta",Mercado_Receita!$L$2:$L$693)</f>
        <v>0</v>
      </c>
      <c r="N27" s="12">
        <f>SUMIF(Mercado_Receita!$S$2:$S$693,"44440B2BrancaRuralNão se aplicaNão se aplicaNão se aplicaPonta",Mercado_Receita!$L$2:$L$693)</f>
        <v>0</v>
      </c>
      <c r="O27" s="12">
        <f>SUMIF(Mercado_Receita!$S$2:$S$693,"44470B2BrancaRuralNão se aplicaNão se aplicaNão se aplicaPonta",Mercado_Receita!$L$2:$L$693)</f>
        <v>0</v>
      </c>
      <c r="P27" s="12">
        <f>SUMIF(Mercado_Receita!$S$2:$S$693,"44501B2BrancaRuralNão se aplicaNão se aplicaNão se aplicaPonta",Mercado_Receita!$L$2:$L$693)</f>
        <v>0</v>
      </c>
      <c r="Q27" s="12">
        <f>SUMIF(Mercado_Receita!$S$2:$S$693,"44531B2BrancaRuralNão se aplicaNão se aplicaNão se aplicaPonta",Mercado_Receita!$L$2:$L$693)</f>
        <v>0</v>
      </c>
      <c r="R27" s="12">
        <f>SUMIF(Mercado_Receita!$S$2:$S$693,"44562B2BrancaRuralNão se aplicaNão se aplicaNão se aplicaPonta",Mercado_Receita!$L$2:$L$693)</f>
        <v>0</v>
      </c>
      <c r="S27" s="12">
        <f>SUMIF(Mercado_Receita!$S$2:$S$693,"44593B2BrancaRuralNão se aplicaNão se aplicaNão se aplicaPonta",Mercado_Receita!$L$2:$L$693)</f>
        <v>0</v>
      </c>
      <c r="T27" s="12">
        <f>SUMIF(Mercado_Receita!$S$2:$S$693,"44621B2BrancaRuralNão se aplicaNão se aplicaNão se aplicaPonta",Mercado_Receita!$L$2:$L$693)</f>
        <v>0</v>
      </c>
      <c r="U27" s="12">
        <f t="shared" si="0"/>
        <v>0</v>
      </c>
      <c r="V27" s="12"/>
      <c r="W27" s="12"/>
    </row>
    <row r="28" spans="1:23" ht="11.25" customHeight="1" x14ac:dyDescent="0.25">
      <c r="A28" s="116"/>
      <c r="B28" s="116"/>
      <c r="C28" s="116"/>
      <c r="D28" s="116"/>
      <c r="E28" s="116"/>
      <c r="F28" s="116"/>
      <c r="G28" s="12" t="s">
        <v>85</v>
      </c>
      <c r="H28" s="12" t="s">
        <v>73</v>
      </c>
      <c r="I28" s="12">
        <f>SUMIF(Mercado_Receita!$S$2:$S$693,"44287B2BrancaRuralNão se aplicaNão se aplicaNão se aplicaIntermediário",Mercado_Receita!$L$2:$L$693)</f>
        <v>0</v>
      </c>
      <c r="J28" s="12">
        <f>SUMIF(Mercado_Receita!$S$2:$S$693,"44317B2BrancaRuralNão se aplicaNão se aplicaNão se aplicaIntermediário",Mercado_Receita!$L$2:$L$693)</f>
        <v>0</v>
      </c>
      <c r="K28" s="12">
        <f>SUMIF(Mercado_Receita!$S$2:$S$693,"44348B2BrancaRuralNão se aplicaNão se aplicaNão se aplicaIntermediário",Mercado_Receita!$L$2:$L$693)</f>
        <v>0</v>
      </c>
      <c r="L28" s="12">
        <f>SUMIF(Mercado_Receita!$S$2:$S$693,"44378B2BrancaRuralNão se aplicaNão se aplicaNão se aplicaIntermediário",Mercado_Receita!$L$2:$L$693)</f>
        <v>0</v>
      </c>
      <c r="M28" s="12">
        <f>SUMIF(Mercado_Receita!$S$2:$S$693,"44409B2BrancaRuralNão se aplicaNão se aplicaNão se aplicaIntermediário",Mercado_Receita!$L$2:$L$693)</f>
        <v>0</v>
      </c>
      <c r="N28" s="12">
        <f>SUMIF(Mercado_Receita!$S$2:$S$693,"44440B2BrancaRuralNão se aplicaNão se aplicaNão se aplicaIntermediário",Mercado_Receita!$L$2:$L$693)</f>
        <v>0</v>
      </c>
      <c r="O28" s="12">
        <f>SUMIF(Mercado_Receita!$S$2:$S$693,"44470B2BrancaRuralNão se aplicaNão se aplicaNão se aplicaIntermediário",Mercado_Receita!$L$2:$L$693)</f>
        <v>0</v>
      </c>
      <c r="P28" s="12">
        <f>SUMIF(Mercado_Receita!$S$2:$S$693,"44501B2BrancaRuralNão se aplicaNão se aplicaNão se aplicaIntermediário",Mercado_Receita!$L$2:$L$693)</f>
        <v>0</v>
      </c>
      <c r="Q28" s="12">
        <f>SUMIF(Mercado_Receita!$S$2:$S$693,"44531B2BrancaRuralNão se aplicaNão se aplicaNão se aplicaIntermediário",Mercado_Receita!$L$2:$L$693)</f>
        <v>0</v>
      </c>
      <c r="R28" s="12">
        <f>SUMIF(Mercado_Receita!$S$2:$S$693,"44562B2BrancaRuralNão se aplicaNão se aplicaNão se aplicaIntermediário",Mercado_Receita!$L$2:$L$693)</f>
        <v>0</v>
      </c>
      <c r="S28" s="12">
        <f>SUMIF(Mercado_Receita!$S$2:$S$693,"44593B2BrancaRuralNão se aplicaNão se aplicaNão se aplicaIntermediário",Mercado_Receita!$L$2:$L$693)</f>
        <v>0</v>
      </c>
      <c r="T28" s="12">
        <f>SUMIF(Mercado_Receita!$S$2:$S$693,"44621B2BrancaRuralNão se aplicaNão se aplicaNão se aplicaIntermediário",Mercado_Receita!$L$2:$L$693)</f>
        <v>0</v>
      </c>
      <c r="U28" s="12">
        <f t="shared" si="0"/>
        <v>0</v>
      </c>
      <c r="V28" s="12"/>
      <c r="W28" s="12"/>
    </row>
    <row r="29" spans="1:23" ht="11.25" customHeight="1" x14ac:dyDescent="0.25">
      <c r="A29" s="116"/>
      <c r="B29" s="116"/>
      <c r="C29" s="116"/>
      <c r="D29" s="116"/>
      <c r="E29" s="116"/>
      <c r="F29" s="116"/>
      <c r="G29" s="12" t="s">
        <v>75</v>
      </c>
      <c r="H29" s="12" t="s">
        <v>73</v>
      </c>
      <c r="I29" s="12">
        <f>SUMIF(Mercado_Receita!$S$2:$S$693,"44287B2BrancaRuralNão se aplicaNão se aplicaNão se aplicaFora ponta",Mercado_Receita!$L$2:$L$693)</f>
        <v>0</v>
      </c>
      <c r="J29" s="12">
        <f>SUMIF(Mercado_Receita!$S$2:$S$693,"44317B2BrancaRuralNão se aplicaNão se aplicaNão se aplicaFora ponta",Mercado_Receita!$L$2:$L$693)</f>
        <v>0</v>
      </c>
      <c r="K29" s="12">
        <f>SUMIF(Mercado_Receita!$S$2:$S$693,"44348B2BrancaRuralNão se aplicaNão se aplicaNão se aplicaFora ponta",Mercado_Receita!$L$2:$L$693)</f>
        <v>0</v>
      </c>
      <c r="L29" s="12">
        <f>SUMIF(Mercado_Receita!$S$2:$S$693,"44378B2BrancaRuralNão se aplicaNão se aplicaNão se aplicaFora ponta",Mercado_Receita!$L$2:$L$693)</f>
        <v>0</v>
      </c>
      <c r="M29" s="12">
        <f>SUMIF(Mercado_Receita!$S$2:$S$693,"44409B2BrancaRuralNão se aplicaNão se aplicaNão se aplicaFora ponta",Mercado_Receita!$L$2:$L$693)</f>
        <v>0</v>
      </c>
      <c r="N29" s="12">
        <f>SUMIF(Mercado_Receita!$S$2:$S$693,"44440B2BrancaRuralNão se aplicaNão se aplicaNão se aplicaFora ponta",Mercado_Receita!$L$2:$L$693)</f>
        <v>0</v>
      </c>
      <c r="O29" s="12">
        <f>SUMIF(Mercado_Receita!$S$2:$S$693,"44470B2BrancaRuralNão se aplicaNão se aplicaNão se aplicaFora ponta",Mercado_Receita!$L$2:$L$693)</f>
        <v>0</v>
      </c>
      <c r="P29" s="12">
        <f>SUMIF(Mercado_Receita!$S$2:$S$693,"44501B2BrancaRuralNão se aplicaNão se aplicaNão se aplicaFora ponta",Mercado_Receita!$L$2:$L$693)</f>
        <v>0</v>
      </c>
      <c r="Q29" s="12">
        <f>SUMIF(Mercado_Receita!$S$2:$S$693,"44531B2BrancaRuralNão se aplicaNão se aplicaNão se aplicaFora ponta",Mercado_Receita!$L$2:$L$693)</f>
        <v>0</v>
      </c>
      <c r="R29" s="12">
        <f>SUMIF(Mercado_Receita!$S$2:$S$693,"44562B2BrancaRuralNão se aplicaNão se aplicaNão se aplicaFora ponta",Mercado_Receita!$L$2:$L$693)</f>
        <v>0</v>
      </c>
      <c r="S29" s="12">
        <f>SUMIF(Mercado_Receita!$S$2:$S$693,"44593B2BrancaRuralNão se aplicaNão se aplicaNão se aplicaFora ponta",Mercado_Receita!$L$2:$L$693)</f>
        <v>0</v>
      </c>
      <c r="T29" s="12">
        <f>SUMIF(Mercado_Receita!$S$2:$S$693,"44621B2BrancaRuralNão se aplicaNão se aplicaNão se aplicaFora ponta",Mercado_Receita!$L$2:$L$693)</f>
        <v>0</v>
      </c>
      <c r="U29" s="12">
        <f t="shared" si="0"/>
        <v>0</v>
      </c>
      <c r="V29" s="12"/>
      <c r="W29" s="12"/>
    </row>
    <row r="30" spans="1:23" ht="11.25" customHeight="1" x14ac:dyDescent="0.25">
      <c r="A30" s="116"/>
      <c r="B30" s="13" t="s">
        <v>23</v>
      </c>
      <c r="C30" s="13" t="s">
        <v>41</v>
      </c>
      <c r="D30" s="13" t="s">
        <v>25</v>
      </c>
      <c r="E30" s="13" t="s">
        <v>25</v>
      </c>
      <c r="F30" s="13" t="s">
        <v>25</v>
      </c>
      <c r="G30" s="12" t="s">
        <v>79</v>
      </c>
      <c r="H30" s="12" t="s">
        <v>73</v>
      </c>
      <c r="I30" s="12">
        <f>SUMIF(Mercado_Receita!$S$2:$S$693,"44287B2ConvencionalRuralNão se aplicaNão se aplicaNão se aplicaPonta",Mercado_Receita!$L$2:$L$693)+SUMIF(Mercado_Receita!$S$2:$S$693,"44287B2ConvencionalRuralNão se aplicaNão se aplicaNão se aplicaFora ponta",Mercado_Receita!$L$2:$L$693)+SUMIF(Mercado_Receita!$S$2:$S$693,"44287B2ConvencionalRuralNão se aplicaNão se aplicaNão se aplicaIntermediário",Mercado_Receita!$L$2:$L$693)+SUMIF(Mercado_Receita!$S$2:$S$693,"44287B2ConvencionalRuralNão se aplicaNão se aplicaNão se aplicaNão se aplica",Mercado_Receita!$L$2:$L$693)</f>
        <v>5550.4220000000005</v>
      </c>
      <c r="J30" s="12">
        <f>SUMIF(Mercado_Receita!$S$2:$S$693,"44317B2ConvencionalRuralNão se aplicaNão se aplicaNão se aplicaPonta",Mercado_Receita!$L$2:$L$693)+SUMIF(Mercado_Receita!$S$2:$S$693,"44317B2ConvencionalRuralNão se aplicaNão se aplicaNão se aplicaFora ponta",Mercado_Receita!$L$2:$L$693)+SUMIF(Mercado_Receita!$S$2:$S$693,"44317B2ConvencionalRuralNão se aplicaNão se aplicaNão se aplicaIntermediário",Mercado_Receita!$L$2:$L$693)+SUMIF(Mercado_Receita!$S$2:$S$693,"44317B2ConvencionalRuralNão se aplicaNão se aplicaNão se aplicaNão se aplica",Mercado_Receita!$L$2:$L$693)</f>
        <v>5691.0660000000007</v>
      </c>
      <c r="K30" s="12">
        <f>SUMIF(Mercado_Receita!$S$2:$S$693,"44348B2ConvencionalRuralNão se aplicaNão se aplicaNão se aplicaPonta",Mercado_Receita!$L$2:$L$693)+SUMIF(Mercado_Receita!$S$2:$S$693,"44348B2ConvencionalRuralNão se aplicaNão se aplicaNão se aplicaFora ponta",Mercado_Receita!$L$2:$L$693)+SUMIF(Mercado_Receita!$S$2:$S$693,"44348B2ConvencionalRuralNão se aplicaNão se aplicaNão se aplicaIntermediário",Mercado_Receita!$L$2:$L$693)+SUMIF(Mercado_Receita!$S$2:$S$693,"44348B2ConvencionalRuralNão se aplicaNão se aplicaNão se aplicaNão se aplica",Mercado_Receita!$L$2:$L$693)</f>
        <v>3087.4720000000002</v>
      </c>
      <c r="L30" s="12">
        <f>SUMIF(Mercado_Receita!$S$2:$S$693,"44378B2ConvencionalRuralNão se aplicaNão se aplicaNão se aplicaPonta",Mercado_Receita!$L$2:$L$693)+SUMIF(Mercado_Receita!$S$2:$S$693,"44378B2ConvencionalRuralNão se aplicaNão se aplicaNão se aplicaFora ponta",Mercado_Receita!$L$2:$L$693)+SUMIF(Mercado_Receita!$S$2:$S$693,"44378B2ConvencionalRuralNão se aplicaNão se aplicaNão se aplicaIntermediário",Mercado_Receita!$L$2:$L$693)+SUMIF(Mercado_Receita!$S$2:$S$693,"44378B2ConvencionalRuralNão se aplicaNão se aplicaNão se aplicaNão se aplica",Mercado_Receita!$L$2:$L$693)</f>
        <v>7880.4159999999983</v>
      </c>
      <c r="M30" s="12">
        <f>SUMIF(Mercado_Receita!$S$2:$S$693,"44409B2ConvencionalRuralNão se aplicaNão se aplicaNão se aplicaPonta",Mercado_Receita!$L$2:$L$693)+SUMIF(Mercado_Receita!$S$2:$S$693,"44409B2ConvencionalRuralNão se aplicaNão se aplicaNão se aplicaFora ponta",Mercado_Receita!$L$2:$L$693)+SUMIF(Mercado_Receita!$S$2:$S$693,"44409B2ConvencionalRuralNão se aplicaNão se aplicaNão se aplicaIntermediário",Mercado_Receita!$L$2:$L$693)+SUMIF(Mercado_Receita!$S$2:$S$693,"44409B2ConvencionalRuralNão se aplicaNão se aplicaNão se aplicaNão se aplica",Mercado_Receita!$L$2:$L$693)</f>
        <v>492.47399999999982</v>
      </c>
      <c r="N30" s="12">
        <f>SUMIF(Mercado_Receita!$S$2:$S$693,"44440B2ConvencionalRuralNão se aplicaNão se aplicaNão se aplicaPonta",Mercado_Receita!$L$2:$L$693)+SUMIF(Mercado_Receita!$S$2:$S$693,"44440B2ConvencionalRuralNão se aplicaNão se aplicaNão se aplicaFora ponta",Mercado_Receita!$L$2:$L$693)+SUMIF(Mercado_Receita!$S$2:$S$693,"44440B2ConvencionalRuralNão se aplicaNão se aplicaNão se aplicaIntermediário",Mercado_Receita!$L$2:$L$693)+SUMIF(Mercado_Receita!$S$2:$S$693,"44440B2ConvencionalRuralNão se aplicaNão se aplicaNão se aplicaNão se aplica",Mercado_Receita!$L$2:$L$693)</f>
        <v>4878.4690000000001</v>
      </c>
      <c r="O30" s="12">
        <f>SUMIF(Mercado_Receita!$S$2:$S$693,"44470B2ConvencionalRuralNão se aplicaNão se aplicaNão se aplicaPonta",Mercado_Receita!$L$2:$L$693)+SUMIF(Mercado_Receita!$S$2:$S$693,"44470B2ConvencionalRuralNão se aplicaNão se aplicaNão se aplicaFora ponta",Mercado_Receita!$L$2:$L$693)+SUMIF(Mercado_Receita!$S$2:$S$693,"44470B2ConvencionalRuralNão se aplicaNão se aplicaNão se aplicaIntermediário",Mercado_Receita!$L$2:$L$693)+SUMIF(Mercado_Receita!$S$2:$S$693,"44470B2ConvencionalRuralNão se aplicaNão se aplicaNão se aplicaNão se aplica",Mercado_Receita!$L$2:$L$693)</f>
        <v>4449.2839999999997</v>
      </c>
      <c r="P30" s="12">
        <f>SUMIF(Mercado_Receita!$S$2:$S$693,"44501B2ConvencionalRuralNão se aplicaNão se aplicaNão se aplicaPonta",Mercado_Receita!$L$2:$L$693)+SUMIF(Mercado_Receita!$S$2:$S$693,"44501B2ConvencionalRuralNão se aplicaNão se aplicaNão se aplicaFora ponta",Mercado_Receita!$L$2:$L$693)+SUMIF(Mercado_Receita!$S$2:$S$693,"44501B2ConvencionalRuralNão se aplicaNão se aplicaNão se aplicaIntermediário",Mercado_Receita!$L$2:$L$693)+SUMIF(Mercado_Receita!$S$2:$S$693,"44501B2ConvencionalRuralNão se aplicaNão se aplicaNão se aplicaNão se aplica",Mercado_Receita!$L$2:$L$693)</f>
        <v>5722.5650000000005</v>
      </c>
      <c r="Q30" s="12">
        <f>SUMIF(Mercado_Receita!$S$2:$S$693,"44531B2ConvencionalRuralNão se aplicaNão se aplicaNão se aplicaPonta",Mercado_Receita!$L$2:$L$693)+SUMIF(Mercado_Receita!$S$2:$S$693,"44531B2ConvencionalRuralNão se aplicaNão se aplicaNão se aplicaFora ponta",Mercado_Receita!$L$2:$L$693)+SUMIF(Mercado_Receita!$S$2:$S$693,"44531B2ConvencionalRuralNão se aplicaNão se aplicaNão se aplicaIntermediário",Mercado_Receita!$L$2:$L$693)+SUMIF(Mercado_Receita!$S$2:$S$693,"44531B2ConvencionalRuralNão se aplicaNão se aplicaNão se aplicaNão se aplica",Mercado_Receita!$L$2:$L$693)</f>
        <v>4878.6459999999997</v>
      </c>
      <c r="R30" s="12">
        <f>SUMIF(Mercado_Receita!$S$2:$S$693,"44562B2ConvencionalRuralNão se aplicaNão se aplicaNão se aplicaPonta",Mercado_Receita!$L$2:$L$693)+SUMIF(Mercado_Receita!$S$2:$S$693,"44562B2ConvencionalRuralNão se aplicaNão se aplicaNão se aplicaFora ponta",Mercado_Receita!$L$2:$L$693)+SUMIF(Mercado_Receita!$S$2:$S$693,"44562B2ConvencionalRuralNão se aplicaNão se aplicaNão se aplicaIntermediário",Mercado_Receita!$L$2:$L$693)+SUMIF(Mercado_Receita!$S$2:$S$693,"44562B2ConvencionalRuralNão se aplicaNão se aplicaNão se aplicaNão se aplica",Mercado_Receita!$L$2:$L$693)</f>
        <v>4408.2910000000002</v>
      </c>
      <c r="S30" s="12">
        <f>SUMIF(Mercado_Receita!$S$2:$S$693,"44593B2ConvencionalRuralNão se aplicaNão se aplicaNão se aplicaPonta",Mercado_Receita!$L$2:$L$693)+SUMIF(Mercado_Receita!$S$2:$S$693,"44593B2ConvencionalRuralNão se aplicaNão se aplicaNão se aplicaFora ponta",Mercado_Receita!$L$2:$L$693)+SUMIF(Mercado_Receita!$S$2:$S$693,"44593B2ConvencionalRuralNão se aplicaNão se aplicaNão se aplicaIntermediário",Mercado_Receita!$L$2:$L$693)+SUMIF(Mercado_Receita!$S$2:$S$693,"44593B2ConvencionalRuralNão se aplicaNão se aplicaNão se aplicaNão se aplica",Mercado_Receita!$L$2:$L$693)</f>
        <v>4434.0779999999995</v>
      </c>
      <c r="T30" s="12">
        <f>SUMIF(Mercado_Receita!$S$2:$S$693,"44621B2ConvencionalRuralNão se aplicaNão se aplicaNão se aplicaPonta",Mercado_Receita!$L$2:$L$693)+SUMIF(Mercado_Receita!$S$2:$S$693,"44621B2ConvencionalRuralNão se aplicaNão se aplicaNão se aplicaFora ponta",Mercado_Receita!$L$2:$L$693)+SUMIF(Mercado_Receita!$S$2:$S$693,"44621B2ConvencionalRuralNão se aplicaNão se aplicaNão se aplicaIntermediário",Mercado_Receita!$L$2:$L$693)+SUMIF(Mercado_Receita!$S$2:$S$693,"44621B2ConvencionalRuralNão se aplicaNão se aplicaNão se aplicaNão se aplica",Mercado_Receita!$L$2:$L$693)</f>
        <v>4434.0779999999995</v>
      </c>
      <c r="U30" s="12">
        <f t="shared" si="0"/>
        <v>55907.260999999999</v>
      </c>
      <c r="V30" s="12"/>
      <c r="W30" s="12"/>
    </row>
    <row r="31" spans="1:23" ht="11.25" customHeight="1" x14ac:dyDescent="0.25">
      <c r="A31" s="116"/>
      <c r="B31" s="115" t="s">
        <v>87</v>
      </c>
      <c r="C31" s="115" t="s">
        <v>41</v>
      </c>
      <c r="D31" s="115" t="s">
        <v>90</v>
      </c>
      <c r="E31" s="115" t="s">
        <v>25</v>
      </c>
      <c r="F31" s="115" t="s">
        <v>25</v>
      </c>
      <c r="G31" s="12" t="s">
        <v>74</v>
      </c>
      <c r="H31" s="12" t="s">
        <v>73</v>
      </c>
      <c r="I31" s="12">
        <f>SUMIF(Mercado_Receita!$S$2:$S$693,"44287B2BrancaRuralCooperativa de eletrificação ruralNão se aplicaNão se aplicaPonta",Mercado_Receita!$L$2:$L$693)</f>
        <v>0</v>
      </c>
      <c r="J31" s="12">
        <f>SUMIF(Mercado_Receita!$S$2:$S$693,"44317B2BrancaRuralCooperativa de eletrificação ruralNão se aplicaNão se aplicaPonta",Mercado_Receita!$L$2:$L$693)</f>
        <v>0</v>
      </c>
      <c r="K31" s="12">
        <f>SUMIF(Mercado_Receita!$S$2:$S$693,"44348B2BrancaRuralCooperativa de eletrificação ruralNão se aplicaNão se aplicaPonta",Mercado_Receita!$L$2:$L$693)</f>
        <v>0</v>
      </c>
      <c r="L31" s="12">
        <f>SUMIF(Mercado_Receita!$S$2:$S$693,"44378B2BrancaRuralCooperativa de eletrificação ruralNão se aplicaNão se aplicaPonta",Mercado_Receita!$L$2:$L$693)</f>
        <v>0</v>
      </c>
      <c r="M31" s="12">
        <f>SUMIF(Mercado_Receita!$S$2:$S$693,"44409B2BrancaRuralCooperativa de eletrificação ruralNão se aplicaNão se aplicaPonta",Mercado_Receita!$L$2:$L$693)</f>
        <v>0</v>
      </c>
      <c r="N31" s="12">
        <f>SUMIF(Mercado_Receita!$S$2:$S$693,"44440B2BrancaRuralCooperativa de eletrificação ruralNão se aplicaNão se aplicaPonta",Mercado_Receita!$L$2:$L$693)</f>
        <v>0</v>
      </c>
      <c r="O31" s="12">
        <f>SUMIF(Mercado_Receita!$S$2:$S$693,"44470B2BrancaRuralCooperativa de eletrificação ruralNão se aplicaNão se aplicaPonta",Mercado_Receita!$L$2:$L$693)</f>
        <v>0</v>
      </c>
      <c r="P31" s="12">
        <f>SUMIF(Mercado_Receita!$S$2:$S$693,"44501B2BrancaRuralCooperativa de eletrificação ruralNão se aplicaNão se aplicaPonta",Mercado_Receita!$L$2:$L$693)</f>
        <v>0</v>
      </c>
      <c r="Q31" s="12">
        <f>SUMIF(Mercado_Receita!$S$2:$S$693,"44531B2BrancaRuralCooperativa de eletrificação ruralNão se aplicaNão se aplicaPonta",Mercado_Receita!$L$2:$L$693)</f>
        <v>0</v>
      </c>
      <c r="R31" s="12">
        <f>SUMIF(Mercado_Receita!$S$2:$S$693,"44562B2BrancaRuralCooperativa de eletrificação ruralNão se aplicaNão se aplicaPonta",Mercado_Receita!$L$2:$L$693)</f>
        <v>0</v>
      </c>
      <c r="S31" s="12">
        <f>SUMIF(Mercado_Receita!$S$2:$S$693,"44593B2BrancaRuralCooperativa de eletrificação ruralNão se aplicaNão se aplicaPonta",Mercado_Receita!$L$2:$L$693)</f>
        <v>0</v>
      </c>
      <c r="T31" s="12">
        <f>SUMIF(Mercado_Receita!$S$2:$S$693,"44621B2BrancaRuralCooperativa de eletrificação ruralNão se aplicaNão se aplicaPonta",Mercado_Receita!$L$2:$L$693)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116"/>
      <c r="B32" s="116"/>
      <c r="C32" s="116"/>
      <c r="D32" s="116"/>
      <c r="E32" s="116"/>
      <c r="F32" s="116"/>
      <c r="G32" s="12" t="s">
        <v>85</v>
      </c>
      <c r="H32" s="12" t="s">
        <v>73</v>
      </c>
      <c r="I32" s="12">
        <f>SUMIF(Mercado_Receita!$S$2:$S$693,"44287B2BrancaRuralCooperativa de eletrificação ruralNão se aplicaNão se aplicaIntermediário",Mercado_Receita!$L$2:$L$693)</f>
        <v>0</v>
      </c>
      <c r="J32" s="12">
        <f>SUMIF(Mercado_Receita!$S$2:$S$693,"44317B2BrancaRuralCooperativa de eletrificação ruralNão se aplicaNão se aplicaIntermediário",Mercado_Receita!$L$2:$L$693)</f>
        <v>0</v>
      </c>
      <c r="K32" s="12">
        <f>SUMIF(Mercado_Receita!$S$2:$S$693,"44348B2BrancaRuralCooperativa de eletrificação ruralNão se aplicaNão se aplicaIntermediário",Mercado_Receita!$L$2:$L$693)</f>
        <v>0</v>
      </c>
      <c r="L32" s="12">
        <f>SUMIF(Mercado_Receita!$S$2:$S$693,"44378B2BrancaRuralCooperativa de eletrificação ruralNão se aplicaNão se aplicaIntermediário",Mercado_Receita!$L$2:$L$693)</f>
        <v>0</v>
      </c>
      <c r="M32" s="12">
        <f>SUMIF(Mercado_Receita!$S$2:$S$693,"44409B2BrancaRuralCooperativa de eletrificação ruralNão se aplicaNão se aplicaIntermediário",Mercado_Receita!$L$2:$L$693)</f>
        <v>0</v>
      </c>
      <c r="N32" s="12">
        <f>SUMIF(Mercado_Receita!$S$2:$S$693,"44440B2BrancaRuralCooperativa de eletrificação ruralNão se aplicaNão se aplicaIntermediário",Mercado_Receita!$L$2:$L$693)</f>
        <v>0</v>
      </c>
      <c r="O32" s="12">
        <f>SUMIF(Mercado_Receita!$S$2:$S$693,"44470B2BrancaRuralCooperativa de eletrificação ruralNão se aplicaNão se aplicaIntermediário",Mercado_Receita!$L$2:$L$693)</f>
        <v>0</v>
      </c>
      <c r="P32" s="12">
        <f>SUMIF(Mercado_Receita!$S$2:$S$693,"44501B2BrancaRuralCooperativa de eletrificação ruralNão se aplicaNão se aplicaIntermediário",Mercado_Receita!$L$2:$L$693)</f>
        <v>0</v>
      </c>
      <c r="Q32" s="12">
        <f>SUMIF(Mercado_Receita!$S$2:$S$693,"44531B2BrancaRuralCooperativa de eletrificação ruralNão se aplicaNão se aplicaIntermediário",Mercado_Receita!$L$2:$L$693)</f>
        <v>0</v>
      </c>
      <c r="R32" s="12">
        <f>SUMIF(Mercado_Receita!$S$2:$S$693,"44562B2BrancaRuralCooperativa de eletrificação ruralNão se aplicaNão se aplicaIntermediário",Mercado_Receita!$L$2:$L$693)</f>
        <v>0</v>
      </c>
      <c r="S32" s="12">
        <f>SUMIF(Mercado_Receita!$S$2:$S$693,"44593B2BrancaRuralCooperativa de eletrificação ruralNão se aplicaNão se aplicaIntermediário",Mercado_Receita!$L$2:$L$693)</f>
        <v>0</v>
      </c>
      <c r="T32" s="12">
        <f>SUMIF(Mercado_Receita!$S$2:$S$693,"44621B2BrancaRuralCooperativa de eletrificação ruralNão se aplicaNão se aplicaIntermediário",Mercado_Receita!$L$2:$L$693)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116"/>
      <c r="B33" s="116"/>
      <c r="C33" s="116"/>
      <c r="D33" s="116"/>
      <c r="E33" s="116"/>
      <c r="F33" s="116"/>
      <c r="G33" s="12" t="s">
        <v>75</v>
      </c>
      <c r="H33" s="12" t="s">
        <v>73</v>
      </c>
      <c r="I33" s="12">
        <f>SUMIF(Mercado_Receita!$S$2:$S$693,"44287B2BrancaRuralCooperativa de eletrificação ruralNão se aplicaNão se aplicaFora ponta",Mercado_Receita!$L$2:$L$693)</f>
        <v>0</v>
      </c>
      <c r="J33" s="12">
        <f>SUMIF(Mercado_Receita!$S$2:$S$693,"44317B2BrancaRuralCooperativa de eletrificação ruralNão se aplicaNão se aplicaFora ponta",Mercado_Receita!$L$2:$L$693)</f>
        <v>0</v>
      </c>
      <c r="K33" s="12">
        <f>SUMIF(Mercado_Receita!$S$2:$S$693,"44348B2BrancaRuralCooperativa de eletrificação ruralNão se aplicaNão se aplicaFora ponta",Mercado_Receita!$L$2:$L$693)</f>
        <v>0</v>
      </c>
      <c r="L33" s="12">
        <f>SUMIF(Mercado_Receita!$S$2:$S$693,"44378B2BrancaRuralCooperativa de eletrificação ruralNão se aplicaNão se aplicaFora ponta",Mercado_Receita!$L$2:$L$693)</f>
        <v>0</v>
      </c>
      <c r="M33" s="12">
        <f>SUMIF(Mercado_Receita!$S$2:$S$693,"44409B2BrancaRuralCooperativa de eletrificação ruralNão se aplicaNão se aplicaFora ponta",Mercado_Receita!$L$2:$L$693)</f>
        <v>0</v>
      </c>
      <c r="N33" s="12">
        <f>SUMIF(Mercado_Receita!$S$2:$S$693,"44440B2BrancaRuralCooperativa de eletrificação ruralNão se aplicaNão se aplicaFora ponta",Mercado_Receita!$L$2:$L$693)</f>
        <v>0</v>
      </c>
      <c r="O33" s="12">
        <f>SUMIF(Mercado_Receita!$S$2:$S$693,"44470B2BrancaRuralCooperativa de eletrificação ruralNão se aplicaNão se aplicaFora ponta",Mercado_Receita!$L$2:$L$693)</f>
        <v>0</v>
      </c>
      <c r="P33" s="12">
        <f>SUMIF(Mercado_Receita!$S$2:$S$693,"44501B2BrancaRuralCooperativa de eletrificação ruralNão se aplicaNão se aplicaFora ponta",Mercado_Receita!$L$2:$L$693)</f>
        <v>0</v>
      </c>
      <c r="Q33" s="12">
        <f>SUMIF(Mercado_Receita!$S$2:$S$693,"44531B2BrancaRuralCooperativa de eletrificação ruralNão se aplicaNão se aplicaFora ponta",Mercado_Receita!$L$2:$L$693)</f>
        <v>0</v>
      </c>
      <c r="R33" s="12">
        <f>SUMIF(Mercado_Receita!$S$2:$S$693,"44562B2BrancaRuralCooperativa de eletrificação ruralNão se aplicaNão se aplicaFora ponta",Mercado_Receita!$L$2:$L$693)</f>
        <v>0</v>
      </c>
      <c r="S33" s="12">
        <f>SUMIF(Mercado_Receita!$S$2:$S$693,"44593B2BrancaRuralCooperativa de eletrificação ruralNão se aplicaNão se aplicaFora ponta",Mercado_Receita!$L$2:$L$693)</f>
        <v>0</v>
      </c>
      <c r="T33" s="12">
        <f>SUMIF(Mercado_Receita!$S$2:$S$693,"44621B2BrancaRuralCooperativa de eletrificação ruralNão se aplicaNão se aplicaFora ponta",Mercado_Receita!$L$2:$L$693)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116"/>
      <c r="B34" s="13" t="s">
        <v>23</v>
      </c>
      <c r="C34" s="13" t="s">
        <v>41</v>
      </c>
      <c r="D34" s="13" t="s">
        <v>90</v>
      </c>
      <c r="E34" s="13" t="s">
        <v>25</v>
      </c>
      <c r="F34" s="13" t="s">
        <v>25</v>
      </c>
      <c r="G34" s="12" t="s">
        <v>79</v>
      </c>
      <c r="H34" s="12" t="s">
        <v>73</v>
      </c>
      <c r="I34" s="12">
        <f>SUMIF(Mercado_Receita!$S$2:$S$693,"44287B2ConvencionalRuralCooperativa de eletrificação ruralNão se aplicaNão se aplicaPonta",Mercado_Receita!$L$2:$L$693)+SUMIF(Mercado_Receita!$S$2:$S$693,"44287B2ConvencionalRuralCooperativa de eletrificação ruralNão se aplicaNão se aplicaFora ponta",Mercado_Receita!$L$2:$L$693)+SUMIF(Mercado_Receita!$S$2:$S$693,"44287B2ConvencionalRuralCooperativa de eletrificação ruralNão se aplicaNão se aplicaIntermediário",Mercado_Receita!$L$2:$L$693)+SUMIF(Mercado_Receita!$S$2:$S$693,"44287B2ConvencionalRuralCooperativa de eletrificação ruralNão se aplicaNão se aplicaNão se aplica",Mercado_Receita!$L$2:$L$693)</f>
        <v>0</v>
      </c>
      <c r="J34" s="12">
        <f>SUMIF(Mercado_Receita!$S$2:$S$693,"44317B2ConvencionalRuralCooperativa de eletrificação ruralNão se aplicaNão se aplicaPonta",Mercado_Receita!$L$2:$L$693)+SUMIF(Mercado_Receita!$S$2:$S$693,"44317B2ConvencionalRuralCooperativa de eletrificação ruralNão se aplicaNão se aplicaFora ponta",Mercado_Receita!$L$2:$L$693)+SUMIF(Mercado_Receita!$S$2:$S$693,"44317B2ConvencionalRuralCooperativa de eletrificação ruralNão se aplicaNão se aplicaIntermediário",Mercado_Receita!$L$2:$L$693)+SUMIF(Mercado_Receita!$S$2:$S$693,"44317B2ConvencionalRuralCooperativa de eletrificação ruralNão se aplicaNão se aplicaNão se aplica",Mercado_Receita!$L$2:$L$693)</f>
        <v>0</v>
      </c>
      <c r="K34" s="12">
        <f>SUMIF(Mercado_Receita!$S$2:$S$693,"44348B2ConvencionalRuralCooperativa de eletrificação ruralNão se aplicaNão se aplicaPonta",Mercado_Receita!$L$2:$L$693)+SUMIF(Mercado_Receita!$S$2:$S$693,"44348B2ConvencionalRuralCooperativa de eletrificação ruralNão se aplicaNão se aplicaFora ponta",Mercado_Receita!$L$2:$L$693)+SUMIF(Mercado_Receita!$S$2:$S$693,"44348B2ConvencionalRuralCooperativa de eletrificação ruralNão se aplicaNão se aplicaIntermediário",Mercado_Receita!$L$2:$L$693)+SUMIF(Mercado_Receita!$S$2:$S$693,"44348B2ConvencionalRuralCooperativa de eletrificação ruralNão se aplicaNão se aplicaNão se aplica",Mercado_Receita!$L$2:$L$693)</f>
        <v>0</v>
      </c>
      <c r="L34" s="12">
        <f>SUMIF(Mercado_Receita!$S$2:$S$693,"44378B2ConvencionalRuralCooperativa de eletrificação ruralNão se aplicaNão se aplicaPonta",Mercado_Receita!$L$2:$L$693)+SUMIF(Mercado_Receita!$S$2:$S$693,"44378B2ConvencionalRuralCooperativa de eletrificação ruralNão se aplicaNão se aplicaFora ponta",Mercado_Receita!$L$2:$L$693)+SUMIF(Mercado_Receita!$S$2:$S$693,"44378B2ConvencionalRuralCooperativa de eletrificação ruralNão se aplicaNão se aplicaIntermediário",Mercado_Receita!$L$2:$L$693)+SUMIF(Mercado_Receita!$S$2:$S$693,"44378B2ConvencionalRuralCooperativa de eletrificação ruralNão se aplicaNão se aplicaNão se aplica",Mercado_Receita!$L$2:$L$693)</f>
        <v>0</v>
      </c>
      <c r="M34" s="12">
        <f>SUMIF(Mercado_Receita!$S$2:$S$693,"44409B2ConvencionalRuralCooperativa de eletrificação ruralNão se aplicaNão se aplicaPonta",Mercado_Receita!$L$2:$L$693)+SUMIF(Mercado_Receita!$S$2:$S$693,"44409B2ConvencionalRuralCooperativa de eletrificação ruralNão se aplicaNão se aplicaFora ponta",Mercado_Receita!$L$2:$L$693)+SUMIF(Mercado_Receita!$S$2:$S$693,"44409B2ConvencionalRuralCooperativa de eletrificação ruralNão se aplicaNão se aplicaIntermediário",Mercado_Receita!$L$2:$L$693)+SUMIF(Mercado_Receita!$S$2:$S$693,"44409B2ConvencionalRuralCooperativa de eletrificação ruralNão se aplicaNão se aplicaNão se aplica",Mercado_Receita!$L$2:$L$693)</f>
        <v>0</v>
      </c>
      <c r="N34" s="12">
        <f>SUMIF(Mercado_Receita!$S$2:$S$693,"44440B2ConvencionalRuralCooperativa de eletrificação ruralNão se aplicaNão se aplicaPonta",Mercado_Receita!$L$2:$L$693)+SUMIF(Mercado_Receita!$S$2:$S$693,"44440B2ConvencionalRuralCooperativa de eletrificação ruralNão se aplicaNão se aplicaFora ponta",Mercado_Receita!$L$2:$L$693)+SUMIF(Mercado_Receita!$S$2:$S$693,"44440B2ConvencionalRuralCooperativa de eletrificação ruralNão se aplicaNão se aplicaIntermediário",Mercado_Receita!$L$2:$L$693)+SUMIF(Mercado_Receita!$S$2:$S$693,"44440B2ConvencionalRuralCooperativa de eletrificação ruralNão se aplicaNão se aplicaNão se aplica",Mercado_Receita!$L$2:$L$693)</f>
        <v>0</v>
      </c>
      <c r="O34" s="12">
        <f>SUMIF(Mercado_Receita!$S$2:$S$693,"44470B2ConvencionalRuralCooperativa de eletrificação ruralNão se aplicaNão se aplicaPonta",Mercado_Receita!$L$2:$L$693)+SUMIF(Mercado_Receita!$S$2:$S$693,"44470B2ConvencionalRuralCooperativa de eletrificação ruralNão se aplicaNão se aplicaFora ponta",Mercado_Receita!$L$2:$L$693)+SUMIF(Mercado_Receita!$S$2:$S$693,"44470B2ConvencionalRuralCooperativa de eletrificação ruralNão se aplicaNão se aplicaIntermediário",Mercado_Receita!$L$2:$L$693)+SUMIF(Mercado_Receita!$S$2:$S$693,"44470B2ConvencionalRuralCooperativa de eletrificação ruralNão se aplicaNão se aplicaNão se aplica",Mercado_Receita!$L$2:$L$693)</f>
        <v>0</v>
      </c>
      <c r="P34" s="12">
        <f>SUMIF(Mercado_Receita!$S$2:$S$693,"44501B2ConvencionalRuralCooperativa de eletrificação ruralNão se aplicaNão se aplicaPonta",Mercado_Receita!$L$2:$L$693)+SUMIF(Mercado_Receita!$S$2:$S$693,"44501B2ConvencionalRuralCooperativa de eletrificação ruralNão se aplicaNão se aplicaFora ponta",Mercado_Receita!$L$2:$L$693)+SUMIF(Mercado_Receita!$S$2:$S$693,"44501B2ConvencionalRuralCooperativa de eletrificação ruralNão se aplicaNão se aplicaIntermediário",Mercado_Receita!$L$2:$L$693)+SUMIF(Mercado_Receita!$S$2:$S$693,"44501B2ConvencionalRuralCooperativa de eletrificação ruralNão se aplicaNão se aplicaNão se aplica",Mercado_Receita!$L$2:$L$693)</f>
        <v>0</v>
      </c>
      <c r="Q34" s="12">
        <f>SUMIF(Mercado_Receita!$S$2:$S$693,"44531B2ConvencionalRuralCooperativa de eletrificação ruralNão se aplicaNão se aplicaPonta",Mercado_Receita!$L$2:$L$693)+SUMIF(Mercado_Receita!$S$2:$S$693,"44531B2ConvencionalRuralCooperativa de eletrificação ruralNão se aplicaNão se aplicaFora ponta",Mercado_Receita!$L$2:$L$693)+SUMIF(Mercado_Receita!$S$2:$S$693,"44531B2ConvencionalRuralCooperativa de eletrificação ruralNão se aplicaNão se aplicaIntermediário",Mercado_Receita!$L$2:$L$693)+SUMIF(Mercado_Receita!$S$2:$S$693,"44531B2ConvencionalRuralCooperativa de eletrificação ruralNão se aplicaNão se aplicaNão se aplica",Mercado_Receita!$L$2:$L$693)</f>
        <v>0</v>
      </c>
      <c r="R34" s="12">
        <f>SUMIF(Mercado_Receita!$S$2:$S$693,"44562B2ConvencionalRuralCooperativa de eletrificação ruralNão se aplicaNão se aplicaPonta",Mercado_Receita!$L$2:$L$693)+SUMIF(Mercado_Receita!$S$2:$S$693,"44562B2ConvencionalRuralCooperativa de eletrificação ruralNão se aplicaNão se aplicaFora ponta",Mercado_Receita!$L$2:$L$693)+SUMIF(Mercado_Receita!$S$2:$S$693,"44562B2ConvencionalRuralCooperativa de eletrificação ruralNão se aplicaNão se aplicaIntermediário",Mercado_Receita!$L$2:$L$693)+SUMIF(Mercado_Receita!$S$2:$S$693,"44562B2ConvencionalRuralCooperativa de eletrificação ruralNão se aplicaNão se aplicaNão se aplica",Mercado_Receita!$L$2:$L$693)</f>
        <v>0</v>
      </c>
      <c r="S34" s="12">
        <f>SUMIF(Mercado_Receita!$S$2:$S$693,"44593B2ConvencionalRuralCooperativa de eletrificação ruralNão se aplicaNão se aplicaPonta",Mercado_Receita!$L$2:$L$693)+SUMIF(Mercado_Receita!$S$2:$S$693,"44593B2ConvencionalRuralCooperativa de eletrificação ruralNão se aplicaNão se aplicaFora ponta",Mercado_Receita!$L$2:$L$693)+SUMIF(Mercado_Receita!$S$2:$S$693,"44593B2ConvencionalRuralCooperativa de eletrificação ruralNão se aplicaNão se aplicaIntermediário",Mercado_Receita!$L$2:$L$693)+SUMIF(Mercado_Receita!$S$2:$S$693,"44593B2ConvencionalRuralCooperativa de eletrificação ruralNão se aplicaNão se aplicaNão se aplica",Mercado_Receita!$L$2:$L$693)</f>
        <v>0</v>
      </c>
      <c r="T34" s="12">
        <f>SUMIF(Mercado_Receita!$S$2:$S$693,"44621B2ConvencionalRuralCooperativa de eletrificação ruralNão se aplicaNão se aplicaPonta",Mercado_Receita!$L$2:$L$693)+SUMIF(Mercado_Receita!$S$2:$S$693,"44621B2ConvencionalRuralCooperativa de eletrificação ruralNão se aplicaNão se aplicaFora ponta",Mercado_Receita!$L$2:$L$693)+SUMIF(Mercado_Receita!$S$2:$S$693,"44621B2ConvencionalRuralCooperativa de eletrificação ruralNão se aplicaNão se aplicaIntermediário",Mercado_Receita!$L$2:$L$693)+SUMIF(Mercado_Receita!$S$2:$S$693,"44621B2ConvencionalRuralCooperativa de eletrificação ruralNão se aplicaNão se aplicaNão se aplica",Mercado_Receita!$L$2:$L$693)</f>
        <v>0</v>
      </c>
      <c r="U34" s="12">
        <f t="shared" si="0"/>
        <v>0</v>
      </c>
      <c r="V34" s="12"/>
      <c r="W34" s="12"/>
    </row>
    <row r="35" spans="1:23" ht="11.25" customHeight="1" x14ac:dyDescent="0.25">
      <c r="A35" s="116"/>
      <c r="B35" s="115" t="s">
        <v>87</v>
      </c>
      <c r="C35" s="115" t="s">
        <v>41</v>
      </c>
      <c r="D35" s="115" t="s">
        <v>91</v>
      </c>
      <c r="E35" s="115" t="s">
        <v>25</v>
      </c>
      <c r="F35" s="115" t="s">
        <v>25</v>
      </c>
      <c r="G35" s="12" t="s">
        <v>74</v>
      </c>
      <c r="H35" s="12" t="s">
        <v>73</v>
      </c>
      <c r="I35" s="12">
        <f>SUMIF(Mercado_Receita!$S$2:$S$693,"44287B2BrancaRuralServiço público de irrigação ruralNão se aplicaNão se aplicaPonta",Mercado_Receita!$L$2:$L$693)</f>
        <v>0</v>
      </c>
      <c r="J35" s="12">
        <f>SUMIF(Mercado_Receita!$S$2:$S$693,"44317B2BrancaRuralServiço público de irrigação ruralNão se aplicaNão se aplicaPonta",Mercado_Receita!$L$2:$L$693)</f>
        <v>0</v>
      </c>
      <c r="K35" s="12">
        <f>SUMIF(Mercado_Receita!$S$2:$S$693,"44348B2BrancaRuralServiço público de irrigação ruralNão se aplicaNão se aplicaPonta",Mercado_Receita!$L$2:$L$693)</f>
        <v>0</v>
      </c>
      <c r="L35" s="12">
        <f>SUMIF(Mercado_Receita!$S$2:$S$693,"44378B2BrancaRuralServiço público de irrigação ruralNão se aplicaNão se aplicaPonta",Mercado_Receita!$L$2:$L$693)</f>
        <v>0</v>
      </c>
      <c r="M35" s="12">
        <f>SUMIF(Mercado_Receita!$S$2:$S$693,"44409B2BrancaRuralServiço público de irrigação ruralNão se aplicaNão se aplicaPonta",Mercado_Receita!$L$2:$L$693)</f>
        <v>0</v>
      </c>
      <c r="N35" s="12">
        <f>SUMIF(Mercado_Receita!$S$2:$S$693,"44440B2BrancaRuralServiço público de irrigação ruralNão se aplicaNão se aplicaPonta",Mercado_Receita!$L$2:$L$693)</f>
        <v>0</v>
      </c>
      <c r="O35" s="12">
        <f>SUMIF(Mercado_Receita!$S$2:$S$693,"44470B2BrancaRuralServiço público de irrigação ruralNão se aplicaNão se aplicaPonta",Mercado_Receita!$L$2:$L$693)</f>
        <v>0</v>
      </c>
      <c r="P35" s="12">
        <f>SUMIF(Mercado_Receita!$S$2:$S$693,"44501B2BrancaRuralServiço público de irrigação ruralNão se aplicaNão se aplicaPonta",Mercado_Receita!$L$2:$L$693)</f>
        <v>0</v>
      </c>
      <c r="Q35" s="12">
        <f>SUMIF(Mercado_Receita!$S$2:$S$693,"44531B2BrancaRuralServiço público de irrigação ruralNão se aplicaNão se aplicaPonta",Mercado_Receita!$L$2:$L$693)</f>
        <v>0</v>
      </c>
      <c r="R35" s="12">
        <f>SUMIF(Mercado_Receita!$S$2:$S$693,"44562B2BrancaRuralServiço público de irrigação ruralNão se aplicaNão se aplicaPonta",Mercado_Receita!$L$2:$L$693)</f>
        <v>0</v>
      </c>
      <c r="S35" s="12">
        <f>SUMIF(Mercado_Receita!$S$2:$S$693,"44593B2BrancaRuralServiço público de irrigação ruralNão se aplicaNão se aplicaPonta",Mercado_Receita!$L$2:$L$693)</f>
        <v>0</v>
      </c>
      <c r="T35" s="12">
        <f>SUMIF(Mercado_Receita!$S$2:$S$693,"44621B2BrancaRuralServiço público de irrigação ruralNão se aplicaNão se aplicaPonta",Mercado_Receita!$L$2:$L$693)</f>
        <v>0</v>
      </c>
      <c r="U35" s="12">
        <f t="shared" si="0"/>
        <v>0</v>
      </c>
      <c r="V35" s="12"/>
      <c r="W35" s="12"/>
    </row>
    <row r="36" spans="1:23" ht="11.25" customHeight="1" x14ac:dyDescent="0.25">
      <c r="A36" s="116"/>
      <c r="B36" s="116"/>
      <c r="C36" s="116"/>
      <c r="D36" s="116"/>
      <c r="E36" s="116"/>
      <c r="F36" s="116"/>
      <c r="G36" s="12" t="s">
        <v>85</v>
      </c>
      <c r="H36" s="12" t="s">
        <v>73</v>
      </c>
      <c r="I36" s="12">
        <f>SUMIF(Mercado_Receita!$S$2:$S$693,"44287B2BrancaRuralServiço público de irrigação ruralNão se aplicaNão se aplicaIntermediário",Mercado_Receita!$L$2:$L$693)</f>
        <v>0</v>
      </c>
      <c r="J36" s="12">
        <f>SUMIF(Mercado_Receita!$S$2:$S$693,"44317B2BrancaRuralServiço público de irrigação ruralNão se aplicaNão se aplicaIntermediário",Mercado_Receita!$L$2:$L$693)</f>
        <v>0</v>
      </c>
      <c r="K36" s="12">
        <f>SUMIF(Mercado_Receita!$S$2:$S$693,"44348B2BrancaRuralServiço público de irrigação ruralNão se aplicaNão se aplicaIntermediário",Mercado_Receita!$L$2:$L$693)</f>
        <v>0</v>
      </c>
      <c r="L36" s="12">
        <f>SUMIF(Mercado_Receita!$S$2:$S$693,"44378B2BrancaRuralServiço público de irrigação ruralNão se aplicaNão se aplicaIntermediário",Mercado_Receita!$L$2:$L$693)</f>
        <v>0</v>
      </c>
      <c r="M36" s="12">
        <f>SUMIF(Mercado_Receita!$S$2:$S$693,"44409B2BrancaRuralServiço público de irrigação ruralNão se aplicaNão se aplicaIntermediário",Mercado_Receita!$L$2:$L$693)</f>
        <v>0</v>
      </c>
      <c r="N36" s="12">
        <f>SUMIF(Mercado_Receita!$S$2:$S$693,"44440B2BrancaRuralServiço público de irrigação ruralNão se aplicaNão se aplicaIntermediário",Mercado_Receita!$L$2:$L$693)</f>
        <v>0</v>
      </c>
      <c r="O36" s="12">
        <f>SUMIF(Mercado_Receita!$S$2:$S$693,"44470B2BrancaRuralServiço público de irrigação ruralNão se aplicaNão se aplicaIntermediário",Mercado_Receita!$L$2:$L$693)</f>
        <v>0</v>
      </c>
      <c r="P36" s="12">
        <f>SUMIF(Mercado_Receita!$S$2:$S$693,"44501B2BrancaRuralServiço público de irrigação ruralNão se aplicaNão se aplicaIntermediário",Mercado_Receita!$L$2:$L$693)</f>
        <v>0</v>
      </c>
      <c r="Q36" s="12">
        <f>SUMIF(Mercado_Receita!$S$2:$S$693,"44531B2BrancaRuralServiço público de irrigação ruralNão se aplicaNão se aplicaIntermediário",Mercado_Receita!$L$2:$L$693)</f>
        <v>0</v>
      </c>
      <c r="R36" s="12">
        <f>SUMIF(Mercado_Receita!$S$2:$S$693,"44562B2BrancaRuralServiço público de irrigação ruralNão se aplicaNão se aplicaIntermediário",Mercado_Receita!$L$2:$L$693)</f>
        <v>0</v>
      </c>
      <c r="S36" s="12">
        <f>SUMIF(Mercado_Receita!$S$2:$S$693,"44593B2BrancaRuralServiço público de irrigação ruralNão se aplicaNão se aplicaIntermediário",Mercado_Receita!$L$2:$L$693)</f>
        <v>0</v>
      </c>
      <c r="T36" s="12">
        <f>SUMIF(Mercado_Receita!$S$2:$S$693,"44621B2BrancaRuralServiço público de irrigação ruralNão se aplicaNão se aplicaIntermediário",Mercado_Receita!$L$2:$L$693)</f>
        <v>0</v>
      </c>
      <c r="U36" s="12">
        <f t="shared" si="0"/>
        <v>0</v>
      </c>
      <c r="V36" s="12"/>
      <c r="W36" s="12"/>
    </row>
    <row r="37" spans="1:23" ht="11.25" customHeight="1" x14ac:dyDescent="0.25">
      <c r="A37" s="116"/>
      <c r="B37" s="116"/>
      <c r="C37" s="116"/>
      <c r="D37" s="116"/>
      <c r="E37" s="116"/>
      <c r="F37" s="116"/>
      <c r="G37" s="12" t="s">
        <v>75</v>
      </c>
      <c r="H37" s="12" t="s">
        <v>73</v>
      </c>
      <c r="I37" s="12">
        <f>SUMIF(Mercado_Receita!$S$2:$S$693,"44287B2BrancaRuralServiço público de irrigação ruralNão se aplicaNão se aplicaFora ponta",Mercado_Receita!$L$2:$L$693)</f>
        <v>0</v>
      </c>
      <c r="J37" s="12">
        <f>SUMIF(Mercado_Receita!$S$2:$S$693,"44317B2BrancaRuralServiço público de irrigação ruralNão se aplicaNão se aplicaFora ponta",Mercado_Receita!$L$2:$L$693)</f>
        <v>0</v>
      </c>
      <c r="K37" s="12">
        <f>SUMIF(Mercado_Receita!$S$2:$S$693,"44348B2BrancaRuralServiço público de irrigação ruralNão se aplicaNão se aplicaFora ponta",Mercado_Receita!$L$2:$L$693)</f>
        <v>0</v>
      </c>
      <c r="L37" s="12">
        <f>SUMIF(Mercado_Receita!$S$2:$S$693,"44378B2BrancaRuralServiço público de irrigação ruralNão se aplicaNão se aplicaFora ponta",Mercado_Receita!$L$2:$L$693)</f>
        <v>0</v>
      </c>
      <c r="M37" s="12">
        <f>SUMIF(Mercado_Receita!$S$2:$S$693,"44409B2BrancaRuralServiço público de irrigação ruralNão se aplicaNão se aplicaFora ponta",Mercado_Receita!$L$2:$L$693)</f>
        <v>0</v>
      </c>
      <c r="N37" s="12">
        <f>SUMIF(Mercado_Receita!$S$2:$S$693,"44440B2BrancaRuralServiço público de irrigação ruralNão se aplicaNão se aplicaFora ponta",Mercado_Receita!$L$2:$L$693)</f>
        <v>0</v>
      </c>
      <c r="O37" s="12">
        <f>SUMIF(Mercado_Receita!$S$2:$S$693,"44470B2BrancaRuralServiço público de irrigação ruralNão se aplicaNão se aplicaFora ponta",Mercado_Receita!$L$2:$L$693)</f>
        <v>0</v>
      </c>
      <c r="P37" s="12">
        <f>SUMIF(Mercado_Receita!$S$2:$S$693,"44501B2BrancaRuralServiço público de irrigação ruralNão se aplicaNão se aplicaFora ponta",Mercado_Receita!$L$2:$L$693)</f>
        <v>0</v>
      </c>
      <c r="Q37" s="12">
        <f>SUMIF(Mercado_Receita!$S$2:$S$693,"44531B2BrancaRuralServiço público de irrigação ruralNão se aplicaNão se aplicaFora ponta",Mercado_Receita!$L$2:$L$693)</f>
        <v>0</v>
      </c>
      <c r="R37" s="12">
        <f>SUMIF(Mercado_Receita!$S$2:$S$693,"44562B2BrancaRuralServiço público de irrigação ruralNão se aplicaNão se aplicaFora ponta",Mercado_Receita!$L$2:$L$693)</f>
        <v>0</v>
      </c>
      <c r="S37" s="12">
        <f>SUMIF(Mercado_Receita!$S$2:$S$693,"44593B2BrancaRuralServiço público de irrigação ruralNão se aplicaNão se aplicaFora ponta",Mercado_Receita!$L$2:$L$693)</f>
        <v>0</v>
      </c>
      <c r="T37" s="12">
        <f>SUMIF(Mercado_Receita!$S$2:$S$693,"44621B2BrancaRuralServiço público de irrigação ruralNão se aplicaNão se aplicaFora ponta",Mercado_Receita!$L$2:$L$693)</f>
        <v>0</v>
      </c>
      <c r="U37" s="12">
        <f t="shared" si="0"/>
        <v>0</v>
      </c>
      <c r="V37" s="12"/>
      <c r="W37" s="12"/>
    </row>
    <row r="38" spans="1:23" ht="11.25" customHeight="1" x14ac:dyDescent="0.25">
      <c r="A38" s="116"/>
      <c r="B38" s="13" t="s">
        <v>23</v>
      </c>
      <c r="C38" s="13" t="s">
        <v>41</v>
      </c>
      <c r="D38" s="13" t="s">
        <v>91</v>
      </c>
      <c r="E38" s="13" t="s">
        <v>25</v>
      </c>
      <c r="F38" s="13" t="s">
        <v>25</v>
      </c>
      <c r="G38" s="12" t="s">
        <v>79</v>
      </c>
      <c r="H38" s="12" t="s">
        <v>73</v>
      </c>
      <c r="I38" s="12">
        <f>SUMIF(Mercado_Receita!$S$2:$S$693,"44287B2ConvencionalRuralServiço público de irrigação ruralNão se aplicaNão se aplicaPonta",Mercado_Receita!$L$2:$L$693)+SUMIF(Mercado_Receita!$S$2:$S$693,"44287B2ConvencionalRuralServiço público de irrigação ruralNão se aplicaNão se aplicaFora ponta",Mercado_Receita!$L$2:$L$693)+SUMIF(Mercado_Receita!$S$2:$S$693,"44287B2ConvencionalRuralServiço público de irrigação ruralNão se aplicaNão se aplicaIntermediário",Mercado_Receita!$L$2:$L$693)+SUMIF(Mercado_Receita!$S$2:$S$693,"44287B2ConvencionalRuralServiço público de irrigação ruralNão se aplicaNão se aplicaNão se aplica",Mercado_Receita!$L$2:$L$693)</f>
        <v>0</v>
      </c>
      <c r="J38" s="12">
        <f>SUMIF(Mercado_Receita!$S$2:$S$693,"44317B2ConvencionalRuralServiço público de irrigação ruralNão se aplicaNão se aplicaPonta",Mercado_Receita!$L$2:$L$693)+SUMIF(Mercado_Receita!$S$2:$S$693,"44317B2ConvencionalRuralServiço público de irrigação ruralNão se aplicaNão se aplicaFora ponta",Mercado_Receita!$L$2:$L$693)+SUMIF(Mercado_Receita!$S$2:$S$693,"44317B2ConvencionalRuralServiço público de irrigação ruralNão se aplicaNão se aplicaIntermediário",Mercado_Receita!$L$2:$L$693)+SUMIF(Mercado_Receita!$S$2:$S$693,"44317B2ConvencionalRuralServiço público de irrigação ruralNão se aplicaNão se aplicaNão se aplica",Mercado_Receita!$L$2:$L$693)</f>
        <v>0</v>
      </c>
      <c r="K38" s="12">
        <f>SUMIF(Mercado_Receita!$S$2:$S$693,"44348B2ConvencionalRuralServiço público de irrigação ruralNão se aplicaNão se aplicaPonta",Mercado_Receita!$L$2:$L$693)+SUMIF(Mercado_Receita!$S$2:$S$693,"44348B2ConvencionalRuralServiço público de irrigação ruralNão se aplicaNão se aplicaFora ponta",Mercado_Receita!$L$2:$L$693)+SUMIF(Mercado_Receita!$S$2:$S$693,"44348B2ConvencionalRuralServiço público de irrigação ruralNão se aplicaNão se aplicaIntermediário",Mercado_Receita!$L$2:$L$693)+SUMIF(Mercado_Receita!$S$2:$S$693,"44348B2ConvencionalRuralServiço público de irrigação ruralNão se aplicaNão se aplicaNão se aplica",Mercado_Receita!$L$2:$L$693)</f>
        <v>0</v>
      </c>
      <c r="L38" s="12">
        <f>SUMIF(Mercado_Receita!$S$2:$S$693,"44378B2ConvencionalRuralServiço público de irrigação ruralNão se aplicaNão se aplicaPonta",Mercado_Receita!$L$2:$L$693)+SUMIF(Mercado_Receita!$S$2:$S$693,"44378B2ConvencionalRuralServiço público de irrigação ruralNão se aplicaNão se aplicaFora ponta",Mercado_Receita!$L$2:$L$693)+SUMIF(Mercado_Receita!$S$2:$S$693,"44378B2ConvencionalRuralServiço público de irrigação ruralNão se aplicaNão se aplicaIntermediário",Mercado_Receita!$L$2:$L$693)+SUMIF(Mercado_Receita!$S$2:$S$693,"44378B2ConvencionalRuralServiço público de irrigação ruralNão se aplicaNão se aplicaNão se aplica",Mercado_Receita!$L$2:$L$693)</f>
        <v>0</v>
      </c>
      <c r="M38" s="12">
        <f>SUMIF(Mercado_Receita!$S$2:$S$693,"44409B2ConvencionalRuralServiço público de irrigação ruralNão se aplicaNão se aplicaPonta",Mercado_Receita!$L$2:$L$693)+SUMIF(Mercado_Receita!$S$2:$S$693,"44409B2ConvencionalRuralServiço público de irrigação ruralNão se aplicaNão se aplicaFora ponta",Mercado_Receita!$L$2:$L$693)+SUMIF(Mercado_Receita!$S$2:$S$693,"44409B2ConvencionalRuralServiço público de irrigação ruralNão se aplicaNão se aplicaIntermediário",Mercado_Receita!$L$2:$L$693)+SUMIF(Mercado_Receita!$S$2:$S$693,"44409B2ConvencionalRuralServiço público de irrigação ruralNão se aplicaNão se aplicaNão se aplica",Mercado_Receita!$L$2:$L$693)</f>
        <v>0</v>
      </c>
      <c r="N38" s="12">
        <f>SUMIF(Mercado_Receita!$S$2:$S$693,"44440B2ConvencionalRuralServiço público de irrigação ruralNão se aplicaNão se aplicaPonta",Mercado_Receita!$L$2:$L$693)+SUMIF(Mercado_Receita!$S$2:$S$693,"44440B2ConvencionalRuralServiço público de irrigação ruralNão se aplicaNão se aplicaFora ponta",Mercado_Receita!$L$2:$L$693)+SUMIF(Mercado_Receita!$S$2:$S$693,"44440B2ConvencionalRuralServiço público de irrigação ruralNão se aplicaNão se aplicaIntermediário",Mercado_Receita!$L$2:$L$693)+SUMIF(Mercado_Receita!$S$2:$S$693,"44440B2ConvencionalRuralServiço público de irrigação ruralNão se aplicaNão se aplicaNão se aplica",Mercado_Receita!$L$2:$L$693)</f>
        <v>0</v>
      </c>
      <c r="O38" s="12">
        <f>SUMIF(Mercado_Receita!$S$2:$S$693,"44470B2ConvencionalRuralServiço público de irrigação ruralNão se aplicaNão se aplicaPonta",Mercado_Receita!$L$2:$L$693)+SUMIF(Mercado_Receita!$S$2:$S$693,"44470B2ConvencionalRuralServiço público de irrigação ruralNão se aplicaNão se aplicaFora ponta",Mercado_Receita!$L$2:$L$693)+SUMIF(Mercado_Receita!$S$2:$S$693,"44470B2ConvencionalRuralServiço público de irrigação ruralNão se aplicaNão se aplicaIntermediário",Mercado_Receita!$L$2:$L$693)+SUMIF(Mercado_Receita!$S$2:$S$693,"44470B2ConvencionalRuralServiço público de irrigação ruralNão se aplicaNão se aplicaNão se aplica",Mercado_Receita!$L$2:$L$693)</f>
        <v>0</v>
      </c>
      <c r="P38" s="12">
        <f>SUMIF(Mercado_Receita!$S$2:$S$693,"44501B2ConvencionalRuralServiço público de irrigação ruralNão se aplicaNão se aplicaPonta",Mercado_Receita!$L$2:$L$693)+SUMIF(Mercado_Receita!$S$2:$S$693,"44501B2ConvencionalRuralServiço público de irrigação ruralNão se aplicaNão se aplicaFora ponta",Mercado_Receita!$L$2:$L$693)+SUMIF(Mercado_Receita!$S$2:$S$693,"44501B2ConvencionalRuralServiço público de irrigação ruralNão se aplicaNão se aplicaIntermediário",Mercado_Receita!$L$2:$L$693)+SUMIF(Mercado_Receita!$S$2:$S$693,"44501B2ConvencionalRuralServiço público de irrigação ruralNão se aplicaNão se aplicaNão se aplica",Mercado_Receita!$L$2:$L$693)</f>
        <v>0</v>
      </c>
      <c r="Q38" s="12">
        <f>SUMIF(Mercado_Receita!$S$2:$S$693,"44531B2ConvencionalRuralServiço público de irrigação ruralNão se aplicaNão se aplicaPonta",Mercado_Receita!$L$2:$L$693)+SUMIF(Mercado_Receita!$S$2:$S$693,"44531B2ConvencionalRuralServiço público de irrigação ruralNão se aplicaNão se aplicaFora ponta",Mercado_Receita!$L$2:$L$693)+SUMIF(Mercado_Receita!$S$2:$S$693,"44531B2ConvencionalRuralServiço público de irrigação ruralNão se aplicaNão se aplicaIntermediário",Mercado_Receita!$L$2:$L$693)+SUMIF(Mercado_Receita!$S$2:$S$693,"44531B2ConvencionalRuralServiço público de irrigação ruralNão se aplicaNão se aplicaNão se aplica",Mercado_Receita!$L$2:$L$693)</f>
        <v>0</v>
      </c>
      <c r="R38" s="12">
        <f>SUMIF(Mercado_Receita!$S$2:$S$693,"44562B2ConvencionalRuralServiço público de irrigação ruralNão se aplicaNão se aplicaPonta",Mercado_Receita!$L$2:$L$693)+SUMIF(Mercado_Receita!$S$2:$S$693,"44562B2ConvencionalRuralServiço público de irrigação ruralNão se aplicaNão se aplicaFora ponta",Mercado_Receita!$L$2:$L$693)+SUMIF(Mercado_Receita!$S$2:$S$693,"44562B2ConvencionalRuralServiço público de irrigação ruralNão se aplicaNão se aplicaIntermediário",Mercado_Receita!$L$2:$L$693)+SUMIF(Mercado_Receita!$S$2:$S$693,"44562B2ConvencionalRuralServiço público de irrigação ruralNão se aplicaNão se aplicaNão se aplica",Mercado_Receita!$L$2:$L$693)</f>
        <v>0</v>
      </c>
      <c r="S38" s="12">
        <f>SUMIF(Mercado_Receita!$S$2:$S$693,"44593B2ConvencionalRuralServiço público de irrigação ruralNão se aplicaNão se aplicaPonta",Mercado_Receita!$L$2:$L$693)+SUMIF(Mercado_Receita!$S$2:$S$693,"44593B2ConvencionalRuralServiço público de irrigação ruralNão se aplicaNão se aplicaFora ponta",Mercado_Receita!$L$2:$L$693)+SUMIF(Mercado_Receita!$S$2:$S$693,"44593B2ConvencionalRuralServiço público de irrigação ruralNão se aplicaNão se aplicaIntermediário",Mercado_Receita!$L$2:$L$693)+SUMIF(Mercado_Receita!$S$2:$S$693,"44593B2ConvencionalRuralServiço público de irrigação ruralNão se aplicaNão se aplicaNão se aplica",Mercado_Receita!$L$2:$L$693)</f>
        <v>0</v>
      </c>
      <c r="T38" s="12">
        <f>SUMIF(Mercado_Receita!$S$2:$S$693,"44621B2ConvencionalRuralServiço público de irrigação ruralNão se aplicaNão se aplicaPonta",Mercado_Receita!$L$2:$L$693)+SUMIF(Mercado_Receita!$S$2:$S$693,"44621B2ConvencionalRuralServiço público de irrigação ruralNão se aplicaNão se aplicaFora ponta",Mercado_Receita!$L$2:$L$693)+SUMIF(Mercado_Receita!$S$2:$S$693,"44621B2ConvencionalRuralServiço público de irrigação ruralNão se aplicaNão se aplicaIntermediário",Mercado_Receita!$L$2:$L$693)+SUMIF(Mercado_Receita!$S$2:$S$693,"44621B2ConvencionalRuralServiço público de irrigação ruralNão se aplicaNão se aplicaNão se aplica",Mercado_Receita!$L$2:$L$693)</f>
        <v>0</v>
      </c>
      <c r="U38" s="12">
        <f t="shared" si="0"/>
        <v>0</v>
      </c>
      <c r="V38" s="12"/>
      <c r="W38" s="12"/>
    </row>
    <row r="39" spans="1:23" ht="11.25" customHeight="1" x14ac:dyDescent="0.25">
      <c r="A39" s="116"/>
      <c r="B39" s="115" t="s">
        <v>89</v>
      </c>
      <c r="C39" s="115" t="s">
        <v>41</v>
      </c>
      <c r="D39" s="13" t="s">
        <v>25</v>
      </c>
      <c r="E39" s="13" t="s">
        <v>25</v>
      </c>
      <c r="F39" s="13" t="s">
        <v>25</v>
      </c>
      <c r="G39" s="12" t="s">
        <v>79</v>
      </c>
      <c r="H39" s="12" t="s">
        <v>73</v>
      </c>
      <c r="I39" s="12">
        <f>SUMIF(Mercado_Receita!$S$2:$S$693,"44287B2Convencional pré-pagamentoRuralNão se aplicaNão se aplicaNão se aplicaPonta",Mercado_Receita!$L$2:$L$693)+SUMIF(Mercado_Receita!$S$2:$S$693,"44287B2Convencional pré-pagamentoRuralNão se aplicaNão se aplicaNão se aplicaFora ponta",Mercado_Receita!$L$2:$L$693)+SUMIF(Mercado_Receita!$S$2:$S$693,"44287B2Convencional pré-pagamentoRuralNão se aplicaNão se aplicaNão se aplicaIntermediário",Mercado_Receita!$L$2:$L$693)+SUMIF(Mercado_Receita!$S$2:$S$693,"44287B2Convencional pré-pagamentoRuralNão se aplicaNão se aplicaNão se aplicaNão se aplica",Mercado_Receita!$L$2:$L$693)</f>
        <v>0</v>
      </c>
      <c r="J39" s="12">
        <f>SUMIF(Mercado_Receita!$S$2:$S$693,"44317B2Convencional pré-pagamentoRuralNão se aplicaNão se aplicaNão se aplicaPonta",Mercado_Receita!$L$2:$L$693)+SUMIF(Mercado_Receita!$S$2:$S$693,"44317B2Convencional pré-pagamentoRuralNão se aplicaNão se aplicaNão se aplicaFora ponta",Mercado_Receita!$L$2:$L$693)+SUMIF(Mercado_Receita!$S$2:$S$693,"44317B2Convencional pré-pagamentoRuralNão se aplicaNão se aplicaNão se aplicaIntermediário",Mercado_Receita!$L$2:$L$693)+SUMIF(Mercado_Receita!$S$2:$S$693,"44317B2Convencional pré-pagamentoRuralNão se aplicaNão se aplicaNão se aplicaNão se aplica",Mercado_Receita!$L$2:$L$693)</f>
        <v>0</v>
      </c>
      <c r="K39" s="12">
        <f>SUMIF(Mercado_Receita!$S$2:$S$693,"44348B2Convencional pré-pagamentoRuralNão se aplicaNão se aplicaNão se aplicaPonta",Mercado_Receita!$L$2:$L$693)+SUMIF(Mercado_Receita!$S$2:$S$693,"44348B2Convencional pré-pagamentoRuralNão se aplicaNão se aplicaNão se aplicaFora ponta",Mercado_Receita!$L$2:$L$693)+SUMIF(Mercado_Receita!$S$2:$S$693,"44348B2Convencional pré-pagamentoRuralNão se aplicaNão se aplicaNão se aplicaIntermediário",Mercado_Receita!$L$2:$L$693)+SUMIF(Mercado_Receita!$S$2:$S$693,"44348B2Convencional pré-pagamentoRuralNão se aplicaNão se aplicaNão se aplicaNão se aplica",Mercado_Receita!$L$2:$L$693)</f>
        <v>0</v>
      </c>
      <c r="L39" s="12">
        <f>SUMIF(Mercado_Receita!$S$2:$S$693,"44378B2Convencional pré-pagamentoRuralNão se aplicaNão se aplicaNão se aplicaPonta",Mercado_Receita!$L$2:$L$693)+SUMIF(Mercado_Receita!$S$2:$S$693,"44378B2Convencional pré-pagamentoRuralNão se aplicaNão se aplicaNão se aplicaFora ponta",Mercado_Receita!$L$2:$L$693)+SUMIF(Mercado_Receita!$S$2:$S$693,"44378B2Convencional pré-pagamentoRuralNão se aplicaNão se aplicaNão se aplicaIntermediário",Mercado_Receita!$L$2:$L$693)+SUMIF(Mercado_Receita!$S$2:$S$693,"44378B2Convencional pré-pagamentoRuralNão se aplicaNão se aplicaNão se aplicaNão se aplica",Mercado_Receita!$L$2:$L$693)</f>
        <v>0</v>
      </c>
      <c r="M39" s="12">
        <f>SUMIF(Mercado_Receita!$S$2:$S$693,"44409B2Convencional pré-pagamentoRuralNão se aplicaNão se aplicaNão se aplicaPonta",Mercado_Receita!$L$2:$L$693)+SUMIF(Mercado_Receita!$S$2:$S$693,"44409B2Convencional pré-pagamentoRuralNão se aplicaNão se aplicaNão se aplicaFora ponta",Mercado_Receita!$L$2:$L$693)+SUMIF(Mercado_Receita!$S$2:$S$693,"44409B2Convencional pré-pagamentoRuralNão se aplicaNão se aplicaNão se aplicaIntermediário",Mercado_Receita!$L$2:$L$693)+SUMIF(Mercado_Receita!$S$2:$S$693,"44409B2Convencional pré-pagamentoRuralNão se aplicaNão se aplicaNão se aplicaNão se aplica",Mercado_Receita!$L$2:$L$693)</f>
        <v>0</v>
      </c>
      <c r="N39" s="12">
        <f>SUMIF(Mercado_Receita!$S$2:$S$693,"44440B2Convencional pré-pagamentoRuralNão se aplicaNão se aplicaNão se aplicaPonta",Mercado_Receita!$L$2:$L$693)+SUMIF(Mercado_Receita!$S$2:$S$693,"44440B2Convencional pré-pagamentoRuralNão se aplicaNão se aplicaNão se aplicaFora ponta",Mercado_Receita!$L$2:$L$693)+SUMIF(Mercado_Receita!$S$2:$S$693,"44440B2Convencional pré-pagamentoRuralNão se aplicaNão se aplicaNão se aplicaIntermediário",Mercado_Receita!$L$2:$L$693)+SUMIF(Mercado_Receita!$S$2:$S$693,"44440B2Convencional pré-pagamentoRuralNão se aplicaNão se aplicaNão se aplicaNão se aplica",Mercado_Receita!$L$2:$L$693)</f>
        <v>0</v>
      </c>
      <c r="O39" s="12">
        <f>SUMIF(Mercado_Receita!$S$2:$S$693,"44470B2Convencional pré-pagamentoRuralNão se aplicaNão se aplicaNão se aplicaPonta",Mercado_Receita!$L$2:$L$693)+SUMIF(Mercado_Receita!$S$2:$S$693,"44470B2Convencional pré-pagamentoRuralNão se aplicaNão se aplicaNão se aplicaFora ponta",Mercado_Receita!$L$2:$L$693)+SUMIF(Mercado_Receita!$S$2:$S$693,"44470B2Convencional pré-pagamentoRuralNão se aplicaNão se aplicaNão se aplicaIntermediário",Mercado_Receita!$L$2:$L$693)+SUMIF(Mercado_Receita!$S$2:$S$693,"44470B2Convencional pré-pagamentoRuralNão se aplicaNão se aplicaNão se aplicaNão se aplica",Mercado_Receita!$L$2:$L$693)</f>
        <v>0</v>
      </c>
      <c r="P39" s="12">
        <f>SUMIF(Mercado_Receita!$S$2:$S$693,"44501B2Convencional pré-pagamentoRuralNão se aplicaNão se aplicaNão se aplicaPonta",Mercado_Receita!$L$2:$L$693)+SUMIF(Mercado_Receita!$S$2:$S$693,"44501B2Convencional pré-pagamentoRuralNão se aplicaNão se aplicaNão se aplicaFora ponta",Mercado_Receita!$L$2:$L$693)+SUMIF(Mercado_Receita!$S$2:$S$693,"44501B2Convencional pré-pagamentoRuralNão se aplicaNão se aplicaNão se aplicaIntermediário",Mercado_Receita!$L$2:$L$693)+SUMIF(Mercado_Receita!$S$2:$S$693,"44501B2Convencional pré-pagamentoRuralNão se aplicaNão se aplicaNão se aplicaNão se aplica",Mercado_Receita!$L$2:$L$693)</f>
        <v>0</v>
      </c>
      <c r="Q39" s="12">
        <f>SUMIF(Mercado_Receita!$S$2:$S$693,"44531B2Convencional pré-pagamentoRuralNão se aplicaNão se aplicaNão se aplicaPonta",Mercado_Receita!$L$2:$L$693)+SUMIF(Mercado_Receita!$S$2:$S$693,"44531B2Convencional pré-pagamentoRuralNão se aplicaNão se aplicaNão se aplicaFora ponta",Mercado_Receita!$L$2:$L$693)+SUMIF(Mercado_Receita!$S$2:$S$693,"44531B2Convencional pré-pagamentoRuralNão se aplicaNão se aplicaNão se aplicaIntermediário",Mercado_Receita!$L$2:$L$693)+SUMIF(Mercado_Receita!$S$2:$S$693,"44531B2Convencional pré-pagamentoRuralNão se aplicaNão se aplicaNão se aplicaNão se aplica",Mercado_Receita!$L$2:$L$693)</f>
        <v>0</v>
      </c>
      <c r="R39" s="12">
        <f>SUMIF(Mercado_Receita!$S$2:$S$693,"44562B2Convencional pré-pagamentoRuralNão se aplicaNão se aplicaNão se aplicaPonta",Mercado_Receita!$L$2:$L$693)+SUMIF(Mercado_Receita!$S$2:$S$693,"44562B2Convencional pré-pagamentoRuralNão se aplicaNão se aplicaNão se aplicaFora ponta",Mercado_Receita!$L$2:$L$693)+SUMIF(Mercado_Receita!$S$2:$S$693,"44562B2Convencional pré-pagamentoRuralNão se aplicaNão se aplicaNão se aplicaIntermediário",Mercado_Receita!$L$2:$L$693)+SUMIF(Mercado_Receita!$S$2:$S$693,"44562B2Convencional pré-pagamentoRuralNão se aplicaNão se aplicaNão se aplicaNão se aplica",Mercado_Receita!$L$2:$L$693)</f>
        <v>0</v>
      </c>
      <c r="S39" s="12">
        <f>SUMIF(Mercado_Receita!$S$2:$S$693,"44593B2Convencional pré-pagamentoRuralNão se aplicaNão se aplicaNão se aplicaPonta",Mercado_Receita!$L$2:$L$693)+SUMIF(Mercado_Receita!$S$2:$S$693,"44593B2Convencional pré-pagamentoRuralNão se aplicaNão se aplicaNão se aplicaFora ponta",Mercado_Receita!$L$2:$L$693)+SUMIF(Mercado_Receita!$S$2:$S$693,"44593B2Convencional pré-pagamentoRuralNão se aplicaNão se aplicaNão se aplicaIntermediário",Mercado_Receita!$L$2:$L$693)+SUMIF(Mercado_Receita!$S$2:$S$693,"44593B2Convencional pré-pagamentoRuralNão se aplicaNão se aplicaNão se aplicaNão se aplica",Mercado_Receita!$L$2:$L$693)</f>
        <v>0</v>
      </c>
      <c r="T39" s="12">
        <f>SUMIF(Mercado_Receita!$S$2:$S$693,"44621B2Convencional pré-pagamentoRuralNão se aplicaNão se aplicaNão se aplicaPonta",Mercado_Receita!$L$2:$L$693)+SUMIF(Mercado_Receita!$S$2:$S$693,"44621B2Convencional pré-pagamentoRuralNão se aplicaNão se aplicaNão se aplicaFora ponta",Mercado_Receita!$L$2:$L$693)+SUMIF(Mercado_Receita!$S$2:$S$693,"44621B2Convencional pré-pagamentoRuralNão se aplicaNão se aplicaNão se aplicaIntermediário",Mercado_Receita!$L$2:$L$693)+SUMIF(Mercado_Receita!$S$2:$S$693,"44621B2Convencional pré-pagamentoRuralNão se aplicaNão se aplicaNão se aplicaNão se aplica",Mercado_Receita!$L$2:$L$693)</f>
        <v>0</v>
      </c>
      <c r="U39" s="12">
        <f t="shared" si="0"/>
        <v>0</v>
      </c>
      <c r="V39" s="12"/>
      <c r="W39" s="12"/>
    </row>
    <row r="40" spans="1:23" ht="11.25" customHeight="1" x14ac:dyDescent="0.25">
      <c r="A40" s="116"/>
      <c r="B40" s="116"/>
      <c r="C40" s="116"/>
      <c r="D40" s="13" t="s">
        <v>90</v>
      </c>
      <c r="E40" s="13" t="s">
        <v>25</v>
      </c>
      <c r="F40" s="13" t="s">
        <v>25</v>
      </c>
      <c r="G40" s="12" t="s">
        <v>79</v>
      </c>
      <c r="H40" s="12" t="s">
        <v>73</v>
      </c>
      <c r="I40" s="12">
        <f>SUMIF(Mercado_Receita!$S$2:$S$693,"44287B2Convencional pré-pagamentoRuralCooperativa de eletrificação ruralNão se aplicaNão se aplicaPonta",Mercado_Receita!$L$2:$L$693)+SUMIF(Mercado_Receita!$S$2:$S$693,"44287B2Convencional pré-pagamentoRuralCooperativa de eletrificação ruralNão se aplicaNão se aplicaFora ponta",Mercado_Receita!$L$2:$L$693)+SUMIF(Mercado_Receita!$S$2:$S$693,"44287B2Convencional pré-pagamentoRuralCooperativa de eletrificação ruralNão se aplicaNão se aplicaIntermediário",Mercado_Receita!$L$2:$L$693)+SUMIF(Mercado_Receita!$S$2:$S$693,"44287B2Convencional pré-pagamentoRuralCooperativa de eletrificação ruralNão se aplicaNão se aplicaNão se aplica",Mercado_Receita!$L$2:$L$693)</f>
        <v>0</v>
      </c>
      <c r="J40" s="12">
        <f>SUMIF(Mercado_Receita!$S$2:$S$693,"44317B2Convencional pré-pagamentoRuralCooperativa de eletrificação ruralNão se aplicaNão se aplicaPonta",Mercado_Receita!$L$2:$L$693)+SUMIF(Mercado_Receita!$S$2:$S$693,"44317B2Convencional pré-pagamentoRuralCooperativa de eletrificação ruralNão se aplicaNão se aplicaFora ponta",Mercado_Receita!$L$2:$L$693)+SUMIF(Mercado_Receita!$S$2:$S$693,"44317B2Convencional pré-pagamentoRuralCooperativa de eletrificação ruralNão se aplicaNão se aplicaIntermediário",Mercado_Receita!$L$2:$L$693)+SUMIF(Mercado_Receita!$S$2:$S$693,"44317B2Convencional pré-pagamentoRuralCooperativa de eletrificação ruralNão se aplicaNão se aplicaNão se aplica",Mercado_Receita!$L$2:$L$693)</f>
        <v>0</v>
      </c>
      <c r="K40" s="12">
        <f>SUMIF(Mercado_Receita!$S$2:$S$693,"44348B2Convencional pré-pagamentoRuralCooperativa de eletrificação ruralNão se aplicaNão se aplicaPonta",Mercado_Receita!$L$2:$L$693)+SUMIF(Mercado_Receita!$S$2:$S$693,"44348B2Convencional pré-pagamentoRuralCooperativa de eletrificação ruralNão se aplicaNão se aplicaFora ponta",Mercado_Receita!$L$2:$L$693)+SUMIF(Mercado_Receita!$S$2:$S$693,"44348B2Convencional pré-pagamentoRuralCooperativa de eletrificação ruralNão se aplicaNão se aplicaIntermediário",Mercado_Receita!$L$2:$L$693)+SUMIF(Mercado_Receita!$S$2:$S$693,"44348B2Convencional pré-pagamentoRuralCooperativa de eletrificação ruralNão se aplicaNão se aplicaNão se aplica",Mercado_Receita!$L$2:$L$693)</f>
        <v>0</v>
      </c>
      <c r="L40" s="12">
        <f>SUMIF(Mercado_Receita!$S$2:$S$693,"44378B2Convencional pré-pagamentoRuralCooperativa de eletrificação ruralNão se aplicaNão se aplicaPonta",Mercado_Receita!$L$2:$L$693)+SUMIF(Mercado_Receita!$S$2:$S$693,"44378B2Convencional pré-pagamentoRuralCooperativa de eletrificação ruralNão se aplicaNão se aplicaFora ponta",Mercado_Receita!$L$2:$L$693)+SUMIF(Mercado_Receita!$S$2:$S$693,"44378B2Convencional pré-pagamentoRuralCooperativa de eletrificação ruralNão se aplicaNão se aplicaIntermediário",Mercado_Receita!$L$2:$L$693)+SUMIF(Mercado_Receita!$S$2:$S$693,"44378B2Convencional pré-pagamentoRuralCooperativa de eletrificação ruralNão se aplicaNão se aplicaNão se aplica",Mercado_Receita!$L$2:$L$693)</f>
        <v>0</v>
      </c>
      <c r="M40" s="12">
        <f>SUMIF(Mercado_Receita!$S$2:$S$693,"44409B2Convencional pré-pagamentoRuralCooperativa de eletrificação ruralNão se aplicaNão se aplicaPonta",Mercado_Receita!$L$2:$L$693)+SUMIF(Mercado_Receita!$S$2:$S$693,"44409B2Convencional pré-pagamentoRuralCooperativa de eletrificação ruralNão se aplicaNão se aplicaFora ponta",Mercado_Receita!$L$2:$L$693)+SUMIF(Mercado_Receita!$S$2:$S$693,"44409B2Convencional pré-pagamentoRuralCooperativa de eletrificação ruralNão se aplicaNão se aplicaIntermediário",Mercado_Receita!$L$2:$L$693)+SUMIF(Mercado_Receita!$S$2:$S$693,"44409B2Convencional pré-pagamentoRuralCooperativa de eletrificação ruralNão se aplicaNão se aplicaNão se aplica",Mercado_Receita!$L$2:$L$693)</f>
        <v>0</v>
      </c>
      <c r="N40" s="12">
        <f>SUMIF(Mercado_Receita!$S$2:$S$693,"44440B2Convencional pré-pagamentoRuralCooperativa de eletrificação ruralNão se aplicaNão se aplicaPonta",Mercado_Receita!$L$2:$L$693)+SUMIF(Mercado_Receita!$S$2:$S$693,"44440B2Convencional pré-pagamentoRuralCooperativa de eletrificação ruralNão se aplicaNão se aplicaFora ponta",Mercado_Receita!$L$2:$L$693)+SUMIF(Mercado_Receita!$S$2:$S$693,"44440B2Convencional pré-pagamentoRuralCooperativa de eletrificação ruralNão se aplicaNão se aplicaIntermediário",Mercado_Receita!$L$2:$L$693)+SUMIF(Mercado_Receita!$S$2:$S$693,"44440B2Convencional pré-pagamentoRuralCooperativa de eletrificação ruralNão se aplicaNão se aplicaNão se aplica",Mercado_Receita!$L$2:$L$693)</f>
        <v>0</v>
      </c>
      <c r="O40" s="12">
        <f>SUMIF(Mercado_Receita!$S$2:$S$693,"44470B2Convencional pré-pagamentoRuralCooperativa de eletrificação ruralNão se aplicaNão se aplicaPonta",Mercado_Receita!$L$2:$L$693)+SUMIF(Mercado_Receita!$S$2:$S$693,"44470B2Convencional pré-pagamentoRuralCooperativa de eletrificação ruralNão se aplicaNão se aplicaFora ponta",Mercado_Receita!$L$2:$L$693)+SUMIF(Mercado_Receita!$S$2:$S$693,"44470B2Convencional pré-pagamentoRuralCooperativa de eletrificação ruralNão se aplicaNão se aplicaIntermediário",Mercado_Receita!$L$2:$L$693)+SUMIF(Mercado_Receita!$S$2:$S$693,"44470B2Convencional pré-pagamentoRuralCooperativa de eletrificação ruralNão se aplicaNão se aplicaNão se aplica",Mercado_Receita!$L$2:$L$693)</f>
        <v>0</v>
      </c>
      <c r="P40" s="12">
        <f>SUMIF(Mercado_Receita!$S$2:$S$693,"44501B2Convencional pré-pagamentoRuralCooperativa de eletrificação ruralNão se aplicaNão se aplicaPonta",Mercado_Receita!$L$2:$L$693)+SUMIF(Mercado_Receita!$S$2:$S$693,"44501B2Convencional pré-pagamentoRuralCooperativa de eletrificação ruralNão se aplicaNão se aplicaFora ponta",Mercado_Receita!$L$2:$L$693)+SUMIF(Mercado_Receita!$S$2:$S$693,"44501B2Convencional pré-pagamentoRuralCooperativa de eletrificação ruralNão se aplicaNão se aplicaIntermediário",Mercado_Receita!$L$2:$L$693)+SUMIF(Mercado_Receita!$S$2:$S$693,"44501B2Convencional pré-pagamentoRuralCooperativa de eletrificação ruralNão se aplicaNão se aplicaNão se aplica",Mercado_Receita!$L$2:$L$693)</f>
        <v>0</v>
      </c>
      <c r="Q40" s="12">
        <f>SUMIF(Mercado_Receita!$S$2:$S$693,"44531B2Convencional pré-pagamentoRuralCooperativa de eletrificação ruralNão se aplicaNão se aplicaPonta",Mercado_Receita!$L$2:$L$693)+SUMIF(Mercado_Receita!$S$2:$S$693,"44531B2Convencional pré-pagamentoRuralCooperativa de eletrificação ruralNão se aplicaNão se aplicaFora ponta",Mercado_Receita!$L$2:$L$693)+SUMIF(Mercado_Receita!$S$2:$S$693,"44531B2Convencional pré-pagamentoRuralCooperativa de eletrificação ruralNão se aplicaNão se aplicaIntermediário",Mercado_Receita!$L$2:$L$693)+SUMIF(Mercado_Receita!$S$2:$S$693,"44531B2Convencional pré-pagamentoRuralCooperativa de eletrificação ruralNão se aplicaNão se aplicaNão se aplica",Mercado_Receita!$L$2:$L$693)</f>
        <v>0</v>
      </c>
      <c r="R40" s="12">
        <f>SUMIF(Mercado_Receita!$S$2:$S$693,"44562B2Convencional pré-pagamentoRuralCooperativa de eletrificação ruralNão se aplicaNão se aplicaPonta",Mercado_Receita!$L$2:$L$693)+SUMIF(Mercado_Receita!$S$2:$S$693,"44562B2Convencional pré-pagamentoRuralCooperativa de eletrificação ruralNão se aplicaNão se aplicaFora ponta",Mercado_Receita!$L$2:$L$693)+SUMIF(Mercado_Receita!$S$2:$S$693,"44562B2Convencional pré-pagamentoRuralCooperativa de eletrificação ruralNão se aplicaNão se aplicaIntermediário",Mercado_Receita!$L$2:$L$693)+SUMIF(Mercado_Receita!$S$2:$S$693,"44562B2Convencional pré-pagamentoRuralCooperativa de eletrificação ruralNão se aplicaNão se aplicaNão se aplica",Mercado_Receita!$L$2:$L$693)</f>
        <v>0</v>
      </c>
      <c r="S40" s="12">
        <f>SUMIF(Mercado_Receita!$S$2:$S$693,"44593B2Convencional pré-pagamentoRuralCooperativa de eletrificação ruralNão se aplicaNão se aplicaPonta",Mercado_Receita!$L$2:$L$693)+SUMIF(Mercado_Receita!$S$2:$S$693,"44593B2Convencional pré-pagamentoRuralCooperativa de eletrificação ruralNão se aplicaNão se aplicaFora ponta",Mercado_Receita!$L$2:$L$693)+SUMIF(Mercado_Receita!$S$2:$S$693,"44593B2Convencional pré-pagamentoRuralCooperativa de eletrificação ruralNão se aplicaNão se aplicaIntermediário",Mercado_Receita!$L$2:$L$693)+SUMIF(Mercado_Receita!$S$2:$S$693,"44593B2Convencional pré-pagamentoRuralCooperativa de eletrificação ruralNão se aplicaNão se aplicaNão se aplica",Mercado_Receita!$L$2:$L$693)</f>
        <v>0</v>
      </c>
      <c r="T40" s="12">
        <f>SUMIF(Mercado_Receita!$S$2:$S$693,"44621B2Convencional pré-pagamentoRuralCooperativa de eletrificação ruralNão se aplicaNão se aplicaPonta",Mercado_Receita!$L$2:$L$693)+SUMIF(Mercado_Receita!$S$2:$S$693,"44621B2Convencional pré-pagamentoRuralCooperativa de eletrificação ruralNão se aplicaNão se aplicaFora ponta",Mercado_Receita!$L$2:$L$693)+SUMIF(Mercado_Receita!$S$2:$S$693,"44621B2Convencional pré-pagamentoRuralCooperativa de eletrificação ruralNão se aplicaNão se aplicaIntermediário",Mercado_Receita!$L$2:$L$693)+SUMIF(Mercado_Receita!$S$2:$S$693,"44621B2Convencional pré-pagamentoRuralCooperativa de eletrificação ruralNão se aplicaNão se aplicaNão se aplica",Mercado_Receita!$L$2:$L$693)</f>
        <v>0</v>
      </c>
      <c r="U40" s="12">
        <f t="shared" si="0"/>
        <v>0</v>
      </c>
      <c r="V40" s="12"/>
      <c r="W40" s="12"/>
    </row>
    <row r="41" spans="1:23" ht="11.25" customHeight="1" x14ac:dyDescent="0.25">
      <c r="A41" s="116"/>
      <c r="B41" s="116"/>
      <c r="C41" s="116"/>
      <c r="D41" s="13" t="s">
        <v>91</v>
      </c>
      <c r="E41" s="13" t="s">
        <v>25</v>
      </c>
      <c r="F41" s="13" t="s">
        <v>25</v>
      </c>
      <c r="G41" s="12" t="s">
        <v>79</v>
      </c>
      <c r="H41" s="12" t="s">
        <v>73</v>
      </c>
      <c r="I41" s="12">
        <f>SUMIF(Mercado_Receita!$S$2:$S$693,"44287B2Convencional pré-pagamentoRuralServiço público de irrigação ruralNão se aplicaNão se aplicaPonta",Mercado_Receita!$L$2:$L$693)+SUMIF(Mercado_Receita!$S$2:$S$693,"44287B2Convencional pré-pagamentoRuralServiço público de irrigação ruralNão se aplicaNão se aplicaFora ponta",Mercado_Receita!$L$2:$L$693)+SUMIF(Mercado_Receita!$S$2:$S$693,"44287B2Convencional pré-pagamentoRuralServiço público de irrigação ruralNão se aplicaNão se aplicaIntermediário",Mercado_Receita!$L$2:$L$693)+SUMIF(Mercado_Receita!$S$2:$S$693,"44287B2Convencional pré-pagamentoRuralServiço público de irrigação ruralNão se aplicaNão se aplicaNão se aplica",Mercado_Receita!$L$2:$L$693)</f>
        <v>0</v>
      </c>
      <c r="J41" s="12">
        <f>SUMIF(Mercado_Receita!$S$2:$S$693,"44317B2Convencional pré-pagamentoRuralServiço público de irrigação ruralNão se aplicaNão se aplicaPonta",Mercado_Receita!$L$2:$L$693)+SUMIF(Mercado_Receita!$S$2:$S$693,"44317B2Convencional pré-pagamentoRuralServiço público de irrigação ruralNão se aplicaNão se aplicaFora ponta",Mercado_Receita!$L$2:$L$693)+SUMIF(Mercado_Receita!$S$2:$S$693,"44317B2Convencional pré-pagamentoRuralServiço público de irrigação ruralNão se aplicaNão se aplicaIntermediário",Mercado_Receita!$L$2:$L$693)+SUMIF(Mercado_Receita!$S$2:$S$693,"44317B2Convencional pré-pagamentoRuralServiço público de irrigação ruralNão se aplicaNão se aplicaNão se aplica",Mercado_Receita!$L$2:$L$693)</f>
        <v>0</v>
      </c>
      <c r="K41" s="12">
        <f>SUMIF(Mercado_Receita!$S$2:$S$693,"44348B2Convencional pré-pagamentoRuralServiço público de irrigação ruralNão se aplicaNão se aplicaPonta",Mercado_Receita!$L$2:$L$693)+SUMIF(Mercado_Receita!$S$2:$S$693,"44348B2Convencional pré-pagamentoRuralServiço público de irrigação ruralNão se aplicaNão se aplicaFora ponta",Mercado_Receita!$L$2:$L$693)+SUMIF(Mercado_Receita!$S$2:$S$693,"44348B2Convencional pré-pagamentoRuralServiço público de irrigação ruralNão se aplicaNão se aplicaIntermediário",Mercado_Receita!$L$2:$L$693)+SUMIF(Mercado_Receita!$S$2:$S$693,"44348B2Convencional pré-pagamentoRuralServiço público de irrigação ruralNão se aplicaNão se aplicaNão se aplica",Mercado_Receita!$L$2:$L$693)</f>
        <v>0</v>
      </c>
      <c r="L41" s="12">
        <f>SUMIF(Mercado_Receita!$S$2:$S$693,"44378B2Convencional pré-pagamentoRuralServiço público de irrigação ruralNão se aplicaNão se aplicaPonta",Mercado_Receita!$L$2:$L$693)+SUMIF(Mercado_Receita!$S$2:$S$693,"44378B2Convencional pré-pagamentoRuralServiço público de irrigação ruralNão se aplicaNão se aplicaFora ponta",Mercado_Receita!$L$2:$L$693)+SUMIF(Mercado_Receita!$S$2:$S$693,"44378B2Convencional pré-pagamentoRuralServiço público de irrigação ruralNão se aplicaNão se aplicaIntermediário",Mercado_Receita!$L$2:$L$693)+SUMIF(Mercado_Receita!$S$2:$S$693,"44378B2Convencional pré-pagamentoRuralServiço público de irrigação ruralNão se aplicaNão se aplicaNão se aplica",Mercado_Receita!$L$2:$L$693)</f>
        <v>0</v>
      </c>
      <c r="M41" s="12">
        <f>SUMIF(Mercado_Receita!$S$2:$S$693,"44409B2Convencional pré-pagamentoRuralServiço público de irrigação ruralNão se aplicaNão se aplicaPonta",Mercado_Receita!$L$2:$L$693)+SUMIF(Mercado_Receita!$S$2:$S$693,"44409B2Convencional pré-pagamentoRuralServiço público de irrigação ruralNão se aplicaNão se aplicaFora ponta",Mercado_Receita!$L$2:$L$693)+SUMIF(Mercado_Receita!$S$2:$S$693,"44409B2Convencional pré-pagamentoRuralServiço público de irrigação ruralNão se aplicaNão se aplicaIntermediário",Mercado_Receita!$L$2:$L$693)+SUMIF(Mercado_Receita!$S$2:$S$693,"44409B2Convencional pré-pagamentoRuralServiço público de irrigação ruralNão se aplicaNão se aplicaNão se aplica",Mercado_Receita!$L$2:$L$693)</f>
        <v>0</v>
      </c>
      <c r="N41" s="12">
        <f>SUMIF(Mercado_Receita!$S$2:$S$693,"44440B2Convencional pré-pagamentoRuralServiço público de irrigação ruralNão se aplicaNão se aplicaPonta",Mercado_Receita!$L$2:$L$693)+SUMIF(Mercado_Receita!$S$2:$S$693,"44440B2Convencional pré-pagamentoRuralServiço público de irrigação ruralNão se aplicaNão se aplicaFora ponta",Mercado_Receita!$L$2:$L$693)+SUMIF(Mercado_Receita!$S$2:$S$693,"44440B2Convencional pré-pagamentoRuralServiço público de irrigação ruralNão se aplicaNão se aplicaIntermediário",Mercado_Receita!$L$2:$L$693)+SUMIF(Mercado_Receita!$S$2:$S$693,"44440B2Convencional pré-pagamentoRuralServiço público de irrigação ruralNão se aplicaNão se aplicaNão se aplica",Mercado_Receita!$L$2:$L$693)</f>
        <v>0</v>
      </c>
      <c r="O41" s="12">
        <f>SUMIF(Mercado_Receita!$S$2:$S$693,"44470B2Convencional pré-pagamentoRuralServiço público de irrigação ruralNão se aplicaNão se aplicaPonta",Mercado_Receita!$L$2:$L$693)+SUMIF(Mercado_Receita!$S$2:$S$693,"44470B2Convencional pré-pagamentoRuralServiço público de irrigação ruralNão se aplicaNão se aplicaFora ponta",Mercado_Receita!$L$2:$L$693)+SUMIF(Mercado_Receita!$S$2:$S$693,"44470B2Convencional pré-pagamentoRuralServiço público de irrigação ruralNão se aplicaNão se aplicaIntermediário",Mercado_Receita!$L$2:$L$693)+SUMIF(Mercado_Receita!$S$2:$S$693,"44470B2Convencional pré-pagamentoRuralServiço público de irrigação ruralNão se aplicaNão se aplicaNão se aplica",Mercado_Receita!$L$2:$L$693)</f>
        <v>0</v>
      </c>
      <c r="P41" s="12">
        <f>SUMIF(Mercado_Receita!$S$2:$S$693,"44501B2Convencional pré-pagamentoRuralServiço público de irrigação ruralNão se aplicaNão se aplicaPonta",Mercado_Receita!$L$2:$L$693)+SUMIF(Mercado_Receita!$S$2:$S$693,"44501B2Convencional pré-pagamentoRuralServiço público de irrigação ruralNão se aplicaNão se aplicaFora ponta",Mercado_Receita!$L$2:$L$693)+SUMIF(Mercado_Receita!$S$2:$S$693,"44501B2Convencional pré-pagamentoRuralServiço público de irrigação ruralNão se aplicaNão se aplicaIntermediário",Mercado_Receita!$L$2:$L$693)+SUMIF(Mercado_Receita!$S$2:$S$693,"44501B2Convencional pré-pagamentoRuralServiço público de irrigação ruralNão se aplicaNão se aplicaNão se aplica",Mercado_Receita!$L$2:$L$693)</f>
        <v>0</v>
      </c>
      <c r="Q41" s="12">
        <f>SUMIF(Mercado_Receita!$S$2:$S$693,"44531B2Convencional pré-pagamentoRuralServiço público de irrigação ruralNão se aplicaNão se aplicaPonta",Mercado_Receita!$L$2:$L$693)+SUMIF(Mercado_Receita!$S$2:$S$693,"44531B2Convencional pré-pagamentoRuralServiço público de irrigação ruralNão se aplicaNão se aplicaFora ponta",Mercado_Receita!$L$2:$L$693)+SUMIF(Mercado_Receita!$S$2:$S$693,"44531B2Convencional pré-pagamentoRuralServiço público de irrigação ruralNão se aplicaNão se aplicaIntermediário",Mercado_Receita!$L$2:$L$693)+SUMIF(Mercado_Receita!$S$2:$S$693,"44531B2Convencional pré-pagamentoRuralServiço público de irrigação ruralNão se aplicaNão se aplicaNão se aplica",Mercado_Receita!$L$2:$L$693)</f>
        <v>0</v>
      </c>
      <c r="R41" s="12">
        <f>SUMIF(Mercado_Receita!$S$2:$S$693,"44562B2Convencional pré-pagamentoRuralServiço público de irrigação ruralNão se aplicaNão se aplicaPonta",Mercado_Receita!$L$2:$L$693)+SUMIF(Mercado_Receita!$S$2:$S$693,"44562B2Convencional pré-pagamentoRuralServiço público de irrigação ruralNão se aplicaNão se aplicaFora ponta",Mercado_Receita!$L$2:$L$693)+SUMIF(Mercado_Receita!$S$2:$S$693,"44562B2Convencional pré-pagamentoRuralServiço público de irrigação ruralNão se aplicaNão se aplicaIntermediário",Mercado_Receita!$L$2:$L$693)+SUMIF(Mercado_Receita!$S$2:$S$693,"44562B2Convencional pré-pagamentoRuralServiço público de irrigação ruralNão se aplicaNão se aplicaNão se aplica",Mercado_Receita!$L$2:$L$693)</f>
        <v>0</v>
      </c>
      <c r="S41" s="12">
        <f>SUMIF(Mercado_Receita!$S$2:$S$693,"44593B2Convencional pré-pagamentoRuralServiço público de irrigação ruralNão se aplicaNão se aplicaPonta",Mercado_Receita!$L$2:$L$693)+SUMIF(Mercado_Receita!$S$2:$S$693,"44593B2Convencional pré-pagamentoRuralServiço público de irrigação ruralNão se aplicaNão se aplicaFora ponta",Mercado_Receita!$L$2:$L$693)+SUMIF(Mercado_Receita!$S$2:$S$693,"44593B2Convencional pré-pagamentoRuralServiço público de irrigação ruralNão se aplicaNão se aplicaIntermediário",Mercado_Receita!$L$2:$L$693)+SUMIF(Mercado_Receita!$S$2:$S$693,"44593B2Convencional pré-pagamentoRuralServiço público de irrigação ruralNão se aplicaNão se aplicaNão se aplica",Mercado_Receita!$L$2:$L$693)</f>
        <v>0</v>
      </c>
      <c r="T41" s="12">
        <f>SUMIF(Mercado_Receita!$S$2:$S$693,"44621B2Convencional pré-pagamentoRuralServiço público de irrigação ruralNão se aplicaNão se aplicaPonta",Mercado_Receita!$L$2:$L$693)+SUMIF(Mercado_Receita!$S$2:$S$693,"44621B2Convencional pré-pagamentoRuralServiço público de irrigação ruralNão se aplicaNão se aplicaFora ponta",Mercado_Receita!$L$2:$L$693)+SUMIF(Mercado_Receita!$S$2:$S$693,"44621B2Convencional pré-pagamentoRuralServiço público de irrigação ruralNão se aplicaNão se aplicaIntermediário",Mercado_Receita!$L$2:$L$693)+SUMIF(Mercado_Receita!$S$2:$S$693,"44621B2Convencional pré-pagamentoRuralServiço público de irrigação ruralNão se aplicaNão se aplicaNão se aplica",Mercado_Receita!$L$2:$L$693)</f>
        <v>0</v>
      </c>
      <c r="U41" s="12">
        <f t="shared" si="0"/>
        <v>0</v>
      </c>
      <c r="V41" s="12"/>
      <c r="W41" s="12"/>
    </row>
    <row r="42" spans="1:23" ht="11.25" customHeight="1" x14ac:dyDescent="0.25">
      <c r="A42" s="115" t="s">
        <v>37</v>
      </c>
      <c r="B42" s="115" t="s">
        <v>87</v>
      </c>
      <c r="C42" s="115" t="s">
        <v>25</v>
      </c>
      <c r="D42" s="115" t="s">
        <v>25</v>
      </c>
      <c r="E42" s="115" t="s">
        <v>25</v>
      </c>
      <c r="F42" s="115" t="s">
        <v>25</v>
      </c>
      <c r="G42" s="12" t="s">
        <v>74</v>
      </c>
      <c r="H42" s="12" t="s">
        <v>73</v>
      </c>
      <c r="I42" s="12">
        <f>SUMIF(Mercado_Receita!$S$2:$S$693,"44287B3BrancaNão se aplicaNão se aplicaNão se aplicaNão se aplicaPonta",Mercado_Receita!$L$2:$L$693)</f>
        <v>0</v>
      </c>
      <c r="J42" s="12">
        <f>SUMIF(Mercado_Receita!$S$2:$S$693,"44317B3BrancaNão se aplicaNão se aplicaNão se aplicaNão se aplicaPonta",Mercado_Receita!$L$2:$L$693)</f>
        <v>0</v>
      </c>
      <c r="K42" s="12">
        <f>SUMIF(Mercado_Receita!$S$2:$S$693,"44348B3BrancaNão se aplicaNão se aplicaNão se aplicaNão se aplicaPonta",Mercado_Receita!$L$2:$L$693)</f>
        <v>0</v>
      </c>
      <c r="L42" s="12">
        <f>SUMIF(Mercado_Receita!$S$2:$S$693,"44378B3BrancaNão se aplicaNão se aplicaNão se aplicaNão se aplicaPonta",Mercado_Receita!$L$2:$L$693)</f>
        <v>0</v>
      </c>
      <c r="M42" s="12">
        <f>SUMIF(Mercado_Receita!$S$2:$S$693,"44409B3BrancaNão se aplicaNão se aplicaNão se aplicaNão se aplicaPonta",Mercado_Receita!$L$2:$L$693)</f>
        <v>0</v>
      </c>
      <c r="N42" s="12">
        <f>SUMIF(Mercado_Receita!$S$2:$S$693,"44440B3BrancaNão se aplicaNão se aplicaNão se aplicaNão se aplicaPonta",Mercado_Receita!$L$2:$L$693)</f>
        <v>0</v>
      </c>
      <c r="O42" s="12">
        <f>SUMIF(Mercado_Receita!$S$2:$S$693,"44470B3BrancaNão se aplicaNão se aplicaNão se aplicaNão se aplicaPonta",Mercado_Receita!$L$2:$L$693)</f>
        <v>0</v>
      </c>
      <c r="P42" s="12">
        <f>SUMIF(Mercado_Receita!$S$2:$S$693,"44501B3BrancaNão se aplicaNão se aplicaNão se aplicaNão se aplicaPonta",Mercado_Receita!$L$2:$L$693)</f>
        <v>0</v>
      </c>
      <c r="Q42" s="12">
        <f>SUMIF(Mercado_Receita!$S$2:$S$693,"44531B3BrancaNão se aplicaNão se aplicaNão se aplicaNão se aplicaPonta",Mercado_Receita!$L$2:$L$693)</f>
        <v>0</v>
      </c>
      <c r="R42" s="12">
        <f>SUMIF(Mercado_Receita!$S$2:$S$693,"44562B3BrancaNão se aplicaNão se aplicaNão se aplicaNão se aplicaPonta",Mercado_Receita!$L$2:$L$693)</f>
        <v>0</v>
      </c>
      <c r="S42" s="12">
        <f>SUMIF(Mercado_Receita!$S$2:$S$693,"44593B3BrancaNão se aplicaNão se aplicaNão se aplicaNão se aplicaPonta",Mercado_Receita!$L$2:$L$693)</f>
        <v>0</v>
      </c>
      <c r="T42" s="12">
        <f>SUMIF(Mercado_Receita!$S$2:$S$693,"44621B3BrancaNão se aplicaNão se aplicaNão se aplicaNão se aplicaPonta",Mercado_Receita!$L$2:$L$693)</f>
        <v>0</v>
      </c>
      <c r="U42" s="12">
        <f t="shared" si="0"/>
        <v>0</v>
      </c>
      <c r="V42" s="12"/>
      <c r="W42" s="12"/>
    </row>
    <row r="43" spans="1:23" ht="11.25" customHeight="1" x14ac:dyDescent="0.25">
      <c r="A43" s="116"/>
      <c r="B43" s="116"/>
      <c r="C43" s="116"/>
      <c r="D43" s="116"/>
      <c r="E43" s="116"/>
      <c r="F43" s="116"/>
      <c r="G43" s="12" t="s">
        <v>85</v>
      </c>
      <c r="H43" s="12" t="s">
        <v>73</v>
      </c>
      <c r="I43" s="12">
        <f>SUMIF(Mercado_Receita!$S$2:$S$693,"44287B3BrancaNão se aplicaNão se aplicaNão se aplicaNão se aplicaIntermediário",Mercado_Receita!$L$2:$L$693)</f>
        <v>0</v>
      </c>
      <c r="J43" s="12">
        <f>SUMIF(Mercado_Receita!$S$2:$S$693,"44317B3BrancaNão se aplicaNão se aplicaNão se aplicaNão se aplicaIntermediário",Mercado_Receita!$L$2:$L$693)</f>
        <v>0</v>
      </c>
      <c r="K43" s="12">
        <f>SUMIF(Mercado_Receita!$S$2:$S$693,"44348B3BrancaNão se aplicaNão se aplicaNão se aplicaNão se aplicaIntermediário",Mercado_Receita!$L$2:$L$693)</f>
        <v>0</v>
      </c>
      <c r="L43" s="12">
        <f>SUMIF(Mercado_Receita!$S$2:$S$693,"44378B3BrancaNão se aplicaNão se aplicaNão se aplicaNão se aplicaIntermediário",Mercado_Receita!$L$2:$L$693)</f>
        <v>0</v>
      </c>
      <c r="M43" s="12">
        <f>SUMIF(Mercado_Receita!$S$2:$S$693,"44409B3BrancaNão se aplicaNão se aplicaNão se aplicaNão se aplicaIntermediário",Mercado_Receita!$L$2:$L$693)</f>
        <v>0</v>
      </c>
      <c r="N43" s="12">
        <f>SUMIF(Mercado_Receita!$S$2:$S$693,"44440B3BrancaNão se aplicaNão se aplicaNão se aplicaNão se aplicaIntermediário",Mercado_Receita!$L$2:$L$693)</f>
        <v>0</v>
      </c>
      <c r="O43" s="12">
        <f>SUMIF(Mercado_Receita!$S$2:$S$693,"44470B3BrancaNão se aplicaNão se aplicaNão se aplicaNão se aplicaIntermediário",Mercado_Receita!$L$2:$L$693)</f>
        <v>0</v>
      </c>
      <c r="P43" s="12">
        <f>SUMIF(Mercado_Receita!$S$2:$S$693,"44501B3BrancaNão se aplicaNão se aplicaNão se aplicaNão se aplicaIntermediário",Mercado_Receita!$L$2:$L$693)</f>
        <v>0</v>
      </c>
      <c r="Q43" s="12">
        <f>SUMIF(Mercado_Receita!$S$2:$S$693,"44531B3BrancaNão se aplicaNão se aplicaNão se aplicaNão se aplicaIntermediário",Mercado_Receita!$L$2:$L$693)</f>
        <v>0</v>
      </c>
      <c r="R43" s="12">
        <f>SUMIF(Mercado_Receita!$S$2:$S$693,"44562B3BrancaNão se aplicaNão se aplicaNão se aplicaNão se aplicaIntermediário",Mercado_Receita!$L$2:$L$693)</f>
        <v>0</v>
      </c>
      <c r="S43" s="12">
        <f>SUMIF(Mercado_Receita!$S$2:$S$693,"44593B3BrancaNão se aplicaNão se aplicaNão se aplicaNão se aplicaIntermediário",Mercado_Receita!$L$2:$L$693)</f>
        <v>0</v>
      </c>
      <c r="T43" s="12">
        <f>SUMIF(Mercado_Receita!$S$2:$S$693,"44621B3BrancaNão se aplicaNão se aplicaNão se aplicaNão se aplicaIntermediário",Mercado_Receita!$L$2:$L$693)</f>
        <v>0</v>
      </c>
      <c r="U43" s="12">
        <f t="shared" si="0"/>
        <v>0</v>
      </c>
      <c r="V43" s="12"/>
      <c r="W43" s="12"/>
    </row>
    <row r="44" spans="1:23" ht="11.25" customHeight="1" x14ac:dyDescent="0.25">
      <c r="A44" s="116"/>
      <c r="B44" s="116"/>
      <c r="C44" s="116"/>
      <c r="D44" s="116"/>
      <c r="E44" s="116"/>
      <c r="F44" s="116"/>
      <c r="G44" s="12" t="s">
        <v>75</v>
      </c>
      <c r="H44" s="12" t="s">
        <v>73</v>
      </c>
      <c r="I44" s="12">
        <f>SUMIF(Mercado_Receita!$S$2:$S$693,"44287B3BrancaNão se aplicaNão se aplicaNão se aplicaNão se aplicaFora ponta",Mercado_Receita!$L$2:$L$693)</f>
        <v>0</v>
      </c>
      <c r="J44" s="12">
        <f>SUMIF(Mercado_Receita!$S$2:$S$693,"44317B3BrancaNão se aplicaNão se aplicaNão se aplicaNão se aplicaFora ponta",Mercado_Receita!$L$2:$L$693)</f>
        <v>0</v>
      </c>
      <c r="K44" s="12">
        <f>SUMIF(Mercado_Receita!$S$2:$S$693,"44348B3BrancaNão se aplicaNão se aplicaNão se aplicaNão se aplicaFora ponta",Mercado_Receita!$L$2:$L$693)</f>
        <v>0</v>
      </c>
      <c r="L44" s="12">
        <f>SUMIF(Mercado_Receita!$S$2:$S$693,"44378B3BrancaNão se aplicaNão se aplicaNão se aplicaNão se aplicaFora ponta",Mercado_Receita!$L$2:$L$693)</f>
        <v>0</v>
      </c>
      <c r="M44" s="12">
        <f>SUMIF(Mercado_Receita!$S$2:$S$693,"44409B3BrancaNão se aplicaNão se aplicaNão se aplicaNão se aplicaFora ponta",Mercado_Receita!$L$2:$L$693)</f>
        <v>0</v>
      </c>
      <c r="N44" s="12">
        <f>SUMIF(Mercado_Receita!$S$2:$S$693,"44440B3BrancaNão se aplicaNão se aplicaNão se aplicaNão se aplicaFora ponta",Mercado_Receita!$L$2:$L$693)</f>
        <v>0</v>
      </c>
      <c r="O44" s="12">
        <f>SUMIF(Mercado_Receita!$S$2:$S$693,"44470B3BrancaNão se aplicaNão se aplicaNão se aplicaNão se aplicaFora ponta",Mercado_Receita!$L$2:$L$693)</f>
        <v>0</v>
      </c>
      <c r="P44" s="12">
        <f>SUMIF(Mercado_Receita!$S$2:$S$693,"44501B3BrancaNão se aplicaNão se aplicaNão se aplicaNão se aplicaFora ponta",Mercado_Receita!$L$2:$L$693)</f>
        <v>0</v>
      </c>
      <c r="Q44" s="12">
        <f>SUMIF(Mercado_Receita!$S$2:$S$693,"44531B3BrancaNão se aplicaNão se aplicaNão se aplicaNão se aplicaFora ponta",Mercado_Receita!$L$2:$L$693)</f>
        <v>0</v>
      </c>
      <c r="R44" s="12">
        <f>SUMIF(Mercado_Receita!$S$2:$S$693,"44562B3BrancaNão se aplicaNão se aplicaNão se aplicaNão se aplicaFora ponta",Mercado_Receita!$L$2:$L$693)</f>
        <v>0</v>
      </c>
      <c r="S44" s="12">
        <f>SUMIF(Mercado_Receita!$S$2:$S$693,"44593B3BrancaNão se aplicaNão se aplicaNão se aplicaNão se aplicaFora ponta",Mercado_Receita!$L$2:$L$693)</f>
        <v>0</v>
      </c>
      <c r="T44" s="12">
        <f>SUMIF(Mercado_Receita!$S$2:$S$693,"44621B3BrancaNão se aplicaNão se aplicaNão se aplicaNão se aplicaFora ponta",Mercado_Receita!$L$2:$L$693)</f>
        <v>0</v>
      </c>
      <c r="U44" s="12">
        <f t="shared" si="0"/>
        <v>0</v>
      </c>
      <c r="V44" s="12"/>
      <c r="W44" s="12"/>
    </row>
    <row r="45" spans="1:23" ht="11.25" customHeight="1" x14ac:dyDescent="0.25">
      <c r="A45" s="116"/>
      <c r="B45" s="13" t="s">
        <v>23</v>
      </c>
      <c r="C45" s="13" t="s">
        <v>25</v>
      </c>
      <c r="D45" s="13" t="s">
        <v>25</v>
      </c>
      <c r="E45" s="13" t="s">
        <v>25</v>
      </c>
      <c r="F45" s="13" t="s">
        <v>25</v>
      </c>
      <c r="G45" s="12" t="s">
        <v>79</v>
      </c>
      <c r="H45" s="12" t="s">
        <v>73</v>
      </c>
      <c r="I45" s="12">
        <f>SUMIF(Mercado_Receita!$S$2:$S$693,"44287B3ConvencionalNão se aplicaNão se aplicaNão se aplicaNão se aplicaPonta",Mercado_Receita!$L$2:$L$693)+SUMIF(Mercado_Receita!$S$2:$S$693,"44287B3ConvencionalNão se aplicaNão se aplicaNão se aplicaNão se aplicaFora ponta",Mercado_Receita!$L$2:$L$693)+SUMIF(Mercado_Receita!$S$2:$S$693,"44287B3ConvencionalNão se aplicaNão se aplicaNão se aplicaNão se aplicaIntermediário",Mercado_Receita!$L$2:$L$693)+SUMIF(Mercado_Receita!$S$2:$S$693,"44287B3ConvencionalNão se aplicaNão se aplicaNão se aplicaNão se aplicaNão se aplica",Mercado_Receita!$L$2:$L$693)</f>
        <v>763.23399999999992</v>
      </c>
      <c r="J45" s="12">
        <f>SUMIF(Mercado_Receita!$S$2:$S$693,"44317B3ConvencionalNão se aplicaNão se aplicaNão se aplicaNão se aplicaPonta",Mercado_Receita!$L$2:$L$693)+SUMIF(Mercado_Receita!$S$2:$S$693,"44317B3ConvencionalNão se aplicaNão se aplicaNão se aplicaNão se aplicaFora ponta",Mercado_Receita!$L$2:$L$693)+SUMIF(Mercado_Receita!$S$2:$S$693,"44317B3ConvencionalNão se aplicaNão se aplicaNão se aplicaNão se aplicaIntermediário",Mercado_Receita!$L$2:$L$693)+SUMIF(Mercado_Receita!$S$2:$S$693,"44317B3ConvencionalNão se aplicaNão se aplicaNão se aplicaNão se aplicaNão se aplica",Mercado_Receita!$L$2:$L$693)</f>
        <v>758.13599999999997</v>
      </c>
      <c r="K45" s="12">
        <f>SUMIF(Mercado_Receita!$S$2:$S$693,"44348B3ConvencionalNão se aplicaNão se aplicaNão se aplicaNão se aplicaPonta",Mercado_Receita!$L$2:$L$693)+SUMIF(Mercado_Receita!$S$2:$S$693,"44348B3ConvencionalNão se aplicaNão se aplicaNão se aplicaNão se aplicaFora ponta",Mercado_Receita!$L$2:$L$693)+SUMIF(Mercado_Receita!$S$2:$S$693,"44348B3ConvencionalNão se aplicaNão se aplicaNão se aplicaNão se aplicaIntermediário",Mercado_Receita!$L$2:$L$693)+SUMIF(Mercado_Receita!$S$2:$S$693,"44348B3ConvencionalNão se aplicaNão se aplicaNão se aplicaNão se aplicaNão se aplica",Mercado_Receita!$L$2:$L$693)</f>
        <v>690.74600000000009</v>
      </c>
      <c r="L45" s="12">
        <f>SUMIF(Mercado_Receita!$S$2:$S$693,"44378B3ConvencionalNão se aplicaNão se aplicaNão se aplicaNão se aplicaPonta",Mercado_Receita!$L$2:$L$693)+SUMIF(Mercado_Receita!$S$2:$S$693,"44378B3ConvencionalNão se aplicaNão se aplicaNão se aplicaNão se aplicaFora ponta",Mercado_Receita!$L$2:$L$693)+SUMIF(Mercado_Receita!$S$2:$S$693,"44378B3ConvencionalNão se aplicaNão se aplicaNão se aplicaNão se aplicaIntermediário",Mercado_Receita!$L$2:$L$693)+SUMIF(Mercado_Receita!$S$2:$S$693,"44378B3ConvencionalNão se aplicaNão se aplicaNão se aplicaNão se aplicaNão se aplica",Mercado_Receita!$L$2:$L$693)</f>
        <v>668.41500000000008</v>
      </c>
      <c r="M45" s="12">
        <f>SUMIF(Mercado_Receita!$S$2:$S$693,"44409B3ConvencionalNão se aplicaNão se aplicaNão se aplicaNão se aplicaPonta",Mercado_Receita!$L$2:$L$693)+SUMIF(Mercado_Receita!$S$2:$S$693,"44409B3ConvencionalNão se aplicaNão se aplicaNão se aplicaNão se aplicaFora ponta",Mercado_Receita!$L$2:$L$693)+SUMIF(Mercado_Receita!$S$2:$S$693,"44409B3ConvencionalNão se aplicaNão se aplicaNão se aplicaNão se aplicaIntermediário",Mercado_Receita!$L$2:$L$693)+SUMIF(Mercado_Receita!$S$2:$S$693,"44409B3ConvencionalNão se aplicaNão se aplicaNão se aplicaNão se aplicaNão se aplica",Mercado_Receita!$L$2:$L$693)</f>
        <v>735.54100000000017</v>
      </c>
      <c r="N45" s="12">
        <f>SUMIF(Mercado_Receita!$S$2:$S$693,"44440B3ConvencionalNão se aplicaNão se aplicaNão se aplicaNão se aplicaPonta",Mercado_Receita!$L$2:$L$693)+SUMIF(Mercado_Receita!$S$2:$S$693,"44440B3ConvencionalNão se aplicaNão se aplicaNão se aplicaNão se aplicaFora ponta",Mercado_Receita!$L$2:$L$693)+SUMIF(Mercado_Receita!$S$2:$S$693,"44440B3ConvencionalNão se aplicaNão se aplicaNão se aplicaNão se aplicaIntermediário",Mercado_Receita!$L$2:$L$693)+SUMIF(Mercado_Receita!$S$2:$S$693,"44440B3ConvencionalNão se aplicaNão se aplicaNão se aplicaNão se aplicaNão se aplica",Mercado_Receita!$L$2:$L$693)</f>
        <v>803.98300000000006</v>
      </c>
      <c r="O45" s="12">
        <f>SUMIF(Mercado_Receita!$S$2:$S$693,"44470B3ConvencionalNão se aplicaNão se aplicaNão se aplicaNão se aplicaPonta",Mercado_Receita!$L$2:$L$693)+SUMIF(Mercado_Receita!$S$2:$S$693,"44470B3ConvencionalNão se aplicaNão se aplicaNão se aplicaNão se aplicaFora ponta",Mercado_Receita!$L$2:$L$693)+SUMIF(Mercado_Receita!$S$2:$S$693,"44470B3ConvencionalNão se aplicaNão se aplicaNão se aplicaNão se aplicaIntermediário",Mercado_Receita!$L$2:$L$693)+SUMIF(Mercado_Receita!$S$2:$S$693,"44470B3ConvencionalNão se aplicaNão se aplicaNão se aplicaNão se aplicaNão se aplica",Mercado_Receita!$L$2:$L$693)</f>
        <v>755.76</v>
      </c>
      <c r="P45" s="12">
        <f>SUMIF(Mercado_Receita!$S$2:$S$693,"44501B3ConvencionalNão se aplicaNão se aplicaNão se aplicaNão se aplicaPonta",Mercado_Receita!$L$2:$L$693)+SUMIF(Mercado_Receita!$S$2:$S$693,"44501B3ConvencionalNão se aplicaNão se aplicaNão se aplicaNão se aplicaFora ponta",Mercado_Receita!$L$2:$L$693)+SUMIF(Mercado_Receita!$S$2:$S$693,"44501B3ConvencionalNão se aplicaNão se aplicaNão se aplicaNão se aplicaIntermediário",Mercado_Receita!$L$2:$L$693)+SUMIF(Mercado_Receita!$S$2:$S$693,"44501B3ConvencionalNão se aplicaNão se aplicaNão se aplicaNão se aplicaNão se aplica",Mercado_Receita!$L$2:$L$693)</f>
        <v>844.29499999999985</v>
      </c>
      <c r="Q45" s="12">
        <f>SUMIF(Mercado_Receita!$S$2:$S$693,"44531B3ConvencionalNão se aplicaNão se aplicaNão se aplicaNão se aplicaPonta",Mercado_Receita!$L$2:$L$693)+SUMIF(Mercado_Receita!$S$2:$S$693,"44531B3ConvencionalNão se aplicaNão se aplicaNão se aplicaNão se aplicaFora ponta",Mercado_Receita!$L$2:$L$693)+SUMIF(Mercado_Receita!$S$2:$S$693,"44531B3ConvencionalNão se aplicaNão se aplicaNão se aplicaNão se aplicaIntermediário",Mercado_Receita!$L$2:$L$693)+SUMIF(Mercado_Receita!$S$2:$S$693,"44531B3ConvencionalNão se aplicaNão se aplicaNão se aplicaNão se aplicaNão se aplica",Mercado_Receita!$L$2:$L$693)</f>
        <v>791.39599999999996</v>
      </c>
      <c r="R45" s="12">
        <f>SUMIF(Mercado_Receita!$S$2:$S$693,"44562B3ConvencionalNão se aplicaNão se aplicaNão se aplicaNão se aplicaPonta",Mercado_Receita!$L$2:$L$693)+SUMIF(Mercado_Receita!$S$2:$S$693,"44562B3ConvencionalNão se aplicaNão se aplicaNão se aplicaNão se aplicaFora ponta",Mercado_Receita!$L$2:$L$693)+SUMIF(Mercado_Receita!$S$2:$S$693,"44562B3ConvencionalNão se aplicaNão se aplicaNão se aplicaNão se aplicaIntermediário",Mercado_Receita!$L$2:$L$693)+SUMIF(Mercado_Receita!$S$2:$S$693,"44562B3ConvencionalNão se aplicaNão se aplicaNão se aplicaNão se aplicaNão se aplica",Mercado_Receita!$L$2:$L$693)</f>
        <v>864.154</v>
      </c>
      <c r="S45" s="12">
        <f>SUMIF(Mercado_Receita!$S$2:$S$693,"44593B3ConvencionalNão se aplicaNão se aplicaNão se aplicaNão se aplicaPonta",Mercado_Receita!$L$2:$L$693)+SUMIF(Mercado_Receita!$S$2:$S$693,"44593B3ConvencionalNão se aplicaNão se aplicaNão se aplicaNão se aplicaFora ponta",Mercado_Receita!$L$2:$L$693)+SUMIF(Mercado_Receita!$S$2:$S$693,"44593B3ConvencionalNão se aplicaNão se aplicaNão se aplicaNão se aplicaIntermediário",Mercado_Receita!$L$2:$L$693)+SUMIF(Mercado_Receita!$S$2:$S$693,"44593B3ConvencionalNão se aplicaNão se aplicaNão se aplicaNão se aplicaNão se aplica",Mercado_Receita!$L$2:$L$693)</f>
        <v>837.73399999999992</v>
      </c>
      <c r="T45" s="12">
        <f>SUMIF(Mercado_Receita!$S$2:$S$693,"44621B3ConvencionalNão se aplicaNão se aplicaNão se aplicaNão se aplicaPonta",Mercado_Receita!$L$2:$L$693)+SUMIF(Mercado_Receita!$S$2:$S$693,"44621B3ConvencionalNão se aplicaNão se aplicaNão se aplicaNão se aplicaFora ponta",Mercado_Receita!$L$2:$L$693)+SUMIF(Mercado_Receita!$S$2:$S$693,"44621B3ConvencionalNão se aplicaNão se aplicaNão se aplicaNão se aplicaIntermediário",Mercado_Receita!$L$2:$L$693)+SUMIF(Mercado_Receita!$S$2:$S$693,"44621B3ConvencionalNão se aplicaNão se aplicaNão se aplicaNão se aplicaNão se aplica",Mercado_Receita!$L$2:$L$693)</f>
        <v>837.73399999999992</v>
      </c>
      <c r="U45" s="12">
        <f t="shared" si="0"/>
        <v>9351.1280000000006</v>
      </c>
      <c r="V45" s="12"/>
      <c r="W45" s="12"/>
    </row>
    <row r="46" spans="1:23" ht="11.25" customHeight="1" x14ac:dyDescent="0.25">
      <c r="A46" s="116"/>
      <c r="B46" s="13" t="s">
        <v>89</v>
      </c>
      <c r="C46" s="13" t="s">
        <v>25</v>
      </c>
      <c r="D46" s="13" t="s">
        <v>25</v>
      </c>
      <c r="E46" s="13" t="s">
        <v>25</v>
      </c>
      <c r="F46" s="13" t="s">
        <v>25</v>
      </c>
      <c r="G46" s="12" t="s">
        <v>79</v>
      </c>
      <c r="H46" s="12" t="s">
        <v>73</v>
      </c>
      <c r="I46" s="12">
        <f>SUMIF(Mercado_Receita!$S$2:$S$693,"44287B3Convencional pré-pagamentoNão se aplicaNão se aplicaNão se aplicaNão se aplicaPonta",Mercado_Receita!$L$2:$L$693)+SUMIF(Mercado_Receita!$S$2:$S$693,"44287B3Convencional pré-pagamentoNão se aplicaNão se aplicaNão se aplicaNão se aplicaFora ponta",Mercado_Receita!$L$2:$L$693)+SUMIF(Mercado_Receita!$S$2:$S$693,"44287B3Convencional pré-pagamentoNão se aplicaNão se aplicaNão se aplicaNão se aplicaIntermediário",Mercado_Receita!$L$2:$L$693)+SUMIF(Mercado_Receita!$S$2:$S$693,"44287B3Convencional pré-pagamentoNão se aplicaNão se aplicaNão se aplicaNão se aplicaNão se aplica",Mercado_Receita!$L$2:$L$693)</f>
        <v>0</v>
      </c>
      <c r="J46" s="12">
        <f>SUMIF(Mercado_Receita!$S$2:$S$693,"44317B3Convencional pré-pagamentoNão se aplicaNão se aplicaNão se aplicaNão se aplicaPonta",Mercado_Receita!$L$2:$L$693)+SUMIF(Mercado_Receita!$S$2:$S$693,"44317B3Convencional pré-pagamentoNão se aplicaNão se aplicaNão se aplicaNão se aplicaFora ponta",Mercado_Receita!$L$2:$L$693)+SUMIF(Mercado_Receita!$S$2:$S$693,"44317B3Convencional pré-pagamentoNão se aplicaNão se aplicaNão se aplicaNão se aplicaIntermediário",Mercado_Receita!$L$2:$L$693)+SUMIF(Mercado_Receita!$S$2:$S$693,"44317B3Convencional pré-pagamentoNão se aplicaNão se aplicaNão se aplicaNão se aplicaNão se aplica",Mercado_Receita!$L$2:$L$693)</f>
        <v>0</v>
      </c>
      <c r="K46" s="12">
        <f>SUMIF(Mercado_Receita!$S$2:$S$693,"44348B3Convencional pré-pagamentoNão se aplicaNão se aplicaNão se aplicaNão se aplicaPonta",Mercado_Receita!$L$2:$L$693)+SUMIF(Mercado_Receita!$S$2:$S$693,"44348B3Convencional pré-pagamentoNão se aplicaNão se aplicaNão se aplicaNão se aplicaFora ponta",Mercado_Receita!$L$2:$L$693)+SUMIF(Mercado_Receita!$S$2:$S$693,"44348B3Convencional pré-pagamentoNão se aplicaNão se aplicaNão se aplicaNão se aplicaIntermediário",Mercado_Receita!$L$2:$L$693)+SUMIF(Mercado_Receita!$S$2:$S$693,"44348B3Convencional pré-pagamentoNão se aplicaNão se aplicaNão se aplicaNão se aplicaNão se aplica",Mercado_Receita!$L$2:$L$693)</f>
        <v>0</v>
      </c>
      <c r="L46" s="12">
        <f>SUMIF(Mercado_Receita!$S$2:$S$693,"44378B3Convencional pré-pagamentoNão se aplicaNão se aplicaNão se aplicaNão se aplicaPonta",Mercado_Receita!$L$2:$L$693)+SUMIF(Mercado_Receita!$S$2:$S$693,"44378B3Convencional pré-pagamentoNão se aplicaNão se aplicaNão se aplicaNão se aplicaFora ponta",Mercado_Receita!$L$2:$L$693)+SUMIF(Mercado_Receita!$S$2:$S$693,"44378B3Convencional pré-pagamentoNão se aplicaNão se aplicaNão se aplicaNão se aplicaIntermediário",Mercado_Receita!$L$2:$L$693)+SUMIF(Mercado_Receita!$S$2:$S$693,"44378B3Convencional pré-pagamentoNão se aplicaNão se aplicaNão se aplicaNão se aplicaNão se aplica",Mercado_Receita!$L$2:$L$693)</f>
        <v>0</v>
      </c>
      <c r="M46" s="12">
        <f>SUMIF(Mercado_Receita!$S$2:$S$693,"44409B3Convencional pré-pagamentoNão se aplicaNão se aplicaNão se aplicaNão se aplicaPonta",Mercado_Receita!$L$2:$L$693)+SUMIF(Mercado_Receita!$S$2:$S$693,"44409B3Convencional pré-pagamentoNão se aplicaNão se aplicaNão se aplicaNão se aplicaFora ponta",Mercado_Receita!$L$2:$L$693)+SUMIF(Mercado_Receita!$S$2:$S$693,"44409B3Convencional pré-pagamentoNão se aplicaNão se aplicaNão se aplicaNão se aplicaIntermediário",Mercado_Receita!$L$2:$L$693)+SUMIF(Mercado_Receita!$S$2:$S$693,"44409B3Convencional pré-pagamentoNão se aplicaNão se aplicaNão se aplicaNão se aplicaNão se aplica",Mercado_Receita!$L$2:$L$693)</f>
        <v>0</v>
      </c>
      <c r="N46" s="12">
        <f>SUMIF(Mercado_Receita!$S$2:$S$693,"44440B3Convencional pré-pagamentoNão se aplicaNão se aplicaNão se aplicaNão se aplicaPonta",Mercado_Receita!$L$2:$L$693)+SUMIF(Mercado_Receita!$S$2:$S$693,"44440B3Convencional pré-pagamentoNão se aplicaNão se aplicaNão se aplicaNão se aplicaFora ponta",Mercado_Receita!$L$2:$L$693)+SUMIF(Mercado_Receita!$S$2:$S$693,"44440B3Convencional pré-pagamentoNão se aplicaNão se aplicaNão se aplicaNão se aplicaIntermediário",Mercado_Receita!$L$2:$L$693)+SUMIF(Mercado_Receita!$S$2:$S$693,"44440B3Convencional pré-pagamentoNão se aplicaNão se aplicaNão se aplicaNão se aplicaNão se aplica",Mercado_Receita!$L$2:$L$693)</f>
        <v>0</v>
      </c>
      <c r="O46" s="12">
        <f>SUMIF(Mercado_Receita!$S$2:$S$693,"44470B3Convencional pré-pagamentoNão se aplicaNão se aplicaNão se aplicaNão se aplicaPonta",Mercado_Receita!$L$2:$L$693)+SUMIF(Mercado_Receita!$S$2:$S$693,"44470B3Convencional pré-pagamentoNão se aplicaNão se aplicaNão se aplicaNão se aplicaFora ponta",Mercado_Receita!$L$2:$L$693)+SUMIF(Mercado_Receita!$S$2:$S$693,"44470B3Convencional pré-pagamentoNão se aplicaNão se aplicaNão se aplicaNão se aplicaIntermediário",Mercado_Receita!$L$2:$L$693)+SUMIF(Mercado_Receita!$S$2:$S$693,"44470B3Convencional pré-pagamentoNão se aplicaNão se aplicaNão se aplicaNão se aplicaNão se aplica",Mercado_Receita!$L$2:$L$693)</f>
        <v>0</v>
      </c>
      <c r="P46" s="12">
        <f>SUMIF(Mercado_Receita!$S$2:$S$693,"44501B3Convencional pré-pagamentoNão se aplicaNão se aplicaNão se aplicaNão se aplicaPonta",Mercado_Receita!$L$2:$L$693)+SUMIF(Mercado_Receita!$S$2:$S$693,"44501B3Convencional pré-pagamentoNão se aplicaNão se aplicaNão se aplicaNão se aplicaFora ponta",Mercado_Receita!$L$2:$L$693)+SUMIF(Mercado_Receita!$S$2:$S$693,"44501B3Convencional pré-pagamentoNão se aplicaNão se aplicaNão se aplicaNão se aplicaIntermediário",Mercado_Receita!$L$2:$L$693)+SUMIF(Mercado_Receita!$S$2:$S$693,"44501B3Convencional pré-pagamentoNão se aplicaNão se aplicaNão se aplicaNão se aplicaNão se aplica",Mercado_Receita!$L$2:$L$693)</f>
        <v>0</v>
      </c>
      <c r="Q46" s="12">
        <f>SUMIF(Mercado_Receita!$S$2:$S$693,"44531B3Convencional pré-pagamentoNão se aplicaNão se aplicaNão se aplicaNão se aplicaPonta",Mercado_Receita!$L$2:$L$693)+SUMIF(Mercado_Receita!$S$2:$S$693,"44531B3Convencional pré-pagamentoNão se aplicaNão se aplicaNão se aplicaNão se aplicaFora ponta",Mercado_Receita!$L$2:$L$693)+SUMIF(Mercado_Receita!$S$2:$S$693,"44531B3Convencional pré-pagamentoNão se aplicaNão se aplicaNão se aplicaNão se aplicaIntermediário",Mercado_Receita!$L$2:$L$693)+SUMIF(Mercado_Receita!$S$2:$S$693,"44531B3Convencional pré-pagamentoNão se aplicaNão se aplicaNão se aplicaNão se aplicaNão se aplica",Mercado_Receita!$L$2:$L$693)</f>
        <v>0</v>
      </c>
      <c r="R46" s="12">
        <f>SUMIF(Mercado_Receita!$S$2:$S$693,"44562B3Convencional pré-pagamentoNão se aplicaNão se aplicaNão se aplicaNão se aplicaPonta",Mercado_Receita!$L$2:$L$693)+SUMIF(Mercado_Receita!$S$2:$S$693,"44562B3Convencional pré-pagamentoNão se aplicaNão se aplicaNão se aplicaNão se aplicaFora ponta",Mercado_Receita!$L$2:$L$693)+SUMIF(Mercado_Receita!$S$2:$S$693,"44562B3Convencional pré-pagamentoNão se aplicaNão se aplicaNão se aplicaNão se aplicaIntermediário",Mercado_Receita!$L$2:$L$693)+SUMIF(Mercado_Receita!$S$2:$S$693,"44562B3Convencional pré-pagamentoNão se aplicaNão se aplicaNão se aplicaNão se aplicaNão se aplica",Mercado_Receita!$L$2:$L$693)</f>
        <v>0</v>
      </c>
      <c r="S46" s="12">
        <f>SUMIF(Mercado_Receita!$S$2:$S$693,"44593B3Convencional pré-pagamentoNão se aplicaNão se aplicaNão se aplicaNão se aplicaPonta",Mercado_Receita!$L$2:$L$693)+SUMIF(Mercado_Receita!$S$2:$S$693,"44593B3Convencional pré-pagamentoNão se aplicaNão se aplicaNão se aplicaNão se aplicaFora ponta",Mercado_Receita!$L$2:$L$693)+SUMIF(Mercado_Receita!$S$2:$S$693,"44593B3Convencional pré-pagamentoNão se aplicaNão se aplicaNão se aplicaNão se aplicaIntermediário",Mercado_Receita!$L$2:$L$693)+SUMIF(Mercado_Receita!$S$2:$S$693,"44593B3Convencional pré-pagamentoNão se aplicaNão se aplicaNão se aplicaNão se aplicaNão se aplica",Mercado_Receita!$L$2:$L$693)</f>
        <v>0</v>
      </c>
      <c r="T46" s="12">
        <f>SUMIF(Mercado_Receita!$S$2:$S$693,"44621B3Convencional pré-pagamentoNão se aplicaNão se aplicaNão se aplicaNão se aplicaPonta",Mercado_Receita!$L$2:$L$693)+SUMIF(Mercado_Receita!$S$2:$S$693,"44621B3Convencional pré-pagamentoNão se aplicaNão se aplicaNão se aplicaNão se aplicaFora ponta",Mercado_Receita!$L$2:$L$693)+SUMIF(Mercado_Receita!$S$2:$S$693,"44621B3Convencional pré-pagamentoNão se aplicaNão se aplicaNão se aplicaNão se aplicaIntermediário",Mercado_Receita!$L$2:$L$693)+SUMIF(Mercado_Receita!$S$2:$S$693,"44621B3Convencional pré-pagamentoNão se aplicaNão se aplicaNão se aplicaNão se aplicaNão se aplica",Mercado_Receita!$L$2:$L$693)</f>
        <v>0</v>
      </c>
      <c r="U46" s="12">
        <f t="shared" si="0"/>
        <v>0</v>
      </c>
      <c r="V46" s="12"/>
      <c r="W46" s="12"/>
    </row>
    <row r="47" spans="1:23" ht="11.25" customHeight="1" x14ac:dyDescent="0.25">
      <c r="A47" s="115" t="s">
        <v>44</v>
      </c>
      <c r="B47" s="115" t="s">
        <v>23</v>
      </c>
      <c r="C47" s="115" t="s">
        <v>45</v>
      </c>
      <c r="D47" s="13" t="s">
        <v>46</v>
      </c>
      <c r="E47" s="13" t="s">
        <v>25</v>
      </c>
      <c r="F47" s="13" t="s">
        <v>25</v>
      </c>
      <c r="G47" s="12" t="s">
        <v>79</v>
      </c>
      <c r="H47" s="12" t="s">
        <v>73</v>
      </c>
      <c r="I47" s="12">
        <f>SUMIF(Mercado_Receita!$S$2:$S$693,"44287B4ConvencionalIluminação públicaIluminação pública – B4aNão se aplicaNão se aplicaPonta",Mercado_Receita!$L$2:$L$693)+SUMIF(Mercado_Receita!$S$2:$S$693,"44287B4ConvencionalIluminação públicaIluminação pública – B4aNão se aplicaNão se aplicaFora ponta",Mercado_Receita!$L$2:$L$693)+SUMIF(Mercado_Receita!$S$2:$S$693,"44287B4ConvencionalIluminação públicaIluminação pública – B4aNão se aplicaNão se aplicaIntermediário",Mercado_Receita!$L$2:$L$693)+SUMIF(Mercado_Receita!$S$2:$S$693,"44287B4ConvencionalIluminação públicaIluminação pública – B4aNão se aplicaNão se aplicaNão se aplica",Mercado_Receita!$L$2:$L$693)</f>
        <v>11.387</v>
      </c>
      <c r="J47" s="12">
        <f>SUMIF(Mercado_Receita!$S$2:$S$693,"44317B4ConvencionalIluminação públicaIluminação pública – B4aNão se aplicaNão se aplicaPonta",Mercado_Receita!$L$2:$L$693)+SUMIF(Mercado_Receita!$S$2:$S$693,"44317B4ConvencionalIluminação públicaIluminação pública – B4aNão se aplicaNão se aplicaFora ponta",Mercado_Receita!$L$2:$L$693)+SUMIF(Mercado_Receita!$S$2:$S$693,"44317B4ConvencionalIluminação públicaIluminação pública – B4aNão se aplicaNão se aplicaIntermediário",Mercado_Receita!$L$2:$L$693)+SUMIF(Mercado_Receita!$S$2:$S$693,"44317B4ConvencionalIluminação públicaIluminação pública – B4aNão se aplicaNão se aplicaNão se aplica",Mercado_Receita!$L$2:$L$693)</f>
        <v>10.378</v>
      </c>
      <c r="K47" s="12">
        <f>SUMIF(Mercado_Receita!$S$2:$S$693,"44348B4ConvencionalIluminação públicaIluminação pública – B4aNão se aplicaNão se aplicaPonta",Mercado_Receita!$L$2:$L$693)+SUMIF(Mercado_Receita!$S$2:$S$693,"44348B4ConvencionalIluminação públicaIluminação pública – B4aNão se aplicaNão se aplicaFora ponta",Mercado_Receita!$L$2:$L$693)+SUMIF(Mercado_Receita!$S$2:$S$693,"44348B4ConvencionalIluminação públicaIluminação pública – B4aNão se aplicaNão se aplicaIntermediário",Mercado_Receita!$L$2:$L$693)+SUMIF(Mercado_Receita!$S$2:$S$693,"44348B4ConvencionalIluminação públicaIluminação pública – B4aNão se aplicaNão se aplicaNão se aplica",Mercado_Receita!$L$2:$L$693)</f>
        <v>10.183999999999999</v>
      </c>
      <c r="L47" s="12">
        <f>SUMIF(Mercado_Receita!$S$2:$S$693,"44378B4ConvencionalIluminação públicaIluminação pública – B4aNão se aplicaNão se aplicaPonta",Mercado_Receita!$L$2:$L$693)+SUMIF(Mercado_Receita!$S$2:$S$693,"44378B4ConvencionalIluminação públicaIluminação pública – B4aNão se aplicaNão se aplicaFora ponta",Mercado_Receita!$L$2:$L$693)+SUMIF(Mercado_Receita!$S$2:$S$693,"44378B4ConvencionalIluminação públicaIluminação pública – B4aNão se aplicaNão se aplicaIntermediário",Mercado_Receita!$L$2:$L$693)+SUMIF(Mercado_Receita!$S$2:$S$693,"44378B4ConvencionalIluminação públicaIluminação pública – B4aNão se aplicaNão se aplicaNão se aplica",Mercado_Receita!$L$2:$L$693)</f>
        <v>10.151</v>
      </c>
      <c r="M47" s="12">
        <f>SUMIF(Mercado_Receita!$S$2:$S$693,"44409B4ConvencionalIluminação públicaIluminação pública – B4aNão se aplicaNão se aplicaPonta",Mercado_Receita!$L$2:$L$693)+SUMIF(Mercado_Receita!$S$2:$S$693,"44409B4ConvencionalIluminação públicaIluminação pública – B4aNão se aplicaNão se aplicaFora ponta",Mercado_Receita!$L$2:$L$693)+SUMIF(Mercado_Receita!$S$2:$S$693,"44409B4ConvencionalIluminação públicaIluminação pública – B4aNão se aplicaNão se aplicaIntermediário",Mercado_Receita!$L$2:$L$693)+SUMIF(Mercado_Receita!$S$2:$S$693,"44409B4ConvencionalIluminação públicaIluminação pública – B4aNão se aplicaNão se aplicaNão se aplica",Mercado_Receita!$L$2:$L$693)</f>
        <v>10.202</v>
      </c>
      <c r="N47" s="12">
        <f>SUMIF(Mercado_Receita!$S$2:$S$693,"44440B4ConvencionalIluminação públicaIluminação pública – B4aNão se aplicaNão se aplicaPonta",Mercado_Receita!$L$2:$L$693)+SUMIF(Mercado_Receita!$S$2:$S$693,"44440B4ConvencionalIluminação públicaIluminação pública – B4aNão se aplicaNão se aplicaFora ponta",Mercado_Receita!$L$2:$L$693)+SUMIF(Mercado_Receita!$S$2:$S$693,"44440B4ConvencionalIluminação públicaIluminação pública – B4aNão se aplicaNão se aplicaIntermediário",Mercado_Receita!$L$2:$L$693)+SUMIF(Mercado_Receita!$S$2:$S$693,"44440B4ConvencionalIluminação públicaIluminação pública – B4aNão se aplicaNão se aplicaNão se aplica",Mercado_Receita!$L$2:$L$693)</f>
        <v>10.85</v>
      </c>
      <c r="O47" s="12">
        <f>SUMIF(Mercado_Receita!$S$2:$S$693,"44470B4ConvencionalIluminação públicaIluminação pública – B4aNão se aplicaNão se aplicaPonta",Mercado_Receita!$L$2:$L$693)+SUMIF(Mercado_Receita!$S$2:$S$693,"44470B4ConvencionalIluminação públicaIluminação pública – B4aNão se aplicaNão se aplicaFora ponta",Mercado_Receita!$L$2:$L$693)+SUMIF(Mercado_Receita!$S$2:$S$693,"44470B4ConvencionalIluminação públicaIluminação pública – B4aNão se aplicaNão se aplicaIntermediário",Mercado_Receita!$L$2:$L$693)+SUMIF(Mercado_Receita!$S$2:$S$693,"44470B4ConvencionalIluminação públicaIluminação pública – B4aNão se aplicaNão se aplicaNão se aplica",Mercado_Receita!$L$2:$L$693)</f>
        <v>9.0210000000000008</v>
      </c>
      <c r="P47" s="12">
        <f>SUMIF(Mercado_Receita!$S$2:$S$693,"44501B4ConvencionalIluminação públicaIluminação pública – B4aNão se aplicaNão se aplicaPonta",Mercado_Receita!$L$2:$L$693)+SUMIF(Mercado_Receita!$S$2:$S$693,"44501B4ConvencionalIluminação públicaIluminação pública – B4aNão se aplicaNão se aplicaFora ponta",Mercado_Receita!$L$2:$L$693)+SUMIF(Mercado_Receita!$S$2:$S$693,"44501B4ConvencionalIluminação públicaIluminação pública – B4aNão se aplicaNão se aplicaIntermediário",Mercado_Receita!$L$2:$L$693)+SUMIF(Mercado_Receita!$S$2:$S$693,"44501B4ConvencionalIluminação públicaIluminação pública – B4aNão se aplicaNão se aplicaNão se aplica",Mercado_Receita!$L$2:$L$693)</f>
        <v>10.260999999999999</v>
      </c>
      <c r="Q47" s="12">
        <f>SUMIF(Mercado_Receita!$S$2:$S$693,"44531B4ConvencionalIluminação públicaIluminação pública – B4aNão se aplicaNão se aplicaPonta",Mercado_Receita!$L$2:$L$693)+SUMIF(Mercado_Receita!$S$2:$S$693,"44531B4ConvencionalIluminação públicaIluminação pública – B4aNão se aplicaNão se aplicaFora ponta",Mercado_Receita!$L$2:$L$693)+SUMIF(Mercado_Receita!$S$2:$S$693,"44531B4ConvencionalIluminação públicaIluminação pública – B4aNão se aplicaNão se aplicaIntermediário",Mercado_Receita!$L$2:$L$693)+SUMIF(Mercado_Receita!$S$2:$S$693,"44531B4ConvencionalIluminação públicaIluminação pública – B4aNão se aplicaNão se aplicaNão se aplica",Mercado_Receita!$L$2:$L$693)</f>
        <v>9.0459999999999994</v>
      </c>
      <c r="R47" s="12">
        <f>SUMIF(Mercado_Receita!$S$2:$S$693,"44562B4ConvencionalIluminação públicaIluminação pública – B4aNão se aplicaNão se aplicaPonta",Mercado_Receita!$L$2:$L$693)+SUMIF(Mercado_Receita!$S$2:$S$693,"44562B4ConvencionalIluminação públicaIluminação pública – B4aNão se aplicaNão se aplicaFora ponta",Mercado_Receita!$L$2:$L$693)+SUMIF(Mercado_Receita!$S$2:$S$693,"44562B4ConvencionalIluminação públicaIluminação pública – B4aNão se aplicaNão se aplicaIntermediário",Mercado_Receita!$L$2:$L$693)+SUMIF(Mercado_Receita!$S$2:$S$693,"44562B4ConvencionalIluminação públicaIluminação pública – B4aNão se aplicaNão se aplicaNão se aplica",Mercado_Receita!$L$2:$L$693)</f>
        <v>9.532</v>
      </c>
      <c r="S47" s="12">
        <f>SUMIF(Mercado_Receita!$S$2:$S$693,"44593B4ConvencionalIluminação públicaIluminação pública – B4aNão se aplicaNão se aplicaPonta",Mercado_Receita!$L$2:$L$693)+SUMIF(Mercado_Receita!$S$2:$S$693,"44593B4ConvencionalIluminação públicaIluminação pública – B4aNão se aplicaNão se aplicaFora ponta",Mercado_Receita!$L$2:$L$693)+SUMIF(Mercado_Receita!$S$2:$S$693,"44593B4ConvencionalIluminação públicaIluminação pública – B4aNão se aplicaNão se aplicaIntermediário",Mercado_Receita!$L$2:$L$693)+SUMIF(Mercado_Receita!$S$2:$S$693,"44593B4ConvencionalIluminação públicaIluminação pública – B4aNão se aplicaNão se aplicaNão se aplica",Mercado_Receita!$L$2:$L$693)</f>
        <v>10.298999999999999</v>
      </c>
      <c r="T47" s="12">
        <f>SUMIF(Mercado_Receita!$S$2:$S$693,"44621B4ConvencionalIluminação públicaIluminação pública – B4aNão se aplicaNão se aplicaPonta",Mercado_Receita!$L$2:$L$693)+SUMIF(Mercado_Receita!$S$2:$S$693,"44621B4ConvencionalIluminação públicaIluminação pública – B4aNão se aplicaNão se aplicaFora ponta",Mercado_Receita!$L$2:$L$693)+SUMIF(Mercado_Receita!$S$2:$S$693,"44621B4ConvencionalIluminação públicaIluminação pública – B4aNão se aplicaNão se aplicaIntermediário",Mercado_Receita!$L$2:$L$693)+SUMIF(Mercado_Receita!$S$2:$S$693,"44621B4ConvencionalIluminação públicaIluminação pública – B4aNão se aplicaNão se aplicaNão se aplica",Mercado_Receita!$L$2:$L$693)</f>
        <v>10.298999999999999</v>
      </c>
      <c r="U47" s="12">
        <f t="shared" si="0"/>
        <v>121.60999999999999</v>
      </c>
      <c r="V47" s="12"/>
      <c r="W47" s="12"/>
    </row>
    <row r="48" spans="1:23" ht="11.25" customHeight="1" x14ac:dyDescent="0.25">
      <c r="A48" s="116"/>
      <c r="B48" s="116"/>
      <c r="C48" s="116"/>
      <c r="D48" s="12" t="s">
        <v>47</v>
      </c>
      <c r="E48" s="12" t="s">
        <v>25</v>
      </c>
      <c r="F48" s="12" t="s">
        <v>25</v>
      </c>
      <c r="G48" s="12" t="s">
        <v>79</v>
      </c>
      <c r="H48" s="12" t="s">
        <v>73</v>
      </c>
      <c r="I48" s="12">
        <f>SUMIF(Mercado_Receita!$S$2:$S$693,"44287B4ConvencionalIluminação públicaIluminação pública – B4bNão se aplicaNão se aplicaPonta",Mercado_Receita!$L$2:$L$693)+SUMIF(Mercado_Receita!$S$2:$S$693,"44287B4ConvencionalIluminação públicaIluminação pública – B4bNão se aplicaNão se aplicaFora ponta",Mercado_Receita!$L$2:$L$693)+SUMIF(Mercado_Receita!$S$2:$S$693,"44287B4ConvencionalIluminação públicaIluminação pública – B4bNão se aplicaNão se aplicaIntermediário",Mercado_Receita!$L$2:$L$693)+SUMIF(Mercado_Receita!$S$2:$S$693,"44287B4ConvencionalIluminação públicaIluminação pública – B4bNão se aplicaNão se aplicaNão se aplica",Mercado_Receita!$L$2:$L$693)</f>
        <v>193.792</v>
      </c>
      <c r="J48" s="12">
        <f>SUMIF(Mercado_Receita!$S$2:$S$693,"44317B4ConvencionalIluminação públicaIluminação pública – B4bNão se aplicaNão se aplicaPonta",Mercado_Receita!$L$2:$L$693)+SUMIF(Mercado_Receita!$S$2:$S$693,"44317B4ConvencionalIluminação públicaIluminação pública – B4bNão se aplicaNão se aplicaFora ponta",Mercado_Receita!$L$2:$L$693)+SUMIF(Mercado_Receita!$S$2:$S$693,"44317B4ConvencionalIluminação públicaIluminação pública – B4bNão se aplicaNão se aplicaIntermediário",Mercado_Receita!$L$2:$L$693)+SUMIF(Mercado_Receita!$S$2:$S$693,"44317B4ConvencionalIluminação públicaIluminação pública – B4bNão se aplicaNão se aplicaNão se aplica",Mercado_Receita!$L$2:$L$693)</f>
        <v>196.27199999999999</v>
      </c>
      <c r="K48" s="12">
        <f>SUMIF(Mercado_Receita!$S$2:$S$693,"44348B4ConvencionalIluminação públicaIluminação pública – B4bNão se aplicaNão se aplicaPonta",Mercado_Receita!$L$2:$L$693)+SUMIF(Mercado_Receita!$S$2:$S$693,"44348B4ConvencionalIluminação públicaIluminação pública – B4bNão se aplicaNão se aplicaFora ponta",Mercado_Receita!$L$2:$L$693)+SUMIF(Mercado_Receita!$S$2:$S$693,"44348B4ConvencionalIluminação públicaIluminação pública – B4bNão se aplicaNão se aplicaIntermediário",Mercado_Receita!$L$2:$L$693)+SUMIF(Mercado_Receita!$S$2:$S$693,"44348B4ConvencionalIluminação públicaIluminação pública – B4bNão se aplicaNão se aplicaNão se aplica",Mercado_Receita!$L$2:$L$693)</f>
        <v>211.64699999999999</v>
      </c>
      <c r="L48" s="12">
        <f>SUMIF(Mercado_Receita!$S$2:$S$693,"44378B4ConvencionalIluminação públicaIluminação pública – B4bNão se aplicaNão se aplicaPonta",Mercado_Receita!$L$2:$L$693)+SUMIF(Mercado_Receita!$S$2:$S$693,"44378B4ConvencionalIluminação públicaIluminação pública – B4bNão se aplicaNão se aplicaFora ponta",Mercado_Receita!$L$2:$L$693)+SUMIF(Mercado_Receita!$S$2:$S$693,"44378B4ConvencionalIluminação públicaIluminação pública – B4bNão se aplicaNão se aplicaIntermediário",Mercado_Receita!$L$2:$L$693)+SUMIF(Mercado_Receita!$S$2:$S$693,"44378B4ConvencionalIluminação públicaIluminação pública – B4bNão se aplicaNão se aplicaNão se aplica",Mercado_Receita!$L$2:$L$693)</f>
        <v>202.92599999999999</v>
      </c>
      <c r="M48" s="12">
        <f>SUMIF(Mercado_Receita!$S$2:$S$693,"44409B4ConvencionalIluminação públicaIluminação pública – B4bNão se aplicaNão se aplicaPonta",Mercado_Receita!$L$2:$L$693)+SUMIF(Mercado_Receita!$S$2:$S$693,"44409B4ConvencionalIluminação públicaIluminação pública – B4bNão se aplicaNão se aplicaFora ponta",Mercado_Receita!$L$2:$L$693)+SUMIF(Mercado_Receita!$S$2:$S$693,"44409B4ConvencionalIluminação públicaIluminação pública – B4bNão se aplicaNão se aplicaIntermediário",Mercado_Receita!$L$2:$L$693)+SUMIF(Mercado_Receita!$S$2:$S$693,"44409B4ConvencionalIluminação públicaIluminação pública – B4bNão se aplicaNão se aplicaNão se aplica",Mercado_Receita!$L$2:$L$693)</f>
        <v>201.93</v>
      </c>
      <c r="N48" s="12">
        <f>SUMIF(Mercado_Receita!$S$2:$S$693,"44440B4ConvencionalIluminação públicaIluminação pública – B4bNão se aplicaNão se aplicaPonta",Mercado_Receita!$L$2:$L$693)+SUMIF(Mercado_Receita!$S$2:$S$693,"44440B4ConvencionalIluminação públicaIluminação pública – B4bNão se aplicaNão se aplicaFora ponta",Mercado_Receita!$L$2:$L$693)+SUMIF(Mercado_Receita!$S$2:$S$693,"44440B4ConvencionalIluminação públicaIluminação pública – B4bNão se aplicaNão se aplicaIntermediário",Mercado_Receita!$L$2:$L$693)+SUMIF(Mercado_Receita!$S$2:$S$693,"44440B4ConvencionalIluminação públicaIluminação pública – B4bNão se aplicaNão se aplicaNão se aplica",Mercado_Receita!$L$2:$L$693)</f>
        <v>191.06700000000001</v>
      </c>
      <c r="O48" s="12">
        <f>SUMIF(Mercado_Receita!$S$2:$S$693,"44470B4ConvencionalIluminação públicaIluminação pública – B4bNão se aplicaNão se aplicaPonta",Mercado_Receita!$L$2:$L$693)+SUMIF(Mercado_Receita!$S$2:$S$693,"44470B4ConvencionalIluminação públicaIluminação pública – B4bNão se aplicaNão se aplicaFora ponta",Mercado_Receita!$L$2:$L$693)+SUMIF(Mercado_Receita!$S$2:$S$693,"44470B4ConvencionalIluminação públicaIluminação pública – B4bNão se aplicaNão se aplicaIntermediário",Mercado_Receita!$L$2:$L$693)+SUMIF(Mercado_Receita!$S$2:$S$693,"44470B4ConvencionalIluminação públicaIluminação pública – B4bNão se aplicaNão se aplicaNão se aplica",Mercado_Receita!$L$2:$L$693)</f>
        <v>173.85</v>
      </c>
      <c r="P48" s="12">
        <f>SUMIF(Mercado_Receita!$S$2:$S$693,"44501B4ConvencionalIluminação públicaIluminação pública – B4bNão se aplicaNão se aplicaPonta",Mercado_Receita!$L$2:$L$693)+SUMIF(Mercado_Receita!$S$2:$S$693,"44501B4ConvencionalIluminação públicaIluminação pública – B4bNão se aplicaNão se aplicaFora ponta",Mercado_Receita!$L$2:$L$693)+SUMIF(Mercado_Receita!$S$2:$S$693,"44501B4ConvencionalIluminação públicaIluminação pública – B4bNão se aplicaNão se aplicaIntermediário",Mercado_Receita!$L$2:$L$693)+SUMIF(Mercado_Receita!$S$2:$S$693,"44501B4ConvencionalIluminação públicaIluminação pública – B4bNão se aplicaNão se aplicaNão se aplica",Mercado_Receita!$L$2:$L$693)</f>
        <v>169.73500000000001</v>
      </c>
      <c r="Q48" s="12">
        <f>SUMIF(Mercado_Receita!$S$2:$S$693,"44531B4ConvencionalIluminação públicaIluminação pública – B4bNão se aplicaNão se aplicaPonta",Mercado_Receita!$L$2:$L$693)+SUMIF(Mercado_Receita!$S$2:$S$693,"44531B4ConvencionalIluminação públicaIluminação pública – B4bNão se aplicaNão se aplicaFora ponta",Mercado_Receita!$L$2:$L$693)+SUMIF(Mercado_Receita!$S$2:$S$693,"44531B4ConvencionalIluminação públicaIluminação pública – B4bNão se aplicaNão se aplicaIntermediário",Mercado_Receita!$L$2:$L$693)+SUMIF(Mercado_Receita!$S$2:$S$693,"44531B4ConvencionalIluminação públicaIluminação pública – B4bNão se aplicaNão se aplicaNão se aplica",Mercado_Receita!$L$2:$L$693)</f>
        <v>159.703</v>
      </c>
      <c r="R48" s="12">
        <f>SUMIF(Mercado_Receita!$S$2:$S$693,"44562B4ConvencionalIluminação públicaIluminação pública – B4bNão se aplicaNão se aplicaPonta",Mercado_Receita!$L$2:$L$693)+SUMIF(Mercado_Receita!$S$2:$S$693,"44562B4ConvencionalIluminação públicaIluminação pública – B4bNão se aplicaNão se aplicaFora ponta",Mercado_Receita!$L$2:$L$693)+SUMIF(Mercado_Receita!$S$2:$S$693,"44562B4ConvencionalIluminação públicaIluminação pública – B4bNão se aplicaNão se aplicaIntermediário",Mercado_Receita!$L$2:$L$693)+SUMIF(Mercado_Receita!$S$2:$S$693,"44562B4ConvencionalIluminação públicaIluminação pública – B4bNão se aplicaNão se aplicaNão se aplica",Mercado_Receita!$L$2:$L$693)</f>
        <v>167.80500000000001</v>
      </c>
      <c r="S48" s="12">
        <f>SUMIF(Mercado_Receita!$S$2:$S$693,"44593B4ConvencionalIluminação públicaIluminação pública – B4bNão se aplicaNão se aplicaPonta",Mercado_Receita!$L$2:$L$693)+SUMIF(Mercado_Receita!$S$2:$S$693,"44593B4ConvencionalIluminação públicaIluminação pública – B4bNão se aplicaNão se aplicaFora ponta",Mercado_Receita!$L$2:$L$693)+SUMIF(Mercado_Receita!$S$2:$S$693,"44593B4ConvencionalIluminação públicaIluminação pública – B4bNão se aplicaNão se aplicaIntermediário",Mercado_Receita!$L$2:$L$693)+SUMIF(Mercado_Receita!$S$2:$S$693,"44593B4ConvencionalIluminação públicaIluminação pública – B4bNão se aplicaNão se aplicaNão se aplica",Mercado_Receita!$L$2:$L$693)</f>
        <v>176.07</v>
      </c>
      <c r="T48" s="12">
        <f>SUMIF(Mercado_Receita!$S$2:$S$693,"44621B4ConvencionalIluminação públicaIluminação pública – B4bNão se aplicaNão se aplicaPonta",Mercado_Receita!$L$2:$L$693)+SUMIF(Mercado_Receita!$S$2:$S$693,"44621B4ConvencionalIluminação públicaIluminação pública – B4bNão se aplicaNão se aplicaFora ponta",Mercado_Receita!$L$2:$L$693)+SUMIF(Mercado_Receita!$S$2:$S$693,"44621B4ConvencionalIluminação públicaIluminação pública – B4bNão se aplicaNão se aplicaIntermediário",Mercado_Receita!$L$2:$L$693)+SUMIF(Mercado_Receita!$S$2:$S$693,"44621B4ConvencionalIluminação públicaIluminação pública – B4bNão se aplicaNão se aplicaNão se aplica",Mercado_Receita!$L$2:$L$693)</f>
        <v>176.07</v>
      </c>
      <c r="U48" s="12">
        <f t="shared" si="0"/>
        <v>2220.8670000000002</v>
      </c>
      <c r="V48" s="12"/>
      <c r="W48" s="12"/>
    </row>
    <row r="49" spans="1:23" ht="11.25" customHeight="1" x14ac:dyDescent="0.25">
      <c r="A49" s="117" t="s">
        <v>398</v>
      </c>
      <c r="B49" s="118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2"/>
      <c r="W49" s="12"/>
    </row>
  </sheetData>
  <mergeCells count="55"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F27:F29"/>
    <mergeCell ref="E27:E29"/>
    <mergeCell ref="D27:D29"/>
    <mergeCell ref="C27:C29"/>
    <mergeCell ref="B27:B29"/>
    <mergeCell ref="C17:C21"/>
    <mergeCell ref="B17:B21"/>
    <mergeCell ref="C22:C26"/>
    <mergeCell ref="B22:B26"/>
    <mergeCell ref="A14:A26"/>
    <mergeCell ref="C31:C33"/>
    <mergeCell ref="B31:B33"/>
    <mergeCell ref="F35:F37"/>
    <mergeCell ref="E35:E37"/>
    <mergeCell ref="D35:D37"/>
    <mergeCell ref="C35:C37"/>
    <mergeCell ref="B35:B37"/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08405-964E-486A-B55B-4C66C6641366}">
  <sheetPr codeName="Planilha5"/>
  <dimension ref="A1:AD39"/>
  <sheetViews>
    <sheetView showGridLines="0" workbookViewId="0">
      <selection sqref="A1:W39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63</v>
      </c>
      <c r="B1" s="10" t="s">
        <v>64</v>
      </c>
      <c r="C1" s="10" t="s">
        <v>65</v>
      </c>
      <c r="D1" s="10" t="s">
        <v>66</v>
      </c>
      <c r="E1" s="10" t="s">
        <v>67</v>
      </c>
      <c r="F1" s="10" t="s">
        <v>68</v>
      </c>
      <c r="G1" s="10" t="s">
        <v>69</v>
      </c>
      <c r="H1" s="10" t="s">
        <v>70</v>
      </c>
      <c r="I1" s="11">
        <v>44287</v>
      </c>
      <c r="J1" s="11">
        <v>44317</v>
      </c>
      <c r="K1" s="11">
        <v>44348</v>
      </c>
      <c r="L1" s="11">
        <v>44378</v>
      </c>
      <c r="M1" s="11">
        <v>44409</v>
      </c>
      <c r="N1" s="11">
        <v>44440</v>
      </c>
      <c r="O1" s="11">
        <v>44470</v>
      </c>
      <c r="P1" s="11">
        <v>44501</v>
      </c>
      <c r="Q1" s="11">
        <v>44531</v>
      </c>
      <c r="R1" s="11">
        <v>44562</v>
      </c>
      <c r="S1" s="11">
        <v>44593</v>
      </c>
      <c r="T1" s="11">
        <v>44621</v>
      </c>
      <c r="U1" s="10" t="s">
        <v>71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15" t="s">
        <v>33</v>
      </c>
      <c r="B2" s="115" t="s">
        <v>72</v>
      </c>
      <c r="C2" s="115" t="s">
        <v>25</v>
      </c>
      <c r="D2" s="115" t="s">
        <v>25</v>
      </c>
      <c r="E2" s="115" t="s">
        <v>25</v>
      </c>
      <c r="F2" s="115" t="s">
        <v>25</v>
      </c>
      <c r="G2" s="14" t="s">
        <v>74</v>
      </c>
      <c r="H2" s="14" t="s">
        <v>73</v>
      </c>
      <c r="I2" s="14">
        <f>SUMIF(Mercado_Receita!$T$2:$T$693,"44287A4Energia horáriaNão se aplicaNão se aplicaNão se aplicaNão se aplicaPonta",Mercado_Receita!$N$2:$N$693)</f>
        <v>202.43299999999999</v>
      </c>
      <c r="J2" s="14">
        <f>SUMIF(Mercado_Receita!$T$2:$T$693,"44317A4Energia horáriaNão se aplicaNão se aplicaNão se aplicaNão se aplicaPonta",Mercado_Receita!$N$2:$N$693)</f>
        <v>157.761</v>
      </c>
      <c r="K2" s="14">
        <f>SUMIF(Mercado_Receita!$T$2:$T$693,"44348A4Energia horáriaNão se aplicaNão se aplicaNão se aplicaNão se aplicaPonta",Mercado_Receita!$N$2:$N$693)</f>
        <v>103.21999999999998</v>
      </c>
      <c r="L2" s="14">
        <f>SUMIF(Mercado_Receita!$T$2:$T$693,"44378A4Energia horáriaNão se aplicaNão se aplicaNão se aplicaNão se aplicaPonta",Mercado_Receita!$N$2:$N$693)</f>
        <v>136.79599999999999</v>
      </c>
      <c r="M2" s="14">
        <f>SUMIF(Mercado_Receita!$T$2:$T$693,"44409A4Energia horáriaNão se aplicaNão se aplicaNão se aplicaNão se aplicaPonta",Mercado_Receita!$N$2:$N$693)</f>
        <v>148.21300000000002</v>
      </c>
      <c r="N2" s="14">
        <f>SUMIF(Mercado_Receita!$T$2:$T$693,"44440A4Energia horáriaNão se aplicaNão se aplicaNão se aplicaNão se aplicaPonta",Mercado_Receita!$N$2:$N$693)</f>
        <v>148.93600000000001</v>
      </c>
      <c r="O2" s="14">
        <f>SUMIF(Mercado_Receita!$T$2:$T$693,"44470A4Energia horáriaNão se aplicaNão se aplicaNão se aplicaNão se aplicaPonta",Mercado_Receita!$N$2:$N$693)</f>
        <v>119.08400000000002</v>
      </c>
      <c r="P2" s="14">
        <f>SUMIF(Mercado_Receita!$T$2:$T$693,"44501A4Energia horáriaNão se aplicaNão se aplicaNão se aplicaNão se aplicaPonta",Mercado_Receita!$N$2:$N$693)</f>
        <v>161.77599999999998</v>
      </c>
      <c r="Q2" s="14">
        <f>SUMIF(Mercado_Receita!$T$2:$T$693,"44531A4Energia horáriaNão se aplicaNão se aplicaNão se aplicaNão se aplicaPonta",Mercado_Receita!$N$2:$N$693)</f>
        <v>169.27300000000002</v>
      </c>
      <c r="R2" s="14">
        <f>SUMIF(Mercado_Receita!$T$2:$T$693,"44562A4Energia horáriaNão se aplicaNão se aplicaNão se aplicaNão se aplicaPonta",Mercado_Receita!$N$2:$N$693)</f>
        <v>134.36099999999999</v>
      </c>
      <c r="S2" s="14">
        <f>SUMIF(Mercado_Receita!$T$2:$T$693,"44593A4Energia horáriaNão se aplicaNão se aplicaNão se aplicaNão se aplicaPonta",Mercado_Receita!$N$2:$N$693)</f>
        <v>190.45099999999999</v>
      </c>
      <c r="T2" s="14">
        <f>SUMIF(Mercado_Receita!$T$2:$T$693,"44621A4Energia horáriaNão se aplicaNão se aplicaNão se aplicaNão se aplicaPonta",Mercado_Receita!$N$2:$N$693)</f>
        <v>190.45099999999999</v>
      </c>
      <c r="U2" s="14">
        <f t="shared" ref="U2:U38" si="0">SUM(I2:T2)</f>
        <v>1862.7550000000001</v>
      </c>
      <c r="V2" s="14"/>
      <c r="W2" s="14"/>
    </row>
    <row r="3" spans="1:30" ht="11.25" customHeight="1" x14ac:dyDescent="0.25">
      <c r="A3" s="116"/>
      <c r="B3" s="116"/>
      <c r="C3" s="116"/>
      <c r="D3" s="116"/>
      <c r="E3" s="116"/>
      <c r="F3" s="116"/>
      <c r="G3" s="14" t="s">
        <v>75</v>
      </c>
      <c r="H3" s="14" t="s">
        <v>73</v>
      </c>
      <c r="I3" s="14">
        <f>SUMIF(Mercado_Receita!$T$2:$T$693,"44287A4Energia horáriaNão se aplicaNão se aplicaNão se aplicaNão se aplicaFora ponta",Mercado_Receita!$N$2:$N$693)</f>
        <v>8579.473</v>
      </c>
      <c r="J3" s="14">
        <f>SUMIF(Mercado_Receita!$T$2:$T$693,"44317A4Energia horáriaNão se aplicaNão se aplicaNão se aplicaNão se aplicaFora ponta",Mercado_Receita!$N$2:$N$693)</f>
        <v>7090.1210000000001</v>
      </c>
      <c r="K3" s="14">
        <f>SUMIF(Mercado_Receita!$T$2:$T$693,"44348A4Energia horáriaNão se aplicaNão se aplicaNão se aplicaNão se aplicaFora ponta",Mercado_Receita!$N$2:$N$693)</f>
        <v>2437.3559999999998</v>
      </c>
      <c r="L3" s="14">
        <f>SUMIF(Mercado_Receita!$T$2:$T$693,"44378A4Energia horáriaNão se aplicaNão se aplicaNão se aplicaNão se aplicaFora ponta",Mercado_Receita!$N$2:$N$693)</f>
        <v>4354.22</v>
      </c>
      <c r="M3" s="14">
        <f>SUMIF(Mercado_Receita!$T$2:$T$693,"44409A4Energia horáriaNão se aplicaNão se aplicaNão se aplicaNão se aplicaFora ponta",Mercado_Receita!$N$2:$N$693)</f>
        <v>6326.4760000000006</v>
      </c>
      <c r="N3" s="14">
        <f>SUMIF(Mercado_Receita!$T$2:$T$693,"44440A4Energia horáriaNão se aplicaNão se aplicaNão se aplicaNão se aplicaFora ponta",Mercado_Receita!$N$2:$N$693)</f>
        <v>6388.5400000000009</v>
      </c>
      <c r="O3" s="14">
        <f>SUMIF(Mercado_Receita!$T$2:$T$693,"44470A4Energia horáriaNão se aplicaNão se aplicaNão se aplicaNão se aplicaFora ponta",Mercado_Receita!$N$2:$N$693)</f>
        <v>5242.5570000000007</v>
      </c>
      <c r="P3" s="14">
        <f>SUMIF(Mercado_Receita!$T$2:$T$693,"44501A4Energia horáriaNão se aplicaNão se aplicaNão se aplicaNão se aplicaFora ponta",Mercado_Receita!$N$2:$N$693)</f>
        <v>8593.4410000000007</v>
      </c>
      <c r="Q3" s="14">
        <f>SUMIF(Mercado_Receita!$T$2:$T$693,"44531A4Energia horáriaNão se aplicaNão se aplicaNão se aplicaNão se aplicaFora ponta",Mercado_Receita!$N$2:$N$693)</f>
        <v>7315.3899999999994</v>
      </c>
      <c r="R3" s="14">
        <f>SUMIF(Mercado_Receita!$T$2:$T$693,"44562A4Energia horáriaNão se aplicaNão se aplicaNão se aplicaNão se aplicaFora ponta",Mercado_Receita!$N$2:$N$693)</f>
        <v>4678.0219999999999</v>
      </c>
      <c r="S3" s="14">
        <f>SUMIF(Mercado_Receita!$T$2:$T$693,"44593A4Energia horáriaNão se aplicaNão se aplicaNão se aplicaNão se aplicaFora ponta",Mercado_Receita!$N$2:$N$693)</f>
        <v>7134.59</v>
      </c>
      <c r="T3" s="14">
        <f>SUMIF(Mercado_Receita!$T$2:$T$693,"44621A4Energia horáriaNão se aplicaNão se aplicaNão se aplicaNão se aplicaFora ponta",Mercado_Receita!$N$2:$N$693)</f>
        <v>7134.59</v>
      </c>
      <c r="U3" s="14">
        <f t="shared" si="0"/>
        <v>75274.775999999998</v>
      </c>
      <c r="V3" s="14"/>
      <c r="W3" s="14"/>
    </row>
    <row r="4" spans="1:30" ht="11.25" customHeight="1" x14ac:dyDescent="0.25">
      <c r="A4" s="115" t="s">
        <v>22</v>
      </c>
      <c r="B4" s="115" t="s">
        <v>72</v>
      </c>
      <c r="C4" s="115" t="s">
        <v>24</v>
      </c>
      <c r="D4" s="115" t="s">
        <v>24</v>
      </c>
      <c r="E4" s="115" t="s">
        <v>25</v>
      </c>
      <c r="F4" s="115" t="s">
        <v>25</v>
      </c>
      <c r="G4" s="14" t="s">
        <v>74</v>
      </c>
      <c r="H4" s="14" t="s">
        <v>73</v>
      </c>
      <c r="I4" s="14">
        <f>SUMIF(Mercado_Receita!$T$2:$T$693,"44287B1Energia horáriaResidencialResidencialNão se aplicaNão se aplicaPonta",Mercado_Receita!$N$2:$N$693)</f>
        <v>0</v>
      </c>
      <c r="J4" s="14">
        <f>SUMIF(Mercado_Receita!$T$2:$T$693,"44317B1Energia horáriaResidencialResidencialNão se aplicaNão se aplicaPonta",Mercado_Receita!$N$2:$N$693)</f>
        <v>0</v>
      </c>
      <c r="K4" s="14">
        <f>SUMIF(Mercado_Receita!$T$2:$T$693,"44348B1Energia horáriaResidencialResidencialNão se aplicaNão se aplicaPonta",Mercado_Receita!$N$2:$N$693)</f>
        <v>0</v>
      </c>
      <c r="L4" s="14">
        <f>SUMIF(Mercado_Receita!$T$2:$T$693,"44378B1Energia horáriaResidencialResidencialNão se aplicaNão se aplicaPonta",Mercado_Receita!$N$2:$N$693)</f>
        <v>0</v>
      </c>
      <c r="M4" s="14">
        <f>SUMIF(Mercado_Receita!$T$2:$T$693,"44409B1Energia horáriaResidencialResidencialNão se aplicaNão se aplicaPonta",Mercado_Receita!$N$2:$N$693)</f>
        <v>0</v>
      </c>
      <c r="N4" s="14">
        <f>SUMIF(Mercado_Receita!$T$2:$T$693,"44440B1Energia horáriaResidencialResidencialNão se aplicaNão se aplicaPonta",Mercado_Receita!$N$2:$N$693)</f>
        <v>0</v>
      </c>
      <c r="O4" s="14">
        <f>SUMIF(Mercado_Receita!$T$2:$T$693,"44470B1Energia horáriaResidencialResidencialNão se aplicaNão se aplicaPonta",Mercado_Receita!$N$2:$N$693)</f>
        <v>0</v>
      </c>
      <c r="P4" s="14">
        <f>SUMIF(Mercado_Receita!$T$2:$T$693,"44501B1Energia horáriaResidencialResidencialNão se aplicaNão se aplicaPonta",Mercado_Receita!$N$2:$N$693)</f>
        <v>0</v>
      </c>
      <c r="Q4" s="14">
        <f>SUMIF(Mercado_Receita!$T$2:$T$693,"44531B1Energia horáriaResidencialResidencialNão se aplicaNão se aplicaPonta",Mercado_Receita!$N$2:$N$693)</f>
        <v>0</v>
      </c>
      <c r="R4" s="14">
        <f>SUMIF(Mercado_Receita!$T$2:$T$693,"44562B1Energia horáriaResidencialResidencialNão se aplicaNão se aplicaPonta",Mercado_Receita!$N$2:$N$693)</f>
        <v>0</v>
      </c>
      <c r="S4" s="14">
        <f>SUMIF(Mercado_Receita!$T$2:$T$693,"44593B1Energia horáriaResidencialResidencialNão se aplicaNão se aplicaPonta",Mercado_Receita!$N$2:$N$693)</f>
        <v>0</v>
      </c>
      <c r="T4" s="14">
        <f>SUMIF(Mercado_Receita!$T$2:$T$693,"44621B1Energia horáriaResidencialResidencialNão se aplicaNão se aplicaPonta",Mercado_Receita!$N$2:$N$693)</f>
        <v>0</v>
      </c>
      <c r="U4" s="14">
        <f t="shared" si="0"/>
        <v>0</v>
      </c>
      <c r="V4" s="14"/>
      <c r="W4" s="14"/>
    </row>
    <row r="5" spans="1:30" ht="11.25" customHeight="1" x14ac:dyDescent="0.25">
      <c r="A5" s="116"/>
      <c r="B5" s="116"/>
      <c r="C5" s="116"/>
      <c r="D5" s="116"/>
      <c r="E5" s="116"/>
      <c r="F5" s="116"/>
      <c r="G5" s="14" t="s">
        <v>85</v>
      </c>
      <c r="H5" s="14" t="s">
        <v>73</v>
      </c>
      <c r="I5" s="14">
        <f>SUMIF(Mercado_Receita!$T$2:$T$693,"44287B1Energia horáriaResidencialResidencialNão se aplicaNão se aplicaIntermediário",Mercado_Receita!$N$2:$N$693)</f>
        <v>0</v>
      </c>
      <c r="J5" s="14">
        <f>SUMIF(Mercado_Receita!$T$2:$T$693,"44317B1Energia horáriaResidencialResidencialNão se aplicaNão se aplicaIntermediário",Mercado_Receita!$N$2:$N$693)</f>
        <v>0</v>
      </c>
      <c r="K5" s="14">
        <f>SUMIF(Mercado_Receita!$T$2:$T$693,"44348B1Energia horáriaResidencialResidencialNão se aplicaNão se aplicaIntermediário",Mercado_Receita!$N$2:$N$693)</f>
        <v>0</v>
      </c>
      <c r="L5" s="14">
        <f>SUMIF(Mercado_Receita!$T$2:$T$693,"44378B1Energia horáriaResidencialResidencialNão se aplicaNão se aplicaIntermediário",Mercado_Receita!$N$2:$N$693)</f>
        <v>0</v>
      </c>
      <c r="M5" s="14">
        <f>SUMIF(Mercado_Receita!$T$2:$T$693,"44409B1Energia horáriaResidencialResidencialNão se aplicaNão se aplicaIntermediário",Mercado_Receita!$N$2:$N$693)</f>
        <v>0</v>
      </c>
      <c r="N5" s="14">
        <f>SUMIF(Mercado_Receita!$T$2:$T$693,"44440B1Energia horáriaResidencialResidencialNão se aplicaNão se aplicaIntermediário",Mercado_Receita!$N$2:$N$693)</f>
        <v>0</v>
      </c>
      <c r="O5" s="14">
        <f>SUMIF(Mercado_Receita!$T$2:$T$693,"44470B1Energia horáriaResidencialResidencialNão se aplicaNão se aplicaIntermediário",Mercado_Receita!$N$2:$N$693)</f>
        <v>0</v>
      </c>
      <c r="P5" s="14">
        <f>SUMIF(Mercado_Receita!$T$2:$T$693,"44501B1Energia horáriaResidencialResidencialNão se aplicaNão se aplicaIntermediário",Mercado_Receita!$N$2:$N$693)</f>
        <v>0</v>
      </c>
      <c r="Q5" s="14">
        <f>SUMIF(Mercado_Receita!$T$2:$T$693,"44531B1Energia horáriaResidencialResidencialNão se aplicaNão se aplicaIntermediário",Mercado_Receita!$N$2:$N$693)</f>
        <v>0</v>
      </c>
      <c r="R5" s="14">
        <f>SUMIF(Mercado_Receita!$T$2:$T$693,"44562B1Energia horáriaResidencialResidencialNão se aplicaNão se aplicaIntermediário",Mercado_Receita!$N$2:$N$693)</f>
        <v>0</v>
      </c>
      <c r="S5" s="14">
        <f>SUMIF(Mercado_Receita!$T$2:$T$693,"44593B1Energia horáriaResidencialResidencialNão se aplicaNão se aplicaIntermediário",Mercado_Receita!$N$2:$N$693)</f>
        <v>0</v>
      </c>
      <c r="T5" s="14">
        <f>SUMIF(Mercado_Receita!$T$2:$T$693,"44621B1Energia horáriaResidencialResidencialNão se aplicaNão se aplicaIntermediário",Mercado_Receita!$N$2:$N$693)</f>
        <v>0</v>
      </c>
      <c r="U5" s="14">
        <f t="shared" si="0"/>
        <v>0</v>
      </c>
      <c r="V5" s="14"/>
      <c r="W5" s="14"/>
    </row>
    <row r="6" spans="1:30" ht="11.25" customHeight="1" x14ac:dyDescent="0.25">
      <c r="A6" s="116"/>
      <c r="B6" s="116"/>
      <c r="C6" s="116"/>
      <c r="D6" s="116"/>
      <c r="E6" s="116"/>
      <c r="F6" s="116"/>
      <c r="G6" s="14" t="s">
        <v>75</v>
      </c>
      <c r="H6" s="14" t="s">
        <v>73</v>
      </c>
      <c r="I6" s="14">
        <f>SUMIF(Mercado_Receita!$T$2:$T$693,"44287B1Energia horáriaResidencialResidencialNão se aplicaNão se aplicaFora ponta",Mercado_Receita!$N$2:$N$693)</f>
        <v>0</v>
      </c>
      <c r="J6" s="14">
        <f>SUMIF(Mercado_Receita!$T$2:$T$693,"44317B1Energia horáriaResidencialResidencialNão se aplicaNão se aplicaFora ponta",Mercado_Receita!$N$2:$N$693)</f>
        <v>0</v>
      </c>
      <c r="K6" s="14">
        <f>SUMIF(Mercado_Receita!$T$2:$T$693,"44348B1Energia horáriaResidencialResidencialNão se aplicaNão se aplicaFora ponta",Mercado_Receita!$N$2:$N$693)</f>
        <v>0</v>
      </c>
      <c r="L6" s="14">
        <f>SUMIF(Mercado_Receita!$T$2:$T$693,"44378B1Energia horáriaResidencialResidencialNão se aplicaNão se aplicaFora ponta",Mercado_Receita!$N$2:$N$693)</f>
        <v>0</v>
      </c>
      <c r="M6" s="14">
        <f>SUMIF(Mercado_Receita!$T$2:$T$693,"44409B1Energia horáriaResidencialResidencialNão se aplicaNão se aplicaFora ponta",Mercado_Receita!$N$2:$N$693)</f>
        <v>0</v>
      </c>
      <c r="N6" s="14">
        <f>SUMIF(Mercado_Receita!$T$2:$T$693,"44440B1Energia horáriaResidencialResidencialNão se aplicaNão se aplicaFora ponta",Mercado_Receita!$N$2:$N$693)</f>
        <v>0</v>
      </c>
      <c r="O6" s="14">
        <f>SUMIF(Mercado_Receita!$T$2:$T$693,"44470B1Energia horáriaResidencialResidencialNão se aplicaNão se aplicaFora ponta",Mercado_Receita!$N$2:$N$693)</f>
        <v>0</v>
      </c>
      <c r="P6" s="14">
        <f>SUMIF(Mercado_Receita!$T$2:$T$693,"44501B1Energia horáriaResidencialResidencialNão se aplicaNão se aplicaFora ponta",Mercado_Receita!$N$2:$N$693)</f>
        <v>0</v>
      </c>
      <c r="Q6" s="14">
        <f>SUMIF(Mercado_Receita!$T$2:$T$693,"44531B1Energia horáriaResidencialResidencialNão se aplicaNão se aplicaFora ponta",Mercado_Receita!$N$2:$N$693)</f>
        <v>0</v>
      </c>
      <c r="R6" s="14">
        <f>SUMIF(Mercado_Receita!$T$2:$T$693,"44562B1Energia horáriaResidencialResidencialNão se aplicaNão se aplicaFora ponta",Mercado_Receita!$N$2:$N$693)</f>
        <v>0</v>
      </c>
      <c r="S6" s="14">
        <f>SUMIF(Mercado_Receita!$T$2:$T$693,"44593B1Energia horáriaResidencialResidencialNão se aplicaNão se aplicaFora ponta",Mercado_Receita!$N$2:$N$693)</f>
        <v>0</v>
      </c>
      <c r="T6" s="14">
        <f>SUMIF(Mercado_Receita!$T$2:$T$693,"44621B1Energia horáriaResidencialResidencialNão se aplicaNão se aplicaFora ponta",Mercado_Receita!$N$2:$N$693)</f>
        <v>0</v>
      </c>
      <c r="U6" s="14">
        <f t="shared" si="0"/>
        <v>0</v>
      </c>
      <c r="V6" s="14"/>
      <c r="W6" s="14"/>
    </row>
    <row r="7" spans="1:30" ht="11.25" customHeight="1" x14ac:dyDescent="0.25">
      <c r="A7" s="116"/>
      <c r="B7" s="115" t="s">
        <v>86</v>
      </c>
      <c r="C7" s="115" t="s">
        <v>24</v>
      </c>
      <c r="D7" s="13" t="s">
        <v>24</v>
      </c>
      <c r="E7" s="13" t="s">
        <v>25</v>
      </c>
      <c r="F7" s="13" t="s">
        <v>25</v>
      </c>
      <c r="G7" s="14" t="s">
        <v>79</v>
      </c>
      <c r="H7" s="14" t="s">
        <v>73</v>
      </c>
      <c r="I7" s="14">
        <f>SUMIF(Mercado_Receita!$T$2:$T$693,"44287B1Energia convencionalResidencialResidencialNão se aplicaNão se aplicaNão se aplica",Mercado_Receita!$N$2:$N$693)</f>
        <v>2211.3290000000002</v>
      </c>
      <c r="J7" s="14">
        <f>SUMIF(Mercado_Receita!$T$2:$T$693,"44317B1Energia convencionalResidencialResidencialNão se aplicaNão se aplicaNão se aplica",Mercado_Receita!$N$2:$N$693)</f>
        <v>1922.8400000000001</v>
      </c>
      <c r="K7" s="14">
        <f>SUMIF(Mercado_Receita!$T$2:$T$693,"44348B1Energia convencionalResidencialResidencialNão se aplicaNão se aplicaNão se aplica",Mercado_Receita!$N$2:$N$693)</f>
        <v>1795.519</v>
      </c>
      <c r="L7" s="14">
        <f>SUMIF(Mercado_Receita!$T$2:$T$693,"44378B1Energia convencionalResidencialResidencialNão se aplicaNão se aplicaNão se aplica",Mercado_Receita!$N$2:$N$693)</f>
        <v>1813.8710000000001</v>
      </c>
      <c r="M7" s="14">
        <f>SUMIF(Mercado_Receita!$T$2:$T$693,"44409B1Energia convencionalResidencialResidencialNão se aplicaNão se aplicaNão se aplica",Mercado_Receita!$N$2:$N$693)</f>
        <v>1855.4360000000001</v>
      </c>
      <c r="N7" s="14">
        <f>SUMIF(Mercado_Receita!$T$2:$T$693,"44440B1Energia convencionalResidencialResidencialNão se aplicaNão se aplicaNão se aplica",Mercado_Receita!$N$2:$N$693)</f>
        <v>1966.9379999999999</v>
      </c>
      <c r="O7" s="14">
        <f>SUMIF(Mercado_Receita!$T$2:$T$693,"44470B1Energia convencionalResidencialResidencialNão se aplicaNão se aplicaNão se aplica",Mercado_Receita!$N$2:$N$693)</f>
        <v>1781.258</v>
      </c>
      <c r="P7" s="14">
        <f>SUMIF(Mercado_Receita!$T$2:$T$693,"44501B1Energia convencionalResidencialResidencialNão se aplicaNão se aplicaNão se aplica",Mercado_Receita!$N$2:$N$693)</f>
        <v>1991.6859999999999</v>
      </c>
      <c r="Q7" s="14">
        <f>SUMIF(Mercado_Receita!$T$2:$T$693,"44531B1Energia convencionalResidencialResidencialNão se aplicaNão se aplicaNão se aplica",Mercado_Receita!$N$2:$N$693)</f>
        <v>1863.825</v>
      </c>
      <c r="R7" s="14">
        <f>SUMIF(Mercado_Receita!$T$2:$T$693,"44562B1Energia convencionalResidencialResidencialNão se aplicaNão se aplicaNão se aplica",Mercado_Receita!$N$2:$N$693)</f>
        <v>2418.1579999999999</v>
      </c>
      <c r="S7" s="14">
        <f>SUMIF(Mercado_Receita!$T$2:$T$693,"44593B1Energia convencionalResidencialResidencialNão se aplicaNão se aplicaNão se aplica",Mercado_Receita!$N$2:$N$693)</f>
        <v>2141.5360000000005</v>
      </c>
      <c r="T7" s="14">
        <f>SUMIF(Mercado_Receita!$T$2:$T$693,"44621B1Energia convencionalResidencialResidencialNão se aplicaNão se aplicaNão se aplica",Mercado_Receita!$N$2:$N$693)</f>
        <v>2141.5360000000005</v>
      </c>
      <c r="U7" s="14">
        <f t="shared" si="0"/>
        <v>23903.932000000001</v>
      </c>
      <c r="V7" s="14"/>
      <c r="W7" s="14"/>
    </row>
    <row r="8" spans="1:30" ht="11.25" customHeight="1" x14ac:dyDescent="0.25">
      <c r="A8" s="116"/>
      <c r="B8" s="116"/>
      <c r="C8" s="116"/>
      <c r="D8" s="13" t="s">
        <v>29</v>
      </c>
      <c r="E8" s="13" t="s">
        <v>25</v>
      </c>
      <c r="F8" s="13" t="s">
        <v>25</v>
      </c>
      <c r="G8" s="14" t="s">
        <v>79</v>
      </c>
      <c r="H8" s="14" t="s">
        <v>73</v>
      </c>
      <c r="I8" s="14">
        <f>SUMIF(Mercado_Receita!$T$2:$T$693,"44287B1Energia convencionalResidencialResidencial baixa renda – faixa 01Não se aplicaNão se aplicaNão se aplica",Mercado_Receita!$N$2:$N$693)</f>
        <v>1.32</v>
      </c>
      <c r="J8" s="14">
        <f>SUMIF(Mercado_Receita!$T$2:$T$693,"44317B1Energia convencionalResidencialResidencial baixa renda – faixa 01Não se aplicaNão se aplicaNão se aplica",Mercado_Receita!$N$2:$N$693)</f>
        <v>1.35</v>
      </c>
      <c r="K8" s="14">
        <f>SUMIF(Mercado_Receita!$T$2:$T$693,"44348B1Energia convencionalResidencialResidencial baixa renda – faixa 01Não se aplicaNão se aplicaNão se aplica",Mercado_Receita!$N$2:$N$693)</f>
        <v>1.38</v>
      </c>
      <c r="L8" s="14">
        <f>SUMIF(Mercado_Receita!$T$2:$T$693,"44378B1Energia convencionalResidencialResidencial baixa renda – faixa 01Não se aplicaNão se aplicaNão se aplica",Mercado_Receita!$N$2:$N$693)</f>
        <v>1.38</v>
      </c>
      <c r="M8" s="14">
        <f>SUMIF(Mercado_Receita!$T$2:$T$693,"44409B1Energia convencionalResidencialResidencial baixa renda – faixa 01Não se aplicaNão se aplicaNão se aplica",Mercado_Receita!$N$2:$N$693)</f>
        <v>1.47</v>
      </c>
      <c r="N8" s="14">
        <f>SUMIF(Mercado_Receita!$T$2:$T$693,"44440B1Energia convencionalResidencialResidencial baixa renda – faixa 01Não se aplicaNão se aplicaNão se aplica",Mercado_Receita!$N$2:$N$693)</f>
        <v>1.44</v>
      </c>
      <c r="O8" s="14">
        <f>SUMIF(Mercado_Receita!$T$2:$T$693,"44470B1Energia convencionalResidencialResidencial baixa renda – faixa 01Não se aplicaNão se aplicaNão se aplica",Mercado_Receita!$N$2:$N$693)</f>
        <v>1.44</v>
      </c>
      <c r="P8" s="14">
        <f>SUMIF(Mercado_Receita!$T$2:$T$693,"44501B1Energia convencionalResidencialResidencial baixa renda – faixa 01Não se aplicaNão se aplicaNão se aplica",Mercado_Receita!$N$2:$N$693)</f>
        <v>1.47</v>
      </c>
      <c r="Q8" s="14">
        <f>SUMIF(Mercado_Receita!$T$2:$T$693,"44531B1Energia convencionalResidencialResidencial baixa renda – faixa 01Não se aplicaNão se aplicaNão se aplica",Mercado_Receita!$N$2:$N$693)</f>
        <v>1.47</v>
      </c>
      <c r="R8" s="14">
        <f>SUMIF(Mercado_Receita!$T$2:$T$693,"44562B1Energia convencionalResidencialResidencial baixa renda – faixa 01Não se aplicaNão se aplicaNão se aplica",Mercado_Receita!$N$2:$N$693)</f>
        <v>1.44</v>
      </c>
      <c r="S8" s="14">
        <f>SUMIF(Mercado_Receita!$T$2:$T$693,"44593B1Energia convencionalResidencialResidencial baixa renda – faixa 01Não se aplicaNão se aplicaNão se aplica",Mercado_Receita!$N$2:$N$693)</f>
        <v>1.44</v>
      </c>
      <c r="T8" s="14">
        <f>SUMIF(Mercado_Receita!$T$2:$T$693,"44621B1Energia convencionalResidencialResidencial baixa renda – faixa 01Não se aplicaNão se aplicaNão se aplica",Mercado_Receita!$N$2:$N$693)</f>
        <v>1.44</v>
      </c>
      <c r="U8" s="14">
        <f t="shared" si="0"/>
        <v>17.04</v>
      </c>
      <c r="V8" s="14"/>
      <c r="W8" s="14"/>
    </row>
    <row r="9" spans="1:30" ht="11.25" customHeight="1" x14ac:dyDescent="0.25">
      <c r="A9" s="116"/>
      <c r="B9" s="116"/>
      <c r="C9" s="116"/>
      <c r="D9" s="13" t="s">
        <v>30</v>
      </c>
      <c r="E9" s="13" t="s">
        <v>25</v>
      </c>
      <c r="F9" s="13" t="s">
        <v>25</v>
      </c>
      <c r="G9" s="14" t="s">
        <v>79</v>
      </c>
      <c r="H9" s="14" t="s">
        <v>73</v>
      </c>
      <c r="I9" s="14">
        <f>SUMIF(Mercado_Receita!$T$2:$T$693,"44287B1Energia convencionalResidencialResidencial baixa renda – faixa 02Não se aplicaNão se aplicaNão se aplica",Mercado_Receita!$N$2:$N$693)</f>
        <v>2.7629999999999999</v>
      </c>
      <c r="J9" s="14">
        <f>SUMIF(Mercado_Receita!$T$2:$T$693,"44317B1Energia convencionalResidencialResidencial baixa renda – faixa 02Não se aplicaNão se aplicaNão se aplica",Mercado_Receita!$N$2:$N$693)</f>
        <v>2.8559999999999999</v>
      </c>
      <c r="K9" s="14">
        <f>SUMIF(Mercado_Receita!$T$2:$T$693,"44348B1Energia convencionalResidencialResidencial baixa renda – faixa 02Não se aplicaNão se aplicaNão se aplica",Mercado_Receita!$N$2:$N$693)</f>
        <v>2.8679999999999999</v>
      </c>
      <c r="L9" s="14">
        <f>SUMIF(Mercado_Receita!$T$2:$T$693,"44378B1Energia convencionalResidencialResidencial baixa renda – faixa 02Não se aplicaNão se aplicaNão se aplica",Mercado_Receita!$N$2:$N$693)</f>
        <v>2.835</v>
      </c>
      <c r="M9" s="14">
        <f>SUMIF(Mercado_Receita!$T$2:$T$693,"44409B1Energia convencionalResidencialResidencial baixa renda – faixa 02Não se aplicaNão se aplicaNão se aplica",Mercado_Receita!$N$2:$N$693)</f>
        <v>3.1</v>
      </c>
      <c r="N9" s="14">
        <f>SUMIF(Mercado_Receita!$T$2:$T$693,"44440B1Energia convencionalResidencialResidencial baixa renda – faixa 02Não se aplicaNão se aplicaNão se aplica",Mercado_Receita!$N$2:$N$693)</f>
        <v>3.0750000000000002</v>
      </c>
      <c r="O9" s="14">
        <f>SUMIF(Mercado_Receita!$T$2:$T$693,"44470B1Energia convencionalResidencialResidencial baixa renda – faixa 02Não se aplicaNão se aplicaNão se aplica",Mercado_Receita!$N$2:$N$693)</f>
        <v>3.0350000000000001</v>
      </c>
      <c r="P9" s="14">
        <f>SUMIF(Mercado_Receita!$T$2:$T$693,"44501B1Energia convencionalResidencialResidencial baixa renda – faixa 02Não se aplicaNão se aplicaNão se aplica",Mercado_Receita!$N$2:$N$693)</f>
        <v>3.1309999999999998</v>
      </c>
      <c r="Q9" s="14">
        <f>SUMIF(Mercado_Receita!$T$2:$T$693,"44531B1Energia convencionalResidencialResidencial baixa renda – faixa 02Não se aplicaNão se aplicaNão se aplica",Mercado_Receita!$N$2:$N$693)</f>
        <v>3.0840000000000001</v>
      </c>
      <c r="R9" s="14">
        <f>SUMIF(Mercado_Receita!$T$2:$T$693,"44562B1Energia convencionalResidencialResidencial baixa renda – faixa 02Não se aplicaNão se aplicaNão se aplica",Mercado_Receita!$N$2:$N$693)</f>
        <v>3.0219999999999998</v>
      </c>
      <c r="S9" s="14">
        <f>SUMIF(Mercado_Receita!$T$2:$T$693,"44593B1Energia convencionalResidencialResidencial baixa renda – faixa 02Não se aplicaNão se aplicaNão se aplica",Mercado_Receita!$N$2:$N$693)</f>
        <v>3.14</v>
      </c>
      <c r="T9" s="14">
        <f>SUMIF(Mercado_Receita!$T$2:$T$693,"44621B1Energia convencionalResidencialResidencial baixa renda – faixa 02Não se aplicaNão se aplicaNão se aplica",Mercado_Receita!$N$2:$N$693)</f>
        <v>3.14</v>
      </c>
      <c r="U9" s="14">
        <f t="shared" si="0"/>
        <v>36.048999999999999</v>
      </c>
      <c r="V9" s="14"/>
      <c r="W9" s="14"/>
    </row>
    <row r="10" spans="1:30" ht="11.25" customHeight="1" x14ac:dyDescent="0.25">
      <c r="A10" s="116"/>
      <c r="B10" s="116"/>
      <c r="C10" s="116"/>
      <c r="D10" s="13" t="s">
        <v>31</v>
      </c>
      <c r="E10" s="13" t="s">
        <v>25</v>
      </c>
      <c r="F10" s="13" t="s">
        <v>25</v>
      </c>
      <c r="G10" s="14" t="s">
        <v>79</v>
      </c>
      <c r="H10" s="14" t="s">
        <v>73</v>
      </c>
      <c r="I10" s="14">
        <f>SUMIF(Mercado_Receita!$T$2:$T$693,"44287B1Energia convencionalResidencialResidencial baixa renda – faixa 03Não se aplicaNão se aplicaNão se aplica",Mercado_Receita!$N$2:$N$693)</f>
        <v>2.3380000000000001</v>
      </c>
      <c r="J10" s="14">
        <f>SUMIF(Mercado_Receita!$T$2:$T$693,"44317B1Energia convencionalResidencialResidencial baixa renda – faixa 03Não se aplicaNão se aplicaNão se aplica",Mercado_Receita!$N$2:$N$693)</f>
        <v>2.4510000000000001</v>
      </c>
      <c r="K10" s="14">
        <f>SUMIF(Mercado_Receita!$T$2:$T$693,"44348B1Energia convencionalResidencialResidencial baixa renda – faixa 03Não se aplicaNão se aplicaNão se aplica",Mercado_Receita!$N$2:$N$693)</f>
        <v>2.5870000000000002</v>
      </c>
      <c r="L10" s="14">
        <f>SUMIF(Mercado_Receita!$T$2:$T$693,"44378B1Energia convencionalResidencialResidencial baixa renda – faixa 03Não se aplicaNão se aplicaNão se aplica",Mercado_Receita!$N$2:$N$693)</f>
        <v>2.4989999999999997</v>
      </c>
      <c r="M10" s="14">
        <f>SUMIF(Mercado_Receita!$T$2:$T$693,"44409B1Energia convencionalResidencialResidencial baixa renda – faixa 03Não se aplicaNão se aplicaNão se aplica",Mercado_Receita!$N$2:$N$693)</f>
        <v>2.9670000000000001</v>
      </c>
      <c r="N10" s="14">
        <f>SUMIF(Mercado_Receita!$T$2:$T$693,"44440B1Energia convencionalResidencialResidencial baixa renda – faixa 03Não se aplicaNão se aplicaNão se aplica",Mercado_Receita!$N$2:$N$693)</f>
        <v>2.8450000000000002</v>
      </c>
      <c r="O10" s="14">
        <f>SUMIF(Mercado_Receita!$T$2:$T$693,"44470B1Energia convencionalResidencialResidencial baixa renda – faixa 03Não se aplicaNão se aplicaNão se aplica",Mercado_Receita!$N$2:$N$693)</f>
        <v>2.8010000000000002</v>
      </c>
      <c r="P10" s="14">
        <f>SUMIF(Mercado_Receita!$T$2:$T$693,"44501B1Energia convencionalResidencialResidencial baixa renda – faixa 03Não se aplicaNão se aplicaNão se aplica",Mercado_Receita!$N$2:$N$693)</f>
        <v>2.819</v>
      </c>
      <c r="Q10" s="14">
        <f>SUMIF(Mercado_Receita!$T$2:$T$693,"44531B1Energia convencionalResidencialResidencial baixa renda – faixa 03Não se aplicaNão se aplicaNão se aplica",Mercado_Receita!$N$2:$N$693)</f>
        <v>2.585</v>
      </c>
      <c r="R10" s="14">
        <f>SUMIF(Mercado_Receita!$T$2:$T$693,"44562B1Energia convencionalResidencialResidencial baixa renda – faixa 03Não se aplicaNão se aplicaNão se aplica",Mercado_Receita!$N$2:$N$693)</f>
        <v>2.6150000000000002</v>
      </c>
      <c r="S10" s="14">
        <f>SUMIF(Mercado_Receita!$T$2:$T$693,"44593B1Energia convencionalResidencialResidencial baixa renda – faixa 03Não se aplicaNão se aplicaNão se aplica",Mercado_Receita!$N$2:$N$693)</f>
        <v>3.1640000000000001</v>
      </c>
      <c r="T10" s="14">
        <f>SUMIF(Mercado_Receita!$T$2:$T$693,"44621B1Energia convencionalResidencialResidencial baixa renda – faixa 03Não se aplicaNão se aplicaNão se aplica",Mercado_Receita!$N$2:$N$693)</f>
        <v>3.1640000000000001</v>
      </c>
      <c r="U10" s="14">
        <f t="shared" si="0"/>
        <v>32.835000000000001</v>
      </c>
      <c r="V10" s="14"/>
      <c r="W10" s="14"/>
    </row>
    <row r="11" spans="1:30" ht="11.25" customHeight="1" x14ac:dyDescent="0.25">
      <c r="A11" s="116"/>
      <c r="B11" s="116"/>
      <c r="C11" s="116"/>
      <c r="D11" s="13" t="s">
        <v>32</v>
      </c>
      <c r="E11" s="13" t="s">
        <v>25</v>
      </c>
      <c r="F11" s="13" t="s">
        <v>25</v>
      </c>
      <c r="G11" s="14" t="s">
        <v>79</v>
      </c>
      <c r="H11" s="14" t="s">
        <v>73</v>
      </c>
      <c r="I11" s="14">
        <f>SUMIF(Mercado_Receita!$T$2:$T$693,"44287B1Energia convencionalResidencialResidencial baixa renda – faixa 04Não se aplicaNão se aplicaNão se aplica",Mercado_Receita!$N$2:$N$693)</f>
        <v>0.67500000000000004</v>
      </c>
      <c r="J11" s="14">
        <f>SUMIF(Mercado_Receita!$T$2:$T$693,"44317B1Energia convencionalResidencialResidencial baixa renda – faixa 04Não se aplicaNão se aplicaNão se aplica",Mercado_Receita!$N$2:$N$693)</f>
        <v>0.72299999999999998</v>
      </c>
      <c r="K11" s="14">
        <f>SUMIF(Mercado_Receita!$T$2:$T$693,"44348B1Energia convencionalResidencialResidencial baixa renda – faixa 04Não se aplicaNão se aplicaNão se aplica",Mercado_Receita!$N$2:$N$693)</f>
        <v>1.0489999999999999</v>
      </c>
      <c r="L11" s="14">
        <f>SUMIF(Mercado_Receita!$T$2:$T$693,"44378B1Energia convencionalResidencialResidencial baixa renda – faixa 04Não se aplicaNão se aplicaNão se aplica",Mercado_Receita!$N$2:$N$693)</f>
        <v>0.11799999999999999</v>
      </c>
      <c r="M11" s="14">
        <f>SUMIF(Mercado_Receita!$T$2:$T$693,"44409B1Energia convencionalResidencialResidencial baixa renda – faixa 04Não se aplicaNão se aplicaNão se aplica",Mercado_Receita!$N$2:$N$693)</f>
        <v>0.92400000000000004</v>
      </c>
      <c r="N11" s="14">
        <f>SUMIF(Mercado_Receita!$T$2:$T$693,"44440B1Energia convencionalResidencialResidencial baixa renda – faixa 04Não se aplicaNão se aplicaNão se aplica",Mercado_Receita!$N$2:$N$693)</f>
        <v>0.90300000000000002</v>
      </c>
      <c r="O11" s="14">
        <f>SUMIF(Mercado_Receita!$T$2:$T$693,"44470B1Energia convencionalResidencialResidencial baixa renda – faixa 04Não se aplicaNão se aplicaNão se aplica",Mercado_Receita!$N$2:$N$693)</f>
        <v>0.79</v>
      </c>
      <c r="P11" s="14">
        <f>SUMIF(Mercado_Receita!$T$2:$T$693,"44501B1Energia convencionalResidencialResidencial baixa renda – faixa 04Não se aplicaNão se aplicaNão se aplica",Mercado_Receita!$N$2:$N$693)</f>
        <v>1.0900000000000001</v>
      </c>
      <c r="Q11" s="14">
        <f>SUMIF(Mercado_Receita!$T$2:$T$693,"44531B1Energia convencionalResidencialResidencial baixa renda – faixa 04Não se aplicaNão se aplicaNão se aplica",Mercado_Receita!$N$2:$N$693)</f>
        <v>0.83899999999999997</v>
      </c>
      <c r="R11" s="14">
        <f>SUMIF(Mercado_Receita!$T$2:$T$693,"44562B1Energia convencionalResidencialResidencial baixa renda – faixa 04Não se aplicaNão se aplicaNão se aplica",Mercado_Receita!$N$2:$N$693)</f>
        <v>0.78500000000000003</v>
      </c>
      <c r="S11" s="14">
        <f>SUMIF(Mercado_Receita!$T$2:$T$693,"44593B1Energia convencionalResidencialResidencial baixa renda – faixa 04Não se aplicaNão se aplicaNão se aplica",Mercado_Receita!$N$2:$N$693)</f>
        <v>1.3360000000000001</v>
      </c>
      <c r="T11" s="14">
        <f>SUMIF(Mercado_Receita!$T$2:$T$693,"44621B1Energia convencionalResidencialResidencial baixa renda – faixa 04Não se aplicaNão se aplicaNão se aplica",Mercado_Receita!$N$2:$N$693)</f>
        <v>1.3360000000000001</v>
      </c>
      <c r="U11" s="14">
        <f t="shared" si="0"/>
        <v>10.568</v>
      </c>
      <c r="V11" s="14"/>
      <c r="W11" s="14"/>
    </row>
    <row r="12" spans="1:30" ht="11.25" customHeight="1" x14ac:dyDescent="0.25">
      <c r="A12" s="116"/>
      <c r="B12" s="115" t="s">
        <v>88</v>
      </c>
      <c r="C12" s="115" t="s">
        <v>24</v>
      </c>
      <c r="D12" s="13" t="s">
        <v>24</v>
      </c>
      <c r="E12" s="13" t="s">
        <v>25</v>
      </c>
      <c r="F12" s="13" t="s">
        <v>25</v>
      </c>
      <c r="G12" s="14" t="s">
        <v>79</v>
      </c>
      <c r="H12" s="14" t="s">
        <v>73</v>
      </c>
      <c r="I12" s="14">
        <f>SUMIF(Mercado_Receita!$T$2:$T$693,"44287B1Energia convencional pré-pagamentoResidencialResidencialNão se aplicaNão se aplicaNão se aplica",Mercado_Receita!$N$2:$N$693)</f>
        <v>0</v>
      </c>
      <c r="J12" s="14">
        <f>SUMIF(Mercado_Receita!$T$2:$T$693,"44317B1Energia convencional pré-pagamentoResidencialResidencialNão se aplicaNão se aplicaNão se aplica",Mercado_Receita!$N$2:$N$693)</f>
        <v>0</v>
      </c>
      <c r="K12" s="14">
        <f>SUMIF(Mercado_Receita!$T$2:$T$693,"44348B1Energia convencional pré-pagamentoResidencialResidencialNão se aplicaNão se aplicaNão se aplica",Mercado_Receita!$N$2:$N$693)</f>
        <v>0</v>
      </c>
      <c r="L12" s="14">
        <f>SUMIF(Mercado_Receita!$T$2:$T$693,"44378B1Energia convencional pré-pagamentoResidencialResidencialNão se aplicaNão se aplicaNão se aplica",Mercado_Receita!$N$2:$N$693)</f>
        <v>0</v>
      </c>
      <c r="M12" s="14">
        <f>SUMIF(Mercado_Receita!$T$2:$T$693,"44409B1Energia convencional pré-pagamentoResidencialResidencialNão se aplicaNão se aplicaNão se aplica",Mercado_Receita!$N$2:$N$693)</f>
        <v>0</v>
      </c>
      <c r="N12" s="14">
        <f>SUMIF(Mercado_Receita!$T$2:$T$693,"44440B1Energia convencional pré-pagamentoResidencialResidencialNão se aplicaNão se aplicaNão se aplica",Mercado_Receita!$N$2:$N$693)</f>
        <v>0</v>
      </c>
      <c r="O12" s="14">
        <f>SUMIF(Mercado_Receita!$T$2:$T$693,"44470B1Energia convencional pré-pagamentoResidencialResidencialNão se aplicaNão se aplicaNão se aplica",Mercado_Receita!$N$2:$N$693)</f>
        <v>0</v>
      </c>
      <c r="P12" s="14">
        <f>SUMIF(Mercado_Receita!$T$2:$T$693,"44501B1Energia convencional pré-pagamentoResidencialResidencialNão se aplicaNão se aplicaNão se aplica",Mercado_Receita!$N$2:$N$693)</f>
        <v>0</v>
      </c>
      <c r="Q12" s="14">
        <f>SUMIF(Mercado_Receita!$T$2:$T$693,"44531B1Energia convencional pré-pagamentoResidencialResidencialNão se aplicaNão se aplicaNão se aplica",Mercado_Receita!$N$2:$N$693)</f>
        <v>0</v>
      </c>
      <c r="R12" s="14">
        <f>SUMIF(Mercado_Receita!$T$2:$T$693,"44562B1Energia convencional pré-pagamentoResidencialResidencialNão se aplicaNão se aplicaNão se aplica",Mercado_Receita!$N$2:$N$693)</f>
        <v>0</v>
      </c>
      <c r="S12" s="14">
        <f>SUMIF(Mercado_Receita!$T$2:$T$693,"44593B1Energia convencional pré-pagamentoResidencialResidencialNão se aplicaNão se aplicaNão se aplica",Mercado_Receita!$N$2:$N$693)</f>
        <v>0</v>
      </c>
      <c r="T12" s="14">
        <f>SUMIF(Mercado_Receita!$T$2:$T$693,"44621B1Energia convencional pré-pagamentoResidencialResidencialNão se aplicaNão se aplicaNão se aplica",Mercado_Receita!$N$2:$N$693)</f>
        <v>0</v>
      </c>
      <c r="U12" s="14">
        <f t="shared" si="0"/>
        <v>0</v>
      </c>
      <c r="V12" s="14"/>
      <c r="W12" s="14"/>
    </row>
    <row r="13" spans="1:30" ht="11.25" customHeight="1" x14ac:dyDescent="0.25">
      <c r="A13" s="116"/>
      <c r="B13" s="116"/>
      <c r="C13" s="116"/>
      <c r="D13" s="13" t="s">
        <v>29</v>
      </c>
      <c r="E13" s="13" t="s">
        <v>25</v>
      </c>
      <c r="F13" s="13" t="s">
        <v>25</v>
      </c>
      <c r="G13" s="14" t="s">
        <v>79</v>
      </c>
      <c r="H13" s="14" t="s">
        <v>73</v>
      </c>
      <c r="I13" s="14">
        <f>SUMIF(Mercado_Receita!$T$2:$T$693,"44287B1Energia convencional pré-pagamentoResidencialResidencial baixa renda – faixa 01Não se aplicaNão se aplicaNão se aplica",Mercado_Receita!$N$2:$N$693)</f>
        <v>0</v>
      </c>
      <c r="J13" s="14">
        <f>SUMIF(Mercado_Receita!$T$2:$T$693,"44317B1Energia convencional pré-pagamentoResidencialResidencial baixa renda – faixa 01Não se aplicaNão se aplicaNão se aplica",Mercado_Receita!$N$2:$N$693)</f>
        <v>0</v>
      </c>
      <c r="K13" s="14">
        <f>SUMIF(Mercado_Receita!$T$2:$T$693,"44348B1Energia convencional pré-pagamentoResidencialResidencial baixa renda – faixa 01Não se aplicaNão se aplicaNão se aplica",Mercado_Receita!$N$2:$N$693)</f>
        <v>0</v>
      </c>
      <c r="L13" s="14">
        <f>SUMIF(Mercado_Receita!$T$2:$T$693,"44378B1Energia convencional pré-pagamentoResidencialResidencial baixa renda – faixa 01Não se aplicaNão se aplicaNão se aplica",Mercado_Receita!$N$2:$N$693)</f>
        <v>0</v>
      </c>
      <c r="M13" s="14">
        <f>SUMIF(Mercado_Receita!$T$2:$T$693,"44409B1Energia convencional pré-pagamentoResidencialResidencial baixa renda – faixa 01Não se aplicaNão se aplicaNão se aplica",Mercado_Receita!$N$2:$N$693)</f>
        <v>0</v>
      </c>
      <c r="N13" s="14">
        <f>SUMIF(Mercado_Receita!$T$2:$T$693,"44440B1Energia convencional pré-pagamentoResidencialResidencial baixa renda – faixa 01Não se aplicaNão se aplicaNão se aplica",Mercado_Receita!$N$2:$N$693)</f>
        <v>0</v>
      </c>
      <c r="O13" s="14">
        <f>SUMIF(Mercado_Receita!$T$2:$T$693,"44470B1Energia convencional pré-pagamentoResidencialResidencial baixa renda – faixa 01Não se aplicaNão se aplicaNão se aplica",Mercado_Receita!$N$2:$N$693)</f>
        <v>0</v>
      </c>
      <c r="P13" s="14">
        <f>SUMIF(Mercado_Receita!$T$2:$T$693,"44501B1Energia convencional pré-pagamentoResidencialResidencial baixa renda – faixa 01Não se aplicaNão se aplicaNão se aplica",Mercado_Receita!$N$2:$N$693)</f>
        <v>0</v>
      </c>
      <c r="Q13" s="14">
        <f>SUMIF(Mercado_Receita!$T$2:$T$693,"44531B1Energia convencional pré-pagamentoResidencialResidencial baixa renda – faixa 01Não se aplicaNão se aplicaNão se aplica",Mercado_Receita!$N$2:$N$693)</f>
        <v>0</v>
      </c>
      <c r="R13" s="14">
        <f>SUMIF(Mercado_Receita!$T$2:$T$693,"44562B1Energia convencional pré-pagamentoResidencialResidencial baixa renda – faixa 01Não se aplicaNão se aplicaNão se aplica",Mercado_Receita!$N$2:$N$693)</f>
        <v>0</v>
      </c>
      <c r="S13" s="14">
        <f>SUMIF(Mercado_Receita!$T$2:$T$693,"44593B1Energia convencional pré-pagamentoResidencialResidencial baixa renda – faixa 01Não se aplicaNão se aplicaNão se aplica",Mercado_Receita!$N$2:$N$693)</f>
        <v>0</v>
      </c>
      <c r="T13" s="14">
        <f>SUMIF(Mercado_Receita!$T$2:$T$693,"44621B1Energia convencional pré-pagamentoResidencialResidencial baixa renda – faixa 01Não se aplicaNão se aplicaNão se aplica",Mercado_Receita!$N$2:$N$693)</f>
        <v>0</v>
      </c>
      <c r="U13" s="14">
        <f t="shared" si="0"/>
        <v>0</v>
      </c>
      <c r="V13" s="14"/>
      <c r="W13" s="14"/>
    </row>
    <row r="14" spans="1:30" ht="11.25" customHeight="1" x14ac:dyDescent="0.25">
      <c r="A14" s="116"/>
      <c r="B14" s="116"/>
      <c r="C14" s="116"/>
      <c r="D14" s="13" t="s">
        <v>30</v>
      </c>
      <c r="E14" s="13" t="s">
        <v>25</v>
      </c>
      <c r="F14" s="13" t="s">
        <v>25</v>
      </c>
      <c r="G14" s="14" t="s">
        <v>79</v>
      </c>
      <c r="H14" s="14" t="s">
        <v>73</v>
      </c>
      <c r="I14" s="14">
        <f>SUMIF(Mercado_Receita!$T$2:$T$693,"44287B1Energia convencional pré-pagamentoResidencialResidencial baixa renda – faixa 02Não se aplicaNão se aplicaNão se aplica",Mercado_Receita!$N$2:$N$693)</f>
        <v>0</v>
      </c>
      <c r="J14" s="14">
        <f>SUMIF(Mercado_Receita!$T$2:$T$693,"44317B1Energia convencional pré-pagamentoResidencialResidencial baixa renda – faixa 02Não se aplicaNão se aplicaNão se aplica",Mercado_Receita!$N$2:$N$693)</f>
        <v>0</v>
      </c>
      <c r="K14" s="14">
        <f>SUMIF(Mercado_Receita!$T$2:$T$693,"44348B1Energia convencional pré-pagamentoResidencialResidencial baixa renda – faixa 02Não se aplicaNão se aplicaNão se aplica",Mercado_Receita!$N$2:$N$693)</f>
        <v>0</v>
      </c>
      <c r="L14" s="14">
        <f>SUMIF(Mercado_Receita!$T$2:$T$693,"44378B1Energia convencional pré-pagamentoResidencialResidencial baixa renda – faixa 02Não se aplicaNão se aplicaNão se aplica",Mercado_Receita!$N$2:$N$693)</f>
        <v>0</v>
      </c>
      <c r="M14" s="14">
        <f>SUMIF(Mercado_Receita!$T$2:$T$693,"44409B1Energia convencional pré-pagamentoResidencialResidencial baixa renda – faixa 02Não se aplicaNão se aplicaNão se aplica",Mercado_Receita!$N$2:$N$693)</f>
        <v>0</v>
      </c>
      <c r="N14" s="14">
        <f>SUMIF(Mercado_Receita!$T$2:$T$693,"44440B1Energia convencional pré-pagamentoResidencialResidencial baixa renda – faixa 02Não se aplicaNão se aplicaNão se aplica",Mercado_Receita!$N$2:$N$693)</f>
        <v>0</v>
      </c>
      <c r="O14" s="14">
        <f>SUMIF(Mercado_Receita!$T$2:$T$693,"44470B1Energia convencional pré-pagamentoResidencialResidencial baixa renda – faixa 02Não se aplicaNão se aplicaNão se aplica",Mercado_Receita!$N$2:$N$693)</f>
        <v>0</v>
      </c>
      <c r="P14" s="14">
        <f>SUMIF(Mercado_Receita!$T$2:$T$693,"44501B1Energia convencional pré-pagamentoResidencialResidencial baixa renda – faixa 02Não se aplicaNão se aplicaNão se aplica",Mercado_Receita!$N$2:$N$693)</f>
        <v>0</v>
      </c>
      <c r="Q14" s="14">
        <f>SUMIF(Mercado_Receita!$T$2:$T$693,"44531B1Energia convencional pré-pagamentoResidencialResidencial baixa renda – faixa 02Não se aplicaNão se aplicaNão se aplica",Mercado_Receita!$N$2:$N$693)</f>
        <v>0</v>
      </c>
      <c r="R14" s="14">
        <f>SUMIF(Mercado_Receita!$T$2:$T$693,"44562B1Energia convencional pré-pagamentoResidencialResidencial baixa renda – faixa 02Não se aplicaNão se aplicaNão se aplica",Mercado_Receita!$N$2:$N$693)</f>
        <v>0</v>
      </c>
      <c r="S14" s="14">
        <f>SUMIF(Mercado_Receita!$T$2:$T$693,"44593B1Energia convencional pré-pagamentoResidencialResidencial baixa renda – faixa 02Não se aplicaNão se aplicaNão se aplica",Mercado_Receita!$N$2:$N$693)</f>
        <v>0</v>
      </c>
      <c r="T14" s="14">
        <f>SUMIF(Mercado_Receita!$T$2:$T$693,"44621B1Energia convencional pré-pagamentoResidencialResidencial baixa renda – faixa 02Não se aplicaNão se aplicaNão se aplica",Mercado_Receita!$N$2:$N$693)</f>
        <v>0</v>
      </c>
      <c r="U14" s="14">
        <f t="shared" si="0"/>
        <v>0</v>
      </c>
      <c r="V14" s="14"/>
      <c r="W14" s="14"/>
    </row>
    <row r="15" spans="1:30" ht="11.25" customHeight="1" x14ac:dyDescent="0.25">
      <c r="A15" s="116"/>
      <c r="B15" s="116"/>
      <c r="C15" s="116"/>
      <c r="D15" s="13" t="s">
        <v>31</v>
      </c>
      <c r="E15" s="13" t="s">
        <v>25</v>
      </c>
      <c r="F15" s="13" t="s">
        <v>25</v>
      </c>
      <c r="G15" s="14" t="s">
        <v>79</v>
      </c>
      <c r="H15" s="14" t="s">
        <v>73</v>
      </c>
      <c r="I15" s="14">
        <f>SUMIF(Mercado_Receita!$T$2:$T$693,"44287B1Energia convencional pré-pagamentoResidencialResidencial baixa renda – faixa 03Não se aplicaNão se aplicaNão se aplica",Mercado_Receita!$N$2:$N$693)</f>
        <v>0</v>
      </c>
      <c r="J15" s="14">
        <f>SUMIF(Mercado_Receita!$T$2:$T$693,"44317B1Energia convencional pré-pagamentoResidencialResidencial baixa renda – faixa 03Não se aplicaNão se aplicaNão se aplica",Mercado_Receita!$N$2:$N$693)</f>
        <v>0</v>
      </c>
      <c r="K15" s="14">
        <f>SUMIF(Mercado_Receita!$T$2:$T$693,"44348B1Energia convencional pré-pagamentoResidencialResidencial baixa renda – faixa 03Não se aplicaNão se aplicaNão se aplica",Mercado_Receita!$N$2:$N$693)</f>
        <v>0</v>
      </c>
      <c r="L15" s="14">
        <f>SUMIF(Mercado_Receita!$T$2:$T$693,"44378B1Energia convencional pré-pagamentoResidencialResidencial baixa renda – faixa 03Não se aplicaNão se aplicaNão se aplica",Mercado_Receita!$N$2:$N$693)</f>
        <v>0</v>
      </c>
      <c r="M15" s="14">
        <f>SUMIF(Mercado_Receita!$T$2:$T$693,"44409B1Energia convencional pré-pagamentoResidencialResidencial baixa renda – faixa 03Não se aplicaNão se aplicaNão se aplica",Mercado_Receita!$N$2:$N$693)</f>
        <v>0</v>
      </c>
      <c r="N15" s="14">
        <f>SUMIF(Mercado_Receita!$T$2:$T$693,"44440B1Energia convencional pré-pagamentoResidencialResidencial baixa renda – faixa 03Não se aplicaNão se aplicaNão se aplica",Mercado_Receita!$N$2:$N$693)</f>
        <v>0</v>
      </c>
      <c r="O15" s="14">
        <f>SUMIF(Mercado_Receita!$T$2:$T$693,"44470B1Energia convencional pré-pagamentoResidencialResidencial baixa renda – faixa 03Não se aplicaNão se aplicaNão se aplica",Mercado_Receita!$N$2:$N$693)</f>
        <v>0</v>
      </c>
      <c r="P15" s="14">
        <f>SUMIF(Mercado_Receita!$T$2:$T$693,"44501B1Energia convencional pré-pagamentoResidencialResidencial baixa renda – faixa 03Não se aplicaNão se aplicaNão se aplica",Mercado_Receita!$N$2:$N$693)</f>
        <v>0</v>
      </c>
      <c r="Q15" s="14">
        <f>SUMIF(Mercado_Receita!$T$2:$T$693,"44531B1Energia convencional pré-pagamentoResidencialResidencial baixa renda – faixa 03Não se aplicaNão se aplicaNão se aplica",Mercado_Receita!$N$2:$N$693)</f>
        <v>0</v>
      </c>
      <c r="R15" s="14">
        <f>SUMIF(Mercado_Receita!$T$2:$T$693,"44562B1Energia convencional pré-pagamentoResidencialResidencial baixa renda – faixa 03Não se aplicaNão se aplicaNão se aplica",Mercado_Receita!$N$2:$N$693)</f>
        <v>0</v>
      </c>
      <c r="S15" s="14">
        <f>SUMIF(Mercado_Receita!$T$2:$T$693,"44593B1Energia convencional pré-pagamentoResidencialResidencial baixa renda – faixa 03Não se aplicaNão se aplicaNão se aplica",Mercado_Receita!$N$2:$N$693)</f>
        <v>0</v>
      </c>
      <c r="T15" s="14">
        <f>SUMIF(Mercado_Receita!$T$2:$T$693,"44621B1Energia convencional pré-pagamentoResidencialResidencial baixa renda – faixa 03Não se aplicaNão se aplicaNão se aplica",Mercado_Receita!$N$2:$N$693)</f>
        <v>0</v>
      </c>
      <c r="U15" s="14">
        <f t="shared" si="0"/>
        <v>0</v>
      </c>
      <c r="V15" s="14"/>
      <c r="W15" s="14"/>
    </row>
    <row r="16" spans="1:30" ht="11.25" customHeight="1" x14ac:dyDescent="0.25">
      <c r="A16" s="116"/>
      <c r="B16" s="116"/>
      <c r="C16" s="116"/>
      <c r="D16" s="13" t="s">
        <v>32</v>
      </c>
      <c r="E16" s="13" t="s">
        <v>25</v>
      </c>
      <c r="F16" s="13" t="s">
        <v>25</v>
      </c>
      <c r="G16" s="14" t="s">
        <v>79</v>
      </c>
      <c r="H16" s="14" t="s">
        <v>73</v>
      </c>
      <c r="I16" s="14">
        <f>SUMIF(Mercado_Receita!$T$2:$T$693,"44287B1Energia convencional pré-pagamentoResidencialResidencial baixa renda – faixa 04Não se aplicaNão se aplicaNão se aplica",Mercado_Receita!$N$2:$N$693)</f>
        <v>0</v>
      </c>
      <c r="J16" s="14">
        <f>SUMIF(Mercado_Receita!$T$2:$T$693,"44317B1Energia convencional pré-pagamentoResidencialResidencial baixa renda – faixa 04Não se aplicaNão se aplicaNão se aplica",Mercado_Receita!$N$2:$N$693)</f>
        <v>0</v>
      </c>
      <c r="K16" s="14">
        <f>SUMIF(Mercado_Receita!$T$2:$T$693,"44348B1Energia convencional pré-pagamentoResidencialResidencial baixa renda – faixa 04Não se aplicaNão se aplicaNão se aplica",Mercado_Receita!$N$2:$N$693)</f>
        <v>0</v>
      </c>
      <c r="L16" s="14">
        <f>SUMIF(Mercado_Receita!$T$2:$T$693,"44378B1Energia convencional pré-pagamentoResidencialResidencial baixa renda – faixa 04Não se aplicaNão se aplicaNão se aplica",Mercado_Receita!$N$2:$N$693)</f>
        <v>0</v>
      </c>
      <c r="M16" s="14">
        <f>SUMIF(Mercado_Receita!$T$2:$T$693,"44409B1Energia convencional pré-pagamentoResidencialResidencial baixa renda – faixa 04Não se aplicaNão se aplicaNão se aplica",Mercado_Receita!$N$2:$N$693)</f>
        <v>0</v>
      </c>
      <c r="N16" s="14">
        <f>SUMIF(Mercado_Receita!$T$2:$T$693,"44440B1Energia convencional pré-pagamentoResidencialResidencial baixa renda – faixa 04Não se aplicaNão se aplicaNão se aplica",Mercado_Receita!$N$2:$N$693)</f>
        <v>0</v>
      </c>
      <c r="O16" s="14">
        <f>SUMIF(Mercado_Receita!$T$2:$T$693,"44470B1Energia convencional pré-pagamentoResidencialResidencial baixa renda – faixa 04Não se aplicaNão se aplicaNão se aplica",Mercado_Receita!$N$2:$N$693)</f>
        <v>0</v>
      </c>
      <c r="P16" s="14">
        <f>SUMIF(Mercado_Receita!$T$2:$T$693,"44501B1Energia convencional pré-pagamentoResidencialResidencial baixa renda – faixa 04Não se aplicaNão se aplicaNão se aplica",Mercado_Receita!$N$2:$N$693)</f>
        <v>0</v>
      </c>
      <c r="Q16" s="14">
        <f>SUMIF(Mercado_Receita!$T$2:$T$693,"44531B1Energia convencional pré-pagamentoResidencialResidencial baixa renda – faixa 04Não se aplicaNão se aplicaNão se aplica",Mercado_Receita!$N$2:$N$693)</f>
        <v>0</v>
      </c>
      <c r="R16" s="14">
        <f>SUMIF(Mercado_Receita!$T$2:$T$693,"44562B1Energia convencional pré-pagamentoResidencialResidencial baixa renda – faixa 04Não se aplicaNão se aplicaNão se aplica",Mercado_Receita!$N$2:$N$693)</f>
        <v>0</v>
      </c>
      <c r="S16" s="14">
        <f>SUMIF(Mercado_Receita!$T$2:$T$693,"44593B1Energia convencional pré-pagamentoResidencialResidencial baixa renda – faixa 04Não se aplicaNão se aplicaNão se aplica",Mercado_Receita!$N$2:$N$693)</f>
        <v>0</v>
      </c>
      <c r="T16" s="14">
        <f>SUMIF(Mercado_Receita!$T$2:$T$693,"44621B1Energia convencional pré-pagamentoResidencialResidencial baixa renda – faixa 04Não se aplicaNão se aplicaNão se aplica",Mercado_Receita!$N$2:$N$693)</f>
        <v>0</v>
      </c>
      <c r="U16" s="14">
        <f t="shared" si="0"/>
        <v>0</v>
      </c>
      <c r="V16" s="14"/>
      <c r="W16" s="14"/>
    </row>
    <row r="17" spans="1:23" ht="11.25" customHeight="1" x14ac:dyDescent="0.25">
      <c r="A17" s="115" t="s">
        <v>40</v>
      </c>
      <c r="B17" s="115" t="s">
        <v>72</v>
      </c>
      <c r="C17" s="115" t="s">
        <v>41</v>
      </c>
      <c r="D17" s="115" t="s">
        <v>25</v>
      </c>
      <c r="E17" s="115" t="s">
        <v>25</v>
      </c>
      <c r="F17" s="115" t="s">
        <v>25</v>
      </c>
      <c r="G17" s="14" t="s">
        <v>74</v>
      </c>
      <c r="H17" s="14" t="s">
        <v>73</v>
      </c>
      <c r="I17" s="14">
        <f>SUMIF(Mercado_Receita!$T$2:$T$693,"44287B2Energia horáriaRuralNão se aplicaNão se aplicaNão se aplicaPonta",Mercado_Receita!$N$2:$N$693)</f>
        <v>0</v>
      </c>
      <c r="J17" s="14">
        <f>SUMIF(Mercado_Receita!$T$2:$T$693,"44317B2Energia horáriaRuralNão se aplicaNão se aplicaNão se aplicaPonta",Mercado_Receita!$N$2:$N$693)</f>
        <v>0</v>
      </c>
      <c r="K17" s="14">
        <f>SUMIF(Mercado_Receita!$T$2:$T$693,"44348B2Energia horáriaRuralNão se aplicaNão se aplicaNão se aplicaPonta",Mercado_Receita!$N$2:$N$693)</f>
        <v>0</v>
      </c>
      <c r="L17" s="14">
        <f>SUMIF(Mercado_Receita!$T$2:$T$693,"44378B2Energia horáriaRuralNão se aplicaNão se aplicaNão se aplicaPonta",Mercado_Receita!$N$2:$N$693)</f>
        <v>0</v>
      </c>
      <c r="M17" s="14">
        <f>SUMIF(Mercado_Receita!$T$2:$T$693,"44409B2Energia horáriaRuralNão se aplicaNão se aplicaNão se aplicaPonta",Mercado_Receita!$N$2:$N$693)</f>
        <v>0</v>
      </c>
      <c r="N17" s="14">
        <f>SUMIF(Mercado_Receita!$T$2:$T$693,"44440B2Energia horáriaRuralNão se aplicaNão se aplicaNão se aplicaPonta",Mercado_Receita!$N$2:$N$693)</f>
        <v>0</v>
      </c>
      <c r="O17" s="14">
        <f>SUMIF(Mercado_Receita!$T$2:$T$693,"44470B2Energia horáriaRuralNão se aplicaNão se aplicaNão se aplicaPonta",Mercado_Receita!$N$2:$N$693)</f>
        <v>0</v>
      </c>
      <c r="P17" s="14">
        <f>SUMIF(Mercado_Receita!$T$2:$T$693,"44501B2Energia horáriaRuralNão se aplicaNão se aplicaNão se aplicaPonta",Mercado_Receita!$N$2:$N$693)</f>
        <v>0</v>
      </c>
      <c r="Q17" s="14">
        <f>SUMIF(Mercado_Receita!$T$2:$T$693,"44531B2Energia horáriaRuralNão se aplicaNão se aplicaNão se aplicaPonta",Mercado_Receita!$N$2:$N$693)</f>
        <v>0</v>
      </c>
      <c r="R17" s="14">
        <f>SUMIF(Mercado_Receita!$T$2:$T$693,"44562B2Energia horáriaRuralNão se aplicaNão se aplicaNão se aplicaPonta",Mercado_Receita!$N$2:$N$693)</f>
        <v>0</v>
      </c>
      <c r="S17" s="14">
        <f>SUMIF(Mercado_Receita!$T$2:$T$693,"44593B2Energia horáriaRuralNão se aplicaNão se aplicaNão se aplicaPonta",Mercado_Receita!$N$2:$N$693)</f>
        <v>0</v>
      </c>
      <c r="T17" s="14">
        <f>SUMIF(Mercado_Receita!$T$2:$T$693,"44621B2Energia horáriaRuralNão se aplicaNão se aplicaNão se aplicaPonta",Mercado_Receita!$N$2:$N$693)</f>
        <v>0</v>
      </c>
      <c r="U17" s="14">
        <f t="shared" si="0"/>
        <v>0</v>
      </c>
      <c r="V17" s="14"/>
      <c r="W17" s="14"/>
    </row>
    <row r="18" spans="1:23" ht="11.25" customHeight="1" x14ac:dyDescent="0.25">
      <c r="A18" s="116"/>
      <c r="B18" s="116"/>
      <c r="C18" s="116"/>
      <c r="D18" s="116"/>
      <c r="E18" s="116"/>
      <c r="F18" s="116"/>
      <c r="G18" s="14" t="s">
        <v>85</v>
      </c>
      <c r="H18" s="14" t="s">
        <v>73</v>
      </c>
      <c r="I18" s="14">
        <f>SUMIF(Mercado_Receita!$T$2:$T$693,"44287B2Energia horáriaRuralNão se aplicaNão se aplicaNão se aplicaIntermediário",Mercado_Receita!$N$2:$N$693)</f>
        <v>0</v>
      </c>
      <c r="J18" s="14">
        <f>SUMIF(Mercado_Receita!$T$2:$T$693,"44317B2Energia horáriaRuralNão se aplicaNão se aplicaNão se aplicaIntermediário",Mercado_Receita!$N$2:$N$693)</f>
        <v>0</v>
      </c>
      <c r="K18" s="14">
        <f>SUMIF(Mercado_Receita!$T$2:$T$693,"44348B2Energia horáriaRuralNão se aplicaNão se aplicaNão se aplicaIntermediário",Mercado_Receita!$N$2:$N$693)</f>
        <v>0</v>
      </c>
      <c r="L18" s="14">
        <f>SUMIF(Mercado_Receita!$T$2:$T$693,"44378B2Energia horáriaRuralNão se aplicaNão se aplicaNão se aplicaIntermediário",Mercado_Receita!$N$2:$N$693)</f>
        <v>0</v>
      </c>
      <c r="M18" s="14">
        <f>SUMIF(Mercado_Receita!$T$2:$T$693,"44409B2Energia horáriaRuralNão se aplicaNão se aplicaNão se aplicaIntermediário",Mercado_Receita!$N$2:$N$693)</f>
        <v>0</v>
      </c>
      <c r="N18" s="14">
        <f>SUMIF(Mercado_Receita!$T$2:$T$693,"44440B2Energia horáriaRuralNão se aplicaNão se aplicaNão se aplicaIntermediário",Mercado_Receita!$N$2:$N$693)</f>
        <v>0</v>
      </c>
      <c r="O18" s="14">
        <f>SUMIF(Mercado_Receita!$T$2:$T$693,"44470B2Energia horáriaRuralNão se aplicaNão se aplicaNão se aplicaIntermediário",Mercado_Receita!$N$2:$N$693)</f>
        <v>0</v>
      </c>
      <c r="P18" s="14">
        <f>SUMIF(Mercado_Receita!$T$2:$T$693,"44501B2Energia horáriaRuralNão se aplicaNão se aplicaNão se aplicaIntermediário",Mercado_Receita!$N$2:$N$693)</f>
        <v>0</v>
      </c>
      <c r="Q18" s="14">
        <f>SUMIF(Mercado_Receita!$T$2:$T$693,"44531B2Energia horáriaRuralNão se aplicaNão se aplicaNão se aplicaIntermediário",Mercado_Receita!$N$2:$N$693)</f>
        <v>0</v>
      </c>
      <c r="R18" s="14">
        <f>SUMIF(Mercado_Receita!$T$2:$T$693,"44562B2Energia horáriaRuralNão se aplicaNão se aplicaNão se aplicaIntermediário",Mercado_Receita!$N$2:$N$693)</f>
        <v>0</v>
      </c>
      <c r="S18" s="14">
        <f>SUMIF(Mercado_Receita!$T$2:$T$693,"44593B2Energia horáriaRuralNão se aplicaNão se aplicaNão se aplicaIntermediário",Mercado_Receita!$N$2:$N$693)</f>
        <v>0</v>
      </c>
      <c r="T18" s="14">
        <f>SUMIF(Mercado_Receita!$T$2:$T$693,"44621B2Energia horáriaRuralNão se aplicaNão se aplicaNão se aplicaIntermediário",Mercado_Receita!$N$2:$N$693)</f>
        <v>0</v>
      </c>
      <c r="U18" s="14">
        <f t="shared" si="0"/>
        <v>0</v>
      </c>
      <c r="V18" s="14"/>
      <c r="W18" s="14"/>
    </row>
    <row r="19" spans="1:23" ht="11.25" customHeight="1" x14ac:dyDescent="0.25">
      <c r="A19" s="116"/>
      <c r="B19" s="116"/>
      <c r="C19" s="116"/>
      <c r="D19" s="116"/>
      <c r="E19" s="116"/>
      <c r="F19" s="116"/>
      <c r="G19" s="14" t="s">
        <v>75</v>
      </c>
      <c r="H19" s="14" t="s">
        <v>73</v>
      </c>
      <c r="I19" s="14">
        <f>SUMIF(Mercado_Receita!$T$2:$T$693,"44287B2Energia horáriaRuralNão se aplicaNão se aplicaNão se aplicaFora ponta",Mercado_Receita!$N$2:$N$693)</f>
        <v>0</v>
      </c>
      <c r="J19" s="14">
        <f>SUMIF(Mercado_Receita!$T$2:$T$693,"44317B2Energia horáriaRuralNão se aplicaNão se aplicaNão se aplicaFora ponta",Mercado_Receita!$N$2:$N$693)</f>
        <v>0</v>
      </c>
      <c r="K19" s="14">
        <f>SUMIF(Mercado_Receita!$T$2:$T$693,"44348B2Energia horáriaRuralNão se aplicaNão se aplicaNão se aplicaFora ponta",Mercado_Receita!$N$2:$N$693)</f>
        <v>0</v>
      </c>
      <c r="L19" s="14">
        <f>SUMIF(Mercado_Receita!$T$2:$T$693,"44378B2Energia horáriaRuralNão se aplicaNão se aplicaNão se aplicaFora ponta",Mercado_Receita!$N$2:$N$693)</f>
        <v>0</v>
      </c>
      <c r="M19" s="14">
        <f>SUMIF(Mercado_Receita!$T$2:$T$693,"44409B2Energia horáriaRuralNão se aplicaNão se aplicaNão se aplicaFora ponta",Mercado_Receita!$N$2:$N$693)</f>
        <v>0</v>
      </c>
      <c r="N19" s="14">
        <f>SUMIF(Mercado_Receita!$T$2:$T$693,"44440B2Energia horáriaRuralNão se aplicaNão se aplicaNão se aplicaFora ponta",Mercado_Receita!$N$2:$N$693)</f>
        <v>0</v>
      </c>
      <c r="O19" s="14">
        <f>SUMIF(Mercado_Receita!$T$2:$T$693,"44470B2Energia horáriaRuralNão se aplicaNão se aplicaNão se aplicaFora ponta",Mercado_Receita!$N$2:$N$693)</f>
        <v>0</v>
      </c>
      <c r="P19" s="14">
        <f>SUMIF(Mercado_Receita!$T$2:$T$693,"44501B2Energia horáriaRuralNão se aplicaNão se aplicaNão se aplicaFora ponta",Mercado_Receita!$N$2:$N$693)</f>
        <v>0</v>
      </c>
      <c r="Q19" s="14">
        <f>SUMIF(Mercado_Receita!$T$2:$T$693,"44531B2Energia horáriaRuralNão se aplicaNão se aplicaNão se aplicaFora ponta",Mercado_Receita!$N$2:$N$693)</f>
        <v>0</v>
      </c>
      <c r="R19" s="14">
        <f>SUMIF(Mercado_Receita!$T$2:$T$693,"44562B2Energia horáriaRuralNão se aplicaNão se aplicaNão se aplicaFora ponta",Mercado_Receita!$N$2:$N$693)</f>
        <v>0</v>
      </c>
      <c r="S19" s="14">
        <f>SUMIF(Mercado_Receita!$T$2:$T$693,"44593B2Energia horáriaRuralNão se aplicaNão se aplicaNão se aplicaFora ponta",Mercado_Receita!$N$2:$N$693)</f>
        <v>0</v>
      </c>
      <c r="T19" s="14">
        <f>SUMIF(Mercado_Receita!$T$2:$T$693,"44621B2Energia horáriaRuralNão se aplicaNão se aplicaNão se aplicaFora ponta",Mercado_Receita!$N$2:$N$693)</f>
        <v>0</v>
      </c>
      <c r="U19" s="14">
        <f t="shared" si="0"/>
        <v>0</v>
      </c>
      <c r="V19" s="14"/>
      <c r="W19" s="14"/>
    </row>
    <row r="20" spans="1:23" ht="11.25" customHeight="1" x14ac:dyDescent="0.25">
      <c r="A20" s="116"/>
      <c r="B20" s="13" t="s">
        <v>86</v>
      </c>
      <c r="C20" s="13" t="s">
        <v>41</v>
      </c>
      <c r="D20" s="13" t="s">
        <v>25</v>
      </c>
      <c r="E20" s="13" t="s">
        <v>25</v>
      </c>
      <c r="F20" s="13" t="s">
        <v>25</v>
      </c>
      <c r="G20" s="14" t="s">
        <v>79</v>
      </c>
      <c r="H20" s="14" t="s">
        <v>73</v>
      </c>
      <c r="I20" s="14">
        <f>SUMIF(Mercado_Receita!$T$2:$T$693,"44287B2Energia convencionalRuralNão se aplicaNão se aplicaNão se aplicaNão se aplica",Mercado_Receita!$N$2:$N$693)</f>
        <v>5550.4220000000005</v>
      </c>
      <c r="J20" s="14">
        <f>SUMIF(Mercado_Receita!$T$2:$T$693,"44317B2Energia convencionalRuralNão se aplicaNão se aplicaNão se aplicaNão se aplica",Mercado_Receita!$N$2:$N$693)</f>
        <v>5691.0660000000007</v>
      </c>
      <c r="K20" s="14">
        <f>SUMIF(Mercado_Receita!$T$2:$T$693,"44348B2Energia convencionalRuralNão se aplicaNão se aplicaNão se aplicaNão se aplica",Mercado_Receita!$N$2:$N$693)</f>
        <v>3087.4720000000002</v>
      </c>
      <c r="L20" s="14">
        <f>SUMIF(Mercado_Receita!$T$2:$T$693,"44378B2Energia convencionalRuralNão se aplicaNão se aplicaNão se aplicaNão se aplica",Mercado_Receita!$N$2:$N$693)</f>
        <v>7880.4159999999983</v>
      </c>
      <c r="M20" s="14">
        <f>SUMIF(Mercado_Receita!$T$2:$T$693,"44409B2Energia convencionalRuralNão se aplicaNão se aplicaNão se aplicaNão se aplica",Mercado_Receita!$N$2:$N$693)</f>
        <v>492.47399999999982</v>
      </c>
      <c r="N20" s="14">
        <f>SUMIF(Mercado_Receita!$T$2:$T$693,"44440B2Energia convencionalRuralNão se aplicaNão se aplicaNão se aplicaNão se aplica",Mercado_Receita!$N$2:$N$693)</f>
        <v>4878.4690000000001</v>
      </c>
      <c r="O20" s="14">
        <f>SUMIF(Mercado_Receita!$T$2:$T$693,"44470B2Energia convencionalRuralNão se aplicaNão se aplicaNão se aplicaNão se aplica",Mercado_Receita!$N$2:$N$693)</f>
        <v>4449.2839999999997</v>
      </c>
      <c r="P20" s="14">
        <f>SUMIF(Mercado_Receita!$T$2:$T$693,"44501B2Energia convencionalRuralNão se aplicaNão se aplicaNão se aplicaNão se aplica",Mercado_Receita!$N$2:$N$693)</f>
        <v>5722.5650000000005</v>
      </c>
      <c r="Q20" s="14">
        <f>SUMIF(Mercado_Receita!$T$2:$T$693,"44531B2Energia convencionalRuralNão se aplicaNão se aplicaNão se aplicaNão se aplica",Mercado_Receita!$N$2:$N$693)</f>
        <v>4878.6459999999997</v>
      </c>
      <c r="R20" s="14">
        <f>SUMIF(Mercado_Receita!$T$2:$T$693,"44562B2Energia convencionalRuralNão se aplicaNão se aplicaNão se aplicaNão se aplica",Mercado_Receita!$N$2:$N$693)</f>
        <v>4408.2910000000002</v>
      </c>
      <c r="S20" s="14">
        <f>SUMIF(Mercado_Receita!$T$2:$T$693,"44593B2Energia convencionalRuralNão se aplicaNão se aplicaNão se aplicaNão se aplica",Mercado_Receita!$N$2:$N$693)</f>
        <v>4434.0779999999995</v>
      </c>
      <c r="T20" s="14">
        <f>SUMIF(Mercado_Receita!$T$2:$T$693,"44621B2Energia convencionalRuralNão se aplicaNão se aplicaNão se aplicaNão se aplica",Mercado_Receita!$N$2:$N$693)</f>
        <v>4434.0779999999995</v>
      </c>
      <c r="U20" s="14">
        <f t="shared" si="0"/>
        <v>55907.260999999999</v>
      </c>
      <c r="V20" s="14"/>
      <c r="W20" s="14"/>
    </row>
    <row r="21" spans="1:23" ht="11.25" customHeight="1" x14ac:dyDescent="0.25">
      <c r="A21" s="116"/>
      <c r="B21" s="115" t="s">
        <v>72</v>
      </c>
      <c r="C21" s="115" t="s">
        <v>41</v>
      </c>
      <c r="D21" s="115" t="s">
        <v>90</v>
      </c>
      <c r="E21" s="115" t="s">
        <v>25</v>
      </c>
      <c r="F21" s="115" t="s">
        <v>25</v>
      </c>
      <c r="G21" s="14" t="s">
        <v>74</v>
      </c>
      <c r="H21" s="14" t="s">
        <v>73</v>
      </c>
      <c r="I21" s="14">
        <f>SUMIF(Mercado_Receita!$T$2:$T$693,"44287B2Energia horáriaRuralCooperativa de eletrificação ruralNão se aplicaNão se aplicaPonta",Mercado_Receita!$N$2:$N$693)</f>
        <v>0</v>
      </c>
      <c r="J21" s="14">
        <f>SUMIF(Mercado_Receita!$T$2:$T$693,"44317B2Energia horáriaRuralCooperativa de eletrificação ruralNão se aplicaNão se aplicaPonta",Mercado_Receita!$N$2:$N$693)</f>
        <v>0</v>
      </c>
      <c r="K21" s="14">
        <f>SUMIF(Mercado_Receita!$T$2:$T$693,"44348B2Energia horáriaRuralCooperativa de eletrificação ruralNão se aplicaNão se aplicaPonta",Mercado_Receita!$N$2:$N$693)</f>
        <v>0</v>
      </c>
      <c r="L21" s="14">
        <f>SUMIF(Mercado_Receita!$T$2:$T$693,"44378B2Energia horáriaRuralCooperativa de eletrificação ruralNão se aplicaNão se aplicaPonta",Mercado_Receita!$N$2:$N$693)</f>
        <v>0</v>
      </c>
      <c r="M21" s="14">
        <f>SUMIF(Mercado_Receita!$T$2:$T$693,"44409B2Energia horáriaRuralCooperativa de eletrificação ruralNão se aplicaNão se aplicaPonta",Mercado_Receita!$N$2:$N$693)</f>
        <v>0</v>
      </c>
      <c r="N21" s="14">
        <f>SUMIF(Mercado_Receita!$T$2:$T$693,"44440B2Energia horáriaRuralCooperativa de eletrificação ruralNão se aplicaNão se aplicaPonta",Mercado_Receita!$N$2:$N$693)</f>
        <v>0</v>
      </c>
      <c r="O21" s="14">
        <f>SUMIF(Mercado_Receita!$T$2:$T$693,"44470B2Energia horáriaRuralCooperativa de eletrificação ruralNão se aplicaNão se aplicaPonta",Mercado_Receita!$N$2:$N$693)</f>
        <v>0</v>
      </c>
      <c r="P21" s="14">
        <f>SUMIF(Mercado_Receita!$T$2:$T$693,"44501B2Energia horáriaRuralCooperativa de eletrificação ruralNão se aplicaNão se aplicaPonta",Mercado_Receita!$N$2:$N$693)</f>
        <v>0</v>
      </c>
      <c r="Q21" s="14">
        <f>SUMIF(Mercado_Receita!$T$2:$T$693,"44531B2Energia horáriaRuralCooperativa de eletrificação ruralNão se aplicaNão se aplicaPonta",Mercado_Receita!$N$2:$N$693)</f>
        <v>0</v>
      </c>
      <c r="R21" s="14">
        <f>SUMIF(Mercado_Receita!$T$2:$T$693,"44562B2Energia horáriaRuralCooperativa de eletrificação ruralNão se aplicaNão se aplicaPonta",Mercado_Receita!$N$2:$N$693)</f>
        <v>0</v>
      </c>
      <c r="S21" s="14">
        <f>SUMIF(Mercado_Receita!$T$2:$T$693,"44593B2Energia horáriaRuralCooperativa de eletrificação ruralNão se aplicaNão se aplicaPonta",Mercado_Receita!$N$2:$N$693)</f>
        <v>0</v>
      </c>
      <c r="T21" s="14">
        <f>SUMIF(Mercado_Receita!$T$2:$T$693,"44621B2Energia horáriaRuralCooperativa de eletrificação ruralNão se aplicaNão se aplicaPonta",Mercado_Receita!$N$2:$N$693)</f>
        <v>0</v>
      </c>
      <c r="U21" s="14">
        <f t="shared" si="0"/>
        <v>0</v>
      </c>
      <c r="V21" s="14"/>
      <c r="W21" s="14"/>
    </row>
    <row r="22" spans="1:23" ht="11.25" customHeight="1" x14ac:dyDescent="0.25">
      <c r="A22" s="116"/>
      <c r="B22" s="116"/>
      <c r="C22" s="116"/>
      <c r="D22" s="116"/>
      <c r="E22" s="116"/>
      <c r="F22" s="116"/>
      <c r="G22" s="14" t="s">
        <v>85</v>
      </c>
      <c r="H22" s="14" t="s">
        <v>73</v>
      </c>
      <c r="I22" s="14">
        <f>SUMIF(Mercado_Receita!$T$2:$T$693,"44287B2Energia horáriaRuralCooperativa de eletrificação ruralNão se aplicaNão se aplicaIntermediário",Mercado_Receita!$N$2:$N$693)</f>
        <v>0</v>
      </c>
      <c r="J22" s="14">
        <f>SUMIF(Mercado_Receita!$T$2:$T$693,"44317B2Energia horáriaRuralCooperativa de eletrificação ruralNão se aplicaNão se aplicaIntermediário",Mercado_Receita!$N$2:$N$693)</f>
        <v>0</v>
      </c>
      <c r="K22" s="14">
        <f>SUMIF(Mercado_Receita!$T$2:$T$693,"44348B2Energia horáriaRuralCooperativa de eletrificação ruralNão se aplicaNão se aplicaIntermediário",Mercado_Receita!$N$2:$N$693)</f>
        <v>0</v>
      </c>
      <c r="L22" s="14">
        <f>SUMIF(Mercado_Receita!$T$2:$T$693,"44378B2Energia horáriaRuralCooperativa de eletrificação ruralNão se aplicaNão se aplicaIntermediário",Mercado_Receita!$N$2:$N$693)</f>
        <v>0</v>
      </c>
      <c r="M22" s="14">
        <f>SUMIF(Mercado_Receita!$T$2:$T$693,"44409B2Energia horáriaRuralCooperativa de eletrificação ruralNão se aplicaNão se aplicaIntermediário",Mercado_Receita!$N$2:$N$693)</f>
        <v>0</v>
      </c>
      <c r="N22" s="14">
        <f>SUMIF(Mercado_Receita!$T$2:$T$693,"44440B2Energia horáriaRuralCooperativa de eletrificação ruralNão se aplicaNão se aplicaIntermediário",Mercado_Receita!$N$2:$N$693)</f>
        <v>0</v>
      </c>
      <c r="O22" s="14">
        <f>SUMIF(Mercado_Receita!$T$2:$T$693,"44470B2Energia horáriaRuralCooperativa de eletrificação ruralNão se aplicaNão se aplicaIntermediário",Mercado_Receita!$N$2:$N$693)</f>
        <v>0</v>
      </c>
      <c r="P22" s="14">
        <f>SUMIF(Mercado_Receita!$T$2:$T$693,"44501B2Energia horáriaRuralCooperativa de eletrificação ruralNão se aplicaNão se aplicaIntermediário",Mercado_Receita!$N$2:$N$693)</f>
        <v>0</v>
      </c>
      <c r="Q22" s="14">
        <f>SUMIF(Mercado_Receita!$T$2:$T$693,"44531B2Energia horáriaRuralCooperativa de eletrificação ruralNão se aplicaNão se aplicaIntermediário",Mercado_Receita!$N$2:$N$693)</f>
        <v>0</v>
      </c>
      <c r="R22" s="14">
        <f>SUMIF(Mercado_Receita!$T$2:$T$693,"44562B2Energia horáriaRuralCooperativa de eletrificação ruralNão se aplicaNão se aplicaIntermediário",Mercado_Receita!$N$2:$N$693)</f>
        <v>0</v>
      </c>
      <c r="S22" s="14">
        <f>SUMIF(Mercado_Receita!$T$2:$T$693,"44593B2Energia horáriaRuralCooperativa de eletrificação ruralNão se aplicaNão se aplicaIntermediário",Mercado_Receita!$N$2:$N$693)</f>
        <v>0</v>
      </c>
      <c r="T22" s="14">
        <f>SUMIF(Mercado_Receita!$T$2:$T$693,"44621B2Energia horáriaRuralCooperativa de eletrificação ruralNão se aplicaNão se aplicaIntermediário",Mercado_Receita!$N$2:$N$693)</f>
        <v>0</v>
      </c>
      <c r="U22" s="14">
        <f t="shared" si="0"/>
        <v>0</v>
      </c>
      <c r="V22" s="14"/>
      <c r="W22" s="14"/>
    </row>
    <row r="23" spans="1:23" ht="11.25" customHeight="1" x14ac:dyDescent="0.25">
      <c r="A23" s="116"/>
      <c r="B23" s="116"/>
      <c r="C23" s="116"/>
      <c r="D23" s="116"/>
      <c r="E23" s="116"/>
      <c r="F23" s="116"/>
      <c r="G23" s="14" t="s">
        <v>75</v>
      </c>
      <c r="H23" s="14" t="s">
        <v>73</v>
      </c>
      <c r="I23" s="14">
        <f>SUMIF(Mercado_Receita!$T$2:$T$693,"44287B2Energia horáriaRuralCooperativa de eletrificação ruralNão se aplicaNão se aplicaFora ponta",Mercado_Receita!$N$2:$N$693)</f>
        <v>0</v>
      </c>
      <c r="J23" s="14">
        <f>SUMIF(Mercado_Receita!$T$2:$T$693,"44317B2Energia horáriaRuralCooperativa de eletrificação ruralNão se aplicaNão se aplicaFora ponta",Mercado_Receita!$N$2:$N$693)</f>
        <v>0</v>
      </c>
      <c r="K23" s="14">
        <f>SUMIF(Mercado_Receita!$T$2:$T$693,"44348B2Energia horáriaRuralCooperativa de eletrificação ruralNão se aplicaNão se aplicaFora ponta",Mercado_Receita!$N$2:$N$693)</f>
        <v>0</v>
      </c>
      <c r="L23" s="14">
        <f>SUMIF(Mercado_Receita!$T$2:$T$693,"44378B2Energia horáriaRuralCooperativa de eletrificação ruralNão se aplicaNão se aplicaFora ponta",Mercado_Receita!$N$2:$N$693)</f>
        <v>0</v>
      </c>
      <c r="M23" s="14">
        <f>SUMIF(Mercado_Receita!$T$2:$T$693,"44409B2Energia horáriaRuralCooperativa de eletrificação ruralNão se aplicaNão se aplicaFora ponta",Mercado_Receita!$N$2:$N$693)</f>
        <v>0</v>
      </c>
      <c r="N23" s="14">
        <f>SUMIF(Mercado_Receita!$T$2:$T$693,"44440B2Energia horáriaRuralCooperativa de eletrificação ruralNão se aplicaNão se aplicaFora ponta",Mercado_Receita!$N$2:$N$693)</f>
        <v>0</v>
      </c>
      <c r="O23" s="14">
        <f>SUMIF(Mercado_Receita!$T$2:$T$693,"44470B2Energia horáriaRuralCooperativa de eletrificação ruralNão se aplicaNão se aplicaFora ponta",Mercado_Receita!$N$2:$N$693)</f>
        <v>0</v>
      </c>
      <c r="P23" s="14">
        <f>SUMIF(Mercado_Receita!$T$2:$T$693,"44501B2Energia horáriaRuralCooperativa de eletrificação ruralNão se aplicaNão se aplicaFora ponta",Mercado_Receita!$N$2:$N$693)</f>
        <v>0</v>
      </c>
      <c r="Q23" s="14">
        <f>SUMIF(Mercado_Receita!$T$2:$T$693,"44531B2Energia horáriaRuralCooperativa de eletrificação ruralNão se aplicaNão se aplicaFora ponta",Mercado_Receita!$N$2:$N$693)</f>
        <v>0</v>
      </c>
      <c r="R23" s="14">
        <f>SUMIF(Mercado_Receita!$T$2:$T$693,"44562B2Energia horáriaRuralCooperativa de eletrificação ruralNão se aplicaNão se aplicaFora ponta",Mercado_Receita!$N$2:$N$693)</f>
        <v>0</v>
      </c>
      <c r="S23" s="14">
        <f>SUMIF(Mercado_Receita!$T$2:$T$693,"44593B2Energia horáriaRuralCooperativa de eletrificação ruralNão se aplicaNão se aplicaFora ponta",Mercado_Receita!$N$2:$N$693)</f>
        <v>0</v>
      </c>
      <c r="T23" s="14">
        <f>SUMIF(Mercado_Receita!$T$2:$T$693,"44621B2Energia horáriaRuralCooperativa de eletrificação ruralNão se aplicaNão se aplicaFora ponta",Mercado_Receita!$N$2:$N$693)</f>
        <v>0</v>
      </c>
      <c r="U23" s="14">
        <f t="shared" si="0"/>
        <v>0</v>
      </c>
      <c r="V23" s="14"/>
      <c r="W23" s="14"/>
    </row>
    <row r="24" spans="1:23" ht="11.25" customHeight="1" x14ac:dyDescent="0.25">
      <c r="A24" s="116"/>
      <c r="B24" s="13" t="s">
        <v>86</v>
      </c>
      <c r="C24" s="13" t="s">
        <v>41</v>
      </c>
      <c r="D24" s="13" t="s">
        <v>90</v>
      </c>
      <c r="E24" s="13" t="s">
        <v>25</v>
      </c>
      <c r="F24" s="13" t="s">
        <v>25</v>
      </c>
      <c r="G24" s="14" t="s">
        <v>79</v>
      </c>
      <c r="H24" s="14" t="s">
        <v>73</v>
      </c>
      <c r="I24" s="14">
        <f>SUMIF(Mercado_Receita!$T$2:$T$693,"44287B2Energia convencionalRuralCooperativa de eletrificação ruralNão se aplicaNão se aplicaNão se aplica",Mercado_Receita!$N$2:$N$693)</f>
        <v>0</v>
      </c>
      <c r="J24" s="14">
        <f>SUMIF(Mercado_Receita!$T$2:$T$693,"44317B2Energia convencionalRuralCooperativa de eletrificação ruralNão se aplicaNão se aplicaNão se aplica",Mercado_Receita!$N$2:$N$693)</f>
        <v>0</v>
      </c>
      <c r="K24" s="14">
        <f>SUMIF(Mercado_Receita!$T$2:$T$693,"44348B2Energia convencionalRuralCooperativa de eletrificação ruralNão se aplicaNão se aplicaNão se aplica",Mercado_Receita!$N$2:$N$693)</f>
        <v>0</v>
      </c>
      <c r="L24" s="14">
        <f>SUMIF(Mercado_Receita!$T$2:$T$693,"44378B2Energia convencionalRuralCooperativa de eletrificação ruralNão se aplicaNão se aplicaNão se aplica",Mercado_Receita!$N$2:$N$693)</f>
        <v>0</v>
      </c>
      <c r="M24" s="14">
        <f>SUMIF(Mercado_Receita!$T$2:$T$693,"44409B2Energia convencionalRuralCooperativa de eletrificação ruralNão se aplicaNão se aplicaNão se aplica",Mercado_Receita!$N$2:$N$693)</f>
        <v>0</v>
      </c>
      <c r="N24" s="14">
        <f>SUMIF(Mercado_Receita!$T$2:$T$693,"44440B2Energia convencionalRuralCooperativa de eletrificação ruralNão se aplicaNão se aplicaNão se aplica",Mercado_Receita!$N$2:$N$693)</f>
        <v>0</v>
      </c>
      <c r="O24" s="14">
        <f>SUMIF(Mercado_Receita!$T$2:$T$693,"44470B2Energia convencionalRuralCooperativa de eletrificação ruralNão se aplicaNão se aplicaNão se aplica",Mercado_Receita!$N$2:$N$693)</f>
        <v>0</v>
      </c>
      <c r="P24" s="14">
        <f>SUMIF(Mercado_Receita!$T$2:$T$693,"44501B2Energia convencionalRuralCooperativa de eletrificação ruralNão se aplicaNão se aplicaNão se aplica",Mercado_Receita!$N$2:$N$693)</f>
        <v>0</v>
      </c>
      <c r="Q24" s="14">
        <f>SUMIF(Mercado_Receita!$T$2:$T$693,"44531B2Energia convencionalRuralCooperativa de eletrificação ruralNão se aplicaNão se aplicaNão se aplica",Mercado_Receita!$N$2:$N$693)</f>
        <v>0</v>
      </c>
      <c r="R24" s="14">
        <f>SUMIF(Mercado_Receita!$T$2:$T$693,"44562B2Energia convencionalRuralCooperativa de eletrificação ruralNão se aplicaNão se aplicaNão se aplica",Mercado_Receita!$N$2:$N$693)</f>
        <v>0</v>
      </c>
      <c r="S24" s="14">
        <f>SUMIF(Mercado_Receita!$T$2:$T$693,"44593B2Energia convencionalRuralCooperativa de eletrificação ruralNão se aplicaNão se aplicaNão se aplica",Mercado_Receita!$N$2:$N$693)</f>
        <v>0</v>
      </c>
      <c r="T24" s="14">
        <f>SUMIF(Mercado_Receita!$T$2:$T$693,"44621B2Energia convencionalRuralCooperativa de eletrificação ruralNão se aplicaNão se aplicaNão se aplica",Mercado_Receita!$N$2:$N$693)</f>
        <v>0</v>
      </c>
      <c r="U24" s="14">
        <f t="shared" si="0"/>
        <v>0</v>
      </c>
      <c r="V24" s="14"/>
      <c r="W24" s="14"/>
    </row>
    <row r="25" spans="1:23" ht="11.25" customHeight="1" x14ac:dyDescent="0.25">
      <c r="A25" s="116"/>
      <c r="B25" s="115" t="s">
        <v>72</v>
      </c>
      <c r="C25" s="115" t="s">
        <v>41</v>
      </c>
      <c r="D25" s="115" t="s">
        <v>91</v>
      </c>
      <c r="E25" s="115" t="s">
        <v>25</v>
      </c>
      <c r="F25" s="115" t="s">
        <v>25</v>
      </c>
      <c r="G25" s="14" t="s">
        <v>74</v>
      </c>
      <c r="H25" s="14" t="s">
        <v>73</v>
      </c>
      <c r="I25" s="14">
        <f>SUMIF(Mercado_Receita!$T$2:$T$693,"44287B2Energia horáriaRuralServiço público de irrigação ruralNão se aplicaNão se aplicaPonta",Mercado_Receita!$N$2:$N$693)</f>
        <v>0</v>
      </c>
      <c r="J25" s="14">
        <f>SUMIF(Mercado_Receita!$T$2:$T$693,"44317B2Energia horáriaRuralServiço público de irrigação ruralNão se aplicaNão se aplicaPonta",Mercado_Receita!$N$2:$N$693)</f>
        <v>0</v>
      </c>
      <c r="K25" s="14">
        <f>SUMIF(Mercado_Receita!$T$2:$T$693,"44348B2Energia horáriaRuralServiço público de irrigação ruralNão se aplicaNão se aplicaPonta",Mercado_Receita!$N$2:$N$693)</f>
        <v>0</v>
      </c>
      <c r="L25" s="14">
        <f>SUMIF(Mercado_Receita!$T$2:$T$693,"44378B2Energia horáriaRuralServiço público de irrigação ruralNão se aplicaNão se aplicaPonta",Mercado_Receita!$N$2:$N$693)</f>
        <v>0</v>
      </c>
      <c r="M25" s="14">
        <f>SUMIF(Mercado_Receita!$T$2:$T$693,"44409B2Energia horáriaRuralServiço público de irrigação ruralNão se aplicaNão se aplicaPonta",Mercado_Receita!$N$2:$N$693)</f>
        <v>0</v>
      </c>
      <c r="N25" s="14">
        <f>SUMIF(Mercado_Receita!$T$2:$T$693,"44440B2Energia horáriaRuralServiço público de irrigação ruralNão se aplicaNão se aplicaPonta",Mercado_Receita!$N$2:$N$693)</f>
        <v>0</v>
      </c>
      <c r="O25" s="14">
        <f>SUMIF(Mercado_Receita!$T$2:$T$693,"44470B2Energia horáriaRuralServiço público de irrigação ruralNão se aplicaNão se aplicaPonta",Mercado_Receita!$N$2:$N$693)</f>
        <v>0</v>
      </c>
      <c r="P25" s="14">
        <f>SUMIF(Mercado_Receita!$T$2:$T$693,"44501B2Energia horáriaRuralServiço público de irrigação ruralNão se aplicaNão se aplicaPonta",Mercado_Receita!$N$2:$N$693)</f>
        <v>0</v>
      </c>
      <c r="Q25" s="14">
        <f>SUMIF(Mercado_Receita!$T$2:$T$693,"44531B2Energia horáriaRuralServiço público de irrigação ruralNão se aplicaNão se aplicaPonta",Mercado_Receita!$N$2:$N$693)</f>
        <v>0</v>
      </c>
      <c r="R25" s="14">
        <f>SUMIF(Mercado_Receita!$T$2:$T$693,"44562B2Energia horáriaRuralServiço público de irrigação ruralNão se aplicaNão se aplicaPonta",Mercado_Receita!$N$2:$N$693)</f>
        <v>0</v>
      </c>
      <c r="S25" s="14">
        <f>SUMIF(Mercado_Receita!$T$2:$T$693,"44593B2Energia horáriaRuralServiço público de irrigação ruralNão se aplicaNão se aplicaPonta",Mercado_Receita!$N$2:$N$693)</f>
        <v>0</v>
      </c>
      <c r="T25" s="14">
        <f>SUMIF(Mercado_Receita!$T$2:$T$693,"44621B2Energia horáriaRuralServiço público de irrigação ruralNão se aplicaNão se aplicaPonta",Mercado_Receita!$N$2:$N$693)</f>
        <v>0</v>
      </c>
      <c r="U25" s="14">
        <f t="shared" si="0"/>
        <v>0</v>
      </c>
      <c r="V25" s="14"/>
      <c r="W25" s="14"/>
    </row>
    <row r="26" spans="1:23" ht="11.25" customHeight="1" x14ac:dyDescent="0.25">
      <c r="A26" s="116"/>
      <c r="B26" s="116"/>
      <c r="C26" s="116"/>
      <c r="D26" s="116"/>
      <c r="E26" s="116"/>
      <c r="F26" s="116"/>
      <c r="G26" s="14" t="s">
        <v>85</v>
      </c>
      <c r="H26" s="14" t="s">
        <v>73</v>
      </c>
      <c r="I26" s="14">
        <f>SUMIF(Mercado_Receita!$T$2:$T$693,"44287B2Energia horáriaRuralServiço público de irrigação ruralNão se aplicaNão se aplicaIntermediário",Mercado_Receita!$N$2:$N$693)</f>
        <v>0</v>
      </c>
      <c r="J26" s="14">
        <f>SUMIF(Mercado_Receita!$T$2:$T$693,"44317B2Energia horáriaRuralServiço público de irrigação ruralNão se aplicaNão se aplicaIntermediário",Mercado_Receita!$N$2:$N$693)</f>
        <v>0</v>
      </c>
      <c r="K26" s="14">
        <f>SUMIF(Mercado_Receita!$T$2:$T$693,"44348B2Energia horáriaRuralServiço público de irrigação ruralNão se aplicaNão se aplicaIntermediário",Mercado_Receita!$N$2:$N$693)</f>
        <v>0</v>
      </c>
      <c r="L26" s="14">
        <f>SUMIF(Mercado_Receita!$T$2:$T$693,"44378B2Energia horáriaRuralServiço público de irrigação ruralNão se aplicaNão se aplicaIntermediário",Mercado_Receita!$N$2:$N$693)</f>
        <v>0</v>
      </c>
      <c r="M26" s="14">
        <f>SUMIF(Mercado_Receita!$T$2:$T$693,"44409B2Energia horáriaRuralServiço público de irrigação ruralNão se aplicaNão se aplicaIntermediário",Mercado_Receita!$N$2:$N$693)</f>
        <v>0</v>
      </c>
      <c r="N26" s="14">
        <f>SUMIF(Mercado_Receita!$T$2:$T$693,"44440B2Energia horáriaRuralServiço público de irrigação ruralNão se aplicaNão se aplicaIntermediário",Mercado_Receita!$N$2:$N$693)</f>
        <v>0</v>
      </c>
      <c r="O26" s="14">
        <f>SUMIF(Mercado_Receita!$T$2:$T$693,"44470B2Energia horáriaRuralServiço público de irrigação ruralNão se aplicaNão se aplicaIntermediário",Mercado_Receita!$N$2:$N$693)</f>
        <v>0</v>
      </c>
      <c r="P26" s="14">
        <f>SUMIF(Mercado_Receita!$T$2:$T$693,"44501B2Energia horáriaRuralServiço público de irrigação ruralNão se aplicaNão se aplicaIntermediário",Mercado_Receita!$N$2:$N$693)</f>
        <v>0</v>
      </c>
      <c r="Q26" s="14">
        <f>SUMIF(Mercado_Receita!$T$2:$T$693,"44531B2Energia horáriaRuralServiço público de irrigação ruralNão se aplicaNão se aplicaIntermediário",Mercado_Receita!$N$2:$N$693)</f>
        <v>0</v>
      </c>
      <c r="R26" s="14">
        <f>SUMIF(Mercado_Receita!$T$2:$T$693,"44562B2Energia horáriaRuralServiço público de irrigação ruralNão se aplicaNão se aplicaIntermediário",Mercado_Receita!$N$2:$N$693)</f>
        <v>0</v>
      </c>
      <c r="S26" s="14">
        <f>SUMIF(Mercado_Receita!$T$2:$T$693,"44593B2Energia horáriaRuralServiço público de irrigação ruralNão se aplicaNão se aplicaIntermediário",Mercado_Receita!$N$2:$N$693)</f>
        <v>0</v>
      </c>
      <c r="T26" s="14">
        <f>SUMIF(Mercado_Receita!$T$2:$T$693,"44621B2Energia horáriaRuralServiço público de irrigação ruralNão se aplicaNão se aplicaIntermediário",Mercado_Receita!$N$2:$N$693)</f>
        <v>0</v>
      </c>
      <c r="U26" s="14">
        <f t="shared" si="0"/>
        <v>0</v>
      </c>
      <c r="V26" s="14"/>
      <c r="W26" s="14"/>
    </row>
    <row r="27" spans="1:23" ht="11.25" customHeight="1" x14ac:dyDescent="0.25">
      <c r="A27" s="116"/>
      <c r="B27" s="116"/>
      <c r="C27" s="116"/>
      <c r="D27" s="116"/>
      <c r="E27" s="116"/>
      <c r="F27" s="116"/>
      <c r="G27" s="14" t="s">
        <v>75</v>
      </c>
      <c r="H27" s="14" t="s">
        <v>73</v>
      </c>
      <c r="I27" s="14">
        <f>SUMIF(Mercado_Receita!$T$2:$T$693,"44287B2Energia horáriaRuralServiço público de irrigação ruralNão se aplicaNão se aplicaFora ponta",Mercado_Receita!$N$2:$N$693)</f>
        <v>0</v>
      </c>
      <c r="J27" s="14">
        <f>SUMIF(Mercado_Receita!$T$2:$T$693,"44317B2Energia horáriaRuralServiço público de irrigação ruralNão se aplicaNão se aplicaFora ponta",Mercado_Receita!$N$2:$N$693)</f>
        <v>0</v>
      </c>
      <c r="K27" s="14">
        <f>SUMIF(Mercado_Receita!$T$2:$T$693,"44348B2Energia horáriaRuralServiço público de irrigação ruralNão se aplicaNão se aplicaFora ponta",Mercado_Receita!$N$2:$N$693)</f>
        <v>0</v>
      </c>
      <c r="L27" s="14">
        <f>SUMIF(Mercado_Receita!$T$2:$T$693,"44378B2Energia horáriaRuralServiço público de irrigação ruralNão se aplicaNão se aplicaFora ponta",Mercado_Receita!$N$2:$N$693)</f>
        <v>0</v>
      </c>
      <c r="M27" s="14">
        <f>SUMIF(Mercado_Receita!$T$2:$T$693,"44409B2Energia horáriaRuralServiço público de irrigação ruralNão se aplicaNão se aplicaFora ponta",Mercado_Receita!$N$2:$N$693)</f>
        <v>0</v>
      </c>
      <c r="N27" s="14">
        <f>SUMIF(Mercado_Receita!$T$2:$T$693,"44440B2Energia horáriaRuralServiço público de irrigação ruralNão se aplicaNão se aplicaFora ponta",Mercado_Receita!$N$2:$N$693)</f>
        <v>0</v>
      </c>
      <c r="O27" s="14">
        <f>SUMIF(Mercado_Receita!$T$2:$T$693,"44470B2Energia horáriaRuralServiço público de irrigação ruralNão se aplicaNão se aplicaFora ponta",Mercado_Receita!$N$2:$N$693)</f>
        <v>0</v>
      </c>
      <c r="P27" s="14">
        <f>SUMIF(Mercado_Receita!$T$2:$T$693,"44501B2Energia horáriaRuralServiço público de irrigação ruralNão se aplicaNão se aplicaFora ponta",Mercado_Receita!$N$2:$N$693)</f>
        <v>0</v>
      </c>
      <c r="Q27" s="14">
        <f>SUMIF(Mercado_Receita!$T$2:$T$693,"44531B2Energia horáriaRuralServiço público de irrigação ruralNão se aplicaNão se aplicaFora ponta",Mercado_Receita!$N$2:$N$693)</f>
        <v>0</v>
      </c>
      <c r="R27" s="14">
        <f>SUMIF(Mercado_Receita!$T$2:$T$693,"44562B2Energia horáriaRuralServiço público de irrigação ruralNão se aplicaNão se aplicaFora ponta",Mercado_Receita!$N$2:$N$693)</f>
        <v>0</v>
      </c>
      <c r="S27" s="14">
        <f>SUMIF(Mercado_Receita!$T$2:$T$693,"44593B2Energia horáriaRuralServiço público de irrigação ruralNão se aplicaNão se aplicaFora ponta",Mercado_Receita!$N$2:$N$693)</f>
        <v>0</v>
      </c>
      <c r="T27" s="14">
        <f>SUMIF(Mercado_Receita!$T$2:$T$693,"44621B2Energia horáriaRuralServiço público de irrigação ruralNão se aplicaNão se aplicaFora ponta",Mercado_Receita!$N$2:$N$693)</f>
        <v>0</v>
      </c>
      <c r="U27" s="14">
        <f t="shared" si="0"/>
        <v>0</v>
      </c>
      <c r="V27" s="14"/>
      <c r="W27" s="14"/>
    </row>
    <row r="28" spans="1:23" ht="11.25" customHeight="1" x14ac:dyDescent="0.25">
      <c r="A28" s="116"/>
      <c r="B28" s="13" t="s">
        <v>86</v>
      </c>
      <c r="C28" s="13" t="s">
        <v>41</v>
      </c>
      <c r="D28" s="13" t="s">
        <v>91</v>
      </c>
      <c r="E28" s="13" t="s">
        <v>25</v>
      </c>
      <c r="F28" s="13" t="s">
        <v>25</v>
      </c>
      <c r="G28" s="14" t="s">
        <v>79</v>
      </c>
      <c r="H28" s="14" t="s">
        <v>73</v>
      </c>
      <c r="I28" s="14">
        <f>SUMIF(Mercado_Receita!$T$2:$T$693,"44287B2Energia convencionalRuralServiço público de irrigação ruralNão se aplicaNão se aplicaNão se aplica",Mercado_Receita!$N$2:$N$693)</f>
        <v>0</v>
      </c>
      <c r="J28" s="14">
        <f>SUMIF(Mercado_Receita!$T$2:$T$693,"44317B2Energia convencionalRuralServiço público de irrigação ruralNão se aplicaNão se aplicaNão se aplica",Mercado_Receita!$N$2:$N$693)</f>
        <v>0</v>
      </c>
      <c r="K28" s="14">
        <f>SUMIF(Mercado_Receita!$T$2:$T$693,"44348B2Energia convencionalRuralServiço público de irrigação ruralNão se aplicaNão se aplicaNão se aplica",Mercado_Receita!$N$2:$N$693)</f>
        <v>0</v>
      </c>
      <c r="L28" s="14">
        <f>SUMIF(Mercado_Receita!$T$2:$T$693,"44378B2Energia convencionalRuralServiço público de irrigação ruralNão se aplicaNão se aplicaNão se aplica",Mercado_Receita!$N$2:$N$693)</f>
        <v>0</v>
      </c>
      <c r="M28" s="14">
        <f>SUMIF(Mercado_Receita!$T$2:$T$693,"44409B2Energia convencionalRuralServiço público de irrigação ruralNão se aplicaNão se aplicaNão se aplica",Mercado_Receita!$N$2:$N$693)</f>
        <v>0</v>
      </c>
      <c r="N28" s="14">
        <f>SUMIF(Mercado_Receita!$T$2:$T$693,"44440B2Energia convencionalRuralServiço público de irrigação ruralNão se aplicaNão se aplicaNão se aplica",Mercado_Receita!$N$2:$N$693)</f>
        <v>0</v>
      </c>
      <c r="O28" s="14">
        <f>SUMIF(Mercado_Receita!$T$2:$T$693,"44470B2Energia convencionalRuralServiço público de irrigação ruralNão se aplicaNão se aplicaNão se aplica",Mercado_Receita!$N$2:$N$693)</f>
        <v>0</v>
      </c>
      <c r="P28" s="14">
        <f>SUMIF(Mercado_Receita!$T$2:$T$693,"44501B2Energia convencionalRuralServiço público de irrigação ruralNão se aplicaNão se aplicaNão se aplica",Mercado_Receita!$N$2:$N$693)</f>
        <v>0</v>
      </c>
      <c r="Q28" s="14">
        <f>SUMIF(Mercado_Receita!$T$2:$T$693,"44531B2Energia convencionalRuralServiço público de irrigação ruralNão se aplicaNão se aplicaNão se aplica",Mercado_Receita!$N$2:$N$693)</f>
        <v>0</v>
      </c>
      <c r="R28" s="14">
        <f>SUMIF(Mercado_Receita!$T$2:$T$693,"44562B2Energia convencionalRuralServiço público de irrigação ruralNão se aplicaNão se aplicaNão se aplica",Mercado_Receita!$N$2:$N$693)</f>
        <v>0</v>
      </c>
      <c r="S28" s="14">
        <f>SUMIF(Mercado_Receita!$T$2:$T$693,"44593B2Energia convencionalRuralServiço público de irrigação ruralNão se aplicaNão se aplicaNão se aplica",Mercado_Receita!$N$2:$N$693)</f>
        <v>0</v>
      </c>
      <c r="T28" s="14">
        <f>SUMIF(Mercado_Receita!$T$2:$T$693,"44621B2Energia convencionalRuralServiço público de irrigação ruralNão se aplicaNão se aplicaNão se aplica",Mercado_Receita!$N$2:$N$693)</f>
        <v>0</v>
      </c>
      <c r="U28" s="14">
        <f t="shared" si="0"/>
        <v>0</v>
      </c>
      <c r="V28" s="14"/>
      <c r="W28" s="14"/>
    </row>
    <row r="29" spans="1:23" ht="11.25" customHeight="1" x14ac:dyDescent="0.25">
      <c r="A29" s="116"/>
      <c r="B29" s="115" t="s">
        <v>88</v>
      </c>
      <c r="C29" s="115" t="s">
        <v>41</v>
      </c>
      <c r="D29" s="13" t="s">
        <v>25</v>
      </c>
      <c r="E29" s="13" t="s">
        <v>25</v>
      </c>
      <c r="F29" s="13" t="s">
        <v>25</v>
      </c>
      <c r="G29" s="14" t="s">
        <v>79</v>
      </c>
      <c r="H29" s="14" t="s">
        <v>73</v>
      </c>
      <c r="I29" s="14">
        <f>SUMIF(Mercado_Receita!$T$2:$T$693,"44287B2Energia convencional pré-pagamentoRuralNão se aplicaNão se aplicaNão se aplicaNão se aplica",Mercado_Receita!$N$2:$N$693)</f>
        <v>0</v>
      </c>
      <c r="J29" s="14">
        <f>SUMIF(Mercado_Receita!$T$2:$T$693,"44317B2Energia convencional pré-pagamentoRuralNão se aplicaNão se aplicaNão se aplicaNão se aplica",Mercado_Receita!$N$2:$N$693)</f>
        <v>0</v>
      </c>
      <c r="K29" s="14">
        <f>SUMIF(Mercado_Receita!$T$2:$T$693,"44348B2Energia convencional pré-pagamentoRuralNão se aplicaNão se aplicaNão se aplicaNão se aplica",Mercado_Receita!$N$2:$N$693)</f>
        <v>0</v>
      </c>
      <c r="L29" s="14">
        <f>SUMIF(Mercado_Receita!$T$2:$T$693,"44378B2Energia convencional pré-pagamentoRuralNão se aplicaNão se aplicaNão se aplicaNão se aplica",Mercado_Receita!$N$2:$N$693)</f>
        <v>0</v>
      </c>
      <c r="M29" s="14">
        <f>SUMIF(Mercado_Receita!$T$2:$T$693,"44409B2Energia convencional pré-pagamentoRuralNão se aplicaNão se aplicaNão se aplicaNão se aplica",Mercado_Receita!$N$2:$N$693)</f>
        <v>0</v>
      </c>
      <c r="N29" s="14">
        <f>SUMIF(Mercado_Receita!$T$2:$T$693,"44440B2Energia convencional pré-pagamentoRuralNão se aplicaNão se aplicaNão se aplicaNão se aplica",Mercado_Receita!$N$2:$N$693)</f>
        <v>0</v>
      </c>
      <c r="O29" s="14">
        <f>SUMIF(Mercado_Receita!$T$2:$T$693,"44470B2Energia convencional pré-pagamentoRuralNão se aplicaNão se aplicaNão se aplicaNão se aplica",Mercado_Receita!$N$2:$N$693)</f>
        <v>0</v>
      </c>
      <c r="P29" s="14">
        <f>SUMIF(Mercado_Receita!$T$2:$T$693,"44501B2Energia convencional pré-pagamentoRuralNão se aplicaNão se aplicaNão se aplicaNão se aplica",Mercado_Receita!$N$2:$N$693)</f>
        <v>0</v>
      </c>
      <c r="Q29" s="14">
        <f>SUMIF(Mercado_Receita!$T$2:$T$693,"44531B2Energia convencional pré-pagamentoRuralNão se aplicaNão se aplicaNão se aplicaNão se aplica",Mercado_Receita!$N$2:$N$693)</f>
        <v>0</v>
      </c>
      <c r="R29" s="14">
        <f>SUMIF(Mercado_Receita!$T$2:$T$693,"44562B2Energia convencional pré-pagamentoRuralNão se aplicaNão se aplicaNão se aplicaNão se aplica",Mercado_Receita!$N$2:$N$693)</f>
        <v>0</v>
      </c>
      <c r="S29" s="14">
        <f>SUMIF(Mercado_Receita!$T$2:$T$693,"44593B2Energia convencional pré-pagamentoRuralNão se aplicaNão se aplicaNão se aplicaNão se aplica",Mercado_Receita!$N$2:$N$693)</f>
        <v>0</v>
      </c>
      <c r="T29" s="14">
        <f>SUMIF(Mercado_Receita!$T$2:$T$693,"44621B2Energia convencional pré-pagamentoRuralNão se aplicaNão se aplicaNão se aplicaNão se aplica",Mercado_Receita!$N$2:$N$693)</f>
        <v>0</v>
      </c>
      <c r="U29" s="14">
        <f t="shared" si="0"/>
        <v>0</v>
      </c>
      <c r="V29" s="14"/>
      <c r="W29" s="14"/>
    </row>
    <row r="30" spans="1:23" ht="11.25" customHeight="1" x14ac:dyDescent="0.25">
      <c r="A30" s="116"/>
      <c r="B30" s="116"/>
      <c r="C30" s="116"/>
      <c r="D30" s="13" t="s">
        <v>90</v>
      </c>
      <c r="E30" s="13" t="s">
        <v>25</v>
      </c>
      <c r="F30" s="13" t="s">
        <v>25</v>
      </c>
      <c r="G30" s="14" t="s">
        <v>79</v>
      </c>
      <c r="H30" s="14" t="s">
        <v>73</v>
      </c>
      <c r="I30" s="14">
        <f>SUMIF(Mercado_Receita!$T$2:$T$693,"44287B2Energia convencional pré-pagamentoRuralCooperativa de eletrificação ruralNão se aplicaNão se aplicaNão se aplica",Mercado_Receita!$N$2:$N$693)</f>
        <v>0</v>
      </c>
      <c r="J30" s="14">
        <f>SUMIF(Mercado_Receita!$T$2:$T$693,"44317B2Energia convencional pré-pagamentoRuralCooperativa de eletrificação ruralNão se aplicaNão se aplicaNão se aplica",Mercado_Receita!$N$2:$N$693)</f>
        <v>0</v>
      </c>
      <c r="K30" s="14">
        <f>SUMIF(Mercado_Receita!$T$2:$T$693,"44348B2Energia convencional pré-pagamentoRuralCooperativa de eletrificação ruralNão se aplicaNão se aplicaNão se aplica",Mercado_Receita!$N$2:$N$693)</f>
        <v>0</v>
      </c>
      <c r="L30" s="14">
        <f>SUMIF(Mercado_Receita!$T$2:$T$693,"44378B2Energia convencional pré-pagamentoRuralCooperativa de eletrificação ruralNão se aplicaNão se aplicaNão se aplica",Mercado_Receita!$N$2:$N$693)</f>
        <v>0</v>
      </c>
      <c r="M30" s="14">
        <f>SUMIF(Mercado_Receita!$T$2:$T$693,"44409B2Energia convencional pré-pagamentoRuralCooperativa de eletrificação ruralNão se aplicaNão se aplicaNão se aplica",Mercado_Receita!$N$2:$N$693)</f>
        <v>0</v>
      </c>
      <c r="N30" s="14">
        <f>SUMIF(Mercado_Receita!$T$2:$T$693,"44440B2Energia convencional pré-pagamentoRuralCooperativa de eletrificação ruralNão se aplicaNão se aplicaNão se aplica",Mercado_Receita!$N$2:$N$693)</f>
        <v>0</v>
      </c>
      <c r="O30" s="14">
        <f>SUMIF(Mercado_Receita!$T$2:$T$693,"44470B2Energia convencional pré-pagamentoRuralCooperativa de eletrificação ruralNão se aplicaNão se aplicaNão se aplica",Mercado_Receita!$N$2:$N$693)</f>
        <v>0</v>
      </c>
      <c r="P30" s="14">
        <f>SUMIF(Mercado_Receita!$T$2:$T$693,"44501B2Energia convencional pré-pagamentoRuralCooperativa de eletrificação ruralNão se aplicaNão se aplicaNão se aplica",Mercado_Receita!$N$2:$N$693)</f>
        <v>0</v>
      </c>
      <c r="Q30" s="14">
        <f>SUMIF(Mercado_Receita!$T$2:$T$693,"44531B2Energia convencional pré-pagamentoRuralCooperativa de eletrificação ruralNão se aplicaNão se aplicaNão se aplica",Mercado_Receita!$N$2:$N$693)</f>
        <v>0</v>
      </c>
      <c r="R30" s="14">
        <f>SUMIF(Mercado_Receita!$T$2:$T$693,"44562B2Energia convencional pré-pagamentoRuralCooperativa de eletrificação ruralNão se aplicaNão se aplicaNão se aplica",Mercado_Receita!$N$2:$N$693)</f>
        <v>0</v>
      </c>
      <c r="S30" s="14">
        <f>SUMIF(Mercado_Receita!$T$2:$T$693,"44593B2Energia convencional pré-pagamentoRuralCooperativa de eletrificação ruralNão se aplicaNão se aplicaNão se aplica",Mercado_Receita!$N$2:$N$693)</f>
        <v>0</v>
      </c>
      <c r="T30" s="14">
        <f>SUMIF(Mercado_Receita!$T$2:$T$693,"44621B2Energia convencional pré-pagamentoRuralCooperativa de eletrificação ruralNão se aplicaNão se aplicaNão se aplica",Mercado_Receita!$N$2:$N$693)</f>
        <v>0</v>
      </c>
      <c r="U30" s="14">
        <f t="shared" si="0"/>
        <v>0</v>
      </c>
      <c r="V30" s="14"/>
      <c r="W30" s="14"/>
    </row>
    <row r="31" spans="1:23" ht="11.25" customHeight="1" x14ac:dyDescent="0.25">
      <c r="A31" s="116"/>
      <c r="B31" s="116"/>
      <c r="C31" s="116"/>
      <c r="D31" s="13" t="s">
        <v>91</v>
      </c>
      <c r="E31" s="13" t="s">
        <v>25</v>
      </c>
      <c r="F31" s="13" t="s">
        <v>25</v>
      </c>
      <c r="G31" s="14" t="s">
        <v>79</v>
      </c>
      <c r="H31" s="14" t="s">
        <v>73</v>
      </c>
      <c r="I31" s="14">
        <f>SUMIF(Mercado_Receita!$T$2:$T$693,"44287B2Energia convencional pré-pagamentoRuralServiço público de irrigação ruralNão se aplicaNão se aplicaNão se aplica",Mercado_Receita!$N$2:$N$693)</f>
        <v>0</v>
      </c>
      <c r="J31" s="14">
        <f>SUMIF(Mercado_Receita!$T$2:$T$693,"44317B2Energia convencional pré-pagamentoRuralServiço público de irrigação ruralNão se aplicaNão se aplicaNão se aplica",Mercado_Receita!$N$2:$N$693)</f>
        <v>0</v>
      </c>
      <c r="K31" s="14">
        <f>SUMIF(Mercado_Receita!$T$2:$T$693,"44348B2Energia convencional pré-pagamentoRuralServiço público de irrigação ruralNão se aplicaNão se aplicaNão se aplica",Mercado_Receita!$N$2:$N$693)</f>
        <v>0</v>
      </c>
      <c r="L31" s="14">
        <f>SUMIF(Mercado_Receita!$T$2:$T$693,"44378B2Energia convencional pré-pagamentoRuralServiço público de irrigação ruralNão se aplicaNão se aplicaNão se aplica",Mercado_Receita!$N$2:$N$693)</f>
        <v>0</v>
      </c>
      <c r="M31" s="14">
        <f>SUMIF(Mercado_Receita!$T$2:$T$693,"44409B2Energia convencional pré-pagamentoRuralServiço público de irrigação ruralNão se aplicaNão se aplicaNão se aplica",Mercado_Receita!$N$2:$N$693)</f>
        <v>0</v>
      </c>
      <c r="N31" s="14">
        <f>SUMIF(Mercado_Receita!$T$2:$T$693,"44440B2Energia convencional pré-pagamentoRuralServiço público de irrigação ruralNão se aplicaNão se aplicaNão se aplica",Mercado_Receita!$N$2:$N$693)</f>
        <v>0</v>
      </c>
      <c r="O31" s="14">
        <f>SUMIF(Mercado_Receita!$T$2:$T$693,"44470B2Energia convencional pré-pagamentoRuralServiço público de irrigação ruralNão se aplicaNão se aplicaNão se aplica",Mercado_Receita!$N$2:$N$693)</f>
        <v>0</v>
      </c>
      <c r="P31" s="14">
        <f>SUMIF(Mercado_Receita!$T$2:$T$693,"44501B2Energia convencional pré-pagamentoRuralServiço público de irrigação ruralNão se aplicaNão se aplicaNão se aplica",Mercado_Receita!$N$2:$N$693)</f>
        <v>0</v>
      </c>
      <c r="Q31" s="14">
        <f>SUMIF(Mercado_Receita!$T$2:$T$693,"44531B2Energia convencional pré-pagamentoRuralServiço público de irrigação ruralNão se aplicaNão se aplicaNão se aplica",Mercado_Receita!$N$2:$N$693)</f>
        <v>0</v>
      </c>
      <c r="R31" s="14">
        <f>SUMIF(Mercado_Receita!$T$2:$T$693,"44562B2Energia convencional pré-pagamentoRuralServiço público de irrigação ruralNão se aplicaNão se aplicaNão se aplica",Mercado_Receita!$N$2:$N$693)</f>
        <v>0</v>
      </c>
      <c r="S31" s="14">
        <f>SUMIF(Mercado_Receita!$T$2:$T$693,"44593B2Energia convencional pré-pagamentoRuralServiço público de irrigação ruralNão se aplicaNão se aplicaNão se aplica",Mercado_Receita!$N$2:$N$693)</f>
        <v>0</v>
      </c>
      <c r="T31" s="14">
        <f>SUMIF(Mercado_Receita!$T$2:$T$693,"44621B2Energia convencional pré-pagamentoRuralServiço público de irrigação ruralNão se aplicaNão se aplicaNão se aplica",Mercado_Receita!$N$2:$N$693)</f>
        <v>0</v>
      </c>
      <c r="U31" s="14">
        <f t="shared" si="0"/>
        <v>0</v>
      </c>
      <c r="V31" s="14"/>
      <c r="W31" s="14"/>
    </row>
    <row r="32" spans="1:23" ht="11.25" customHeight="1" x14ac:dyDescent="0.25">
      <c r="A32" s="115" t="s">
        <v>37</v>
      </c>
      <c r="B32" s="115" t="s">
        <v>72</v>
      </c>
      <c r="C32" s="115" t="s">
        <v>25</v>
      </c>
      <c r="D32" s="115" t="s">
        <v>25</v>
      </c>
      <c r="E32" s="115" t="s">
        <v>25</v>
      </c>
      <c r="F32" s="115" t="s">
        <v>25</v>
      </c>
      <c r="G32" s="14" t="s">
        <v>74</v>
      </c>
      <c r="H32" s="14" t="s">
        <v>73</v>
      </c>
      <c r="I32" s="14">
        <f>SUMIF(Mercado_Receita!$T$2:$T$693,"44287B3Energia horáriaNão se aplicaNão se aplicaNão se aplicaNão se aplicaPonta",Mercado_Receita!$N$2:$N$693)</f>
        <v>0</v>
      </c>
      <c r="J32" s="14">
        <f>SUMIF(Mercado_Receita!$T$2:$T$693,"44317B3Energia horáriaNão se aplicaNão se aplicaNão se aplicaNão se aplicaPonta",Mercado_Receita!$N$2:$N$693)</f>
        <v>0</v>
      </c>
      <c r="K32" s="14">
        <f>SUMIF(Mercado_Receita!$T$2:$T$693,"44348B3Energia horáriaNão se aplicaNão se aplicaNão se aplicaNão se aplicaPonta",Mercado_Receita!$N$2:$N$693)</f>
        <v>0</v>
      </c>
      <c r="L32" s="14">
        <f>SUMIF(Mercado_Receita!$T$2:$T$693,"44378B3Energia horáriaNão se aplicaNão se aplicaNão se aplicaNão se aplicaPonta",Mercado_Receita!$N$2:$N$693)</f>
        <v>0</v>
      </c>
      <c r="M32" s="14">
        <f>SUMIF(Mercado_Receita!$T$2:$T$693,"44409B3Energia horáriaNão se aplicaNão se aplicaNão se aplicaNão se aplicaPonta",Mercado_Receita!$N$2:$N$693)</f>
        <v>0</v>
      </c>
      <c r="N32" s="14">
        <f>SUMIF(Mercado_Receita!$T$2:$T$693,"44440B3Energia horáriaNão se aplicaNão se aplicaNão se aplicaNão se aplicaPonta",Mercado_Receita!$N$2:$N$693)</f>
        <v>0</v>
      </c>
      <c r="O32" s="14">
        <f>SUMIF(Mercado_Receita!$T$2:$T$693,"44470B3Energia horáriaNão se aplicaNão se aplicaNão se aplicaNão se aplicaPonta",Mercado_Receita!$N$2:$N$693)</f>
        <v>0</v>
      </c>
      <c r="P32" s="14">
        <f>SUMIF(Mercado_Receita!$T$2:$T$693,"44501B3Energia horáriaNão se aplicaNão se aplicaNão se aplicaNão se aplicaPonta",Mercado_Receita!$N$2:$N$693)</f>
        <v>0</v>
      </c>
      <c r="Q32" s="14">
        <f>SUMIF(Mercado_Receita!$T$2:$T$693,"44531B3Energia horáriaNão se aplicaNão se aplicaNão se aplicaNão se aplicaPonta",Mercado_Receita!$N$2:$N$693)</f>
        <v>0</v>
      </c>
      <c r="R32" s="14">
        <f>SUMIF(Mercado_Receita!$T$2:$T$693,"44562B3Energia horáriaNão se aplicaNão se aplicaNão se aplicaNão se aplicaPonta",Mercado_Receita!$N$2:$N$693)</f>
        <v>0</v>
      </c>
      <c r="S32" s="14">
        <f>SUMIF(Mercado_Receita!$T$2:$T$693,"44593B3Energia horáriaNão se aplicaNão se aplicaNão se aplicaNão se aplicaPonta",Mercado_Receita!$N$2:$N$693)</f>
        <v>0</v>
      </c>
      <c r="T32" s="14">
        <f>SUMIF(Mercado_Receita!$T$2:$T$693,"44621B3Energia horáriaNão se aplicaNão se aplicaNão se aplicaNão se aplicaPonta",Mercado_Receita!$N$2:$N$693)</f>
        <v>0</v>
      </c>
      <c r="U32" s="14">
        <f t="shared" si="0"/>
        <v>0</v>
      </c>
      <c r="V32" s="14"/>
      <c r="W32" s="14"/>
    </row>
    <row r="33" spans="1:23" ht="11.25" customHeight="1" x14ac:dyDescent="0.25">
      <c r="A33" s="116"/>
      <c r="B33" s="116"/>
      <c r="C33" s="116"/>
      <c r="D33" s="116"/>
      <c r="E33" s="116"/>
      <c r="F33" s="116"/>
      <c r="G33" s="14" t="s">
        <v>85</v>
      </c>
      <c r="H33" s="14" t="s">
        <v>73</v>
      </c>
      <c r="I33" s="14">
        <f>SUMIF(Mercado_Receita!$T$2:$T$693,"44287B3Energia horáriaNão se aplicaNão se aplicaNão se aplicaNão se aplicaIntermediário",Mercado_Receita!$N$2:$N$693)</f>
        <v>0</v>
      </c>
      <c r="J33" s="14">
        <f>SUMIF(Mercado_Receita!$T$2:$T$693,"44317B3Energia horáriaNão se aplicaNão se aplicaNão se aplicaNão se aplicaIntermediário",Mercado_Receita!$N$2:$N$693)</f>
        <v>0</v>
      </c>
      <c r="K33" s="14">
        <f>SUMIF(Mercado_Receita!$T$2:$T$693,"44348B3Energia horáriaNão se aplicaNão se aplicaNão se aplicaNão se aplicaIntermediário",Mercado_Receita!$N$2:$N$693)</f>
        <v>0</v>
      </c>
      <c r="L33" s="14">
        <f>SUMIF(Mercado_Receita!$T$2:$T$693,"44378B3Energia horáriaNão se aplicaNão se aplicaNão se aplicaNão se aplicaIntermediário",Mercado_Receita!$N$2:$N$693)</f>
        <v>0</v>
      </c>
      <c r="M33" s="14">
        <f>SUMIF(Mercado_Receita!$T$2:$T$693,"44409B3Energia horáriaNão se aplicaNão se aplicaNão se aplicaNão se aplicaIntermediário",Mercado_Receita!$N$2:$N$693)</f>
        <v>0</v>
      </c>
      <c r="N33" s="14">
        <f>SUMIF(Mercado_Receita!$T$2:$T$693,"44440B3Energia horáriaNão se aplicaNão se aplicaNão se aplicaNão se aplicaIntermediário",Mercado_Receita!$N$2:$N$693)</f>
        <v>0</v>
      </c>
      <c r="O33" s="14">
        <f>SUMIF(Mercado_Receita!$T$2:$T$693,"44470B3Energia horáriaNão se aplicaNão se aplicaNão se aplicaNão se aplicaIntermediário",Mercado_Receita!$N$2:$N$693)</f>
        <v>0</v>
      </c>
      <c r="P33" s="14">
        <f>SUMIF(Mercado_Receita!$T$2:$T$693,"44501B3Energia horáriaNão se aplicaNão se aplicaNão se aplicaNão se aplicaIntermediário",Mercado_Receita!$N$2:$N$693)</f>
        <v>0</v>
      </c>
      <c r="Q33" s="14">
        <f>SUMIF(Mercado_Receita!$T$2:$T$693,"44531B3Energia horáriaNão se aplicaNão se aplicaNão se aplicaNão se aplicaIntermediário",Mercado_Receita!$N$2:$N$693)</f>
        <v>0</v>
      </c>
      <c r="R33" s="14">
        <f>SUMIF(Mercado_Receita!$T$2:$T$693,"44562B3Energia horáriaNão se aplicaNão se aplicaNão se aplicaNão se aplicaIntermediário",Mercado_Receita!$N$2:$N$693)</f>
        <v>0</v>
      </c>
      <c r="S33" s="14">
        <f>SUMIF(Mercado_Receita!$T$2:$T$693,"44593B3Energia horáriaNão se aplicaNão se aplicaNão se aplicaNão se aplicaIntermediário",Mercado_Receita!$N$2:$N$693)</f>
        <v>0</v>
      </c>
      <c r="T33" s="14">
        <f>SUMIF(Mercado_Receita!$T$2:$T$693,"44621B3Energia horáriaNão se aplicaNão se aplicaNão se aplicaNão se aplicaIntermediário",Mercado_Receita!$N$2:$N$693)</f>
        <v>0</v>
      </c>
      <c r="U33" s="14">
        <f t="shared" si="0"/>
        <v>0</v>
      </c>
      <c r="V33" s="14"/>
      <c r="W33" s="14"/>
    </row>
    <row r="34" spans="1:23" ht="11.25" customHeight="1" x14ac:dyDescent="0.25">
      <c r="A34" s="116"/>
      <c r="B34" s="116"/>
      <c r="C34" s="116"/>
      <c r="D34" s="116"/>
      <c r="E34" s="116"/>
      <c r="F34" s="116"/>
      <c r="G34" s="14" t="s">
        <v>75</v>
      </c>
      <c r="H34" s="14" t="s">
        <v>73</v>
      </c>
      <c r="I34" s="14">
        <f>SUMIF(Mercado_Receita!$T$2:$T$693,"44287B3Energia horáriaNão se aplicaNão se aplicaNão se aplicaNão se aplicaFora ponta",Mercado_Receita!$N$2:$N$693)</f>
        <v>0</v>
      </c>
      <c r="J34" s="14">
        <f>SUMIF(Mercado_Receita!$T$2:$T$693,"44317B3Energia horáriaNão se aplicaNão se aplicaNão se aplicaNão se aplicaFora ponta",Mercado_Receita!$N$2:$N$693)</f>
        <v>0</v>
      </c>
      <c r="K34" s="14">
        <f>SUMIF(Mercado_Receita!$T$2:$T$693,"44348B3Energia horáriaNão se aplicaNão se aplicaNão se aplicaNão se aplicaFora ponta",Mercado_Receita!$N$2:$N$693)</f>
        <v>0</v>
      </c>
      <c r="L34" s="14">
        <f>SUMIF(Mercado_Receita!$T$2:$T$693,"44378B3Energia horáriaNão se aplicaNão se aplicaNão se aplicaNão se aplicaFora ponta",Mercado_Receita!$N$2:$N$693)</f>
        <v>0</v>
      </c>
      <c r="M34" s="14">
        <f>SUMIF(Mercado_Receita!$T$2:$T$693,"44409B3Energia horáriaNão se aplicaNão se aplicaNão se aplicaNão se aplicaFora ponta",Mercado_Receita!$N$2:$N$693)</f>
        <v>0</v>
      </c>
      <c r="N34" s="14">
        <f>SUMIF(Mercado_Receita!$T$2:$T$693,"44440B3Energia horáriaNão se aplicaNão se aplicaNão se aplicaNão se aplicaFora ponta",Mercado_Receita!$N$2:$N$693)</f>
        <v>0</v>
      </c>
      <c r="O34" s="14">
        <f>SUMIF(Mercado_Receita!$T$2:$T$693,"44470B3Energia horáriaNão se aplicaNão se aplicaNão se aplicaNão se aplicaFora ponta",Mercado_Receita!$N$2:$N$693)</f>
        <v>0</v>
      </c>
      <c r="P34" s="14">
        <f>SUMIF(Mercado_Receita!$T$2:$T$693,"44501B3Energia horáriaNão se aplicaNão se aplicaNão se aplicaNão se aplicaFora ponta",Mercado_Receita!$N$2:$N$693)</f>
        <v>0</v>
      </c>
      <c r="Q34" s="14">
        <f>SUMIF(Mercado_Receita!$T$2:$T$693,"44531B3Energia horáriaNão se aplicaNão se aplicaNão se aplicaNão se aplicaFora ponta",Mercado_Receita!$N$2:$N$693)</f>
        <v>0</v>
      </c>
      <c r="R34" s="14">
        <f>SUMIF(Mercado_Receita!$T$2:$T$693,"44562B3Energia horáriaNão se aplicaNão se aplicaNão se aplicaNão se aplicaFora ponta",Mercado_Receita!$N$2:$N$693)</f>
        <v>0</v>
      </c>
      <c r="S34" s="14">
        <f>SUMIF(Mercado_Receita!$T$2:$T$693,"44593B3Energia horáriaNão se aplicaNão se aplicaNão se aplicaNão se aplicaFora ponta",Mercado_Receita!$N$2:$N$693)</f>
        <v>0</v>
      </c>
      <c r="T34" s="14">
        <f>SUMIF(Mercado_Receita!$T$2:$T$693,"44621B3Energia horáriaNão se aplicaNão se aplicaNão se aplicaNão se aplicaFora ponta",Mercado_Receita!$N$2:$N$693)</f>
        <v>0</v>
      </c>
      <c r="U34" s="14">
        <f t="shared" si="0"/>
        <v>0</v>
      </c>
      <c r="V34" s="14"/>
      <c r="W34" s="14"/>
    </row>
    <row r="35" spans="1:23" ht="11.25" customHeight="1" x14ac:dyDescent="0.25">
      <c r="A35" s="116"/>
      <c r="B35" s="13" t="s">
        <v>86</v>
      </c>
      <c r="C35" s="13" t="s">
        <v>25</v>
      </c>
      <c r="D35" s="13" t="s">
        <v>25</v>
      </c>
      <c r="E35" s="13" t="s">
        <v>25</v>
      </c>
      <c r="F35" s="13" t="s">
        <v>25</v>
      </c>
      <c r="G35" s="14" t="s">
        <v>79</v>
      </c>
      <c r="H35" s="14" t="s">
        <v>73</v>
      </c>
      <c r="I35" s="14">
        <f>SUMIF(Mercado_Receita!$T$2:$T$693,"44287B3Energia convencionalNão se aplicaNão se aplicaNão se aplicaNão se aplicaNão se aplica",Mercado_Receita!$N$2:$N$693)</f>
        <v>763.23399999999992</v>
      </c>
      <c r="J35" s="14">
        <f>SUMIF(Mercado_Receita!$T$2:$T$693,"44317B3Energia convencionalNão se aplicaNão se aplicaNão se aplicaNão se aplicaNão se aplica",Mercado_Receita!$N$2:$N$693)</f>
        <v>758.13599999999997</v>
      </c>
      <c r="K35" s="14">
        <f>SUMIF(Mercado_Receita!$T$2:$T$693,"44348B3Energia convencionalNão se aplicaNão se aplicaNão se aplicaNão se aplicaNão se aplica",Mercado_Receita!$N$2:$N$693)</f>
        <v>690.74600000000009</v>
      </c>
      <c r="L35" s="14">
        <f>SUMIF(Mercado_Receita!$T$2:$T$693,"44378B3Energia convencionalNão se aplicaNão se aplicaNão se aplicaNão se aplicaNão se aplica",Mercado_Receita!$N$2:$N$693)</f>
        <v>668.41500000000008</v>
      </c>
      <c r="M35" s="14">
        <f>SUMIF(Mercado_Receita!$T$2:$T$693,"44409B3Energia convencionalNão se aplicaNão se aplicaNão se aplicaNão se aplicaNão se aplica",Mercado_Receita!$N$2:$N$693)</f>
        <v>735.54100000000017</v>
      </c>
      <c r="N35" s="14">
        <f>SUMIF(Mercado_Receita!$T$2:$T$693,"44440B3Energia convencionalNão se aplicaNão se aplicaNão se aplicaNão se aplicaNão se aplica",Mercado_Receita!$N$2:$N$693)</f>
        <v>803.98300000000006</v>
      </c>
      <c r="O35" s="14">
        <f>SUMIF(Mercado_Receita!$T$2:$T$693,"44470B3Energia convencionalNão se aplicaNão se aplicaNão se aplicaNão se aplicaNão se aplica",Mercado_Receita!$N$2:$N$693)</f>
        <v>755.76</v>
      </c>
      <c r="P35" s="14">
        <f>SUMIF(Mercado_Receita!$T$2:$T$693,"44501B3Energia convencionalNão se aplicaNão se aplicaNão se aplicaNão se aplicaNão se aplica",Mercado_Receita!$N$2:$N$693)</f>
        <v>844.29499999999985</v>
      </c>
      <c r="Q35" s="14">
        <f>SUMIF(Mercado_Receita!$T$2:$T$693,"44531B3Energia convencionalNão se aplicaNão se aplicaNão se aplicaNão se aplicaNão se aplica",Mercado_Receita!$N$2:$N$693)</f>
        <v>791.39599999999996</v>
      </c>
      <c r="R35" s="14">
        <f>SUMIF(Mercado_Receita!$T$2:$T$693,"44562B3Energia convencionalNão se aplicaNão se aplicaNão se aplicaNão se aplicaNão se aplica",Mercado_Receita!$N$2:$N$693)</f>
        <v>864.154</v>
      </c>
      <c r="S35" s="14">
        <f>SUMIF(Mercado_Receita!$T$2:$T$693,"44593B3Energia convencionalNão se aplicaNão se aplicaNão se aplicaNão se aplicaNão se aplica",Mercado_Receita!$N$2:$N$693)</f>
        <v>837.73399999999992</v>
      </c>
      <c r="T35" s="14">
        <f>SUMIF(Mercado_Receita!$T$2:$T$693,"44621B3Energia convencionalNão se aplicaNão se aplicaNão se aplicaNão se aplicaNão se aplica",Mercado_Receita!$N$2:$N$693)</f>
        <v>837.73399999999992</v>
      </c>
      <c r="U35" s="14">
        <f t="shared" si="0"/>
        <v>9351.1280000000006</v>
      </c>
      <c r="V35" s="14"/>
      <c r="W35" s="14"/>
    </row>
    <row r="36" spans="1:23" ht="11.25" customHeight="1" x14ac:dyDescent="0.25">
      <c r="A36" s="116"/>
      <c r="B36" s="13" t="s">
        <v>88</v>
      </c>
      <c r="C36" s="13" t="s">
        <v>25</v>
      </c>
      <c r="D36" s="13" t="s">
        <v>25</v>
      </c>
      <c r="E36" s="13" t="s">
        <v>25</v>
      </c>
      <c r="F36" s="13" t="s">
        <v>25</v>
      </c>
      <c r="G36" s="14" t="s">
        <v>79</v>
      </c>
      <c r="H36" s="14" t="s">
        <v>73</v>
      </c>
      <c r="I36" s="14">
        <f>SUMIF(Mercado_Receita!$T$2:$T$693,"44287B3Energia convencional pré-pagamentoNão se aplicaNão se aplicaNão se aplicaNão se aplicaNão se aplica",Mercado_Receita!$N$2:$N$693)</f>
        <v>0</v>
      </c>
      <c r="J36" s="14">
        <f>SUMIF(Mercado_Receita!$T$2:$T$693,"44317B3Energia convencional pré-pagamentoNão se aplicaNão se aplicaNão se aplicaNão se aplicaNão se aplica",Mercado_Receita!$N$2:$N$693)</f>
        <v>0</v>
      </c>
      <c r="K36" s="14">
        <f>SUMIF(Mercado_Receita!$T$2:$T$693,"44348B3Energia convencional pré-pagamentoNão se aplicaNão se aplicaNão se aplicaNão se aplicaNão se aplica",Mercado_Receita!$N$2:$N$693)</f>
        <v>0</v>
      </c>
      <c r="L36" s="14">
        <f>SUMIF(Mercado_Receita!$T$2:$T$693,"44378B3Energia convencional pré-pagamentoNão se aplicaNão se aplicaNão se aplicaNão se aplicaNão se aplica",Mercado_Receita!$N$2:$N$693)</f>
        <v>0</v>
      </c>
      <c r="M36" s="14">
        <f>SUMIF(Mercado_Receita!$T$2:$T$693,"44409B3Energia convencional pré-pagamentoNão se aplicaNão se aplicaNão se aplicaNão se aplicaNão se aplica",Mercado_Receita!$N$2:$N$693)</f>
        <v>0</v>
      </c>
      <c r="N36" s="14">
        <f>SUMIF(Mercado_Receita!$T$2:$T$693,"44440B3Energia convencional pré-pagamentoNão se aplicaNão se aplicaNão se aplicaNão se aplicaNão se aplica",Mercado_Receita!$N$2:$N$693)</f>
        <v>0</v>
      </c>
      <c r="O36" s="14">
        <f>SUMIF(Mercado_Receita!$T$2:$T$693,"44470B3Energia convencional pré-pagamentoNão se aplicaNão se aplicaNão se aplicaNão se aplicaNão se aplica",Mercado_Receita!$N$2:$N$693)</f>
        <v>0</v>
      </c>
      <c r="P36" s="14">
        <f>SUMIF(Mercado_Receita!$T$2:$T$693,"44501B3Energia convencional pré-pagamentoNão se aplicaNão se aplicaNão se aplicaNão se aplicaNão se aplica",Mercado_Receita!$N$2:$N$693)</f>
        <v>0</v>
      </c>
      <c r="Q36" s="14">
        <f>SUMIF(Mercado_Receita!$T$2:$T$693,"44531B3Energia convencional pré-pagamentoNão se aplicaNão se aplicaNão se aplicaNão se aplicaNão se aplica",Mercado_Receita!$N$2:$N$693)</f>
        <v>0</v>
      </c>
      <c r="R36" s="14">
        <f>SUMIF(Mercado_Receita!$T$2:$T$693,"44562B3Energia convencional pré-pagamentoNão se aplicaNão se aplicaNão se aplicaNão se aplicaNão se aplica",Mercado_Receita!$N$2:$N$693)</f>
        <v>0</v>
      </c>
      <c r="S36" s="14">
        <f>SUMIF(Mercado_Receita!$T$2:$T$693,"44593B3Energia convencional pré-pagamentoNão se aplicaNão se aplicaNão se aplicaNão se aplicaNão se aplica",Mercado_Receita!$N$2:$N$693)</f>
        <v>0</v>
      </c>
      <c r="T36" s="14">
        <f>SUMIF(Mercado_Receita!$T$2:$T$693,"44621B3Energia convencional pré-pagamentoNão se aplicaNão se aplicaNão se aplicaNão se aplicaNão se aplica",Mercado_Receita!$N$2:$N$693)</f>
        <v>0</v>
      </c>
      <c r="U36" s="14">
        <f t="shared" si="0"/>
        <v>0</v>
      </c>
      <c r="V36" s="14"/>
      <c r="W36" s="14"/>
    </row>
    <row r="37" spans="1:23" ht="11.25" customHeight="1" x14ac:dyDescent="0.25">
      <c r="A37" s="115" t="s">
        <v>44</v>
      </c>
      <c r="B37" s="115" t="s">
        <v>86</v>
      </c>
      <c r="C37" s="115" t="s">
        <v>45</v>
      </c>
      <c r="D37" s="13" t="s">
        <v>46</v>
      </c>
      <c r="E37" s="13" t="s">
        <v>25</v>
      </c>
      <c r="F37" s="13" t="s">
        <v>25</v>
      </c>
      <c r="G37" s="14" t="s">
        <v>79</v>
      </c>
      <c r="H37" s="14" t="s">
        <v>73</v>
      </c>
      <c r="I37" s="14">
        <f>SUMIF(Mercado_Receita!$T$2:$T$693,"44287B4Energia convencionalIluminação públicaIluminação pública – B4aNão se aplicaNão se aplicaNão se aplica",Mercado_Receita!$N$2:$N$693)</f>
        <v>11.387</v>
      </c>
      <c r="J37" s="14">
        <f>SUMIF(Mercado_Receita!$T$2:$T$693,"44317B4Energia convencionalIluminação públicaIluminação pública – B4aNão se aplicaNão se aplicaNão se aplica",Mercado_Receita!$N$2:$N$693)</f>
        <v>10.378</v>
      </c>
      <c r="K37" s="14">
        <f>SUMIF(Mercado_Receita!$T$2:$T$693,"44348B4Energia convencionalIluminação públicaIluminação pública – B4aNão se aplicaNão se aplicaNão se aplica",Mercado_Receita!$N$2:$N$693)</f>
        <v>10.183999999999999</v>
      </c>
      <c r="L37" s="14">
        <f>SUMIF(Mercado_Receita!$T$2:$T$693,"44378B4Energia convencionalIluminação públicaIluminação pública – B4aNão se aplicaNão se aplicaNão se aplica",Mercado_Receita!$N$2:$N$693)</f>
        <v>10.151</v>
      </c>
      <c r="M37" s="14">
        <f>SUMIF(Mercado_Receita!$T$2:$T$693,"44409B4Energia convencionalIluminação públicaIluminação pública – B4aNão se aplicaNão se aplicaNão se aplica",Mercado_Receita!$N$2:$N$693)</f>
        <v>10.202</v>
      </c>
      <c r="N37" s="14">
        <f>SUMIF(Mercado_Receita!$T$2:$T$693,"44440B4Energia convencionalIluminação públicaIluminação pública – B4aNão se aplicaNão se aplicaNão se aplica",Mercado_Receita!$N$2:$N$693)</f>
        <v>10.85</v>
      </c>
      <c r="O37" s="14">
        <f>SUMIF(Mercado_Receita!$T$2:$T$693,"44470B4Energia convencionalIluminação públicaIluminação pública – B4aNão se aplicaNão se aplicaNão se aplica",Mercado_Receita!$N$2:$N$693)</f>
        <v>9.0210000000000008</v>
      </c>
      <c r="P37" s="14">
        <f>SUMIF(Mercado_Receita!$T$2:$T$693,"44501B4Energia convencionalIluminação públicaIluminação pública – B4aNão se aplicaNão se aplicaNão se aplica",Mercado_Receita!$N$2:$N$693)</f>
        <v>10.260999999999999</v>
      </c>
      <c r="Q37" s="14">
        <f>SUMIF(Mercado_Receita!$T$2:$T$693,"44531B4Energia convencionalIluminação públicaIluminação pública – B4aNão se aplicaNão se aplicaNão se aplica",Mercado_Receita!$N$2:$N$693)</f>
        <v>9.0459999999999994</v>
      </c>
      <c r="R37" s="14">
        <f>SUMIF(Mercado_Receita!$T$2:$T$693,"44562B4Energia convencionalIluminação públicaIluminação pública – B4aNão se aplicaNão se aplicaNão se aplica",Mercado_Receita!$N$2:$N$693)</f>
        <v>9.532</v>
      </c>
      <c r="S37" s="14">
        <f>SUMIF(Mercado_Receita!$T$2:$T$693,"44593B4Energia convencionalIluminação públicaIluminação pública – B4aNão se aplicaNão se aplicaNão se aplica",Mercado_Receita!$N$2:$N$693)</f>
        <v>10.298999999999999</v>
      </c>
      <c r="T37" s="14">
        <f>SUMIF(Mercado_Receita!$T$2:$T$693,"44621B4Energia convencionalIluminação públicaIluminação pública – B4aNão se aplicaNão se aplicaNão se aplica",Mercado_Receita!$N$2:$N$693)</f>
        <v>10.298999999999999</v>
      </c>
      <c r="U37" s="14">
        <f t="shared" si="0"/>
        <v>121.60999999999999</v>
      </c>
      <c r="V37" s="14"/>
      <c r="W37" s="14"/>
    </row>
    <row r="38" spans="1:23" ht="11.25" customHeight="1" x14ac:dyDescent="0.25">
      <c r="A38" s="116"/>
      <c r="B38" s="116"/>
      <c r="C38" s="116"/>
      <c r="D38" s="14" t="s">
        <v>47</v>
      </c>
      <c r="E38" s="14" t="s">
        <v>25</v>
      </c>
      <c r="F38" s="14" t="s">
        <v>25</v>
      </c>
      <c r="G38" s="14" t="s">
        <v>79</v>
      </c>
      <c r="H38" s="14" t="s">
        <v>73</v>
      </c>
      <c r="I38" s="14">
        <f>SUMIF(Mercado_Receita!$T$2:$T$693,"44287B4Energia convencionalIluminação públicaIluminação pública – B4bNão se aplicaNão se aplicaNão se aplica",Mercado_Receita!$N$2:$N$693)</f>
        <v>193.792</v>
      </c>
      <c r="J38" s="14">
        <f>SUMIF(Mercado_Receita!$T$2:$T$693,"44317B4Energia convencionalIluminação públicaIluminação pública – B4bNão se aplicaNão se aplicaNão se aplica",Mercado_Receita!$N$2:$N$693)</f>
        <v>196.27199999999999</v>
      </c>
      <c r="K38" s="14">
        <f>SUMIF(Mercado_Receita!$T$2:$T$693,"44348B4Energia convencionalIluminação públicaIluminação pública – B4bNão se aplicaNão se aplicaNão se aplica",Mercado_Receita!$N$2:$N$693)</f>
        <v>211.64699999999999</v>
      </c>
      <c r="L38" s="14">
        <f>SUMIF(Mercado_Receita!$T$2:$T$693,"44378B4Energia convencionalIluminação públicaIluminação pública – B4bNão se aplicaNão se aplicaNão se aplica",Mercado_Receita!$N$2:$N$693)</f>
        <v>202.92599999999999</v>
      </c>
      <c r="M38" s="14">
        <f>SUMIF(Mercado_Receita!$T$2:$T$693,"44409B4Energia convencionalIluminação públicaIluminação pública – B4bNão se aplicaNão se aplicaNão se aplica",Mercado_Receita!$N$2:$N$693)</f>
        <v>201.93</v>
      </c>
      <c r="N38" s="14">
        <f>SUMIF(Mercado_Receita!$T$2:$T$693,"44440B4Energia convencionalIluminação públicaIluminação pública – B4bNão se aplicaNão se aplicaNão se aplica",Mercado_Receita!$N$2:$N$693)</f>
        <v>191.06700000000001</v>
      </c>
      <c r="O38" s="14">
        <f>SUMIF(Mercado_Receita!$T$2:$T$693,"44470B4Energia convencionalIluminação públicaIluminação pública – B4bNão se aplicaNão se aplicaNão se aplica",Mercado_Receita!$N$2:$N$693)</f>
        <v>173.85</v>
      </c>
      <c r="P38" s="14">
        <f>SUMIF(Mercado_Receita!$T$2:$T$693,"44501B4Energia convencionalIluminação públicaIluminação pública – B4bNão se aplicaNão se aplicaNão se aplica",Mercado_Receita!$N$2:$N$693)</f>
        <v>169.73500000000001</v>
      </c>
      <c r="Q38" s="14">
        <f>SUMIF(Mercado_Receita!$T$2:$T$693,"44531B4Energia convencionalIluminação públicaIluminação pública – B4bNão se aplicaNão se aplicaNão se aplica",Mercado_Receita!$N$2:$N$693)</f>
        <v>159.703</v>
      </c>
      <c r="R38" s="14">
        <f>SUMIF(Mercado_Receita!$T$2:$T$693,"44562B4Energia convencionalIluminação públicaIluminação pública – B4bNão se aplicaNão se aplicaNão se aplica",Mercado_Receita!$N$2:$N$693)</f>
        <v>167.80500000000001</v>
      </c>
      <c r="S38" s="14">
        <f>SUMIF(Mercado_Receita!$T$2:$T$693,"44593B4Energia convencionalIluminação públicaIluminação pública – B4bNão se aplicaNão se aplicaNão se aplica",Mercado_Receita!$N$2:$N$693)</f>
        <v>176.07</v>
      </c>
      <c r="T38" s="14">
        <f>SUMIF(Mercado_Receita!$T$2:$T$693,"44621B4Energia convencionalIluminação públicaIluminação pública – B4bNão se aplicaNão se aplicaNão se aplica",Mercado_Receita!$N$2:$N$693)</f>
        <v>176.07</v>
      </c>
      <c r="U38" s="14">
        <f t="shared" si="0"/>
        <v>2220.8670000000002</v>
      </c>
      <c r="V38" s="14"/>
      <c r="W38" s="14"/>
    </row>
    <row r="39" spans="1:23" ht="11.25" customHeight="1" x14ac:dyDescent="0.25">
      <c r="A39" s="117" t="s">
        <v>398</v>
      </c>
      <c r="B39" s="118"/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4"/>
      <c r="W39" s="14"/>
    </row>
  </sheetData>
  <mergeCells count="44">
    <mergeCell ref="A37:A38"/>
    <mergeCell ref="B37:B38"/>
    <mergeCell ref="C37:C38"/>
    <mergeCell ref="A39:U39"/>
    <mergeCell ref="C29:C31"/>
    <mergeCell ref="B29:B31"/>
    <mergeCell ref="A17:A31"/>
    <mergeCell ref="F32:F34"/>
    <mergeCell ref="E32:E34"/>
    <mergeCell ref="D32:D34"/>
    <mergeCell ref="C32:C34"/>
    <mergeCell ref="B32:B34"/>
    <mergeCell ref="A32:A36"/>
    <mergeCell ref="F21:F23"/>
    <mergeCell ref="E21:E23"/>
    <mergeCell ref="D21:D23"/>
    <mergeCell ref="C21:C23"/>
    <mergeCell ref="B21:B23"/>
    <mergeCell ref="F25:F27"/>
    <mergeCell ref="E25:E27"/>
    <mergeCell ref="D25:D27"/>
    <mergeCell ref="C25:C27"/>
    <mergeCell ref="B25:B27"/>
    <mergeCell ref="C12:C16"/>
    <mergeCell ref="B12:B16"/>
    <mergeCell ref="A4:A16"/>
    <mergeCell ref="F17:F19"/>
    <mergeCell ref="E17:E19"/>
    <mergeCell ref="D17:D19"/>
    <mergeCell ref="C17:C19"/>
    <mergeCell ref="B17:B19"/>
    <mergeCell ref="F4:F6"/>
    <mergeCell ref="E4:E6"/>
    <mergeCell ref="D4:D6"/>
    <mergeCell ref="C4:C6"/>
    <mergeCell ref="B4:B6"/>
    <mergeCell ref="C7:C11"/>
    <mergeCell ref="B7:B11"/>
    <mergeCell ref="A2:A3"/>
    <mergeCell ref="F2:F3"/>
    <mergeCell ref="E2:E3"/>
    <mergeCell ref="D2:D3"/>
    <mergeCell ref="C2:C3"/>
    <mergeCell ref="B2:B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5BBB6-8B79-4F81-BFDE-52FC19655ED9}">
  <sheetPr codeName="Planilha6"/>
  <dimension ref="A1:AD200"/>
  <sheetViews>
    <sheetView showGridLines="0" topLeftCell="A34" workbookViewId="0">
      <selection activeCell="J51" sqref="J51"/>
    </sheetView>
  </sheetViews>
  <sheetFormatPr defaultColWidth="9.140625" defaultRowHeight="12" customHeight="1" x14ac:dyDescent="0.2"/>
  <cols>
    <col min="1" max="1" width="10.5703125" style="15" bestFit="1" customWidth="1"/>
    <col min="2" max="2" width="14.42578125" style="15" bestFit="1" customWidth="1"/>
    <col min="3" max="3" width="18.42578125" style="15" bestFit="1" customWidth="1"/>
    <col min="4" max="4" width="15" style="15" bestFit="1" customWidth="1"/>
    <col min="5" max="5" width="14.5703125" style="15" bestFit="1" customWidth="1"/>
    <col min="6" max="6" width="4.42578125" style="15" bestFit="1" customWidth="1"/>
    <col min="7" max="7" width="9.140625" style="15"/>
    <col min="8" max="8" width="12.85546875" style="15" bestFit="1" customWidth="1"/>
    <col min="9" max="11" width="9.140625" style="15"/>
    <col min="12" max="12" width="34.140625" style="15" bestFit="1" customWidth="1"/>
    <col min="13" max="13" width="10.85546875" style="15" bestFit="1" customWidth="1"/>
    <col min="14" max="14" width="36.140625" style="15" bestFit="1" customWidth="1"/>
    <col min="15" max="15" width="30.7109375" style="15" customWidth="1"/>
    <col min="16" max="16" width="13.140625" style="15" bestFit="1" customWidth="1"/>
    <col min="17" max="17" width="9.28515625" style="15" bestFit="1" customWidth="1"/>
    <col min="18" max="18" width="9.42578125" style="15" bestFit="1" customWidth="1"/>
    <col min="19" max="19" width="12.5703125" style="15" bestFit="1" customWidth="1"/>
    <col min="20" max="20" width="15.42578125" style="15" bestFit="1" customWidth="1"/>
    <col min="21" max="21" width="10.85546875" style="15" bestFit="1" customWidth="1"/>
    <col min="22" max="22" width="13.28515625" style="15" bestFit="1" customWidth="1"/>
    <col min="23" max="23" width="5" style="15" bestFit="1" customWidth="1"/>
    <col min="24" max="24" width="49.42578125" style="15" bestFit="1" customWidth="1"/>
    <col min="25" max="26" width="5" style="15" bestFit="1" customWidth="1"/>
    <col min="27" max="27" width="5.7109375" style="15" bestFit="1" customWidth="1"/>
    <col min="28" max="16384" width="9.140625" style="15"/>
  </cols>
  <sheetData>
    <row r="1" spans="1:30" ht="12" customHeight="1" x14ac:dyDescent="0.2">
      <c r="A1" s="33" t="s">
        <v>437</v>
      </c>
      <c r="B1" s="33" t="s">
        <v>438</v>
      </c>
      <c r="C1" s="33" t="s">
        <v>439</v>
      </c>
      <c r="D1" s="33" t="s">
        <v>440</v>
      </c>
      <c r="E1" s="33" t="s">
        <v>441</v>
      </c>
      <c r="F1" s="33" t="s">
        <v>442</v>
      </c>
      <c r="G1" s="31"/>
      <c r="H1" s="31"/>
      <c r="I1" s="31"/>
      <c r="J1" s="31"/>
      <c r="K1" s="31"/>
      <c r="L1" s="129" t="s">
        <v>443</v>
      </c>
      <c r="M1" s="129"/>
      <c r="N1" s="31"/>
      <c r="O1" s="124" t="s">
        <v>988</v>
      </c>
      <c r="P1" s="125"/>
      <c r="Q1" s="125"/>
      <c r="R1" s="125"/>
      <c r="S1" s="125"/>
      <c r="T1" s="125"/>
      <c r="U1" s="125"/>
      <c r="V1" s="31"/>
      <c r="W1" s="31"/>
      <c r="X1" s="31"/>
      <c r="Y1" s="31"/>
      <c r="Z1" s="31"/>
      <c r="AA1" s="31"/>
      <c r="AB1" s="31"/>
      <c r="AC1" s="31"/>
      <c r="AD1" s="31"/>
    </row>
    <row r="2" spans="1:30" ht="12" customHeight="1" x14ac:dyDescent="0.2">
      <c r="A2" s="119" t="s">
        <v>399</v>
      </c>
      <c r="B2" s="119" t="s">
        <v>400</v>
      </c>
      <c r="C2" s="32" t="s">
        <v>484</v>
      </c>
      <c r="D2" s="17">
        <v>0</v>
      </c>
      <c r="E2" s="17"/>
      <c r="F2" s="17"/>
      <c r="G2" s="16"/>
      <c r="H2" s="16"/>
      <c r="I2" s="16"/>
      <c r="J2" s="16"/>
      <c r="K2" s="16"/>
      <c r="L2" s="45" t="s">
        <v>444</v>
      </c>
      <c r="M2" s="87">
        <v>4.9200000000000001E-2</v>
      </c>
      <c r="N2" s="16"/>
      <c r="O2" s="56" t="s">
        <v>511</v>
      </c>
      <c r="P2" s="56" t="s">
        <v>512</v>
      </c>
      <c r="Q2" s="56" t="s">
        <v>513</v>
      </c>
      <c r="R2" s="56" t="s">
        <v>33</v>
      </c>
      <c r="S2" s="56" t="s">
        <v>514</v>
      </c>
      <c r="T2" s="56" t="s">
        <v>82</v>
      </c>
      <c r="U2" s="56"/>
      <c r="V2" s="16"/>
      <c r="W2" s="16"/>
      <c r="X2" s="45" t="s">
        <v>979</v>
      </c>
      <c r="Y2" s="16"/>
      <c r="Z2" s="16"/>
      <c r="AA2" s="16" t="s">
        <v>520</v>
      </c>
      <c r="AB2" s="16"/>
      <c r="AC2" s="16"/>
      <c r="AD2" s="16"/>
    </row>
    <row r="3" spans="1:30" ht="12" customHeight="1" x14ac:dyDescent="0.2">
      <c r="A3" s="120"/>
      <c r="B3" s="120"/>
      <c r="C3" s="32" t="s">
        <v>401</v>
      </c>
      <c r="D3" s="17">
        <v>268243.44278258207</v>
      </c>
      <c r="E3" s="17">
        <v>-13358.584548436307</v>
      </c>
      <c r="F3" s="17">
        <v>0</v>
      </c>
      <c r="G3" s="16"/>
      <c r="H3" s="16"/>
      <c r="I3" s="16"/>
      <c r="J3" s="16"/>
      <c r="K3" s="16"/>
      <c r="L3" s="45" t="s">
        <v>445</v>
      </c>
      <c r="M3" s="87"/>
      <c r="N3" s="16"/>
      <c r="O3" s="57">
        <v>1</v>
      </c>
      <c r="P3" s="57">
        <v>1</v>
      </c>
      <c r="Q3" s="57">
        <v>1</v>
      </c>
      <c r="R3" s="57">
        <v>1</v>
      </c>
      <c r="S3" s="57">
        <v>1</v>
      </c>
      <c r="T3" s="57">
        <v>1</v>
      </c>
      <c r="U3" s="57" t="s">
        <v>989</v>
      </c>
      <c r="V3" s="16"/>
      <c r="W3" s="16"/>
      <c r="X3" s="45"/>
      <c r="Y3" s="16"/>
      <c r="Z3" s="16"/>
      <c r="AA3" s="16">
        <v>0</v>
      </c>
      <c r="AB3" s="16"/>
      <c r="AC3" s="16"/>
      <c r="AD3" s="16"/>
    </row>
    <row r="4" spans="1:30" ht="12" customHeight="1" x14ac:dyDescent="0.2">
      <c r="A4" s="120"/>
      <c r="B4" s="120"/>
      <c r="C4" s="32" t="s">
        <v>402</v>
      </c>
      <c r="D4" s="17">
        <f>$M$22-D$30</f>
        <v>0</v>
      </c>
      <c r="E4" s="17">
        <f>IF((D4+D$30)&lt;&gt;0,$M$20*D4/(D4+D$30),0)</f>
        <v>0</v>
      </c>
      <c r="F4" s="17">
        <f>IF((D4+D$30)&lt;&gt;0,$M$21*D4/(D4+D$30),0)</f>
        <v>0</v>
      </c>
      <c r="G4" s="16"/>
      <c r="H4" s="16"/>
      <c r="I4" s="16"/>
      <c r="J4" s="16"/>
      <c r="K4" s="16"/>
      <c r="L4" s="45" t="s">
        <v>446</v>
      </c>
      <c r="M4" s="87">
        <v>0.14770521805468251</v>
      </c>
      <c r="N4" s="16"/>
      <c r="O4" s="57">
        <v>1</v>
      </c>
      <c r="P4" s="57">
        <v>1</v>
      </c>
      <c r="Q4" s="57">
        <v>1</v>
      </c>
      <c r="R4" s="57">
        <v>1</v>
      </c>
      <c r="S4" s="57">
        <v>1</v>
      </c>
      <c r="T4" s="57">
        <v>1</v>
      </c>
      <c r="U4" s="57" t="s">
        <v>81</v>
      </c>
      <c r="V4" s="16"/>
      <c r="W4" s="16"/>
      <c r="X4" s="16"/>
      <c r="Y4" s="16"/>
      <c r="Z4" s="16"/>
      <c r="AA4" s="16"/>
      <c r="AB4" s="16"/>
      <c r="AC4" s="16"/>
      <c r="AD4" s="16"/>
    </row>
    <row r="5" spans="1:30" ht="12" customHeight="1" x14ac:dyDescent="0.2">
      <c r="A5" s="120"/>
      <c r="B5" s="120"/>
      <c r="C5" s="32" t="s">
        <v>403</v>
      </c>
      <c r="D5" s="17">
        <v>0</v>
      </c>
      <c r="E5" s="17"/>
      <c r="F5" s="17"/>
      <c r="G5" s="16"/>
      <c r="H5" s="16"/>
      <c r="I5" s="16"/>
      <c r="J5" s="16"/>
      <c r="K5" s="16"/>
      <c r="L5" s="45" t="s">
        <v>447</v>
      </c>
      <c r="M5" s="87">
        <v>1E-14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</row>
    <row r="6" spans="1:30" ht="12" customHeight="1" x14ac:dyDescent="0.2">
      <c r="A6" s="120"/>
      <c r="B6" s="120"/>
      <c r="C6" s="32" t="s">
        <v>404</v>
      </c>
      <c r="D6" s="17">
        <v>0</v>
      </c>
      <c r="E6" s="17">
        <v>0</v>
      </c>
      <c r="F6" s="17">
        <v>0</v>
      </c>
      <c r="G6" s="16"/>
      <c r="H6" s="16"/>
      <c r="I6" s="16"/>
      <c r="J6" s="16"/>
      <c r="K6" s="16"/>
      <c r="L6" s="45" t="s">
        <v>448</v>
      </c>
      <c r="M6" s="87">
        <v>0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</row>
    <row r="7" spans="1:30" ht="12" customHeight="1" x14ac:dyDescent="0.2">
      <c r="A7" s="120"/>
      <c r="B7" s="120"/>
      <c r="C7" s="32" t="s">
        <v>405</v>
      </c>
      <c r="D7" s="17">
        <v>14054948.943829997</v>
      </c>
      <c r="E7" s="17">
        <v>-520176.23269056814</v>
      </c>
      <c r="F7" s="17">
        <v>0</v>
      </c>
      <c r="G7" s="16"/>
      <c r="H7" s="16"/>
      <c r="I7" s="16"/>
      <c r="J7" s="16"/>
      <c r="K7" s="16"/>
      <c r="L7" s="45" t="s">
        <v>449</v>
      </c>
      <c r="M7" s="45">
        <f>M8+M9+M10+M11</f>
        <v>24237.872732845368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</row>
    <row r="8" spans="1:30" ht="12" customHeight="1" x14ac:dyDescent="0.2">
      <c r="A8" s="120"/>
      <c r="B8" s="120"/>
      <c r="C8" s="32" t="s">
        <v>406</v>
      </c>
      <c r="D8" s="17">
        <v>2530922.6024099994</v>
      </c>
      <c r="E8" s="17">
        <v>-87124.034373721021</v>
      </c>
      <c r="F8" s="17">
        <v>0</v>
      </c>
      <c r="G8" s="16"/>
      <c r="H8" s="16"/>
      <c r="I8" s="16"/>
      <c r="J8" s="16"/>
      <c r="K8" s="16"/>
      <c r="L8" s="88" t="s">
        <v>450</v>
      </c>
      <c r="M8" s="45">
        <v>24237.872732845368</v>
      </c>
      <c r="N8" s="16"/>
      <c r="O8" s="45" t="s">
        <v>483</v>
      </c>
      <c r="P8" s="57">
        <v>0</v>
      </c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</row>
    <row r="9" spans="1:30" ht="12" customHeight="1" x14ac:dyDescent="0.2">
      <c r="A9" s="120"/>
      <c r="B9" s="120"/>
      <c r="C9" s="32" t="s">
        <v>407</v>
      </c>
      <c r="D9" s="17"/>
      <c r="E9" s="17"/>
      <c r="F9" s="17"/>
      <c r="G9" s="16"/>
      <c r="H9" s="16"/>
      <c r="I9" s="16"/>
      <c r="J9" s="16"/>
      <c r="K9" s="16"/>
      <c r="L9" s="89" t="s">
        <v>451</v>
      </c>
      <c r="M9" s="45">
        <v>0</v>
      </c>
      <c r="N9" s="16"/>
      <c r="O9" s="45" t="s">
        <v>970</v>
      </c>
      <c r="P9" s="57">
        <f>SUM(Mercado_Receita!$J$2:$J$693)</f>
        <v>647020</v>
      </c>
      <c r="Q9" s="57">
        <v>647020</v>
      </c>
      <c r="R9" s="57" t="str">
        <f>IF(ABS(P9-Q9)&gt;1,"ERRO BADNET","OK BADNET")</f>
        <v>OK BADNET</v>
      </c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</row>
    <row r="10" spans="1:30" ht="12" customHeight="1" x14ac:dyDescent="0.2">
      <c r="A10" s="120"/>
      <c r="B10" s="121"/>
      <c r="C10" s="32" t="s">
        <v>408</v>
      </c>
      <c r="D10" s="17">
        <f>SUM(D$2:D9)</f>
        <v>16854114.989022579</v>
      </c>
      <c r="E10" s="17">
        <f>SUM(E$2:E9)</f>
        <v>-620658.85161272541</v>
      </c>
      <c r="F10" s="17">
        <f>SUM(F$2:F9)</f>
        <v>0</v>
      </c>
      <c r="G10" s="16"/>
      <c r="H10" s="16"/>
      <c r="I10" s="16"/>
      <c r="J10" s="16"/>
      <c r="K10" s="16"/>
      <c r="L10" s="88" t="s">
        <v>452</v>
      </c>
      <c r="M10" s="45">
        <v>0</v>
      </c>
      <c r="N10" s="16"/>
      <c r="O10" s="45" t="s">
        <v>971</v>
      </c>
      <c r="P10" s="57">
        <f>SUM(Mercado_Receita!$L$2:$L$693)</f>
        <v>179213.44900000017</v>
      </c>
      <c r="Q10" s="57">
        <v>179213.44899999999</v>
      </c>
      <c r="R10" s="57" t="str">
        <f>IF(ABS(P10-Q10)&gt;1,"ERRO BADNET","OK BADNET")</f>
        <v>OK BADNET</v>
      </c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</row>
    <row r="11" spans="1:30" ht="12" customHeight="1" x14ac:dyDescent="0.2">
      <c r="A11" s="120"/>
      <c r="B11" s="119" t="s">
        <v>409</v>
      </c>
      <c r="C11" s="32" t="s">
        <v>410</v>
      </c>
      <c r="D11" s="17">
        <v>0</v>
      </c>
      <c r="E11" s="17">
        <v>0</v>
      </c>
      <c r="F11" s="17">
        <f>IF((+$D$11+$D$12+$D$16+$D$17+$D$38)&lt;&gt;0,$M$19*$D$11/(+$D$11+$D$12+$D$16+$D$17+$D$38),0)</f>
        <v>0</v>
      </c>
      <c r="G11" s="16"/>
      <c r="H11" s="16"/>
      <c r="I11" s="16"/>
      <c r="J11" s="16"/>
      <c r="K11" s="16"/>
      <c r="L11" s="88" t="s">
        <v>453</v>
      </c>
      <c r="M11" s="45">
        <v>0</v>
      </c>
      <c r="N11" s="16"/>
      <c r="O11" s="45" t="s">
        <v>972</v>
      </c>
      <c r="P11" s="57">
        <f>SUM(Mercado_Receita!$N$2:$N$693)</f>
        <v>168738.8210000002</v>
      </c>
      <c r="Q11" s="57">
        <v>168738.821</v>
      </c>
      <c r="R11" s="57" t="str">
        <f>IF(ABS(P11-Q11)&gt;1,"ERRO BADNET","OK BADNET")</f>
        <v>OK BADNET</v>
      </c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</row>
    <row r="12" spans="1:30" ht="12" customHeight="1" x14ac:dyDescent="0.2">
      <c r="A12" s="120"/>
      <c r="B12" s="120"/>
      <c r="C12" s="32" t="s">
        <v>411</v>
      </c>
      <c r="D12" s="17">
        <v>0</v>
      </c>
      <c r="E12" s="17">
        <v>0</v>
      </c>
      <c r="F12" s="17">
        <f>IF((+$D$11+$D$12+$D$16+$D$17+$D$38)&lt;&gt;0,$M$19*$D$12/(+$D$11+$D$12+$D$16+$D$17+$D$38),0)</f>
        <v>0</v>
      </c>
      <c r="G12" s="16"/>
      <c r="H12" s="16"/>
      <c r="I12" s="16"/>
      <c r="J12" s="16"/>
      <c r="K12" s="16"/>
      <c r="L12" s="45" t="s">
        <v>454</v>
      </c>
      <c r="M12" s="45">
        <v>192976.69373284531</v>
      </c>
      <c r="N12" s="16"/>
      <c r="O12" s="45" t="s">
        <v>973</v>
      </c>
      <c r="P12" s="57">
        <f>SUMIF('MERCADO TUSD'!$H$2:$H$48,"kW",'MERCADO TUSD'!$U$2:$U$48)</f>
        <v>647020</v>
      </c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</row>
    <row r="13" spans="1:30" ht="12" customHeight="1" x14ac:dyDescent="0.2">
      <c r="A13" s="120"/>
      <c r="B13" s="120"/>
      <c r="C13" s="32" t="s">
        <v>412</v>
      </c>
      <c r="D13" s="17">
        <f>-$M$51+0</f>
        <v>0</v>
      </c>
      <c r="E13" s="17"/>
      <c r="F13" s="17"/>
      <c r="G13" s="16"/>
      <c r="H13" s="16"/>
      <c r="I13" s="16"/>
      <c r="J13" s="16"/>
      <c r="K13" s="16"/>
      <c r="L13" s="45" t="s">
        <v>455</v>
      </c>
      <c r="M13" s="45">
        <v>3369.956113736851</v>
      </c>
      <c r="N13" s="16"/>
      <c r="O13" s="45" t="s">
        <v>974</v>
      </c>
      <c r="P13" s="57">
        <f>SUMIF('MERCADO TUSD'!$H$2:$H$48,"MWh",'MERCADO TUSD'!$U$2:$U$48)</f>
        <v>179213.44899999996</v>
      </c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</row>
    <row r="14" spans="1:30" ht="12" customHeight="1" x14ac:dyDescent="0.2">
      <c r="A14" s="120"/>
      <c r="B14" s="120"/>
      <c r="C14" s="32" t="s">
        <v>413</v>
      </c>
      <c r="D14" s="17"/>
      <c r="E14" s="17"/>
      <c r="F14" s="17"/>
      <c r="G14" s="16"/>
      <c r="H14" s="16"/>
      <c r="I14" s="16"/>
      <c r="J14" s="16"/>
      <c r="K14" s="16"/>
      <c r="L14" s="45" t="s">
        <v>456</v>
      </c>
      <c r="M14" s="45">
        <v>182.09561355316563</v>
      </c>
      <c r="N14" s="16"/>
      <c r="O14" s="45" t="s">
        <v>975</v>
      </c>
      <c r="P14" s="57">
        <f>SUMIF('MERCADO TE'!$H$2:$H$38,"MWh",'MERCADO TE'!$U$2:$U$38)</f>
        <v>168738.821</v>
      </c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</row>
    <row r="15" spans="1:30" ht="12" customHeight="1" x14ac:dyDescent="0.2">
      <c r="A15" s="120"/>
      <c r="B15" s="120"/>
      <c r="C15" s="32" t="s">
        <v>414</v>
      </c>
      <c r="D15" s="17">
        <v>21824003.3997114</v>
      </c>
      <c r="E15" s="17">
        <v>16131.736745447153</v>
      </c>
      <c r="F15" s="17">
        <v>0</v>
      </c>
      <c r="G15" s="16"/>
      <c r="H15" s="16"/>
      <c r="I15" s="16"/>
      <c r="J15" s="16"/>
      <c r="K15" s="16"/>
      <c r="L15" s="45" t="s">
        <v>457</v>
      </c>
      <c r="M15" s="45">
        <f>M14*M12</f>
        <v>35140209.446743801</v>
      </c>
      <c r="N15" s="16"/>
      <c r="O15" s="45" t="s">
        <v>976</v>
      </c>
      <c r="P15" s="57" t="str">
        <f>IF(ABS(P9-P12)&gt;1,"ERRO","OK")</f>
        <v>OK</v>
      </c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</row>
    <row r="16" spans="1:30" ht="12" customHeight="1" x14ac:dyDescent="0.2">
      <c r="A16" s="120"/>
      <c r="B16" s="120"/>
      <c r="C16" s="32" t="s">
        <v>415</v>
      </c>
      <c r="D16" s="17">
        <v>0</v>
      </c>
      <c r="E16" s="17"/>
      <c r="F16" s="17">
        <f>IF((+$D$11+$D$12+$D$16+$D$17+$D$38)&lt;&gt;0,$M$19*$D$16/(+$D$11+$D$12+$D$16+$D$17+$D$38),0)</f>
        <v>0</v>
      </c>
      <c r="G16" s="16"/>
      <c r="H16" s="16"/>
      <c r="I16" s="16"/>
      <c r="J16" s="16"/>
      <c r="K16" s="16"/>
      <c r="L16" s="45" t="s">
        <v>458</v>
      </c>
      <c r="M16" s="45">
        <v>3898545.9742860943</v>
      </c>
      <c r="N16" s="16"/>
      <c r="O16" s="45" t="s">
        <v>977</v>
      </c>
      <c r="P16" s="57" t="str">
        <f>IF(ABS(P10-P13)&gt;1,"ERRO","OK")</f>
        <v>OK</v>
      </c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</row>
    <row r="17" spans="1:30" ht="12" customHeight="1" x14ac:dyDescent="0.2">
      <c r="A17" s="120"/>
      <c r="B17" s="120"/>
      <c r="C17" s="32" t="s">
        <v>416</v>
      </c>
      <c r="D17" s="17">
        <v>0</v>
      </c>
      <c r="E17" s="17"/>
      <c r="F17" s="17">
        <f>IF((+$D$11+$D$12+$D$16+$D$17+$D$38)&lt;&gt;0,$M$19*$D$17/(+$D$11+$D$12+$D$16+$D$17+$D$38),0)</f>
        <v>0</v>
      </c>
      <c r="G17" s="16"/>
      <c r="H17" s="16"/>
      <c r="I17" s="16"/>
      <c r="J17" s="16"/>
      <c r="K17" s="16"/>
      <c r="L17" s="45" t="s">
        <v>459</v>
      </c>
      <c r="M17" s="45">
        <v>0</v>
      </c>
      <c r="N17" s="16"/>
      <c r="O17" s="45" t="s">
        <v>978</v>
      </c>
      <c r="P17" s="57" t="str">
        <f>IF(ABS(P11-P14)&gt;1,"ERRO","OK")</f>
        <v>OK</v>
      </c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</row>
    <row r="18" spans="1:30" ht="12" customHeight="1" x14ac:dyDescent="0.2">
      <c r="A18" s="120"/>
      <c r="B18" s="121"/>
      <c r="C18" s="32" t="s">
        <v>408</v>
      </c>
      <c r="D18" s="17">
        <f>SUM(D$11:D17)</f>
        <v>21824003.3997114</v>
      </c>
      <c r="E18" s="17">
        <f>SUM(E$11:E17)</f>
        <v>16131.736745447153</v>
      </c>
      <c r="F18" s="17">
        <f>SUM(F$11:F17)</f>
        <v>0</v>
      </c>
      <c r="G18" s="16"/>
      <c r="H18" s="16"/>
      <c r="I18" s="16"/>
      <c r="J18" s="16"/>
      <c r="K18" s="16"/>
      <c r="L18" s="45" t="s">
        <v>460</v>
      </c>
      <c r="M18" s="45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</row>
    <row r="19" spans="1:30" ht="12" customHeight="1" x14ac:dyDescent="0.2">
      <c r="A19" s="120"/>
      <c r="B19" s="119" t="s">
        <v>417</v>
      </c>
      <c r="C19" s="32" t="s">
        <v>418</v>
      </c>
      <c r="D19" s="17">
        <v>52758480.06437514</v>
      </c>
      <c r="E19" s="17">
        <v>-20920469.666595757</v>
      </c>
      <c r="F19" s="17">
        <v>0</v>
      </c>
      <c r="G19" s="16"/>
      <c r="H19" s="16"/>
      <c r="I19" s="16"/>
      <c r="J19" s="16"/>
      <c r="K19" s="16"/>
      <c r="L19" s="45" t="s">
        <v>461</v>
      </c>
      <c r="M19" s="45">
        <v>0</v>
      </c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</row>
    <row r="20" spans="1:30" ht="12" customHeight="1" x14ac:dyDescent="0.2">
      <c r="A20" s="120"/>
      <c r="B20" s="121"/>
      <c r="C20" s="32" t="s">
        <v>408</v>
      </c>
      <c r="D20" s="17">
        <f>SUM(D$19:D19)</f>
        <v>52758480.06437514</v>
      </c>
      <c r="E20" s="17">
        <f>SUM(E$19:E19)</f>
        <v>-20920469.666595757</v>
      </c>
      <c r="F20" s="17">
        <f>SUM(F$19:F19)</f>
        <v>0</v>
      </c>
      <c r="G20" s="16"/>
      <c r="H20" s="16"/>
      <c r="I20" s="16"/>
      <c r="J20" s="16"/>
      <c r="K20" s="16"/>
      <c r="L20" s="45" t="s">
        <v>462</v>
      </c>
      <c r="M20" s="45">
        <v>0</v>
      </c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</row>
    <row r="21" spans="1:30" ht="12" customHeight="1" x14ac:dyDescent="0.2">
      <c r="A21" s="120"/>
      <c r="B21" s="119" t="s">
        <v>419</v>
      </c>
      <c r="C21" s="32" t="s">
        <v>420</v>
      </c>
      <c r="D21" s="17"/>
      <c r="E21" s="17">
        <f>IF($D$46&lt;&gt;0,(1-$D$45/$D$46)*-1200000,0)+2391122.95616521</f>
        <v>1501347.3773171748</v>
      </c>
      <c r="F21" s="17"/>
      <c r="G21" s="16"/>
      <c r="H21" s="16"/>
      <c r="I21" s="16"/>
      <c r="J21" s="16"/>
      <c r="K21" s="16"/>
      <c r="L21" s="45" t="s">
        <v>463</v>
      </c>
      <c r="M21" s="45">
        <v>0</v>
      </c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</row>
    <row r="22" spans="1:30" ht="12" customHeight="1" x14ac:dyDescent="0.2">
      <c r="A22" s="120"/>
      <c r="B22" s="120"/>
      <c r="C22" s="32" t="s">
        <v>421</v>
      </c>
      <c r="D22" s="17"/>
      <c r="E22" s="17"/>
      <c r="F22" s="17"/>
      <c r="G22" s="16"/>
      <c r="H22" s="16"/>
      <c r="I22" s="16"/>
      <c r="J22" s="16"/>
      <c r="K22" s="16"/>
      <c r="L22" s="45" t="s">
        <v>485</v>
      </c>
      <c r="M22" s="45">
        <v>0</v>
      </c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</row>
    <row r="23" spans="1:30" ht="12" customHeight="1" x14ac:dyDescent="0.2">
      <c r="A23" s="120"/>
      <c r="B23" s="121"/>
      <c r="C23" s="32" t="s">
        <v>408</v>
      </c>
      <c r="D23" s="17">
        <f>SUM(D$21:D22)</f>
        <v>0</v>
      </c>
      <c r="E23" s="17">
        <f>SUM(E$21:E22)</f>
        <v>1501347.3773171748</v>
      </c>
      <c r="F23" s="17">
        <f>SUM(F$21:F22)</f>
        <v>0</v>
      </c>
      <c r="G23" s="16"/>
      <c r="H23" s="16"/>
      <c r="I23" s="16"/>
      <c r="J23" s="16"/>
      <c r="K23" s="16"/>
      <c r="L23" s="45" t="s">
        <v>464</v>
      </c>
      <c r="M23" s="45">
        <v>13</v>
      </c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</row>
    <row r="24" spans="1:30" ht="12" customHeight="1" x14ac:dyDescent="0.2">
      <c r="A24" s="120"/>
      <c r="B24" s="119" t="s">
        <v>422</v>
      </c>
      <c r="C24" s="32" t="s">
        <v>423</v>
      </c>
      <c r="D24" s="17">
        <f>$M$14*$M$8</f>
        <v>4413610.3065110203</v>
      </c>
      <c r="E24" s="17">
        <f>$M$16*$M$8/$M$12</f>
        <v>489657.37437033339</v>
      </c>
      <c r="F24" s="17">
        <f>$M$17*$M$8/$M$12</f>
        <v>0</v>
      </c>
      <c r="G24" s="16"/>
      <c r="H24" s="16"/>
      <c r="I24" s="16"/>
      <c r="J24" s="16"/>
      <c r="K24" s="16"/>
      <c r="L24" s="45" t="s">
        <v>465</v>
      </c>
      <c r="M24" s="45">
        <v>0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</row>
    <row r="25" spans="1:30" ht="12" customHeight="1" x14ac:dyDescent="0.2">
      <c r="A25" s="120"/>
      <c r="B25" s="120"/>
      <c r="C25" s="32" t="s">
        <v>424</v>
      </c>
      <c r="D25" s="17">
        <f>$M$14*$M$10</f>
        <v>0</v>
      </c>
      <c r="E25" s="17">
        <f>$M$16*$M$10/$M$12</f>
        <v>0</v>
      </c>
      <c r="F25" s="17">
        <f>$M$17*$M$10/$M$12</f>
        <v>0</v>
      </c>
      <c r="G25" s="16"/>
      <c r="H25" s="16"/>
      <c r="I25" s="16"/>
      <c r="J25" s="16"/>
      <c r="K25" s="16"/>
      <c r="L25" s="45" t="s">
        <v>466</v>
      </c>
      <c r="M25" s="45">
        <v>0</v>
      </c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</row>
    <row r="26" spans="1:30" ht="12" customHeight="1" x14ac:dyDescent="0.2">
      <c r="A26" s="120"/>
      <c r="B26" s="120"/>
      <c r="C26" s="32" t="s">
        <v>425</v>
      </c>
      <c r="D26" s="17">
        <f>$M$14*$M$9</f>
        <v>0</v>
      </c>
      <c r="E26" s="17">
        <f>$M$16*$M$9/$M$12</f>
        <v>0</v>
      </c>
      <c r="F26" s="17">
        <f>$M$17*$M$9/$M$12</f>
        <v>0</v>
      </c>
      <c r="G26" s="16"/>
      <c r="H26" s="16"/>
      <c r="I26" s="16"/>
      <c r="J26" s="16"/>
      <c r="K26" s="16"/>
      <c r="L26" s="45" t="s">
        <v>467</v>
      </c>
      <c r="M26" s="45">
        <v>0</v>
      </c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</row>
    <row r="27" spans="1:30" ht="12" customHeight="1" x14ac:dyDescent="0.2">
      <c r="A27" s="120"/>
      <c r="B27" s="120"/>
      <c r="C27" s="32" t="s">
        <v>426</v>
      </c>
      <c r="D27" s="17"/>
      <c r="E27" s="17"/>
      <c r="F27" s="17"/>
      <c r="G27" s="16"/>
      <c r="H27" s="16"/>
      <c r="I27" s="16"/>
      <c r="J27" s="16"/>
      <c r="K27" s="16"/>
      <c r="L27" s="45" t="s">
        <v>468</v>
      </c>
      <c r="M27" s="45">
        <v>0</v>
      </c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</row>
    <row r="28" spans="1:30" ht="12" customHeight="1" x14ac:dyDescent="0.2">
      <c r="A28" s="120"/>
      <c r="B28" s="121"/>
      <c r="C28" s="32" t="s">
        <v>408</v>
      </c>
      <c r="D28" s="17">
        <f>SUM(D$24:D27)</f>
        <v>4413610.3065110203</v>
      </c>
      <c r="E28" s="17">
        <f>SUM(E$24:E27)</f>
        <v>489657.37437033339</v>
      </c>
      <c r="F28" s="17">
        <f>SUM(F$24:F27)</f>
        <v>0</v>
      </c>
      <c r="G28" s="16"/>
      <c r="H28" s="16"/>
      <c r="I28" s="16"/>
      <c r="J28" s="16"/>
      <c r="K28" s="16"/>
      <c r="L28" s="45" t="s">
        <v>469</v>
      </c>
      <c r="M28" s="45">
        <v>0</v>
      </c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</row>
    <row r="29" spans="1:30" ht="12" customHeight="1" x14ac:dyDescent="0.2">
      <c r="A29" s="121"/>
      <c r="B29" s="122" t="s">
        <v>408</v>
      </c>
      <c r="C29" s="123"/>
      <c r="D29" s="17">
        <f>SUMIF(C$2:C28,"SUBTOTAL",D$2:D28)</f>
        <v>95850208.75962013</v>
      </c>
      <c r="E29" s="17">
        <f>SUMIF(C$2:C28,"SUBTOTAL",E$2:E28)</f>
        <v>-19533992.029775526</v>
      </c>
      <c r="F29" s="17">
        <f>SUMIF(C$2:C28,"SUBTOTAL",F$2:F28)</f>
        <v>0</v>
      </c>
      <c r="G29" s="16"/>
      <c r="H29" s="16"/>
      <c r="I29" s="16"/>
      <c r="J29" s="16"/>
      <c r="K29" s="16"/>
      <c r="L29" s="45" t="s">
        <v>470</v>
      </c>
      <c r="M29" s="45">
        <v>0</v>
      </c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</row>
    <row r="30" spans="1:30" ht="12" customHeight="1" x14ac:dyDescent="0.2">
      <c r="A30" s="119" t="s">
        <v>427</v>
      </c>
      <c r="B30" s="119" t="s">
        <v>400</v>
      </c>
      <c r="C30" s="32" t="s">
        <v>402</v>
      </c>
      <c r="D30" s="17">
        <f>IFERROR($M$5*(+D$31+D$32+D$33+D$35+D$37+D$38+D$39+D$43)+($M$5^2)*(+D$31+D$32+D$33+D$35+D$37+D$38+D$39+D$43)/$M$22*(+$E$2+$F$2+$E$3+$F$3+$E$8+$F$8+$E$9+$F$9+$E$11+$F$11+$E$12+$F$12+$E$13+$F$13+$E$14+$F$14+$E$15+$F$15+$E$16+$F$16+$E$17+$F$17+$E$19+$F$19+$E$22+$F$22+$E$24+$F$24+$E$25+$F$25+$E$26+$F$26+$E$27+$F$27+$E$31+$F$31+$E$32+$F$32+$E$33+$F$33+$E$35+$F$35+$E$37+$F$37+$E$38+$F$38+$E$39+$F$39+$E$43+$F$43),0)</f>
        <v>0</v>
      </c>
      <c r="E30" s="17">
        <f>IF((D30+D$4)&lt;&gt;0,$M$20*D30/(D30+D$4),0)</f>
        <v>0</v>
      </c>
      <c r="F30" s="17">
        <f>IF((D30+D$4)&lt;&gt;0,$M$21*D30/(D30+D$4),0)</f>
        <v>0</v>
      </c>
      <c r="G30" s="16"/>
      <c r="H30" s="16"/>
      <c r="I30" s="16"/>
      <c r="J30" s="16"/>
      <c r="K30" s="16"/>
      <c r="L30" s="45" t="s">
        <v>471</v>
      </c>
      <c r="M30" s="45">
        <v>0</v>
      </c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</row>
    <row r="31" spans="1:30" ht="12" customHeight="1" x14ac:dyDescent="0.2">
      <c r="A31" s="120"/>
      <c r="B31" s="120"/>
      <c r="C31" s="32" t="s">
        <v>428</v>
      </c>
      <c r="D31" s="17">
        <v>2692024.8775731921</v>
      </c>
      <c r="E31" s="17">
        <v>0</v>
      </c>
      <c r="F31" s="17">
        <v>0</v>
      </c>
      <c r="G31" s="16"/>
      <c r="H31" s="16"/>
      <c r="I31" s="16"/>
      <c r="J31" s="16"/>
      <c r="K31" s="16"/>
      <c r="L31" s="45" t="s">
        <v>472</v>
      </c>
      <c r="M31" s="45">
        <v>0</v>
      </c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</row>
    <row r="32" spans="1:30" ht="12" customHeight="1" x14ac:dyDescent="0.2">
      <c r="A32" s="120"/>
      <c r="B32" s="120"/>
      <c r="C32" s="32" t="s">
        <v>429</v>
      </c>
      <c r="D32" s="17">
        <v>0</v>
      </c>
      <c r="E32" s="17">
        <v>0</v>
      </c>
      <c r="F32" s="17">
        <v>0</v>
      </c>
      <c r="G32" s="16"/>
      <c r="H32" s="16"/>
      <c r="I32" s="16"/>
      <c r="J32" s="16"/>
      <c r="K32" s="16"/>
      <c r="L32" s="45" t="s">
        <v>473</v>
      </c>
      <c r="M32" s="45">
        <v>0.45</v>
      </c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</row>
    <row r="33" spans="1:30" ht="12" customHeight="1" x14ac:dyDescent="0.2">
      <c r="A33" s="120"/>
      <c r="B33" s="120"/>
      <c r="C33" s="32" t="s">
        <v>487</v>
      </c>
      <c r="D33" s="17"/>
      <c r="E33" s="17">
        <v>0</v>
      </c>
      <c r="F33" s="17">
        <v>0</v>
      </c>
      <c r="G33" s="16"/>
      <c r="H33" s="16"/>
      <c r="I33" s="16"/>
      <c r="J33" s="16"/>
      <c r="K33" s="16"/>
      <c r="L33" s="45" t="s">
        <v>474</v>
      </c>
      <c r="M33" s="45">
        <v>0.4</v>
      </c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</row>
    <row r="34" spans="1:30" ht="12" customHeight="1" x14ac:dyDescent="0.2">
      <c r="A34" s="120"/>
      <c r="B34" s="121"/>
      <c r="C34" s="32" t="s">
        <v>408</v>
      </c>
      <c r="D34" s="17">
        <f>SUM(D$30:D33)</f>
        <v>2692024.8775731921</v>
      </c>
      <c r="E34" s="17">
        <f>SUM(E$30:E33)</f>
        <v>0</v>
      </c>
      <c r="F34" s="17">
        <f>SUM(F$30:F33)</f>
        <v>0</v>
      </c>
      <c r="G34" s="16"/>
      <c r="H34" s="16"/>
      <c r="I34" s="16"/>
      <c r="J34" s="16"/>
      <c r="K34" s="16"/>
      <c r="L34" s="45" t="s">
        <v>475</v>
      </c>
      <c r="M34" s="45">
        <v>0.65</v>
      </c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</row>
    <row r="35" spans="1:30" ht="12" customHeight="1" x14ac:dyDescent="0.2">
      <c r="A35" s="120"/>
      <c r="B35" s="119" t="s">
        <v>430</v>
      </c>
      <c r="C35" s="32" t="s">
        <v>431</v>
      </c>
      <c r="D35" s="17">
        <f>$M$14*($M$12-$M$7)</f>
        <v>30726599.140232779</v>
      </c>
      <c r="E35" s="17">
        <f>$M$16*($M$12-$M$7)/$M$12</f>
        <v>3408888.599915761</v>
      </c>
      <c r="F35" s="17">
        <f>$M$17*($M$12-$M$7)/$M$12</f>
        <v>0</v>
      </c>
      <c r="G35" s="16"/>
      <c r="H35" s="16"/>
      <c r="I35" s="16"/>
      <c r="J35" s="16"/>
      <c r="K35" s="16"/>
      <c r="L35" s="45" t="s">
        <v>476</v>
      </c>
      <c r="M35" s="45">
        <v>0.4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</row>
    <row r="36" spans="1:30" ht="12" customHeight="1" x14ac:dyDescent="0.2">
      <c r="A36" s="120"/>
      <c r="B36" s="121"/>
      <c r="C36" s="32" t="s">
        <v>408</v>
      </c>
      <c r="D36" s="17">
        <f>SUM(D$35:D35)</f>
        <v>30726599.140232779</v>
      </c>
      <c r="E36" s="17">
        <f>SUM(E$35:E35)</f>
        <v>3408888.599915761</v>
      </c>
      <c r="F36" s="17">
        <f>SUM(F$35:F35)</f>
        <v>0</v>
      </c>
      <c r="G36" s="16"/>
      <c r="H36" s="16"/>
      <c r="I36" s="16"/>
      <c r="J36" s="16"/>
      <c r="K36" s="16"/>
      <c r="L36" s="45" t="s">
        <v>477</v>
      </c>
      <c r="M36" s="45">
        <v>0.1</v>
      </c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</row>
    <row r="37" spans="1:30" ht="12" customHeight="1" x14ac:dyDescent="0.2">
      <c r="A37" s="120"/>
      <c r="B37" s="119" t="s">
        <v>409</v>
      </c>
      <c r="C37" s="32" t="s">
        <v>432</v>
      </c>
      <c r="D37" s="17">
        <v>0</v>
      </c>
      <c r="E37" s="17">
        <v>0</v>
      </c>
      <c r="F37" s="17">
        <v>0</v>
      </c>
      <c r="G37" s="16"/>
      <c r="H37" s="16"/>
      <c r="I37" s="16"/>
      <c r="J37" s="16"/>
      <c r="K37" s="16"/>
      <c r="L37" s="45" t="s">
        <v>478</v>
      </c>
      <c r="M37" s="45">
        <v>0</v>
      </c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</row>
    <row r="38" spans="1:30" ht="12" customHeight="1" x14ac:dyDescent="0.2">
      <c r="A38" s="120"/>
      <c r="B38" s="120"/>
      <c r="C38" s="32" t="s">
        <v>433</v>
      </c>
      <c r="D38" s="17">
        <v>0</v>
      </c>
      <c r="E38" s="17">
        <v>0</v>
      </c>
      <c r="F38" s="17">
        <f>IF((+$D$11+$D$12+$D$16+$D$17+$D$38)&lt;&gt;0,$M$19*$D$38/(+$D$11+$D$12+$D$16+$D$17+$D$38),0)</f>
        <v>0</v>
      </c>
      <c r="G38" s="16"/>
      <c r="H38" s="16"/>
      <c r="I38" s="16"/>
      <c r="J38" s="16"/>
      <c r="K38" s="16"/>
      <c r="L38" s="45" t="s">
        <v>479</v>
      </c>
      <c r="M38" s="45">
        <f>IFERROR(VLOOKUP("Convencional1RuralNão se aplicaRURALB2",Descontos!B1:U88,VLOOKUP("Convencional1RuralNão se aplicaRURALB2",Descontos!B1:U88,20,FALSE)+12,FALSE),100)</f>
        <v>0.06</v>
      </c>
      <c r="N38" s="16" t="s">
        <v>990</v>
      </c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</row>
    <row r="39" spans="1:30" ht="12" customHeight="1" x14ac:dyDescent="0.2">
      <c r="A39" s="120"/>
      <c r="B39" s="120"/>
      <c r="C39" s="32" t="s">
        <v>434</v>
      </c>
      <c r="D39" s="17"/>
      <c r="E39" s="17"/>
      <c r="F39" s="17"/>
      <c r="G39" s="16"/>
      <c r="H39" s="16"/>
      <c r="I39" s="16"/>
      <c r="J39" s="16"/>
      <c r="K39" s="16"/>
      <c r="L39" s="45" t="s">
        <v>480</v>
      </c>
      <c r="M39" s="45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6">
        <v>0.3</v>
      </c>
      <c r="O39" s="16" t="s">
        <v>991</v>
      </c>
      <c r="P39" s="16" t="s">
        <v>992</v>
      </c>
      <c r="Q39" s="16" t="s">
        <v>993</v>
      </c>
      <c r="R39" s="16" t="s">
        <v>994</v>
      </c>
      <c r="S39" s="16" t="s">
        <v>1</v>
      </c>
      <c r="T39" s="16" t="s">
        <v>995</v>
      </c>
      <c r="U39" s="16"/>
      <c r="V39" s="16"/>
      <c r="W39" s="16"/>
      <c r="X39" s="16"/>
      <c r="Y39" s="16"/>
      <c r="Z39" s="16"/>
      <c r="AA39" s="16"/>
      <c r="AB39" s="16"/>
      <c r="AC39" s="16"/>
      <c r="AD39" s="16"/>
    </row>
    <row r="40" spans="1:30" ht="12" customHeight="1" x14ac:dyDescent="0.25">
      <c r="A40" s="120"/>
      <c r="B40" s="121"/>
      <c r="C40" s="32" t="s">
        <v>408</v>
      </c>
      <c r="D40" s="17">
        <f>SUM(D$37:D39)</f>
        <v>0</v>
      </c>
      <c r="E40" s="17">
        <f>SUM(E$37:E39)</f>
        <v>0</v>
      </c>
      <c r="F40" s="17">
        <f>SUM(F$37:F39)</f>
        <v>0</v>
      </c>
      <c r="G40" s="16"/>
      <c r="H40" s="16"/>
      <c r="I40" s="16"/>
      <c r="J40" s="16"/>
      <c r="K40" s="16"/>
      <c r="L40" s="45" t="s">
        <v>481</v>
      </c>
      <c r="M40" s="45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6">
        <v>0.4</v>
      </c>
      <c r="O40" s="63"/>
      <c r="P40" s="63"/>
      <c r="Q40" s="63"/>
      <c r="R40" s="63"/>
      <c r="S40" s="63"/>
      <c r="T40" s="63"/>
      <c r="U40" s="16"/>
      <c r="V40" s="16"/>
      <c r="W40" s="16"/>
      <c r="X40" s="16"/>
      <c r="Y40" s="16"/>
      <c r="Z40" s="16"/>
      <c r="AA40" s="16"/>
      <c r="AB40" s="16"/>
      <c r="AC40" s="16"/>
      <c r="AD40" s="16"/>
    </row>
    <row r="41" spans="1:30" ht="12" customHeight="1" x14ac:dyDescent="0.25">
      <c r="A41" s="120"/>
      <c r="B41" s="119" t="s">
        <v>419</v>
      </c>
      <c r="C41" s="32" t="s">
        <v>420</v>
      </c>
      <c r="D41" s="17"/>
      <c r="E41" s="17">
        <f>IF($D$46&lt;&gt;0,($D$45/$D$46)* -1200000,0)+0</f>
        <v>-310224.42115196493</v>
      </c>
      <c r="F41" s="17"/>
      <c r="G41" s="16"/>
      <c r="H41" s="16"/>
      <c r="I41" s="16"/>
      <c r="J41" s="16"/>
      <c r="K41" s="16"/>
      <c r="L41" s="16"/>
      <c r="M41" s="16"/>
      <c r="N41" s="16"/>
      <c r="O41" s="63"/>
      <c r="P41" s="63"/>
      <c r="Q41" s="63"/>
      <c r="R41" s="63"/>
      <c r="S41" s="63"/>
      <c r="T41" s="63"/>
      <c r="U41" s="16"/>
      <c r="V41" s="16"/>
      <c r="W41" s="16"/>
      <c r="X41" s="16"/>
      <c r="Y41" s="16"/>
      <c r="Z41" s="16"/>
      <c r="AA41" s="16"/>
      <c r="AB41" s="16"/>
      <c r="AC41" s="16"/>
      <c r="AD41" s="16"/>
    </row>
    <row r="42" spans="1:30" ht="12" customHeight="1" x14ac:dyDescent="0.25">
      <c r="A42" s="120"/>
      <c r="B42" s="121"/>
      <c r="C42" s="32" t="s">
        <v>408</v>
      </c>
      <c r="D42" s="17">
        <f>SUM(D$41:D41)</f>
        <v>0</v>
      </c>
      <c r="E42" s="17">
        <f>SUM(E$41:E41)</f>
        <v>-310224.42115196493</v>
      </c>
      <c r="F42" s="17">
        <f>SUM(F$41:F41)</f>
        <v>0</v>
      </c>
      <c r="G42" s="16"/>
      <c r="H42" s="16"/>
      <c r="I42" s="16"/>
      <c r="J42" s="16"/>
      <c r="K42" s="16"/>
      <c r="L42" s="16"/>
      <c r="M42" s="16"/>
      <c r="N42" s="16"/>
      <c r="O42" s="63"/>
      <c r="P42" s="63"/>
      <c r="Q42" s="63"/>
      <c r="R42" s="63"/>
      <c r="S42" s="63"/>
      <c r="T42" s="63"/>
      <c r="U42" s="16"/>
      <c r="V42" s="16"/>
      <c r="W42" s="16"/>
      <c r="X42" s="16"/>
      <c r="Y42" s="16"/>
      <c r="Z42" s="16"/>
      <c r="AA42" s="16"/>
      <c r="AB42" s="16"/>
      <c r="AC42" s="16"/>
      <c r="AD42" s="16"/>
    </row>
    <row r="43" spans="1:30" ht="12" customHeight="1" x14ac:dyDescent="0.25">
      <c r="A43" s="120"/>
      <c r="B43" s="119" t="s">
        <v>422</v>
      </c>
      <c r="C43" s="32" t="s">
        <v>435</v>
      </c>
      <c r="D43" s="17">
        <f>$M$14*$M$11</f>
        <v>0</v>
      </c>
      <c r="E43" s="17">
        <f>$M$16*$M$11/$M$12</f>
        <v>0</v>
      </c>
      <c r="F43" s="17">
        <f>$M$17*$M$11/$M$12</f>
        <v>0</v>
      </c>
      <c r="G43" s="16"/>
      <c r="H43" s="16"/>
      <c r="I43" s="16"/>
      <c r="J43" s="16"/>
      <c r="K43" s="16"/>
      <c r="L43" s="16"/>
      <c r="M43" s="16"/>
      <c r="N43" s="16"/>
      <c r="O43" s="63"/>
      <c r="P43" s="63"/>
      <c r="Q43" s="63"/>
      <c r="R43" s="63"/>
      <c r="S43" s="63"/>
      <c r="T43" s="63"/>
      <c r="U43" s="16"/>
      <c r="V43" s="16"/>
      <c r="W43" s="16"/>
      <c r="X43" s="16"/>
      <c r="Y43" s="16"/>
      <c r="Z43" s="16"/>
      <c r="AA43" s="16"/>
      <c r="AB43" s="16"/>
      <c r="AC43" s="16"/>
      <c r="AD43" s="16"/>
    </row>
    <row r="44" spans="1:30" ht="12" customHeight="1" x14ac:dyDescent="0.25">
      <c r="A44" s="120"/>
      <c r="B44" s="121"/>
      <c r="C44" s="32" t="s">
        <v>408</v>
      </c>
      <c r="D44" s="17">
        <f>SUM(D$43:D43)</f>
        <v>0</v>
      </c>
      <c r="E44" s="17">
        <f>SUM(E$43:E43)</f>
        <v>0</v>
      </c>
      <c r="F44" s="17">
        <f>SUM(F$43:F43)</f>
        <v>0</v>
      </c>
      <c r="G44" s="16"/>
      <c r="H44" s="16"/>
      <c r="I44" s="16"/>
      <c r="J44" s="16"/>
      <c r="K44" s="16"/>
      <c r="L44" s="16"/>
      <c r="M44" s="16"/>
      <c r="N44" s="16"/>
      <c r="O44" s="63"/>
      <c r="P44" s="63"/>
      <c r="Q44" s="63"/>
      <c r="R44" s="63"/>
      <c r="S44" s="63"/>
      <c r="T44" s="63"/>
      <c r="U44" s="16"/>
      <c r="V44" s="16"/>
      <c r="W44" s="16"/>
      <c r="X44" s="16"/>
      <c r="Y44" s="16"/>
      <c r="Z44" s="16"/>
      <c r="AA44" s="16"/>
      <c r="AB44" s="16"/>
      <c r="AC44" s="16"/>
      <c r="AD44" s="16"/>
    </row>
    <row r="45" spans="1:30" ht="12" customHeight="1" x14ac:dyDescent="0.25">
      <c r="A45" s="121"/>
      <c r="B45" s="122" t="s">
        <v>408</v>
      </c>
      <c r="C45" s="123"/>
      <c r="D45" s="17">
        <f>SUMIF(C$30:C44,"SUBTOTAL",D$30:D44)</f>
        <v>33418624.017805971</v>
      </c>
      <c r="E45" s="17">
        <f>SUMIF(C$30:C44,"SUBTOTAL",E$30:E44)</f>
        <v>3098664.1787637961</v>
      </c>
      <c r="F45" s="17">
        <f>SUMIF(C$30:C44,"SUBTOTAL",F$30:F44)</f>
        <v>0</v>
      </c>
      <c r="G45" s="16"/>
      <c r="H45" s="16"/>
      <c r="I45" s="16"/>
      <c r="J45" s="16"/>
      <c r="K45" s="16"/>
      <c r="L45" s="16"/>
      <c r="M45" s="16"/>
      <c r="N45" s="16"/>
      <c r="O45" s="63"/>
      <c r="P45" s="63"/>
      <c r="Q45" s="63"/>
      <c r="R45" s="63"/>
      <c r="S45" s="63"/>
      <c r="T45" s="63"/>
      <c r="U45" s="16"/>
      <c r="V45" s="16"/>
      <c r="W45" s="16"/>
      <c r="X45" s="16"/>
      <c r="Y45" s="16"/>
      <c r="Z45" s="16"/>
      <c r="AA45" s="16"/>
      <c r="AB45" s="16"/>
      <c r="AC45" s="16"/>
      <c r="AD45" s="16"/>
    </row>
    <row r="46" spans="1:30" ht="12" customHeight="1" x14ac:dyDescent="0.25">
      <c r="A46" s="122" t="s">
        <v>436</v>
      </c>
      <c r="B46" s="128"/>
      <c r="C46" s="123"/>
      <c r="D46" s="17">
        <f>SUMIF(C$2:C45,"SUBTOTAL",D$2:D45)</f>
        <v>129268832.77742609</v>
      </c>
      <c r="E46" s="17">
        <f>SUMIF(C$2:C45,"SUBTOTAL",E$2:E45)</f>
        <v>-16435327.851011731</v>
      </c>
      <c r="F46" s="17">
        <f>SUMIF(C$2:C45,"SUBTOTAL",F$2:F45)</f>
        <v>0</v>
      </c>
      <c r="G46" s="16"/>
      <c r="H46" s="16"/>
      <c r="I46" s="16"/>
      <c r="J46" s="16"/>
      <c r="K46" s="16"/>
      <c r="L46" s="16"/>
      <c r="M46" s="16"/>
      <c r="N46" s="16"/>
      <c r="O46" s="63"/>
      <c r="P46" s="63"/>
      <c r="Q46" s="63"/>
      <c r="R46" s="63"/>
      <c r="S46" s="63"/>
      <c r="T46" s="63"/>
      <c r="U46" s="16"/>
      <c r="V46" s="16"/>
      <c r="W46" s="16"/>
      <c r="X46" s="16"/>
      <c r="Y46" s="16"/>
      <c r="Z46" s="16"/>
      <c r="AA46" s="16"/>
      <c r="AB46" s="16"/>
      <c r="AC46" s="16"/>
      <c r="AD46" s="16"/>
    </row>
    <row r="47" spans="1:30" ht="12" customHeight="1" x14ac:dyDescent="0.25">
      <c r="A47" s="126" t="s">
        <v>986</v>
      </c>
      <c r="B47" s="127"/>
      <c r="C47" s="127"/>
      <c r="D47" s="54">
        <f ca="1">'TUSD BE'!$AM$53+'TUSD BE'!$AM$57+'TE BE'!$AA$43</f>
        <v>129268832.77742612</v>
      </c>
      <c r="E47" s="54">
        <f ca="1">'TUSD BF'!$AM$53+'TE BF'!$AA$43</f>
        <v>-16435327.851011727</v>
      </c>
      <c r="F47" s="54">
        <f ca="1">'TUSD CVA'!$AM$53+'TE CVA'!$AA$43</f>
        <v>0</v>
      </c>
      <c r="H47" s="83">
        <f ca="1">D47+E47</f>
        <v>112833504.9264144</v>
      </c>
      <c r="L47" s="9"/>
      <c r="M47" s="16"/>
      <c r="O47" s="63"/>
      <c r="P47" s="63"/>
      <c r="Q47" s="63"/>
      <c r="R47" s="63"/>
      <c r="S47" s="63"/>
      <c r="T47" s="63"/>
    </row>
    <row r="48" spans="1:30" ht="12" customHeight="1" x14ac:dyDescent="0.25">
      <c r="A48" s="126" t="s">
        <v>987</v>
      </c>
      <c r="B48" s="127"/>
      <c r="C48" s="127"/>
      <c r="D48" s="55" t="str">
        <f ca="1">IF(ABS(D47-D46)&gt;1,"ERRO","OK")</f>
        <v>OK</v>
      </c>
      <c r="E48" s="55" t="str">
        <f ca="1">IF(ABS(E47-E46)&gt;1,"ERRO","OK")</f>
        <v>OK</v>
      </c>
      <c r="F48" s="55" t="str">
        <f ca="1">IF(ABS(F47-F46)&gt;1,"ERRO","OK")</f>
        <v>OK</v>
      </c>
      <c r="H48" s="84">
        <v>112833504.92641439</v>
      </c>
      <c r="L48" s="101"/>
      <c r="M48" s="45"/>
      <c r="O48" s="63"/>
      <c r="P48" s="63"/>
      <c r="Q48" s="63"/>
      <c r="R48" s="63"/>
      <c r="S48" s="63"/>
      <c r="T48" s="63"/>
    </row>
    <row r="49" spans="8:20" ht="12" customHeight="1" x14ac:dyDescent="0.25">
      <c r="H49" s="85">
        <f ca="1">H47-H48</f>
        <v>0</v>
      </c>
      <c r="L49" s="101"/>
      <c r="M49" s="45"/>
      <c r="O49" s="63"/>
      <c r="P49" s="63"/>
      <c r="Q49" s="63"/>
      <c r="R49" s="63"/>
      <c r="S49" s="63"/>
      <c r="T49" s="63"/>
    </row>
    <row r="50" spans="8:20" ht="12" customHeight="1" x14ac:dyDescent="0.25">
      <c r="L50" s="101"/>
      <c r="M50" s="45"/>
      <c r="O50" s="63"/>
      <c r="P50" s="63"/>
      <c r="Q50" s="63"/>
      <c r="R50" s="63"/>
      <c r="S50" s="63"/>
      <c r="T50" s="63"/>
    </row>
    <row r="51" spans="8:20" ht="12" customHeight="1" x14ac:dyDescent="0.25">
      <c r="L51" s="68" t="s">
        <v>482</v>
      </c>
      <c r="M51" s="76">
        <v>0</v>
      </c>
      <c r="O51" s="63"/>
      <c r="P51" s="63"/>
      <c r="Q51" s="63"/>
      <c r="R51" s="63"/>
      <c r="S51" s="63"/>
      <c r="T51" s="63"/>
    </row>
    <row r="52" spans="8:20" ht="12" customHeight="1" x14ac:dyDescent="0.25">
      <c r="O52" s="63"/>
      <c r="P52" s="63"/>
      <c r="Q52" s="63"/>
      <c r="R52" s="63"/>
      <c r="S52" s="63"/>
      <c r="T52" s="63"/>
    </row>
    <row r="53" spans="8:20" ht="12" customHeight="1" x14ac:dyDescent="0.25">
      <c r="O53" s="63"/>
      <c r="P53" s="63"/>
      <c r="Q53" s="63"/>
      <c r="R53" s="63"/>
      <c r="S53" s="63"/>
      <c r="T53" s="63"/>
    </row>
    <row r="54" spans="8:20" ht="12" customHeight="1" x14ac:dyDescent="0.25">
      <c r="O54" s="63"/>
      <c r="P54" s="63"/>
      <c r="Q54" s="63"/>
      <c r="R54" s="63"/>
      <c r="S54" s="63"/>
      <c r="T54" s="63"/>
    </row>
    <row r="55" spans="8:20" ht="12" customHeight="1" x14ac:dyDescent="0.25">
      <c r="O55" s="63"/>
      <c r="P55" s="63"/>
      <c r="Q55" s="63"/>
      <c r="R55" s="63"/>
      <c r="S55" s="63"/>
      <c r="T55" s="63"/>
    </row>
    <row r="56" spans="8:20" ht="12" customHeight="1" x14ac:dyDescent="0.25">
      <c r="O56" s="63"/>
      <c r="P56" s="63"/>
      <c r="Q56" s="63"/>
      <c r="R56" s="63"/>
      <c r="S56" s="63"/>
      <c r="T56" s="63"/>
    </row>
    <row r="57" spans="8:20" ht="12" customHeight="1" x14ac:dyDescent="0.25">
      <c r="O57" s="63"/>
      <c r="P57" s="63"/>
      <c r="Q57" s="63"/>
      <c r="R57" s="63"/>
      <c r="S57" s="63"/>
      <c r="T57" s="63"/>
    </row>
    <row r="58" spans="8:20" ht="12" customHeight="1" x14ac:dyDescent="0.25">
      <c r="O58" s="63"/>
      <c r="P58" s="63"/>
      <c r="Q58" s="63"/>
      <c r="R58" s="63"/>
      <c r="S58" s="63"/>
      <c r="T58" s="63"/>
    </row>
    <row r="59" spans="8:20" ht="12" customHeight="1" x14ac:dyDescent="0.25">
      <c r="O59" s="63"/>
      <c r="P59" s="63"/>
      <c r="Q59" s="63"/>
      <c r="R59" s="63"/>
      <c r="S59" s="63"/>
      <c r="T59" s="63"/>
    </row>
    <row r="60" spans="8:20" ht="12" customHeight="1" x14ac:dyDescent="0.25">
      <c r="O60" s="63"/>
      <c r="P60" s="63"/>
      <c r="Q60" s="63"/>
      <c r="R60" s="63"/>
      <c r="S60" s="63"/>
      <c r="T60" s="63"/>
    </row>
    <row r="61" spans="8:20" ht="12" customHeight="1" x14ac:dyDescent="0.25">
      <c r="O61" s="63"/>
      <c r="P61" s="63"/>
      <c r="Q61" s="63"/>
      <c r="R61" s="63"/>
      <c r="S61" s="63"/>
      <c r="T61" s="63"/>
    </row>
    <row r="62" spans="8:20" ht="12" customHeight="1" x14ac:dyDescent="0.25">
      <c r="O62" s="63"/>
      <c r="P62" s="63"/>
      <c r="Q62" s="63"/>
      <c r="R62" s="63"/>
      <c r="S62" s="63"/>
      <c r="T62" s="63"/>
    </row>
    <row r="63" spans="8:20" ht="12" customHeight="1" x14ac:dyDescent="0.25">
      <c r="O63" s="63"/>
      <c r="P63" s="63"/>
      <c r="Q63" s="63"/>
      <c r="R63" s="63"/>
      <c r="S63" s="63"/>
      <c r="T63" s="63"/>
    </row>
    <row r="64" spans="8:20" ht="12" customHeight="1" x14ac:dyDescent="0.25">
      <c r="O64" s="63"/>
      <c r="P64" s="63"/>
      <c r="Q64" s="63"/>
      <c r="R64" s="63"/>
      <c r="S64" s="63"/>
      <c r="T64" s="63"/>
    </row>
    <row r="65" spans="15:20" ht="12" customHeight="1" x14ac:dyDescent="0.25">
      <c r="O65" s="63"/>
      <c r="P65" s="63"/>
      <c r="Q65" s="63"/>
      <c r="R65" s="63"/>
      <c r="S65" s="63"/>
      <c r="T65" s="63"/>
    </row>
    <row r="66" spans="15:20" ht="12" customHeight="1" x14ac:dyDescent="0.25">
      <c r="O66" s="63"/>
      <c r="P66" s="63"/>
      <c r="Q66" s="63"/>
      <c r="R66" s="63"/>
      <c r="S66" s="63"/>
      <c r="T66" s="63"/>
    </row>
    <row r="67" spans="15:20" ht="12" customHeight="1" x14ac:dyDescent="0.25">
      <c r="O67" s="63"/>
      <c r="P67" s="63"/>
      <c r="Q67" s="63"/>
      <c r="R67" s="63"/>
      <c r="S67" s="63"/>
      <c r="T67" s="63"/>
    </row>
    <row r="68" spans="15:20" ht="12" customHeight="1" x14ac:dyDescent="0.25">
      <c r="O68" s="63"/>
      <c r="P68" s="63"/>
      <c r="Q68" s="63"/>
      <c r="R68" s="63"/>
      <c r="S68" s="63"/>
      <c r="T68" s="63"/>
    </row>
    <row r="69" spans="15:20" ht="12" customHeight="1" x14ac:dyDescent="0.25">
      <c r="O69" s="63"/>
      <c r="P69" s="63"/>
      <c r="Q69" s="63"/>
      <c r="R69" s="63"/>
      <c r="S69" s="63"/>
      <c r="T69" s="63"/>
    </row>
    <row r="70" spans="15:20" ht="12" customHeight="1" x14ac:dyDescent="0.25">
      <c r="O70" s="63"/>
      <c r="P70" s="63"/>
      <c r="Q70" s="63"/>
      <c r="R70" s="63"/>
      <c r="S70" s="63"/>
      <c r="T70" s="63"/>
    </row>
    <row r="71" spans="15:20" ht="12" customHeight="1" x14ac:dyDescent="0.25">
      <c r="O71" s="63"/>
      <c r="P71" s="63"/>
      <c r="Q71" s="63"/>
      <c r="R71" s="63"/>
      <c r="S71" s="63"/>
      <c r="T71" s="63"/>
    </row>
    <row r="72" spans="15:20" ht="12" customHeight="1" x14ac:dyDescent="0.25">
      <c r="O72" s="63"/>
      <c r="P72" s="63"/>
      <c r="Q72" s="63"/>
      <c r="R72" s="63"/>
      <c r="S72" s="63"/>
      <c r="T72" s="63"/>
    </row>
    <row r="73" spans="15:20" ht="12" customHeight="1" x14ac:dyDescent="0.25">
      <c r="O73" s="63"/>
      <c r="P73" s="63"/>
      <c r="Q73" s="63"/>
      <c r="R73" s="63"/>
      <c r="S73" s="63"/>
      <c r="T73" s="63"/>
    </row>
    <row r="74" spans="15:20" ht="12" customHeight="1" x14ac:dyDescent="0.25">
      <c r="O74" s="63"/>
      <c r="P74" s="63"/>
      <c r="Q74" s="63"/>
      <c r="R74" s="63"/>
      <c r="S74" s="63"/>
      <c r="T74" s="63"/>
    </row>
    <row r="75" spans="15:20" ht="12" customHeight="1" x14ac:dyDescent="0.25">
      <c r="O75" s="63"/>
      <c r="P75" s="63"/>
      <c r="Q75" s="63"/>
      <c r="R75" s="63"/>
      <c r="S75" s="63"/>
      <c r="T75" s="63"/>
    </row>
    <row r="76" spans="15:20" ht="12" customHeight="1" x14ac:dyDescent="0.25">
      <c r="O76" s="63"/>
      <c r="P76" s="63"/>
      <c r="Q76" s="63"/>
      <c r="R76" s="63"/>
      <c r="S76" s="63"/>
      <c r="T76" s="63"/>
    </row>
    <row r="77" spans="15:20" ht="12" customHeight="1" x14ac:dyDescent="0.25">
      <c r="O77" s="63"/>
      <c r="P77" s="63"/>
      <c r="Q77" s="63"/>
      <c r="R77" s="63"/>
      <c r="S77" s="63"/>
      <c r="T77" s="63"/>
    </row>
    <row r="78" spans="15:20" ht="12" customHeight="1" x14ac:dyDescent="0.25">
      <c r="O78" s="63"/>
      <c r="P78" s="63"/>
      <c r="Q78" s="63"/>
      <c r="R78" s="63"/>
      <c r="S78" s="63"/>
      <c r="T78" s="63"/>
    </row>
    <row r="79" spans="15:20" ht="12" customHeight="1" x14ac:dyDescent="0.25">
      <c r="O79" s="63"/>
      <c r="P79" s="63"/>
      <c r="Q79" s="63"/>
      <c r="R79" s="63"/>
      <c r="S79" s="63"/>
      <c r="T79" s="63"/>
    </row>
    <row r="80" spans="15:20" ht="12" customHeight="1" x14ac:dyDescent="0.25">
      <c r="O80" s="63"/>
      <c r="P80" s="63"/>
      <c r="Q80" s="63"/>
      <c r="R80" s="63"/>
      <c r="S80" s="63"/>
      <c r="T80" s="63"/>
    </row>
    <row r="81" spans="15:20" ht="12" customHeight="1" x14ac:dyDescent="0.25">
      <c r="O81" s="63"/>
      <c r="P81" s="63"/>
      <c r="Q81" s="63"/>
      <c r="R81" s="63"/>
      <c r="S81" s="63"/>
      <c r="T81" s="63"/>
    </row>
    <row r="82" spans="15:20" ht="12" customHeight="1" x14ac:dyDescent="0.25">
      <c r="O82" s="63"/>
      <c r="P82" s="63"/>
      <c r="Q82" s="63"/>
      <c r="R82" s="63"/>
      <c r="S82" s="63"/>
      <c r="T82" s="63"/>
    </row>
    <row r="83" spans="15:20" ht="12" customHeight="1" x14ac:dyDescent="0.25">
      <c r="O83" s="63"/>
      <c r="P83" s="63"/>
      <c r="Q83" s="63"/>
      <c r="R83" s="63"/>
      <c r="S83" s="63"/>
      <c r="T83" s="63"/>
    </row>
    <row r="84" spans="15:20" ht="12" customHeight="1" x14ac:dyDescent="0.25">
      <c r="O84" s="63"/>
      <c r="P84" s="63"/>
      <c r="Q84" s="63"/>
      <c r="R84" s="63"/>
      <c r="S84" s="63"/>
      <c r="T84" s="63"/>
    </row>
    <row r="85" spans="15:20" ht="12" customHeight="1" x14ac:dyDescent="0.25">
      <c r="O85" s="63"/>
      <c r="P85" s="63"/>
      <c r="Q85" s="63"/>
      <c r="R85" s="63"/>
      <c r="S85" s="63"/>
      <c r="T85" s="63"/>
    </row>
    <row r="86" spans="15:20" ht="12" customHeight="1" x14ac:dyDescent="0.25">
      <c r="O86" s="63"/>
      <c r="P86" s="63"/>
      <c r="Q86" s="63"/>
      <c r="R86" s="63"/>
      <c r="S86" s="63"/>
      <c r="T86" s="63"/>
    </row>
    <row r="87" spans="15:20" ht="12" customHeight="1" x14ac:dyDescent="0.25">
      <c r="O87" s="63"/>
      <c r="P87" s="63"/>
      <c r="Q87" s="63"/>
      <c r="R87" s="63"/>
      <c r="S87" s="63"/>
      <c r="T87" s="63"/>
    </row>
    <row r="88" spans="15:20" ht="12" customHeight="1" x14ac:dyDescent="0.25">
      <c r="O88" s="63"/>
      <c r="P88" s="63"/>
      <c r="Q88" s="63"/>
      <c r="R88" s="63"/>
      <c r="S88" s="63"/>
      <c r="T88" s="63"/>
    </row>
    <row r="89" spans="15:20" ht="12" customHeight="1" x14ac:dyDescent="0.25">
      <c r="O89" s="63"/>
      <c r="P89" s="63"/>
      <c r="Q89" s="63"/>
      <c r="R89" s="63"/>
      <c r="S89" s="63"/>
      <c r="T89" s="63"/>
    </row>
    <row r="90" spans="15:20" ht="12" customHeight="1" x14ac:dyDescent="0.25">
      <c r="O90" s="63"/>
      <c r="P90" s="63"/>
      <c r="Q90" s="63"/>
      <c r="R90" s="63"/>
      <c r="S90" s="63"/>
      <c r="T90" s="63"/>
    </row>
    <row r="91" spans="15:20" ht="12" customHeight="1" x14ac:dyDescent="0.25">
      <c r="O91" s="63"/>
      <c r="P91" s="63"/>
      <c r="Q91" s="63"/>
      <c r="R91" s="63"/>
      <c r="S91" s="63"/>
      <c r="T91" s="63"/>
    </row>
    <row r="92" spans="15:20" ht="12" customHeight="1" x14ac:dyDescent="0.25">
      <c r="O92" s="63"/>
      <c r="P92" s="63"/>
      <c r="Q92" s="63"/>
      <c r="R92" s="63"/>
      <c r="S92" s="63"/>
      <c r="T92" s="63"/>
    </row>
    <row r="93" spans="15:20" ht="12" customHeight="1" x14ac:dyDescent="0.25">
      <c r="O93" s="63"/>
      <c r="P93" s="63"/>
      <c r="Q93" s="63"/>
      <c r="R93" s="63"/>
      <c r="S93" s="63"/>
      <c r="T93" s="63"/>
    </row>
    <row r="94" spans="15:20" ht="12" customHeight="1" x14ac:dyDescent="0.25">
      <c r="O94" s="63"/>
      <c r="P94" s="63"/>
      <c r="Q94" s="63"/>
      <c r="R94" s="63"/>
      <c r="S94" s="63"/>
      <c r="T94" s="63"/>
    </row>
    <row r="95" spans="15:20" ht="12" customHeight="1" x14ac:dyDescent="0.25">
      <c r="O95" s="63"/>
      <c r="P95" s="63"/>
      <c r="Q95" s="63"/>
      <c r="R95" s="63"/>
      <c r="S95" s="63"/>
      <c r="T95" s="63"/>
    </row>
    <row r="96" spans="15:20" ht="12" customHeight="1" x14ac:dyDescent="0.25">
      <c r="O96" s="63"/>
      <c r="P96" s="63"/>
      <c r="Q96" s="63"/>
      <c r="R96" s="63"/>
      <c r="S96" s="63"/>
      <c r="T96" s="63"/>
    </row>
    <row r="97" spans="15:30" ht="12" customHeight="1" x14ac:dyDescent="0.25">
      <c r="O97" s="63"/>
      <c r="P97" s="63"/>
      <c r="Q97" s="63"/>
      <c r="R97" s="63"/>
      <c r="S97" s="63"/>
      <c r="T97" s="63"/>
    </row>
    <row r="98" spans="15:30" ht="12" customHeight="1" x14ac:dyDescent="0.25">
      <c r="O98" s="63"/>
      <c r="P98" s="63"/>
      <c r="Q98" s="63"/>
      <c r="R98" s="63"/>
      <c r="S98" s="63"/>
      <c r="T98" s="63"/>
    </row>
    <row r="99" spans="15:30" ht="12" customHeight="1" x14ac:dyDescent="0.25">
      <c r="O99" s="62"/>
      <c r="P99" s="62"/>
      <c r="Q99" s="62"/>
      <c r="R99" s="62"/>
      <c r="S99" s="62"/>
      <c r="T99" s="62"/>
    </row>
    <row r="100" spans="15:30" ht="12" customHeight="1" x14ac:dyDescent="0.25"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</row>
    <row r="101" spans="15:30" ht="12" customHeight="1" x14ac:dyDescent="0.25">
      <c r="O101" s="63" t="s">
        <v>991</v>
      </c>
      <c r="P101" s="63" t="s">
        <v>996</v>
      </c>
      <c r="Q101" s="63" t="s">
        <v>997</v>
      </c>
      <c r="R101" s="63" t="s">
        <v>998</v>
      </c>
      <c r="S101" s="63" t="s">
        <v>999</v>
      </c>
      <c r="T101" s="63" t="s">
        <v>1000</v>
      </c>
      <c r="U101" s="63" t="s">
        <v>1001</v>
      </c>
      <c r="V101" s="63" t="s">
        <v>1002</v>
      </c>
      <c r="W101" s="63"/>
      <c r="X101" s="63"/>
      <c r="Y101" s="63"/>
      <c r="Z101" s="63"/>
      <c r="AA101" s="63"/>
      <c r="AB101" s="63"/>
      <c r="AC101" s="63"/>
      <c r="AD101" s="63"/>
    </row>
    <row r="102" spans="15:30" ht="12" customHeight="1" x14ac:dyDescent="0.25">
      <c r="O102" s="63" t="s">
        <v>38</v>
      </c>
      <c r="P102" s="63" t="s">
        <v>23</v>
      </c>
      <c r="Q102" s="63" t="s">
        <v>40</v>
      </c>
      <c r="R102" s="63" t="s">
        <v>41</v>
      </c>
      <c r="S102" s="63" t="s">
        <v>25</v>
      </c>
      <c r="T102" s="63" t="s">
        <v>41</v>
      </c>
      <c r="U102" s="63">
        <v>4</v>
      </c>
      <c r="V102" s="63">
        <v>0.3</v>
      </c>
      <c r="W102" s="63">
        <v>0.24</v>
      </c>
      <c r="X102" s="63">
        <v>0.18</v>
      </c>
      <c r="Y102" s="63">
        <v>0.12</v>
      </c>
      <c r="Z102" s="63">
        <v>0.06</v>
      </c>
      <c r="AA102" s="63">
        <v>0</v>
      </c>
      <c r="AB102" s="63"/>
      <c r="AC102" s="63"/>
      <c r="AD102" s="63"/>
    </row>
    <row r="103" spans="15:30" ht="12" customHeight="1" x14ac:dyDescent="0.25"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</row>
    <row r="104" spans="15:30" ht="12" customHeight="1" x14ac:dyDescent="0.25"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</row>
    <row r="105" spans="15:30" ht="12" customHeight="1" x14ac:dyDescent="0.25"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</row>
    <row r="106" spans="15:30" ht="12" customHeight="1" x14ac:dyDescent="0.25"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</row>
    <row r="107" spans="15:30" ht="12" customHeight="1" x14ac:dyDescent="0.25"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</row>
    <row r="108" spans="15:30" ht="12" customHeight="1" x14ac:dyDescent="0.25"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</row>
    <row r="109" spans="15:30" ht="12" customHeight="1" x14ac:dyDescent="0.25"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</row>
    <row r="110" spans="15:30" ht="12" customHeight="1" x14ac:dyDescent="0.25"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</row>
    <row r="111" spans="15:30" ht="12" customHeight="1" x14ac:dyDescent="0.25"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</row>
    <row r="112" spans="15:30" ht="12" customHeight="1" x14ac:dyDescent="0.25"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</row>
    <row r="113" spans="15:30" ht="12" customHeight="1" x14ac:dyDescent="0.25"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</row>
    <row r="114" spans="15:30" ht="12" customHeight="1" x14ac:dyDescent="0.25"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</row>
    <row r="115" spans="15:30" ht="12" customHeight="1" x14ac:dyDescent="0.25"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</row>
    <row r="116" spans="15:30" ht="12" customHeight="1" x14ac:dyDescent="0.25"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</row>
    <row r="117" spans="15:30" ht="12" customHeight="1" x14ac:dyDescent="0.25"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</row>
    <row r="118" spans="15:30" ht="12" customHeight="1" x14ac:dyDescent="0.25"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</row>
    <row r="119" spans="15:30" ht="12" customHeight="1" x14ac:dyDescent="0.25"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</row>
    <row r="120" spans="15:30" ht="12" customHeight="1" x14ac:dyDescent="0.25"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</row>
    <row r="121" spans="15:30" ht="12" customHeight="1" x14ac:dyDescent="0.25"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</row>
    <row r="122" spans="15:30" ht="12" customHeight="1" x14ac:dyDescent="0.25"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</row>
    <row r="123" spans="15:30" ht="12" customHeight="1" x14ac:dyDescent="0.25"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</row>
    <row r="124" spans="15:30" ht="12" customHeight="1" x14ac:dyDescent="0.25"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</row>
    <row r="125" spans="15:30" ht="12" customHeight="1" x14ac:dyDescent="0.25"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</row>
    <row r="126" spans="15:30" ht="12" customHeight="1" x14ac:dyDescent="0.25"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</row>
    <row r="127" spans="15:30" ht="12" customHeight="1" x14ac:dyDescent="0.25"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</row>
    <row r="128" spans="15:30" ht="12" customHeight="1" x14ac:dyDescent="0.25"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</row>
    <row r="129" spans="15:30" ht="12" customHeight="1" x14ac:dyDescent="0.25"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</row>
    <row r="130" spans="15:30" ht="12" customHeight="1" x14ac:dyDescent="0.25"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</row>
    <row r="131" spans="15:30" ht="12" customHeight="1" x14ac:dyDescent="0.25"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</row>
    <row r="132" spans="15:30" ht="12" customHeight="1" x14ac:dyDescent="0.25"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</row>
    <row r="133" spans="15:30" ht="12" customHeight="1" x14ac:dyDescent="0.25"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</row>
    <row r="134" spans="15:30" ht="12" customHeight="1" x14ac:dyDescent="0.25"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</row>
    <row r="135" spans="15:30" ht="12" customHeight="1" x14ac:dyDescent="0.25"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</row>
    <row r="136" spans="15:30" ht="12" customHeight="1" x14ac:dyDescent="0.25"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</row>
    <row r="137" spans="15:30" ht="12" customHeight="1" x14ac:dyDescent="0.25"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</row>
    <row r="138" spans="15:30" ht="12" customHeight="1" x14ac:dyDescent="0.25"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</row>
    <row r="139" spans="15:30" ht="12" customHeight="1" x14ac:dyDescent="0.25"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</row>
    <row r="140" spans="15:30" ht="12" customHeight="1" x14ac:dyDescent="0.25"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</row>
    <row r="141" spans="15:30" ht="12" customHeight="1" x14ac:dyDescent="0.25"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</row>
    <row r="142" spans="15:30" ht="12" customHeight="1" x14ac:dyDescent="0.25"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</row>
    <row r="143" spans="15:30" ht="12" customHeight="1" x14ac:dyDescent="0.25"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</row>
    <row r="144" spans="15:30" ht="12" customHeight="1" x14ac:dyDescent="0.25"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</row>
    <row r="145" spans="15:30" ht="12" customHeight="1" x14ac:dyDescent="0.25"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</row>
    <row r="146" spans="15:30" ht="12" customHeight="1" x14ac:dyDescent="0.25"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</row>
    <row r="147" spans="15:30" ht="12" customHeight="1" x14ac:dyDescent="0.25"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</row>
    <row r="148" spans="15:30" ht="12" customHeight="1" x14ac:dyDescent="0.25"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</row>
    <row r="149" spans="15:30" ht="12" customHeight="1" x14ac:dyDescent="0.25"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</row>
    <row r="150" spans="15:30" ht="12" customHeight="1" x14ac:dyDescent="0.25"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</row>
    <row r="151" spans="15:30" ht="12" customHeight="1" x14ac:dyDescent="0.25"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</row>
    <row r="152" spans="15:30" ht="12" customHeight="1" x14ac:dyDescent="0.25"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</row>
    <row r="153" spans="15:30" ht="12" customHeight="1" x14ac:dyDescent="0.25"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</row>
    <row r="154" spans="15:30" ht="12" customHeight="1" x14ac:dyDescent="0.25"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</row>
    <row r="155" spans="15:30" ht="12" customHeight="1" x14ac:dyDescent="0.25"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</row>
    <row r="156" spans="15:30" ht="12" customHeight="1" x14ac:dyDescent="0.25"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</row>
    <row r="157" spans="15:30" ht="12" customHeight="1" x14ac:dyDescent="0.25"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</row>
    <row r="158" spans="15:30" ht="12" customHeight="1" x14ac:dyDescent="0.25"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</row>
    <row r="159" spans="15:30" ht="12" customHeight="1" x14ac:dyDescent="0.25"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</row>
    <row r="160" spans="15:30" ht="12" customHeight="1" x14ac:dyDescent="0.25"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</row>
    <row r="161" spans="15:30" ht="12" customHeight="1" x14ac:dyDescent="0.25"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</row>
    <row r="162" spans="15:30" ht="12" customHeight="1" x14ac:dyDescent="0.25"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</row>
    <row r="163" spans="15:30" ht="12" customHeight="1" x14ac:dyDescent="0.25"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</row>
    <row r="164" spans="15:30" ht="12" customHeight="1" x14ac:dyDescent="0.25"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</row>
    <row r="165" spans="15:30" ht="12" customHeight="1" x14ac:dyDescent="0.25"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</row>
    <row r="166" spans="15:30" ht="12" customHeight="1" x14ac:dyDescent="0.25"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</row>
    <row r="167" spans="15:30" ht="12" customHeight="1" x14ac:dyDescent="0.25"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</row>
    <row r="168" spans="15:30" ht="12" customHeight="1" x14ac:dyDescent="0.25"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</row>
    <row r="169" spans="15:30" ht="12" customHeight="1" x14ac:dyDescent="0.25"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</row>
    <row r="170" spans="15:30" ht="12" customHeight="1" x14ac:dyDescent="0.25"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</row>
    <row r="171" spans="15:30" ht="12" customHeight="1" x14ac:dyDescent="0.25"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</row>
    <row r="172" spans="15:30" ht="12" customHeight="1" x14ac:dyDescent="0.25"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</row>
    <row r="173" spans="15:30" ht="12" customHeight="1" x14ac:dyDescent="0.25"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</row>
    <row r="174" spans="15:30" ht="12" customHeight="1" x14ac:dyDescent="0.25"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</row>
    <row r="175" spans="15:30" ht="12" customHeight="1" x14ac:dyDescent="0.25"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</row>
    <row r="176" spans="15:30" ht="12" customHeight="1" x14ac:dyDescent="0.25"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</row>
    <row r="177" spans="15:30" ht="12" customHeight="1" x14ac:dyDescent="0.25"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</row>
    <row r="178" spans="15:30" ht="12" customHeight="1" x14ac:dyDescent="0.25"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</row>
    <row r="179" spans="15:30" ht="12" customHeight="1" x14ac:dyDescent="0.25"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</row>
    <row r="180" spans="15:30" ht="12" customHeight="1" x14ac:dyDescent="0.25"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</row>
    <row r="181" spans="15:30" ht="12" customHeight="1" x14ac:dyDescent="0.25"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</row>
    <row r="182" spans="15:30" ht="12" customHeight="1" x14ac:dyDescent="0.25"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</row>
    <row r="183" spans="15:30" ht="12" customHeight="1" x14ac:dyDescent="0.25"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</row>
    <row r="184" spans="15:30" ht="12" customHeight="1" x14ac:dyDescent="0.25"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</row>
    <row r="185" spans="15:30" ht="12" customHeight="1" x14ac:dyDescent="0.25"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</row>
    <row r="186" spans="15:30" ht="12" customHeight="1" x14ac:dyDescent="0.25"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</row>
    <row r="187" spans="15:30" ht="12" customHeight="1" x14ac:dyDescent="0.25"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</row>
    <row r="188" spans="15:30" ht="12" customHeight="1" x14ac:dyDescent="0.25"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</row>
    <row r="189" spans="15:30" ht="12" customHeight="1" x14ac:dyDescent="0.25"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</row>
    <row r="190" spans="15:30" ht="12" customHeight="1" x14ac:dyDescent="0.25"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</row>
    <row r="191" spans="15:30" ht="12" customHeight="1" x14ac:dyDescent="0.25"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</row>
    <row r="192" spans="15:30" ht="12" customHeight="1" x14ac:dyDescent="0.25"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</row>
    <row r="193" spans="15:30" ht="12" customHeight="1" x14ac:dyDescent="0.25"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</row>
    <row r="194" spans="15:30" ht="12" customHeight="1" x14ac:dyDescent="0.25"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</row>
    <row r="195" spans="15:30" ht="12" customHeight="1" x14ac:dyDescent="0.25"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</row>
    <row r="196" spans="15:30" ht="12" customHeight="1" x14ac:dyDescent="0.25"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</row>
    <row r="197" spans="15:30" ht="12" customHeight="1" x14ac:dyDescent="0.25"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</row>
    <row r="198" spans="15:30" ht="12" customHeight="1" x14ac:dyDescent="0.25"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</row>
    <row r="199" spans="15:30" ht="12" customHeight="1" x14ac:dyDescent="0.25"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</row>
    <row r="200" spans="15:30" ht="12" customHeight="1" x14ac:dyDescent="0.25"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</row>
  </sheetData>
  <mergeCells count="19">
    <mergeCell ref="A47:C47"/>
    <mergeCell ref="A48:C48"/>
    <mergeCell ref="A46:C46"/>
    <mergeCell ref="L1:M1"/>
    <mergeCell ref="A2:A29"/>
    <mergeCell ref="A30:A45"/>
    <mergeCell ref="B2:B10"/>
    <mergeCell ref="B11:B18"/>
    <mergeCell ref="B19:B20"/>
    <mergeCell ref="B21:B23"/>
    <mergeCell ref="B24:B28"/>
    <mergeCell ref="B29:C29"/>
    <mergeCell ref="B30:B34"/>
    <mergeCell ref="B35:B36"/>
    <mergeCell ref="B37:B40"/>
    <mergeCell ref="B41:B42"/>
    <mergeCell ref="B43:B44"/>
    <mergeCell ref="B45:C45"/>
    <mergeCell ref="O1:U1"/>
  </mergeCells>
  <pageMargins left="0.511811024" right="0.511811024" top="0.78740157499999996" bottom="0.78740157499999996" header="0.31496062000000002" footer="0.31496062000000002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0EE-5C56-46A6-89F0-E1718935BA68}">
  <sheetPr codeName="Planilha7"/>
  <dimension ref="A1:AP51"/>
  <sheetViews>
    <sheetView showGridLines="0" topLeftCell="C38" workbookViewId="0">
      <selection activeCell="K62" sqref="K62:P62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10" style="9" bestFit="1" customWidth="1"/>
    <col min="32" max="32" width="7.28515625" style="9" bestFit="1" customWidth="1"/>
    <col min="33" max="33" width="10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1" t="s">
        <v>63</v>
      </c>
      <c r="B1" s="131" t="s">
        <v>64</v>
      </c>
      <c r="C1" s="131" t="s">
        <v>65</v>
      </c>
      <c r="D1" s="131" t="s">
        <v>66</v>
      </c>
      <c r="E1" s="131" t="s">
        <v>67</v>
      </c>
      <c r="F1" s="131" t="s">
        <v>15</v>
      </c>
      <c r="G1" s="131" t="s">
        <v>69</v>
      </c>
      <c r="H1" s="131" t="s">
        <v>70</v>
      </c>
      <c r="I1" s="131" t="s">
        <v>488</v>
      </c>
      <c r="J1" s="124"/>
      <c r="L1" s="132" t="s">
        <v>489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P1" s="132" t="s">
        <v>490</v>
      </c>
    </row>
    <row r="2" spans="1:42" ht="11.25" customHeight="1" x14ac:dyDescent="0.25">
      <c r="A2" s="131"/>
      <c r="B2" s="131"/>
      <c r="C2" s="131"/>
      <c r="D2" s="131"/>
      <c r="E2" s="131"/>
      <c r="F2" s="131"/>
      <c r="G2" s="131"/>
      <c r="H2" s="131"/>
      <c r="I2" s="131"/>
      <c r="J2" s="124"/>
      <c r="L2" s="132" t="s">
        <v>399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P2" s="133"/>
    </row>
    <row r="3" spans="1:42" ht="11.25" customHeight="1" x14ac:dyDescent="0.25">
      <c r="A3" s="131"/>
      <c r="B3" s="131"/>
      <c r="C3" s="131"/>
      <c r="D3" s="131"/>
      <c r="E3" s="131"/>
      <c r="F3" s="131"/>
      <c r="G3" s="131"/>
      <c r="H3" s="131"/>
      <c r="I3" s="131"/>
      <c r="J3" s="124"/>
      <c r="L3" s="132" t="s">
        <v>400</v>
      </c>
      <c r="M3" s="132"/>
      <c r="N3" s="132"/>
      <c r="O3" s="132"/>
      <c r="P3" s="132"/>
      <c r="Q3" s="132"/>
      <c r="R3" s="132"/>
      <c r="S3" s="132"/>
      <c r="T3" s="132"/>
      <c r="U3" s="132" t="s">
        <v>409</v>
      </c>
      <c r="V3" s="132"/>
      <c r="W3" s="132"/>
      <c r="X3" s="132"/>
      <c r="Y3" s="132"/>
      <c r="Z3" s="132"/>
      <c r="AA3" s="132"/>
      <c r="AB3" s="132"/>
      <c r="AC3" s="132" t="s">
        <v>417</v>
      </c>
      <c r="AD3" s="132"/>
      <c r="AE3" s="132" t="s">
        <v>419</v>
      </c>
      <c r="AF3" s="132"/>
      <c r="AG3" s="132"/>
      <c r="AH3" s="132" t="s">
        <v>422</v>
      </c>
      <c r="AI3" s="132"/>
      <c r="AJ3" s="132"/>
      <c r="AK3" s="132"/>
      <c r="AL3" s="132"/>
      <c r="AM3" s="132" t="s">
        <v>408</v>
      </c>
      <c r="AP3" s="133"/>
    </row>
    <row r="4" spans="1:42" ht="11.25" customHeight="1" x14ac:dyDescent="0.25">
      <c r="A4" s="131"/>
      <c r="B4" s="131"/>
      <c r="C4" s="131"/>
      <c r="D4" s="131"/>
      <c r="E4" s="131"/>
      <c r="F4" s="131"/>
      <c r="G4" s="131"/>
      <c r="H4" s="131"/>
      <c r="I4" s="131"/>
      <c r="J4" s="124"/>
      <c r="L4" s="53" t="s">
        <v>484</v>
      </c>
      <c r="M4" s="53" t="s">
        <v>401</v>
      </c>
      <c r="N4" s="53" t="s">
        <v>402</v>
      </c>
      <c r="O4" s="53" t="s">
        <v>403</v>
      </c>
      <c r="P4" s="53" t="s">
        <v>404</v>
      </c>
      <c r="Q4" s="53" t="s">
        <v>405</v>
      </c>
      <c r="R4" s="53" t="s">
        <v>406</v>
      </c>
      <c r="S4" s="53" t="s">
        <v>407</v>
      </c>
      <c r="T4" s="53" t="s">
        <v>408</v>
      </c>
      <c r="U4" s="53" t="s">
        <v>410</v>
      </c>
      <c r="V4" s="53" t="s">
        <v>411</v>
      </c>
      <c r="W4" s="53" t="s">
        <v>412</v>
      </c>
      <c r="X4" s="53" t="s">
        <v>413</v>
      </c>
      <c r="Y4" s="53" t="s">
        <v>414</v>
      </c>
      <c r="Z4" s="53" t="s">
        <v>415</v>
      </c>
      <c r="AA4" s="53" t="s">
        <v>416</v>
      </c>
      <c r="AB4" s="53" t="s">
        <v>408</v>
      </c>
      <c r="AC4" s="53" t="s">
        <v>418</v>
      </c>
      <c r="AD4" s="53" t="s">
        <v>408</v>
      </c>
      <c r="AE4" s="53" t="s">
        <v>420</v>
      </c>
      <c r="AF4" s="53" t="s">
        <v>421</v>
      </c>
      <c r="AG4" s="53" t="s">
        <v>408</v>
      </c>
      <c r="AH4" s="53" t="s">
        <v>423</v>
      </c>
      <c r="AI4" s="53" t="s">
        <v>424</v>
      </c>
      <c r="AJ4" s="53" t="s">
        <v>425</v>
      </c>
      <c r="AK4" s="53" t="s">
        <v>426</v>
      </c>
      <c r="AL4" s="53" t="s">
        <v>408</v>
      </c>
      <c r="AM4" s="134"/>
      <c r="AP4" s="133"/>
    </row>
    <row r="5" spans="1:42" ht="11.25" customHeight="1" x14ac:dyDescent="0.25">
      <c r="A5" s="130" t="s">
        <v>33</v>
      </c>
      <c r="B5" s="130" t="s">
        <v>43</v>
      </c>
      <c r="C5" s="130" t="s">
        <v>25</v>
      </c>
      <c r="D5" s="130" t="s">
        <v>25</v>
      </c>
      <c r="E5" s="130" t="s">
        <v>25</v>
      </c>
      <c r="F5" s="130" t="s">
        <v>25</v>
      </c>
      <c r="G5" s="36" t="s">
        <v>77</v>
      </c>
      <c r="H5" s="36" t="s">
        <v>76</v>
      </c>
      <c r="I5" s="36">
        <f>'MERCADO TUSD'!$U$2</f>
        <v>1679</v>
      </c>
      <c r="J5" s="16"/>
      <c r="L5" s="17"/>
      <c r="M5" s="17"/>
      <c r="N5" s="17"/>
      <c r="O5" s="17"/>
      <c r="P5" s="17"/>
      <c r="Q5" s="17"/>
      <c r="R5" s="17"/>
      <c r="S5" s="17"/>
      <c r="T5" s="17"/>
      <c r="U5" s="17">
        <v>0</v>
      </c>
      <c r="V5" s="17">
        <v>0</v>
      </c>
      <c r="W5" s="17">
        <v>0</v>
      </c>
      <c r="X5" s="17">
        <v>0</v>
      </c>
      <c r="Y5" s="17">
        <v>44.527799999999999</v>
      </c>
      <c r="Z5" s="17">
        <v>0</v>
      </c>
      <c r="AA5" s="17">
        <v>0</v>
      </c>
      <c r="AB5" s="17"/>
      <c r="AC5" s="17">
        <v>72.432900000000004</v>
      </c>
      <c r="AD5" s="17"/>
      <c r="AE5" s="17"/>
      <c r="AF5" s="17"/>
      <c r="AG5" s="17"/>
      <c r="AH5" s="17"/>
      <c r="AI5" s="17"/>
      <c r="AJ5" s="17"/>
      <c r="AK5" s="17"/>
      <c r="AL5" s="17"/>
      <c r="AM5" s="17"/>
      <c r="AP5" s="17">
        <v>1</v>
      </c>
    </row>
    <row r="6" spans="1:42" ht="11.25" customHeight="1" x14ac:dyDescent="0.25">
      <c r="A6" s="130"/>
      <c r="B6" s="130"/>
      <c r="C6" s="130"/>
      <c r="D6" s="130"/>
      <c r="E6" s="130"/>
      <c r="F6" s="130"/>
      <c r="G6" s="36" t="s">
        <v>78</v>
      </c>
      <c r="H6" s="36" t="s">
        <v>76</v>
      </c>
      <c r="I6" s="36">
        <f>'MERCADO TUSD'!$U$3</f>
        <v>1683</v>
      </c>
      <c r="J6" s="16"/>
      <c r="L6" s="17"/>
      <c r="M6" s="17"/>
      <c r="N6" s="17"/>
      <c r="O6" s="17"/>
      <c r="P6" s="17"/>
      <c r="Q6" s="17"/>
      <c r="R6" s="17"/>
      <c r="S6" s="17"/>
      <c r="T6" s="17"/>
      <c r="U6" s="17">
        <v>0</v>
      </c>
      <c r="V6" s="17">
        <v>0</v>
      </c>
      <c r="W6" s="17">
        <v>0</v>
      </c>
      <c r="X6" s="17">
        <v>0</v>
      </c>
      <c r="Y6" s="17">
        <v>10.6595</v>
      </c>
      <c r="Z6" s="17">
        <v>0</v>
      </c>
      <c r="AA6" s="17">
        <v>0</v>
      </c>
      <c r="AB6" s="17"/>
      <c r="AC6" s="17">
        <v>19.834399999999999</v>
      </c>
      <c r="AD6" s="17"/>
      <c r="AE6" s="17"/>
      <c r="AF6" s="17"/>
      <c r="AG6" s="17"/>
      <c r="AH6" s="17"/>
      <c r="AI6" s="17"/>
      <c r="AJ6" s="17"/>
      <c r="AK6" s="17"/>
      <c r="AL6" s="17"/>
      <c r="AM6" s="17"/>
      <c r="AP6" s="17">
        <v>1</v>
      </c>
    </row>
    <row r="7" spans="1:42" ht="11.25" customHeight="1" x14ac:dyDescent="0.25">
      <c r="A7" s="130"/>
      <c r="B7" s="130"/>
      <c r="C7" s="130"/>
      <c r="D7" s="130"/>
      <c r="E7" s="130"/>
      <c r="F7" s="130"/>
      <c r="G7" s="36" t="s">
        <v>79</v>
      </c>
      <c r="H7" s="36" t="s">
        <v>73</v>
      </c>
      <c r="I7" s="36">
        <f>'MERCADO TUSD'!$U$4</f>
        <v>645.12700000000018</v>
      </c>
      <c r="J7" s="16"/>
      <c r="L7" s="17"/>
      <c r="M7" s="17"/>
      <c r="N7" s="17"/>
      <c r="O7" s="17"/>
      <c r="P7" s="17"/>
      <c r="Q7" s="17"/>
      <c r="R7" s="17"/>
      <c r="S7" s="17"/>
      <c r="T7" s="17"/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/>
      <c r="AC7" s="17">
        <v>0</v>
      </c>
      <c r="AD7" s="17"/>
      <c r="AE7" s="17"/>
      <c r="AF7" s="17"/>
      <c r="AG7" s="17"/>
      <c r="AH7" s="17"/>
      <c r="AI7" s="17"/>
      <c r="AJ7" s="17"/>
      <c r="AK7" s="17"/>
      <c r="AL7" s="17"/>
      <c r="AM7" s="17"/>
      <c r="AP7" s="17">
        <v>1</v>
      </c>
    </row>
    <row r="8" spans="1:42" ht="11.25" customHeight="1" x14ac:dyDescent="0.25">
      <c r="A8" s="130"/>
      <c r="B8" s="130"/>
      <c r="C8" s="130"/>
      <c r="D8" s="130"/>
      <c r="E8" s="52" t="s">
        <v>80</v>
      </c>
      <c r="F8" s="52" t="s">
        <v>25</v>
      </c>
      <c r="G8" s="36" t="s">
        <v>79</v>
      </c>
      <c r="H8" s="36" t="s">
        <v>73</v>
      </c>
      <c r="I8" s="36">
        <f>'MERCADO TUSD'!$U$5</f>
        <v>0</v>
      </c>
      <c r="J8" s="16"/>
      <c r="L8" s="17"/>
      <c r="M8" s="17"/>
      <c r="N8" s="17"/>
      <c r="O8" s="17"/>
      <c r="P8" s="17"/>
      <c r="Q8" s="17"/>
      <c r="R8" s="17"/>
      <c r="S8" s="17"/>
      <c r="T8" s="17"/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/>
      <c r="AC8" s="17">
        <v>0</v>
      </c>
      <c r="AD8" s="17"/>
      <c r="AE8" s="17"/>
      <c r="AF8" s="17"/>
      <c r="AG8" s="17"/>
      <c r="AH8" s="17"/>
      <c r="AI8" s="17"/>
      <c r="AJ8" s="17"/>
      <c r="AK8" s="17"/>
      <c r="AL8" s="17"/>
      <c r="AM8" s="17"/>
      <c r="AP8" s="17">
        <v>1</v>
      </c>
    </row>
    <row r="9" spans="1:42" ht="11.25" customHeight="1" x14ac:dyDescent="0.25">
      <c r="A9" s="130"/>
      <c r="B9" s="52" t="s">
        <v>81</v>
      </c>
      <c r="C9" s="52" t="s">
        <v>25</v>
      </c>
      <c r="D9" s="52" t="s">
        <v>25</v>
      </c>
      <c r="E9" s="52" t="s">
        <v>25</v>
      </c>
      <c r="F9" s="52" t="s">
        <v>25</v>
      </c>
      <c r="G9" s="36" t="s">
        <v>9</v>
      </c>
      <c r="H9" s="36" t="s">
        <v>76</v>
      </c>
      <c r="I9" s="36">
        <f>'MERCADO TUSD'!$U$6</f>
        <v>0</v>
      </c>
      <c r="J9" s="16"/>
      <c r="L9" s="17"/>
      <c r="M9" s="17"/>
      <c r="N9" s="17"/>
      <c r="O9" s="17"/>
      <c r="P9" s="17"/>
      <c r="Q9" s="17"/>
      <c r="R9" s="17"/>
      <c r="S9" s="17"/>
      <c r="T9" s="17"/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/>
      <c r="AC9" s="17">
        <v>12.822800000000001</v>
      </c>
      <c r="AD9" s="17"/>
      <c r="AE9" s="17"/>
      <c r="AF9" s="17"/>
      <c r="AG9" s="17"/>
      <c r="AH9" s="17"/>
      <c r="AI9" s="17"/>
      <c r="AJ9" s="17"/>
      <c r="AK9" s="17"/>
      <c r="AL9" s="17"/>
      <c r="AM9" s="17"/>
      <c r="AP9" s="17"/>
    </row>
    <row r="10" spans="1:42" ht="11.25" customHeight="1" x14ac:dyDescent="0.25">
      <c r="A10" s="130"/>
      <c r="B10" s="130" t="s">
        <v>34</v>
      </c>
      <c r="C10" s="130" t="s">
        <v>25</v>
      </c>
      <c r="D10" s="130" t="s">
        <v>25</v>
      </c>
      <c r="E10" s="130" t="s">
        <v>25</v>
      </c>
      <c r="F10" s="130" t="s">
        <v>25</v>
      </c>
      <c r="G10" s="36" t="s">
        <v>9</v>
      </c>
      <c r="H10" s="36" t="s">
        <v>76</v>
      </c>
      <c r="I10" s="36">
        <f>'MERCADO TUSD'!$U$7</f>
        <v>643658</v>
      </c>
      <c r="J10" s="16"/>
      <c r="L10" s="17"/>
      <c r="M10" s="17"/>
      <c r="N10" s="17"/>
      <c r="O10" s="17"/>
      <c r="P10" s="17"/>
      <c r="Q10" s="17"/>
      <c r="R10" s="17"/>
      <c r="S10" s="17"/>
      <c r="T10" s="17"/>
      <c r="U10" s="17">
        <v>0</v>
      </c>
      <c r="V10" s="17">
        <v>0</v>
      </c>
      <c r="W10" s="17">
        <v>0</v>
      </c>
      <c r="X10" s="17">
        <v>0</v>
      </c>
      <c r="Y10" s="17">
        <v>10.6595</v>
      </c>
      <c r="Z10" s="17">
        <v>0</v>
      </c>
      <c r="AA10" s="17">
        <v>0</v>
      </c>
      <c r="AB10" s="17"/>
      <c r="AC10" s="17">
        <v>19.834399999999999</v>
      </c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P10" s="17">
        <v>1</v>
      </c>
    </row>
    <row r="11" spans="1:42" ht="11.25" customHeight="1" x14ac:dyDescent="0.25">
      <c r="A11" s="130"/>
      <c r="B11" s="130"/>
      <c r="C11" s="130"/>
      <c r="D11" s="130"/>
      <c r="E11" s="130"/>
      <c r="F11" s="130"/>
      <c r="G11" s="36" t="s">
        <v>74</v>
      </c>
      <c r="H11" s="36" t="s">
        <v>73</v>
      </c>
      <c r="I11" s="36">
        <f>'MERCADO TUSD'!$U$8</f>
        <v>2922.2139999999999</v>
      </c>
      <c r="J11" s="16"/>
      <c r="L11" s="17"/>
      <c r="M11" s="17"/>
      <c r="N11" s="17"/>
      <c r="O11" s="17"/>
      <c r="P11" s="17"/>
      <c r="Q11" s="17"/>
      <c r="R11" s="17"/>
      <c r="S11" s="17"/>
      <c r="T11" s="17"/>
      <c r="U11" s="17">
        <v>0</v>
      </c>
      <c r="V11" s="17">
        <v>0</v>
      </c>
      <c r="W11" s="17">
        <v>0</v>
      </c>
      <c r="X11" s="17">
        <v>0</v>
      </c>
      <c r="Y11" s="17">
        <v>1070.0210999999999</v>
      </c>
      <c r="Z11" s="17">
        <v>0</v>
      </c>
      <c r="AA11" s="17">
        <v>0</v>
      </c>
      <c r="AB11" s="17"/>
      <c r="AC11" s="17">
        <v>1742.0064</v>
      </c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P11" s="17">
        <v>1</v>
      </c>
    </row>
    <row r="12" spans="1:42" ht="11.25" customHeight="1" x14ac:dyDescent="0.25">
      <c r="A12" s="130"/>
      <c r="B12" s="130"/>
      <c r="C12" s="130"/>
      <c r="D12" s="130"/>
      <c r="E12" s="130"/>
      <c r="F12" s="130"/>
      <c r="G12" s="36" t="s">
        <v>75</v>
      </c>
      <c r="H12" s="36" t="s">
        <v>73</v>
      </c>
      <c r="I12" s="36">
        <f>'MERCADO TUSD'!$U$9</f>
        <v>84044.817999999999</v>
      </c>
      <c r="J12" s="16"/>
      <c r="L12" s="17"/>
      <c r="M12" s="17"/>
      <c r="N12" s="17"/>
      <c r="O12" s="17"/>
      <c r="P12" s="17"/>
      <c r="Q12" s="17"/>
      <c r="R12" s="17"/>
      <c r="S12" s="17"/>
      <c r="T12" s="17"/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/>
      <c r="AC12" s="17">
        <v>0</v>
      </c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P12" s="17">
        <v>1</v>
      </c>
    </row>
    <row r="13" spans="1:42" ht="11.25" customHeight="1" x14ac:dyDescent="0.25">
      <c r="A13" s="130"/>
      <c r="B13" s="130"/>
      <c r="C13" s="130"/>
      <c r="D13" s="130"/>
      <c r="E13" s="130" t="s">
        <v>80</v>
      </c>
      <c r="F13" s="130" t="s">
        <v>25</v>
      </c>
      <c r="G13" s="36" t="s">
        <v>74</v>
      </c>
      <c r="H13" s="36" t="s">
        <v>73</v>
      </c>
      <c r="I13" s="36">
        <f>'MERCADO TUSD'!$U$10</f>
        <v>0</v>
      </c>
      <c r="J13" s="16"/>
      <c r="L13" s="17"/>
      <c r="M13" s="17"/>
      <c r="N13" s="17"/>
      <c r="O13" s="17"/>
      <c r="P13" s="17"/>
      <c r="Q13" s="17"/>
      <c r="R13" s="17"/>
      <c r="S13" s="17"/>
      <c r="T13" s="17"/>
      <c r="U13" s="17">
        <v>0</v>
      </c>
      <c r="V13" s="17">
        <v>0</v>
      </c>
      <c r="W13" s="17">
        <v>0</v>
      </c>
      <c r="X13" s="17">
        <v>0</v>
      </c>
      <c r="Y13" s="17">
        <v>1070.0210999999999</v>
      </c>
      <c r="Z13" s="17">
        <v>0</v>
      </c>
      <c r="AA13" s="17">
        <v>0</v>
      </c>
      <c r="AB13" s="17"/>
      <c r="AC13" s="17">
        <v>1742.0064</v>
      </c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P13" s="17">
        <v>1</v>
      </c>
    </row>
    <row r="14" spans="1:42" ht="11.25" customHeight="1" x14ac:dyDescent="0.25">
      <c r="A14" s="130"/>
      <c r="B14" s="130"/>
      <c r="C14" s="130"/>
      <c r="D14" s="130"/>
      <c r="E14" s="130"/>
      <c r="F14" s="130"/>
      <c r="G14" s="36" t="s">
        <v>75</v>
      </c>
      <c r="H14" s="36" t="s">
        <v>73</v>
      </c>
      <c r="I14" s="36">
        <f>'MERCADO TUSD'!$U$11</f>
        <v>0</v>
      </c>
      <c r="J14" s="16"/>
      <c r="L14" s="17"/>
      <c r="M14" s="17"/>
      <c r="N14" s="17"/>
      <c r="O14" s="17"/>
      <c r="P14" s="17"/>
      <c r="Q14" s="17"/>
      <c r="R14" s="17"/>
      <c r="S14" s="17"/>
      <c r="T14" s="17"/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/>
      <c r="AC14" s="17">
        <v>0</v>
      </c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P14" s="17">
        <v>1</v>
      </c>
    </row>
    <row r="15" spans="1:42" ht="11.25" customHeight="1" x14ac:dyDescent="0.25">
      <c r="A15" s="130" t="s">
        <v>82</v>
      </c>
      <c r="B15" s="130" t="s">
        <v>81</v>
      </c>
      <c r="C15" s="130" t="s">
        <v>25</v>
      </c>
      <c r="D15" s="130" t="s">
        <v>25</v>
      </c>
      <c r="E15" s="52" t="s">
        <v>83</v>
      </c>
      <c r="F15" s="52" t="s">
        <v>25</v>
      </c>
      <c r="G15" s="36" t="s">
        <v>9</v>
      </c>
      <c r="H15" s="36" t="s">
        <v>76</v>
      </c>
      <c r="I15" s="36">
        <f>'MERCADO TUSD'!$U$12+0.00000001</f>
        <v>1E-8</v>
      </c>
      <c r="J15" s="16"/>
      <c r="L15" s="17"/>
      <c r="M15" s="17"/>
      <c r="N15" s="17"/>
      <c r="O15" s="17"/>
      <c r="P15" s="17"/>
      <c r="Q15" s="17"/>
      <c r="R15" s="17"/>
      <c r="S15" s="17"/>
      <c r="T15" s="17"/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/>
      <c r="AC15" s="17">
        <v>7.9370000000000003</v>
      </c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P15" s="17"/>
    </row>
    <row r="16" spans="1:42" ht="11.25" customHeight="1" x14ac:dyDescent="0.25">
      <c r="A16" s="130"/>
      <c r="B16" s="130"/>
      <c r="C16" s="130"/>
      <c r="D16" s="130"/>
      <c r="E16" s="52" t="s">
        <v>84</v>
      </c>
      <c r="F16" s="52" t="s">
        <v>25</v>
      </c>
      <c r="G16" s="36" t="s">
        <v>9</v>
      </c>
      <c r="H16" s="36" t="s">
        <v>76</v>
      </c>
      <c r="I16" s="36">
        <f>'MERCADO TUSD'!$U$13+0.00000001</f>
        <v>1E-8</v>
      </c>
      <c r="J16" s="16"/>
      <c r="L16" s="17"/>
      <c r="M16" s="17"/>
      <c r="N16" s="17"/>
      <c r="O16" s="17"/>
      <c r="P16" s="17"/>
      <c r="Q16" s="17"/>
      <c r="R16" s="17"/>
      <c r="S16" s="17"/>
      <c r="T16" s="17"/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/>
      <c r="AC16" s="17">
        <v>26.655999999999999</v>
      </c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P16" s="17"/>
    </row>
    <row r="17" spans="1:42" ht="11.25" customHeight="1" x14ac:dyDescent="0.25">
      <c r="A17" s="130" t="s">
        <v>22</v>
      </c>
      <c r="B17" s="130" t="s">
        <v>87</v>
      </c>
      <c r="C17" s="130" t="s">
        <v>24</v>
      </c>
      <c r="D17" s="130" t="s">
        <v>24</v>
      </c>
      <c r="E17" s="130" t="s">
        <v>25</v>
      </c>
      <c r="F17" s="130" t="s">
        <v>25</v>
      </c>
      <c r="G17" s="36" t="s">
        <v>74</v>
      </c>
      <c r="H17" s="36" t="s">
        <v>73</v>
      </c>
      <c r="I17" s="36">
        <f>'MERCADO TUSD'!$U$14</f>
        <v>0</v>
      </c>
      <c r="J17" s="16"/>
      <c r="L17" s="17"/>
      <c r="M17" s="17"/>
      <c r="N17" s="17"/>
      <c r="O17" s="17"/>
      <c r="P17" s="17"/>
      <c r="Q17" s="17"/>
      <c r="R17" s="17"/>
      <c r="S17" s="17"/>
      <c r="T17" s="17"/>
      <c r="U17" s="17">
        <v>0</v>
      </c>
      <c r="V17" s="17">
        <v>0</v>
      </c>
      <c r="W17" s="17">
        <v>0</v>
      </c>
      <c r="X17" s="17">
        <v>0</v>
      </c>
      <c r="Y17" s="17">
        <v>279.91390000000001</v>
      </c>
      <c r="Z17" s="17">
        <v>0</v>
      </c>
      <c r="AA17" s="17">
        <v>0</v>
      </c>
      <c r="AB17" s="17"/>
      <c r="AC17" s="17">
        <v>771.3107</v>
      </c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P17" s="17">
        <v>1</v>
      </c>
    </row>
    <row r="18" spans="1:42" ht="11.25" customHeight="1" x14ac:dyDescent="0.25">
      <c r="A18" s="130"/>
      <c r="B18" s="130"/>
      <c r="C18" s="130"/>
      <c r="D18" s="130"/>
      <c r="E18" s="130"/>
      <c r="F18" s="130"/>
      <c r="G18" s="36" t="s">
        <v>85</v>
      </c>
      <c r="H18" s="36" t="s">
        <v>73</v>
      </c>
      <c r="I18" s="36">
        <f>'MERCADO TUSD'!$U$15</f>
        <v>0</v>
      </c>
      <c r="J18" s="16"/>
      <c r="L18" s="17"/>
      <c r="M18" s="17"/>
      <c r="N18" s="17"/>
      <c r="O18" s="17"/>
      <c r="P18" s="17"/>
      <c r="Q18" s="17"/>
      <c r="R18" s="17"/>
      <c r="S18" s="17"/>
      <c r="T18" s="17"/>
      <c r="U18" s="17">
        <v>0</v>
      </c>
      <c r="V18" s="17">
        <v>0</v>
      </c>
      <c r="W18" s="17">
        <v>0</v>
      </c>
      <c r="X18" s="17">
        <v>0</v>
      </c>
      <c r="Y18" s="17">
        <v>43.548900000000003</v>
      </c>
      <c r="Z18" s="17">
        <v>0</v>
      </c>
      <c r="AA18" s="17">
        <v>0</v>
      </c>
      <c r="AB18" s="17"/>
      <c r="AC18" s="17">
        <v>119.9817</v>
      </c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P18" s="17">
        <v>1</v>
      </c>
    </row>
    <row r="19" spans="1:42" ht="11.25" customHeight="1" x14ac:dyDescent="0.25">
      <c r="A19" s="130"/>
      <c r="B19" s="130"/>
      <c r="C19" s="130"/>
      <c r="D19" s="130"/>
      <c r="E19" s="130"/>
      <c r="F19" s="130"/>
      <c r="G19" s="36" t="s">
        <v>75</v>
      </c>
      <c r="H19" s="36" t="s">
        <v>73</v>
      </c>
      <c r="I19" s="36">
        <f>'MERCADO TUSD'!$U$16</f>
        <v>0</v>
      </c>
      <c r="J19" s="16"/>
      <c r="L19" s="17"/>
      <c r="M19" s="17"/>
      <c r="N19" s="17"/>
      <c r="O19" s="17"/>
      <c r="P19" s="17"/>
      <c r="Q19" s="17"/>
      <c r="R19" s="17"/>
      <c r="S19" s="17"/>
      <c r="T19" s="17"/>
      <c r="U19" s="17">
        <v>0</v>
      </c>
      <c r="V19" s="17">
        <v>0</v>
      </c>
      <c r="W19" s="17">
        <v>0</v>
      </c>
      <c r="X19" s="17">
        <v>0</v>
      </c>
      <c r="Y19" s="17">
        <v>74.650400000000005</v>
      </c>
      <c r="Z19" s="17">
        <v>0</v>
      </c>
      <c r="AA19" s="17">
        <v>0</v>
      </c>
      <c r="AB19" s="17"/>
      <c r="AC19" s="17">
        <v>205.68299999999999</v>
      </c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P19" s="17">
        <v>1</v>
      </c>
    </row>
    <row r="20" spans="1:42" ht="11.25" customHeight="1" x14ac:dyDescent="0.25">
      <c r="A20" s="130"/>
      <c r="B20" s="130" t="s">
        <v>23</v>
      </c>
      <c r="C20" s="130" t="s">
        <v>24</v>
      </c>
      <c r="D20" s="52" t="s">
        <v>24</v>
      </c>
      <c r="E20" s="52" t="s">
        <v>25</v>
      </c>
      <c r="F20" s="52" t="s">
        <v>25</v>
      </c>
      <c r="G20" s="36" t="s">
        <v>79</v>
      </c>
      <c r="H20" s="36" t="s">
        <v>73</v>
      </c>
      <c r="I20" s="36">
        <f>'MERCADO TUSD'!$U$17</f>
        <v>23903.932000000001</v>
      </c>
      <c r="J20" s="16"/>
      <c r="L20" s="17"/>
      <c r="M20" s="17"/>
      <c r="N20" s="17"/>
      <c r="O20" s="17"/>
      <c r="P20" s="17"/>
      <c r="Q20" s="17"/>
      <c r="R20" s="17"/>
      <c r="S20" s="17"/>
      <c r="T20" s="17"/>
      <c r="U20" s="17">
        <v>0</v>
      </c>
      <c r="V20" s="17">
        <v>0</v>
      </c>
      <c r="W20" s="17">
        <v>0</v>
      </c>
      <c r="X20" s="17">
        <v>0</v>
      </c>
      <c r="Y20" s="17">
        <v>124.4062</v>
      </c>
      <c r="Z20" s="17">
        <v>0</v>
      </c>
      <c r="AA20" s="17">
        <v>0</v>
      </c>
      <c r="AB20" s="17"/>
      <c r="AC20" s="17">
        <v>342.80489999999998</v>
      </c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P20" s="17">
        <v>1</v>
      </c>
    </row>
    <row r="21" spans="1:42" ht="11.25" customHeight="1" x14ac:dyDescent="0.25">
      <c r="A21" s="130"/>
      <c r="B21" s="130"/>
      <c r="C21" s="130"/>
      <c r="D21" s="52" t="s">
        <v>29</v>
      </c>
      <c r="E21" s="52" t="s">
        <v>25</v>
      </c>
      <c r="F21" s="52" t="s">
        <v>25</v>
      </c>
      <c r="G21" s="36" t="s">
        <v>79</v>
      </c>
      <c r="H21" s="36" t="s">
        <v>73</v>
      </c>
      <c r="I21" s="36">
        <f>'MERCADO TUSD'!$U$18</f>
        <v>17.04</v>
      </c>
      <c r="J21" s="16"/>
      <c r="L21" s="17"/>
      <c r="M21" s="17"/>
      <c r="N21" s="17"/>
      <c r="O21" s="17"/>
      <c r="P21" s="17"/>
      <c r="Q21" s="17"/>
      <c r="R21" s="17"/>
      <c r="S21" s="17"/>
      <c r="T21" s="17"/>
      <c r="U21" s="17">
        <v>0</v>
      </c>
      <c r="V21" s="17">
        <v>0</v>
      </c>
      <c r="W21" s="17">
        <v>0</v>
      </c>
      <c r="X21" s="17">
        <v>0</v>
      </c>
      <c r="Y21" s="17">
        <f>(1 - CUSTOS!$M$24)*124.4062</f>
        <v>124.4062</v>
      </c>
      <c r="Z21" s="17">
        <v>0</v>
      </c>
      <c r="AA21" s="17">
        <v>0</v>
      </c>
      <c r="AB21" s="17"/>
      <c r="AC21" s="17">
        <f>(1 - CUSTOS!$M$24)*342.8049</f>
        <v>342.80489999999998</v>
      </c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P21" s="17">
        <f>IF((1 - CUSTOS!$M$24)&lt;&gt;0,1/(1 - CUSTOS!$M$24),1)</f>
        <v>1</v>
      </c>
    </row>
    <row r="22" spans="1:42" ht="11.25" customHeight="1" x14ac:dyDescent="0.25">
      <c r="A22" s="130"/>
      <c r="B22" s="130"/>
      <c r="C22" s="130"/>
      <c r="D22" s="52" t="s">
        <v>30</v>
      </c>
      <c r="E22" s="52" t="s">
        <v>25</v>
      </c>
      <c r="F22" s="52" t="s">
        <v>25</v>
      </c>
      <c r="G22" s="36" t="s">
        <v>79</v>
      </c>
      <c r="H22" s="36" t="s">
        <v>73</v>
      </c>
      <c r="I22" s="36">
        <f>'MERCADO TUSD'!$U$19</f>
        <v>36.048999999999999</v>
      </c>
      <c r="J22" s="16"/>
      <c r="L22" s="17"/>
      <c r="M22" s="17"/>
      <c r="N22" s="17"/>
      <c r="O22" s="17"/>
      <c r="P22" s="17"/>
      <c r="Q22" s="17"/>
      <c r="R22" s="17"/>
      <c r="S22" s="17"/>
      <c r="T22" s="17"/>
      <c r="U22" s="17">
        <v>0</v>
      </c>
      <c r="V22" s="17">
        <v>0</v>
      </c>
      <c r="W22" s="17">
        <v>0</v>
      </c>
      <c r="X22" s="17">
        <v>0</v>
      </c>
      <c r="Y22" s="17">
        <f>(1 - CUSTOS!$M$25)*124.4062</f>
        <v>124.4062</v>
      </c>
      <c r="Z22" s="17">
        <v>0</v>
      </c>
      <c r="AA22" s="17">
        <v>0</v>
      </c>
      <c r="AB22" s="17"/>
      <c r="AC22" s="17">
        <f>(1 - CUSTOS!$M$25)*342.8049</f>
        <v>342.80489999999998</v>
      </c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P22" s="17">
        <f>IF((1 - CUSTOS!$M$25)&lt;&gt;0,1/(1 - CUSTOS!$M$25),1)</f>
        <v>1</v>
      </c>
    </row>
    <row r="23" spans="1:42" ht="11.25" customHeight="1" x14ac:dyDescent="0.25">
      <c r="A23" s="130"/>
      <c r="B23" s="130"/>
      <c r="C23" s="130"/>
      <c r="D23" s="52" t="s">
        <v>31</v>
      </c>
      <c r="E23" s="52" t="s">
        <v>25</v>
      </c>
      <c r="F23" s="52" t="s">
        <v>25</v>
      </c>
      <c r="G23" s="36" t="s">
        <v>79</v>
      </c>
      <c r="H23" s="36" t="s">
        <v>73</v>
      </c>
      <c r="I23" s="36">
        <f>'MERCADO TUSD'!$U$20</f>
        <v>32.835000000000001</v>
      </c>
      <c r="J23" s="16"/>
      <c r="L23" s="17"/>
      <c r="M23" s="17"/>
      <c r="N23" s="17"/>
      <c r="O23" s="17"/>
      <c r="P23" s="17"/>
      <c r="Q23" s="17"/>
      <c r="R23" s="17"/>
      <c r="S23" s="17"/>
      <c r="T23" s="17"/>
      <c r="U23" s="17">
        <v>0</v>
      </c>
      <c r="V23" s="17">
        <v>0</v>
      </c>
      <c r="W23" s="17">
        <v>0</v>
      </c>
      <c r="X23" s="17">
        <v>0</v>
      </c>
      <c r="Y23" s="17">
        <f>(1 - CUSTOS!$M$26)*124.4062</f>
        <v>124.4062</v>
      </c>
      <c r="Z23" s="17">
        <v>0</v>
      </c>
      <c r="AA23" s="17">
        <v>0</v>
      </c>
      <c r="AB23" s="17"/>
      <c r="AC23" s="17">
        <f>(1 - CUSTOS!$M$26)*342.8049</f>
        <v>342.80489999999998</v>
      </c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P23" s="17">
        <f>IF((1 - CUSTOS!$M$26)&lt;&gt;0,1/(1 - CUSTOS!$M$26),1)</f>
        <v>1</v>
      </c>
    </row>
    <row r="24" spans="1:42" ht="11.25" customHeight="1" x14ac:dyDescent="0.25">
      <c r="A24" s="130"/>
      <c r="B24" s="130"/>
      <c r="C24" s="130"/>
      <c r="D24" s="52" t="s">
        <v>32</v>
      </c>
      <c r="E24" s="52" t="s">
        <v>25</v>
      </c>
      <c r="F24" s="52" t="s">
        <v>25</v>
      </c>
      <c r="G24" s="36" t="s">
        <v>79</v>
      </c>
      <c r="H24" s="36" t="s">
        <v>73</v>
      </c>
      <c r="I24" s="36">
        <f>'MERCADO TUSD'!$U$21</f>
        <v>10.568</v>
      </c>
      <c r="J24" s="16"/>
      <c r="L24" s="17"/>
      <c r="M24" s="17"/>
      <c r="N24" s="17"/>
      <c r="O24" s="17"/>
      <c r="P24" s="17"/>
      <c r="Q24" s="17"/>
      <c r="R24" s="17"/>
      <c r="S24" s="17"/>
      <c r="T24" s="17"/>
      <c r="U24" s="17">
        <v>0</v>
      </c>
      <c r="V24" s="17">
        <v>0</v>
      </c>
      <c r="W24" s="17">
        <v>0</v>
      </c>
      <c r="X24" s="17">
        <v>0</v>
      </c>
      <c r="Y24" s="17">
        <f>(1 - CUSTOS!$M$27)*124.4062</f>
        <v>124.4062</v>
      </c>
      <c r="Z24" s="17">
        <v>0</v>
      </c>
      <c r="AA24" s="17">
        <v>0</v>
      </c>
      <c r="AB24" s="17"/>
      <c r="AC24" s="17">
        <f>(1 - CUSTOS!$M$27)*342.8049</f>
        <v>342.80489999999998</v>
      </c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P24" s="17">
        <f>IF((1 - CUSTOS!$M$27)&lt;&gt;0,1/(1 - CUSTOS!$M$27),1)</f>
        <v>1</v>
      </c>
    </row>
    <row r="25" spans="1:42" ht="11.25" customHeight="1" x14ac:dyDescent="0.25">
      <c r="A25" s="130"/>
      <c r="B25" s="130" t="s">
        <v>89</v>
      </c>
      <c r="C25" s="130" t="s">
        <v>24</v>
      </c>
      <c r="D25" s="52" t="s">
        <v>24</v>
      </c>
      <c r="E25" s="52" t="s">
        <v>25</v>
      </c>
      <c r="F25" s="52" t="s">
        <v>25</v>
      </c>
      <c r="G25" s="36" t="s">
        <v>79</v>
      </c>
      <c r="H25" s="36" t="s">
        <v>73</v>
      </c>
      <c r="I25" s="36">
        <f>'MERCADO TUSD'!$U$22</f>
        <v>0</v>
      </c>
      <c r="J25" s="16"/>
      <c r="L25" s="17"/>
      <c r="M25" s="17"/>
      <c r="N25" s="17"/>
      <c r="O25" s="17"/>
      <c r="P25" s="17"/>
      <c r="Q25" s="17"/>
      <c r="R25" s="17"/>
      <c r="S25" s="17"/>
      <c r="T25" s="17"/>
      <c r="U25" s="17">
        <v>0</v>
      </c>
      <c r="V25" s="17">
        <v>0</v>
      </c>
      <c r="W25" s="17">
        <v>0</v>
      </c>
      <c r="X25" s="17">
        <v>0</v>
      </c>
      <c r="Y25" s="17">
        <v>124.4062</v>
      </c>
      <c r="Z25" s="17">
        <v>0</v>
      </c>
      <c r="AA25" s="17">
        <v>0</v>
      </c>
      <c r="AB25" s="17"/>
      <c r="AC25" s="17">
        <v>342.80489999999998</v>
      </c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P25" s="17">
        <v>1</v>
      </c>
    </row>
    <row r="26" spans="1:42" ht="11.25" customHeight="1" x14ac:dyDescent="0.25">
      <c r="A26" s="130"/>
      <c r="B26" s="130"/>
      <c r="C26" s="130"/>
      <c r="D26" s="52" t="s">
        <v>29</v>
      </c>
      <c r="E26" s="52" t="s">
        <v>25</v>
      </c>
      <c r="F26" s="52" t="s">
        <v>25</v>
      </c>
      <c r="G26" s="36" t="s">
        <v>79</v>
      </c>
      <c r="H26" s="36" t="s">
        <v>73</v>
      </c>
      <c r="I26" s="36">
        <f>'MERCADO TUSD'!$U$23</f>
        <v>0</v>
      </c>
      <c r="J26" s="16"/>
      <c r="L26" s="17"/>
      <c r="M26" s="17"/>
      <c r="N26" s="17"/>
      <c r="O26" s="17"/>
      <c r="P26" s="17"/>
      <c r="Q26" s="17"/>
      <c r="R26" s="17"/>
      <c r="S26" s="17"/>
      <c r="T26" s="17"/>
      <c r="U26" s="17">
        <v>0</v>
      </c>
      <c r="V26" s="17">
        <v>0</v>
      </c>
      <c r="W26" s="17">
        <v>0</v>
      </c>
      <c r="X26" s="17">
        <v>0</v>
      </c>
      <c r="Y26" s="17">
        <f>(1 - CUSTOS!$M$24)*124.4062</f>
        <v>124.4062</v>
      </c>
      <c r="Z26" s="17">
        <v>0</v>
      </c>
      <c r="AA26" s="17">
        <v>0</v>
      </c>
      <c r="AB26" s="17"/>
      <c r="AC26" s="17">
        <f>(1 - CUSTOS!$M$24)*342.8049</f>
        <v>342.80489999999998</v>
      </c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P26" s="17">
        <f>IF((1 - CUSTOS!$M$24)&lt;&gt;0,1/(1 - CUSTOS!$M$24),1)</f>
        <v>1</v>
      </c>
    </row>
    <row r="27" spans="1:42" ht="11.25" customHeight="1" x14ac:dyDescent="0.25">
      <c r="A27" s="130"/>
      <c r="B27" s="130"/>
      <c r="C27" s="130"/>
      <c r="D27" s="52" t="s">
        <v>30</v>
      </c>
      <c r="E27" s="52" t="s">
        <v>25</v>
      </c>
      <c r="F27" s="52" t="s">
        <v>25</v>
      </c>
      <c r="G27" s="36" t="s">
        <v>79</v>
      </c>
      <c r="H27" s="36" t="s">
        <v>73</v>
      </c>
      <c r="I27" s="36">
        <f>'MERCADO TUSD'!$U$24</f>
        <v>0</v>
      </c>
      <c r="J27" s="16"/>
      <c r="L27" s="17"/>
      <c r="M27" s="17"/>
      <c r="N27" s="17"/>
      <c r="O27" s="17"/>
      <c r="P27" s="17"/>
      <c r="Q27" s="17"/>
      <c r="R27" s="17"/>
      <c r="S27" s="17"/>
      <c r="T27" s="17"/>
      <c r="U27" s="17">
        <v>0</v>
      </c>
      <c r="V27" s="17">
        <v>0</v>
      </c>
      <c r="W27" s="17">
        <v>0</v>
      </c>
      <c r="X27" s="17">
        <v>0</v>
      </c>
      <c r="Y27" s="17">
        <f>(1 - CUSTOS!$M$25)*124.4062</f>
        <v>124.4062</v>
      </c>
      <c r="Z27" s="17">
        <v>0</v>
      </c>
      <c r="AA27" s="17">
        <v>0</v>
      </c>
      <c r="AB27" s="17"/>
      <c r="AC27" s="17">
        <f>(1 - CUSTOS!$M$25)*342.8049</f>
        <v>342.80489999999998</v>
      </c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P27" s="17">
        <f>IF((1 - CUSTOS!$M$25)&lt;&gt;0,1/(1 - CUSTOS!$M$25),1)</f>
        <v>1</v>
      </c>
    </row>
    <row r="28" spans="1:42" ht="11.25" customHeight="1" x14ac:dyDescent="0.25">
      <c r="A28" s="130"/>
      <c r="B28" s="130"/>
      <c r="C28" s="130"/>
      <c r="D28" s="52" t="s">
        <v>31</v>
      </c>
      <c r="E28" s="52" t="s">
        <v>25</v>
      </c>
      <c r="F28" s="52" t="s">
        <v>25</v>
      </c>
      <c r="G28" s="36" t="s">
        <v>79</v>
      </c>
      <c r="H28" s="36" t="s">
        <v>73</v>
      </c>
      <c r="I28" s="36">
        <f>'MERCADO TUSD'!$U$25</f>
        <v>0</v>
      </c>
      <c r="J28" s="16"/>
      <c r="L28" s="17"/>
      <c r="M28" s="17"/>
      <c r="N28" s="17"/>
      <c r="O28" s="17"/>
      <c r="P28" s="17"/>
      <c r="Q28" s="17"/>
      <c r="R28" s="17"/>
      <c r="S28" s="17"/>
      <c r="T28" s="17"/>
      <c r="U28" s="17">
        <v>0</v>
      </c>
      <c r="V28" s="17">
        <v>0</v>
      </c>
      <c r="W28" s="17">
        <v>0</v>
      </c>
      <c r="X28" s="17">
        <v>0</v>
      </c>
      <c r="Y28" s="17">
        <f>(1 - CUSTOS!$M$26)*124.4062</f>
        <v>124.4062</v>
      </c>
      <c r="Z28" s="17">
        <v>0</v>
      </c>
      <c r="AA28" s="17">
        <v>0</v>
      </c>
      <c r="AB28" s="17"/>
      <c r="AC28" s="17">
        <f>(1 - CUSTOS!$M$26)*342.8049</f>
        <v>342.80489999999998</v>
      </c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P28" s="17">
        <f>IF((1 - CUSTOS!$M$26)&lt;&gt;0,1/(1 - CUSTOS!$M$26),1)</f>
        <v>1</v>
      </c>
    </row>
    <row r="29" spans="1:42" ht="11.25" customHeight="1" x14ac:dyDescent="0.25">
      <c r="A29" s="130"/>
      <c r="B29" s="130"/>
      <c r="C29" s="130"/>
      <c r="D29" s="52" t="s">
        <v>32</v>
      </c>
      <c r="E29" s="52" t="s">
        <v>25</v>
      </c>
      <c r="F29" s="52" t="s">
        <v>25</v>
      </c>
      <c r="G29" s="36" t="s">
        <v>79</v>
      </c>
      <c r="H29" s="36" t="s">
        <v>73</v>
      </c>
      <c r="I29" s="36">
        <f>'MERCADO TUSD'!$U$26</f>
        <v>0</v>
      </c>
      <c r="J29" s="16"/>
      <c r="L29" s="17"/>
      <c r="M29" s="17"/>
      <c r="N29" s="17"/>
      <c r="O29" s="17"/>
      <c r="P29" s="17"/>
      <c r="Q29" s="17"/>
      <c r="R29" s="17"/>
      <c r="S29" s="17"/>
      <c r="T29" s="17"/>
      <c r="U29" s="17">
        <v>0</v>
      </c>
      <c r="V29" s="17">
        <v>0</v>
      </c>
      <c r="W29" s="17">
        <v>0</v>
      </c>
      <c r="X29" s="17">
        <v>0</v>
      </c>
      <c r="Y29" s="17">
        <f>(1 - CUSTOS!$M$27)*124.4062</f>
        <v>124.4062</v>
      </c>
      <c r="Z29" s="17">
        <v>0</v>
      </c>
      <c r="AA29" s="17">
        <v>0</v>
      </c>
      <c r="AB29" s="17"/>
      <c r="AC29" s="17">
        <f>(1 - CUSTOS!$M$27)*342.8049</f>
        <v>342.80489999999998</v>
      </c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P29" s="17">
        <f>IF((1 - CUSTOS!$M$27)&lt;&gt;0,1/(1 - CUSTOS!$M$27),1)</f>
        <v>1</v>
      </c>
    </row>
    <row r="30" spans="1:42" ht="11.25" customHeight="1" x14ac:dyDescent="0.25">
      <c r="A30" s="130" t="s">
        <v>40</v>
      </c>
      <c r="B30" s="130" t="s">
        <v>87</v>
      </c>
      <c r="C30" s="130" t="s">
        <v>41</v>
      </c>
      <c r="D30" s="130" t="s">
        <v>25</v>
      </c>
      <c r="E30" s="130" t="s">
        <v>25</v>
      </c>
      <c r="F30" s="130" t="s">
        <v>25</v>
      </c>
      <c r="G30" s="36" t="s">
        <v>74</v>
      </c>
      <c r="H30" s="36" t="s">
        <v>73</v>
      </c>
      <c r="I30" s="36">
        <f>'MERCADO TUSD'!$U$27</f>
        <v>0</v>
      </c>
      <c r="J30" s="16"/>
      <c r="L30" s="17"/>
      <c r="M30" s="17"/>
      <c r="N30" s="17"/>
      <c r="O30" s="17"/>
      <c r="P30" s="17"/>
      <c r="Q30" s="17"/>
      <c r="R30" s="17"/>
      <c r="S30" s="17"/>
      <c r="T30" s="17"/>
      <c r="U30" s="17">
        <v>0</v>
      </c>
      <c r="V30" s="17">
        <v>0</v>
      </c>
      <c r="W30" s="17">
        <v>0</v>
      </c>
      <c r="X30" s="17">
        <v>0</v>
      </c>
      <c r="Y30" s="17">
        <f>(1 - CUSTOS!$M$28)*305.6906</f>
        <v>305.69060000000002</v>
      </c>
      <c r="Z30" s="17">
        <v>0</v>
      </c>
      <c r="AA30" s="17">
        <v>0</v>
      </c>
      <c r="AB30" s="17"/>
      <c r="AC30" s="17">
        <f>(1 - CUSTOS!$M$28)*842.2714</f>
        <v>842.27139999999997</v>
      </c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P30" s="17">
        <f>IF((1 - CUSTOS!$M$28)&lt;&gt;0,1/(1 - CUSTOS!$M$28),1)</f>
        <v>1</v>
      </c>
    </row>
    <row r="31" spans="1:42" ht="11.25" customHeight="1" x14ac:dyDescent="0.25">
      <c r="A31" s="130"/>
      <c r="B31" s="130"/>
      <c r="C31" s="130"/>
      <c r="D31" s="130"/>
      <c r="E31" s="130"/>
      <c r="F31" s="130"/>
      <c r="G31" s="36" t="s">
        <v>85</v>
      </c>
      <c r="H31" s="36" t="s">
        <v>73</v>
      </c>
      <c r="I31" s="36">
        <f>'MERCADO TUSD'!$U$28</f>
        <v>0</v>
      </c>
      <c r="J31" s="16"/>
      <c r="L31" s="17"/>
      <c r="M31" s="17"/>
      <c r="N31" s="17"/>
      <c r="O31" s="17"/>
      <c r="P31" s="17"/>
      <c r="Q31" s="17"/>
      <c r="R31" s="17"/>
      <c r="S31" s="17"/>
      <c r="T31" s="17"/>
      <c r="U31" s="17">
        <v>0</v>
      </c>
      <c r="V31" s="17">
        <v>0</v>
      </c>
      <c r="W31" s="17">
        <v>0</v>
      </c>
      <c r="X31" s="17">
        <v>0</v>
      </c>
      <c r="Y31" s="17">
        <f>(1 - CUSTOS!$M$28)*183.3873</f>
        <v>183.38730000000001</v>
      </c>
      <c r="Z31" s="17">
        <v>0</v>
      </c>
      <c r="AA31" s="17">
        <v>0</v>
      </c>
      <c r="AB31" s="17"/>
      <c r="AC31" s="17">
        <f>(1 - CUSTOS!$M$28)*505.363</f>
        <v>505.363</v>
      </c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P31" s="17">
        <f>IF((1 - CUSTOS!$M$28)&lt;&gt;0,1/(1 - CUSTOS!$M$28),1)</f>
        <v>1</v>
      </c>
    </row>
    <row r="32" spans="1:42" ht="11.25" customHeight="1" x14ac:dyDescent="0.25">
      <c r="A32" s="130"/>
      <c r="B32" s="130"/>
      <c r="C32" s="130"/>
      <c r="D32" s="130"/>
      <c r="E32" s="130"/>
      <c r="F32" s="130"/>
      <c r="G32" s="36" t="s">
        <v>75</v>
      </c>
      <c r="H32" s="36" t="s">
        <v>73</v>
      </c>
      <c r="I32" s="36">
        <f>'MERCADO TUSD'!$U$29</f>
        <v>0</v>
      </c>
      <c r="J32" s="16"/>
      <c r="L32" s="17"/>
      <c r="M32" s="17"/>
      <c r="N32" s="17"/>
      <c r="O32" s="17"/>
      <c r="P32" s="17"/>
      <c r="Q32" s="17"/>
      <c r="R32" s="17"/>
      <c r="S32" s="17"/>
      <c r="T32" s="17"/>
      <c r="U32" s="17">
        <v>0</v>
      </c>
      <c r="V32" s="17">
        <v>0</v>
      </c>
      <c r="W32" s="17">
        <v>0</v>
      </c>
      <c r="X32" s="17">
        <v>0</v>
      </c>
      <c r="Y32" s="17">
        <f>(1 - CUSTOS!$M$28)*61.1176</f>
        <v>61.117600000000003</v>
      </c>
      <c r="Z32" s="17">
        <v>0</v>
      </c>
      <c r="AA32" s="17">
        <v>0</v>
      </c>
      <c r="AB32" s="17"/>
      <c r="AC32" s="17">
        <f>(1 - CUSTOS!$M$28)*168.4543</f>
        <v>168.45429999999999</v>
      </c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P32" s="17">
        <f>IF((1 - CUSTOS!$M$28)&lt;&gt;0,1/(1 - CUSTOS!$M$28),1)</f>
        <v>1</v>
      </c>
    </row>
    <row r="33" spans="1:42" ht="11.25" customHeight="1" x14ac:dyDescent="0.25">
      <c r="A33" s="130"/>
      <c r="B33" s="52" t="s">
        <v>23</v>
      </c>
      <c r="C33" s="52" t="s">
        <v>41</v>
      </c>
      <c r="D33" s="52" t="s">
        <v>25</v>
      </c>
      <c r="E33" s="52" t="s">
        <v>25</v>
      </c>
      <c r="F33" s="52" t="s">
        <v>25</v>
      </c>
      <c r="G33" s="36" t="s">
        <v>79</v>
      </c>
      <c r="H33" s="36" t="s">
        <v>73</v>
      </c>
      <c r="I33" s="36">
        <f>'MERCADO TUSD'!$U$30</f>
        <v>55907.260999999999</v>
      </c>
      <c r="J33" s="16"/>
      <c r="L33" s="17"/>
      <c r="M33" s="17"/>
      <c r="N33" s="17"/>
      <c r="O33" s="17"/>
      <c r="P33" s="17"/>
      <c r="Q33" s="17"/>
      <c r="R33" s="17"/>
      <c r="S33" s="17"/>
      <c r="T33" s="17"/>
      <c r="U33" s="17">
        <v>0</v>
      </c>
      <c r="V33" s="17">
        <v>0</v>
      </c>
      <c r="W33" s="17">
        <v>0</v>
      </c>
      <c r="X33" s="17">
        <v>0</v>
      </c>
      <c r="Y33" s="17">
        <f>(1 - CUSTOS!$M$28)*124.4062</f>
        <v>124.4062</v>
      </c>
      <c r="Z33" s="17">
        <v>0</v>
      </c>
      <c r="AA33" s="17">
        <v>0</v>
      </c>
      <c r="AB33" s="17"/>
      <c r="AC33" s="17">
        <f>(1 - CUSTOS!$M$28)*342.8049</f>
        <v>342.80489999999998</v>
      </c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P33" s="17">
        <f>IF((1 - CUSTOS!$M$28)&lt;&gt;0,1/(1 - CUSTOS!$M$28),1)</f>
        <v>1</v>
      </c>
    </row>
    <row r="34" spans="1:42" ht="11.25" customHeight="1" x14ac:dyDescent="0.25">
      <c r="A34" s="130"/>
      <c r="B34" s="130" t="s">
        <v>87</v>
      </c>
      <c r="C34" s="130" t="s">
        <v>41</v>
      </c>
      <c r="D34" s="130" t="s">
        <v>90</v>
      </c>
      <c r="E34" s="130" t="s">
        <v>25</v>
      </c>
      <c r="F34" s="130" t="s">
        <v>25</v>
      </c>
      <c r="G34" s="36" t="s">
        <v>74</v>
      </c>
      <c r="H34" s="36" t="s">
        <v>73</v>
      </c>
      <c r="I34" s="36">
        <f>'MERCADO TUSD'!$U$31</f>
        <v>0</v>
      </c>
      <c r="J34" s="16"/>
      <c r="L34" s="17"/>
      <c r="M34" s="17"/>
      <c r="N34" s="17"/>
      <c r="O34" s="17"/>
      <c r="P34" s="17"/>
      <c r="Q34" s="17"/>
      <c r="R34" s="17"/>
      <c r="S34" s="17"/>
      <c r="T34" s="17"/>
      <c r="U34" s="17">
        <v>0</v>
      </c>
      <c r="V34" s="17">
        <v>0</v>
      </c>
      <c r="W34" s="17">
        <v>0</v>
      </c>
      <c r="X34" s="17">
        <v>0</v>
      </c>
      <c r="Y34" s="17">
        <f>(1 - CUSTOS!$M$29)*305.6906</f>
        <v>305.69060000000002</v>
      </c>
      <c r="Z34" s="17">
        <v>0</v>
      </c>
      <c r="AA34" s="17">
        <v>0</v>
      </c>
      <c r="AB34" s="17"/>
      <c r="AC34" s="17">
        <f>(1 - CUSTOS!$M$29)*842.2714</f>
        <v>842.27139999999997</v>
      </c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P34" s="17">
        <f>IF((1 - CUSTOS!$M$29)&lt;&gt;0,1/(1 - CUSTOS!$M$29),1)</f>
        <v>1</v>
      </c>
    </row>
    <row r="35" spans="1:42" ht="11.25" customHeight="1" x14ac:dyDescent="0.25">
      <c r="A35" s="130"/>
      <c r="B35" s="130"/>
      <c r="C35" s="130"/>
      <c r="D35" s="130"/>
      <c r="E35" s="130"/>
      <c r="F35" s="130"/>
      <c r="G35" s="36" t="s">
        <v>85</v>
      </c>
      <c r="H35" s="36" t="s">
        <v>73</v>
      </c>
      <c r="I35" s="36">
        <f>'MERCADO TUSD'!$U$32</f>
        <v>0</v>
      </c>
      <c r="J35" s="16"/>
      <c r="L35" s="17"/>
      <c r="M35" s="17"/>
      <c r="N35" s="17"/>
      <c r="O35" s="17"/>
      <c r="P35" s="17"/>
      <c r="Q35" s="17"/>
      <c r="R35" s="17"/>
      <c r="S35" s="17"/>
      <c r="T35" s="17"/>
      <c r="U35" s="17">
        <v>0</v>
      </c>
      <c r="V35" s="17">
        <v>0</v>
      </c>
      <c r="W35" s="17">
        <v>0</v>
      </c>
      <c r="X35" s="17">
        <v>0</v>
      </c>
      <c r="Y35" s="17">
        <f>(1 - CUSTOS!$M$29)*183.3873</f>
        <v>183.38730000000001</v>
      </c>
      <c r="Z35" s="17">
        <v>0</v>
      </c>
      <c r="AA35" s="17">
        <v>0</v>
      </c>
      <c r="AB35" s="17"/>
      <c r="AC35" s="17">
        <f>(1 - CUSTOS!$M$29)*505.363</f>
        <v>505.363</v>
      </c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P35" s="17">
        <f>IF((1 - CUSTOS!$M$29)&lt;&gt;0,1/(1 - CUSTOS!$M$29),1)</f>
        <v>1</v>
      </c>
    </row>
    <row r="36" spans="1:42" ht="11.25" customHeight="1" x14ac:dyDescent="0.25">
      <c r="A36" s="130"/>
      <c r="B36" s="130"/>
      <c r="C36" s="130"/>
      <c r="D36" s="130"/>
      <c r="E36" s="130"/>
      <c r="F36" s="130"/>
      <c r="G36" s="36" t="s">
        <v>75</v>
      </c>
      <c r="H36" s="36" t="s">
        <v>73</v>
      </c>
      <c r="I36" s="36">
        <f>'MERCADO TUSD'!$U$33</f>
        <v>0</v>
      </c>
      <c r="J36" s="16"/>
      <c r="L36" s="17"/>
      <c r="M36" s="17"/>
      <c r="N36" s="17"/>
      <c r="O36" s="17"/>
      <c r="P36" s="17"/>
      <c r="Q36" s="17"/>
      <c r="R36" s="17"/>
      <c r="S36" s="17"/>
      <c r="T36" s="17"/>
      <c r="U36" s="17">
        <v>0</v>
      </c>
      <c r="V36" s="17">
        <v>0</v>
      </c>
      <c r="W36" s="17">
        <v>0</v>
      </c>
      <c r="X36" s="17">
        <v>0</v>
      </c>
      <c r="Y36" s="17">
        <f>(1 - CUSTOS!$M$29)*61.1176</f>
        <v>61.117600000000003</v>
      </c>
      <c r="Z36" s="17">
        <v>0</v>
      </c>
      <c r="AA36" s="17">
        <v>0</v>
      </c>
      <c r="AB36" s="17"/>
      <c r="AC36" s="17">
        <f>(1 - CUSTOS!$M$29)*168.4543</f>
        <v>168.45429999999999</v>
      </c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P36" s="17">
        <f>IF((1 - CUSTOS!$M$29)&lt;&gt;0,1/(1 - CUSTOS!$M$29),1)</f>
        <v>1</v>
      </c>
    </row>
    <row r="37" spans="1:42" ht="11.25" customHeight="1" x14ac:dyDescent="0.25">
      <c r="A37" s="130"/>
      <c r="B37" s="52" t="s">
        <v>23</v>
      </c>
      <c r="C37" s="52" t="s">
        <v>41</v>
      </c>
      <c r="D37" s="52" t="s">
        <v>90</v>
      </c>
      <c r="E37" s="52" t="s">
        <v>25</v>
      </c>
      <c r="F37" s="52" t="s">
        <v>25</v>
      </c>
      <c r="G37" s="36" t="s">
        <v>79</v>
      </c>
      <c r="H37" s="36" t="s">
        <v>73</v>
      </c>
      <c r="I37" s="36">
        <f>'MERCADO TUSD'!$U$34</f>
        <v>0</v>
      </c>
      <c r="J37" s="16"/>
      <c r="L37" s="17"/>
      <c r="M37" s="17"/>
      <c r="N37" s="17"/>
      <c r="O37" s="17"/>
      <c r="P37" s="17"/>
      <c r="Q37" s="17"/>
      <c r="R37" s="17"/>
      <c r="S37" s="17"/>
      <c r="T37" s="17"/>
      <c r="U37" s="17">
        <v>0</v>
      </c>
      <c r="V37" s="17">
        <v>0</v>
      </c>
      <c r="W37" s="17">
        <v>0</v>
      </c>
      <c r="X37" s="17">
        <v>0</v>
      </c>
      <c r="Y37" s="17">
        <f>(1 - CUSTOS!$M$29)*124.4062</f>
        <v>124.4062</v>
      </c>
      <c r="Z37" s="17">
        <v>0</v>
      </c>
      <c r="AA37" s="17">
        <v>0</v>
      </c>
      <c r="AB37" s="17"/>
      <c r="AC37" s="17">
        <f>(1 - CUSTOS!$M$29)*342.8049</f>
        <v>342.80489999999998</v>
      </c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P37" s="17">
        <f>IF((1 - CUSTOS!$M$29)&lt;&gt;0,1/(1 - CUSTOS!$M$29),1)</f>
        <v>1</v>
      </c>
    </row>
    <row r="38" spans="1:42" ht="11.25" customHeight="1" x14ac:dyDescent="0.25">
      <c r="A38" s="130"/>
      <c r="B38" s="130" t="s">
        <v>87</v>
      </c>
      <c r="C38" s="130" t="s">
        <v>41</v>
      </c>
      <c r="D38" s="130" t="s">
        <v>91</v>
      </c>
      <c r="E38" s="130" t="s">
        <v>25</v>
      </c>
      <c r="F38" s="130" t="s">
        <v>25</v>
      </c>
      <c r="G38" s="36" t="s">
        <v>74</v>
      </c>
      <c r="H38" s="36" t="s">
        <v>73</v>
      </c>
      <c r="I38" s="36">
        <f>'MERCADO TUSD'!$U$35</f>
        <v>0</v>
      </c>
      <c r="J38" s="16"/>
      <c r="L38" s="17"/>
      <c r="M38" s="17"/>
      <c r="N38" s="17"/>
      <c r="O38" s="17"/>
      <c r="P38" s="17"/>
      <c r="Q38" s="17"/>
      <c r="R38" s="17"/>
      <c r="S38" s="17"/>
      <c r="T38" s="17"/>
      <c r="U38" s="17">
        <v>0</v>
      </c>
      <c r="V38" s="17">
        <v>0</v>
      </c>
      <c r="W38" s="17">
        <v>0</v>
      </c>
      <c r="X38" s="17">
        <v>0</v>
      </c>
      <c r="Y38" s="17">
        <f>(1 - CUSTOS!$M$30)*305.6906</f>
        <v>305.69060000000002</v>
      </c>
      <c r="Z38" s="17">
        <v>0</v>
      </c>
      <c r="AA38" s="17">
        <v>0</v>
      </c>
      <c r="AB38" s="17"/>
      <c r="AC38" s="17">
        <f>(1 - CUSTOS!$M$30)*842.2714</f>
        <v>842.27139999999997</v>
      </c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P38" s="17">
        <f>IF((1 - CUSTOS!$M$30)&lt;&gt;0,1/(1 - CUSTOS!$M$30),1)</f>
        <v>1</v>
      </c>
    </row>
    <row r="39" spans="1:42" ht="11.25" customHeight="1" x14ac:dyDescent="0.25">
      <c r="A39" s="130"/>
      <c r="B39" s="130"/>
      <c r="C39" s="130"/>
      <c r="D39" s="130"/>
      <c r="E39" s="130"/>
      <c r="F39" s="130"/>
      <c r="G39" s="36" t="s">
        <v>85</v>
      </c>
      <c r="H39" s="36" t="s">
        <v>73</v>
      </c>
      <c r="I39" s="36">
        <f>'MERCADO TUSD'!$U$36</f>
        <v>0</v>
      </c>
      <c r="J39" s="16"/>
      <c r="L39" s="17"/>
      <c r="M39" s="17"/>
      <c r="N39" s="17"/>
      <c r="O39" s="17"/>
      <c r="P39" s="17"/>
      <c r="Q39" s="17"/>
      <c r="R39" s="17"/>
      <c r="S39" s="17"/>
      <c r="T39" s="17"/>
      <c r="U39" s="17">
        <v>0</v>
      </c>
      <c r="V39" s="17">
        <v>0</v>
      </c>
      <c r="W39" s="17">
        <v>0</v>
      </c>
      <c r="X39" s="17">
        <v>0</v>
      </c>
      <c r="Y39" s="17">
        <f>(1 - CUSTOS!$M$30)*183.3873</f>
        <v>183.38730000000001</v>
      </c>
      <c r="Z39" s="17">
        <v>0</v>
      </c>
      <c r="AA39" s="17">
        <v>0</v>
      </c>
      <c r="AB39" s="17"/>
      <c r="AC39" s="17">
        <f>(1 - CUSTOS!$M$30)*505.363</f>
        <v>505.363</v>
      </c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P39" s="17">
        <f>IF((1 - CUSTOS!$M$30)&lt;&gt;0,1/(1 - CUSTOS!$M$30),1)</f>
        <v>1</v>
      </c>
    </row>
    <row r="40" spans="1:42" ht="11.25" customHeight="1" x14ac:dyDescent="0.25">
      <c r="A40" s="130"/>
      <c r="B40" s="130"/>
      <c r="C40" s="130"/>
      <c r="D40" s="130"/>
      <c r="E40" s="130"/>
      <c r="F40" s="130"/>
      <c r="G40" s="36" t="s">
        <v>75</v>
      </c>
      <c r="H40" s="36" t="s">
        <v>73</v>
      </c>
      <c r="I40" s="36">
        <f>'MERCADO TUSD'!$U$37</f>
        <v>0</v>
      </c>
      <c r="J40" s="16"/>
      <c r="L40" s="17"/>
      <c r="M40" s="17"/>
      <c r="N40" s="17"/>
      <c r="O40" s="17"/>
      <c r="P40" s="17"/>
      <c r="Q40" s="17"/>
      <c r="R40" s="17"/>
      <c r="S40" s="17"/>
      <c r="T40" s="17"/>
      <c r="U40" s="17">
        <v>0</v>
      </c>
      <c r="V40" s="17">
        <v>0</v>
      </c>
      <c r="W40" s="17">
        <v>0</v>
      </c>
      <c r="X40" s="17">
        <v>0</v>
      </c>
      <c r="Y40" s="17">
        <f>(1 - CUSTOS!$M$30)*61.1176</f>
        <v>61.117600000000003</v>
      </c>
      <c r="Z40" s="17">
        <v>0</v>
      </c>
      <c r="AA40" s="17">
        <v>0</v>
      </c>
      <c r="AB40" s="17"/>
      <c r="AC40" s="17">
        <f>(1 - CUSTOS!$M$30)*168.4543</f>
        <v>168.45429999999999</v>
      </c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P40" s="17">
        <f>IF((1 - CUSTOS!$M$30)&lt;&gt;0,1/(1 - CUSTOS!$M$30),1)</f>
        <v>1</v>
      </c>
    </row>
    <row r="41" spans="1:42" ht="11.25" customHeight="1" x14ac:dyDescent="0.25">
      <c r="A41" s="130"/>
      <c r="B41" s="52" t="s">
        <v>23</v>
      </c>
      <c r="C41" s="52" t="s">
        <v>41</v>
      </c>
      <c r="D41" s="52" t="s">
        <v>91</v>
      </c>
      <c r="E41" s="52" t="s">
        <v>25</v>
      </c>
      <c r="F41" s="52" t="s">
        <v>25</v>
      </c>
      <c r="G41" s="36" t="s">
        <v>79</v>
      </c>
      <c r="H41" s="36" t="s">
        <v>73</v>
      </c>
      <c r="I41" s="36">
        <f>'MERCADO TUSD'!$U$38</f>
        <v>0</v>
      </c>
      <c r="J41" s="16"/>
      <c r="L41" s="17"/>
      <c r="M41" s="17"/>
      <c r="N41" s="17"/>
      <c r="O41" s="17"/>
      <c r="P41" s="17"/>
      <c r="Q41" s="17"/>
      <c r="R41" s="17"/>
      <c r="S41" s="17"/>
      <c r="T41" s="17"/>
      <c r="U41" s="17">
        <v>0</v>
      </c>
      <c r="V41" s="17">
        <v>0</v>
      </c>
      <c r="W41" s="17">
        <v>0</v>
      </c>
      <c r="X41" s="17">
        <v>0</v>
      </c>
      <c r="Y41" s="17">
        <f>(1 - CUSTOS!$M$30)*124.4062</f>
        <v>124.4062</v>
      </c>
      <c r="Z41" s="17">
        <v>0</v>
      </c>
      <c r="AA41" s="17">
        <v>0</v>
      </c>
      <c r="AB41" s="17"/>
      <c r="AC41" s="17">
        <f>(1 - CUSTOS!$M$30)*342.8049</f>
        <v>342.80489999999998</v>
      </c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P41" s="17">
        <f>IF((1 - CUSTOS!$M$30)&lt;&gt;0,1/(1 - CUSTOS!$M$30),1)</f>
        <v>1</v>
      </c>
    </row>
    <row r="42" spans="1:42" ht="11.25" customHeight="1" x14ac:dyDescent="0.25">
      <c r="A42" s="130"/>
      <c r="B42" s="130" t="s">
        <v>89</v>
      </c>
      <c r="C42" s="130" t="s">
        <v>41</v>
      </c>
      <c r="D42" s="52" t="s">
        <v>25</v>
      </c>
      <c r="E42" s="52" t="s">
        <v>25</v>
      </c>
      <c r="F42" s="52" t="s">
        <v>25</v>
      </c>
      <c r="G42" s="36" t="s">
        <v>79</v>
      </c>
      <c r="H42" s="36" t="s">
        <v>73</v>
      </c>
      <c r="I42" s="36">
        <f>'MERCADO TUSD'!$U$39</f>
        <v>0</v>
      </c>
      <c r="J42" s="16"/>
      <c r="L42" s="17"/>
      <c r="M42" s="17"/>
      <c r="N42" s="17"/>
      <c r="O42" s="17"/>
      <c r="P42" s="17"/>
      <c r="Q42" s="17"/>
      <c r="R42" s="17"/>
      <c r="S42" s="17"/>
      <c r="T42" s="17"/>
      <c r="U42" s="17">
        <v>0</v>
      </c>
      <c r="V42" s="17">
        <v>0</v>
      </c>
      <c r="W42" s="17">
        <v>0</v>
      </c>
      <c r="X42" s="17">
        <v>0</v>
      </c>
      <c r="Y42" s="17">
        <f>(1 - CUSTOS!$M$28)*124.4062</f>
        <v>124.4062</v>
      </c>
      <c r="Z42" s="17">
        <v>0</v>
      </c>
      <c r="AA42" s="17">
        <v>0</v>
      </c>
      <c r="AB42" s="17"/>
      <c r="AC42" s="17">
        <f>(1 - CUSTOS!$M$28)*342.8049</f>
        <v>342.80489999999998</v>
      </c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P42" s="17">
        <f>IF((1 - CUSTOS!$M$28)&lt;&gt;0,1/(1 - CUSTOS!$M$28),1)</f>
        <v>1</v>
      </c>
    </row>
    <row r="43" spans="1:42" ht="11.25" customHeight="1" x14ac:dyDescent="0.25">
      <c r="A43" s="130"/>
      <c r="B43" s="130"/>
      <c r="C43" s="130"/>
      <c r="D43" s="52" t="s">
        <v>90</v>
      </c>
      <c r="E43" s="52" t="s">
        <v>25</v>
      </c>
      <c r="F43" s="52" t="s">
        <v>25</v>
      </c>
      <c r="G43" s="36" t="s">
        <v>79</v>
      </c>
      <c r="H43" s="36" t="s">
        <v>73</v>
      </c>
      <c r="I43" s="36">
        <f>'MERCADO TUSD'!$U$40</f>
        <v>0</v>
      </c>
      <c r="J43" s="16"/>
      <c r="L43" s="17"/>
      <c r="M43" s="17"/>
      <c r="N43" s="17"/>
      <c r="O43" s="17"/>
      <c r="P43" s="17"/>
      <c r="Q43" s="17"/>
      <c r="R43" s="17"/>
      <c r="S43" s="17"/>
      <c r="T43" s="17"/>
      <c r="U43" s="17">
        <v>0</v>
      </c>
      <c r="V43" s="17">
        <v>0</v>
      </c>
      <c r="W43" s="17">
        <v>0</v>
      </c>
      <c r="X43" s="17">
        <v>0</v>
      </c>
      <c r="Y43" s="17">
        <f>(1 - CUSTOS!$M$29)*124.4062</f>
        <v>124.4062</v>
      </c>
      <c r="Z43" s="17">
        <v>0</v>
      </c>
      <c r="AA43" s="17">
        <v>0</v>
      </c>
      <c r="AB43" s="17"/>
      <c r="AC43" s="17">
        <f>(1 - CUSTOS!$M$29)*342.8049</f>
        <v>342.80489999999998</v>
      </c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P43" s="17">
        <f>IF((1 - CUSTOS!$M$29)&lt;&gt;0,1/(1 - CUSTOS!$M$29),1)</f>
        <v>1</v>
      </c>
    </row>
    <row r="44" spans="1:42" ht="11.25" customHeight="1" x14ac:dyDescent="0.25">
      <c r="A44" s="130"/>
      <c r="B44" s="130"/>
      <c r="C44" s="130"/>
      <c r="D44" s="52" t="s">
        <v>91</v>
      </c>
      <c r="E44" s="52" t="s">
        <v>25</v>
      </c>
      <c r="F44" s="52" t="s">
        <v>25</v>
      </c>
      <c r="G44" s="36" t="s">
        <v>79</v>
      </c>
      <c r="H44" s="36" t="s">
        <v>73</v>
      </c>
      <c r="I44" s="36">
        <f>'MERCADO TUSD'!$U$41</f>
        <v>0</v>
      </c>
      <c r="J44" s="16"/>
      <c r="L44" s="17"/>
      <c r="M44" s="17"/>
      <c r="N44" s="17"/>
      <c r="O44" s="17"/>
      <c r="P44" s="17"/>
      <c r="Q44" s="17"/>
      <c r="R44" s="17"/>
      <c r="S44" s="17"/>
      <c r="T44" s="17"/>
      <c r="U44" s="17">
        <v>0</v>
      </c>
      <c r="V44" s="17">
        <v>0</v>
      </c>
      <c r="W44" s="17">
        <v>0</v>
      </c>
      <c r="X44" s="17">
        <v>0</v>
      </c>
      <c r="Y44" s="17">
        <f>(1 - CUSTOS!$M$30)*124.4062</f>
        <v>124.4062</v>
      </c>
      <c r="Z44" s="17">
        <v>0</v>
      </c>
      <c r="AA44" s="17">
        <v>0</v>
      </c>
      <c r="AB44" s="17"/>
      <c r="AC44" s="17">
        <f>(1 - CUSTOS!$M$30)*342.8049</f>
        <v>342.80489999999998</v>
      </c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P44" s="17">
        <f>IF((1 - CUSTOS!$M$30)&lt;&gt;0,1/(1 - CUSTOS!$M$30),1)</f>
        <v>1</v>
      </c>
    </row>
    <row r="45" spans="1:42" ht="11.25" customHeight="1" x14ac:dyDescent="0.25">
      <c r="A45" s="130" t="s">
        <v>37</v>
      </c>
      <c r="B45" s="130" t="s">
        <v>87</v>
      </c>
      <c r="C45" s="130" t="s">
        <v>25</v>
      </c>
      <c r="D45" s="130" t="s">
        <v>25</v>
      </c>
      <c r="E45" s="130" t="s">
        <v>25</v>
      </c>
      <c r="F45" s="130" t="s">
        <v>25</v>
      </c>
      <c r="G45" s="36" t="s">
        <v>74</v>
      </c>
      <c r="H45" s="36" t="s">
        <v>73</v>
      </c>
      <c r="I45" s="36">
        <f>'MERCADO TUSD'!$U$42</f>
        <v>0</v>
      </c>
      <c r="J45" s="16"/>
      <c r="L45" s="17"/>
      <c r="M45" s="17"/>
      <c r="N45" s="17"/>
      <c r="O45" s="17"/>
      <c r="P45" s="17"/>
      <c r="Q45" s="17"/>
      <c r="R45" s="17"/>
      <c r="S45" s="17"/>
      <c r="T45" s="17"/>
      <c r="U45" s="17">
        <v>0</v>
      </c>
      <c r="V45" s="17">
        <v>0</v>
      </c>
      <c r="W45" s="17">
        <v>0</v>
      </c>
      <c r="X45" s="17">
        <v>0</v>
      </c>
      <c r="Y45" s="17">
        <f>(1 - CUSTOS!$M$31)*406.4216</f>
        <v>406.42160000000001</v>
      </c>
      <c r="Z45" s="17">
        <v>0</v>
      </c>
      <c r="AA45" s="17">
        <v>0</v>
      </c>
      <c r="AB45" s="17"/>
      <c r="AC45" s="17">
        <f>(1 - CUSTOS!$M$31)*1119.9432</f>
        <v>1119.9431999999999</v>
      </c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P45" s="17">
        <f>IF((1 - CUSTOS!$M$31)&lt;&gt;0,1/(1 - CUSTOS!$M$31),1)</f>
        <v>1</v>
      </c>
    </row>
    <row r="46" spans="1:42" ht="11.25" customHeight="1" x14ac:dyDescent="0.25">
      <c r="A46" s="130"/>
      <c r="B46" s="130"/>
      <c r="C46" s="130"/>
      <c r="D46" s="130"/>
      <c r="E46" s="130"/>
      <c r="F46" s="130"/>
      <c r="G46" s="36" t="s">
        <v>85</v>
      </c>
      <c r="H46" s="36" t="s">
        <v>73</v>
      </c>
      <c r="I46" s="36">
        <f>'MERCADO TUSD'!$U$43</f>
        <v>0</v>
      </c>
      <c r="J46" s="16"/>
      <c r="L46" s="17"/>
      <c r="M46" s="17"/>
      <c r="N46" s="17"/>
      <c r="O46" s="17"/>
      <c r="P46" s="17"/>
      <c r="Q46" s="17"/>
      <c r="R46" s="17"/>
      <c r="S46" s="17"/>
      <c r="T46" s="17"/>
      <c r="U46" s="17">
        <v>0</v>
      </c>
      <c r="V46" s="17">
        <v>0</v>
      </c>
      <c r="W46" s="17">
        <v>0</v>
      </c>
      <c r="X46" s="17">
        <v>0</v>
      </c>
      <c r="Y46" s="17">
        <f>(1 - CUSTOS!$M$31)*243.8394</f>
        <v>243.83940000000001</v>
      </c>
      <c r="Z46" s="17">
        <v>0</v>
      </c>
      <c r="AA46" s="17">
        <v>0</v>
      </c>
      <c r="AB46" s="17"/>
      <c r="AC46" s="17">
        <f>(1 - CUSTOS!$M$31)*671.9658</f>
        <v>671.96579999999994</v>
      </c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P46" s="17">
        <f>IF((1 - CUSTOS!$M$31)&lt;&gt;0,1/(1 - CUSTOS!$M$31),1)</f>
        <v>1</v>
      </c>
    </row>
    <row r="47" spans="1:42" ht="11.25" customHeight="1" x14ac:dyDescent="0.25">
      <c r="A47" s="130"/>
      <c r="B47" s="130"/>
      <c r="C47" s="130"/>
      <c r="D47" s="130"/>
      <c r="E47" s="130"/>
      <c r="F47" s="130"/>
      <c r="G47" s="36" t="s">
        <v>75</v>
      </c>
      <c r="H47" s="36" t="s">
        <v>73</v>
      </c>
      <c r="I47" s="36">
        <f>'MERCADO TUSD'!$U$44</f>
        <v>0</v>
      </c>
      <c r="J47" s="16"/>
      <c r="L47" s="17"/>
      <c r="M47" s="17"/>
      <c r="N47" s="17"/>
      <c r="O47" s="17"/>
      <c r="P47" s="17"/>
      <c r="Q47" s="17"/>
      <c r="R47" s="17"/>
      <c r="S47" s="17"/>
      <c r="T47" s="17"/>
      <c r="U47" s="17">
        <v>0</v>
      </c>
      <c r="V47" s="17">
        <v>0</v>
      </c>
      <c r="W47" s="17">
        <v>0</v>
      </c>
      <c r="X47" s="17">
        <v>0</v>
      </c>
      <c r="Y47" s="17">
        <f>(1 - CUSTOS!$M$31)*81.2576</f>
        <v>81.257599999999996</v>
      </c>
      <c r="Z47" s="17">
        <v>0</v>
      </c>
      <c r="AA47" s="17">
        <v>0</v>
      </c>
      <c r="AB47" s="17"/>
      <c r="AC47" s="17">
        <f>(1 - CUSTOS!$M$31)*223.9885</f>
        <v>223.98849999999999</v>
      </c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P47" s="17">
        <f>IF((1 - CUSTOS!$M$31)&lt;&gt;0,1/(1 - CUSTOS!$M$31),1)</f>
        <v>1</v>
      </c>
    </row>
    <row r="48" spans="1:42" ht="11.25" customHeight="1" x14ac:dyDescent="0.25">
      <c r="A48" s="130"/>
      <c r="B48" s="52" t="s">
        <v>23</v>
      </c>
      <c r="C48" s="52" t="s">
        <v>25</v>
      </c>
      <c r="D48" s="52" t="s">
        <v>25</v>
      </c>
      <c r="E48" s="52" t="s">
        <v>25</v>
      </c>
      <c r="F48" s="52" t="s">
        <v>25</v>
      </c>
      <c r="G48" s="36" t="s">
        <v>79</v>
      </c>
      <c r="H48" s="36" t="s">
        <v>73</v>
      </c>
      <c r="I48" s="36">
        <f>'MERCADO TUSD'!$U$45</f>
        <v>9351.1280000000006</v>
      </c>
      <c r="J48" s="16"/>
      <c r="L48" s="17"/>
      <c r="M48" s="17"/>
      <c r="N48" s="17"/>
      <c r="O48" s="17"/>
      <c r="P48" s="17"/>
      <c r="Q48" s="17"/>
      <c r="R48" s="17"/>
      <c r="S48" s="17"/>
      <c r="T48" s="17"/>
      <c r="U48" s="17">
        <v>0</v>
      </c>
      <c r="V48" s="17">
        <v>0</v>
      </c>
      <c r="W48" s="17">
        <v>0</v>
      </c>
      <c r="X48" s="17">
        <v>0</v>
      </c>
      <c r="Y48" s="17">
        <f>(1 - CUSTOS!$M$31)*124.4062</f>
        <v>124.4062</v>
      </c>
      <c r="Z48" s="17">
        <v>0</v>
      </c>
      <c r="AA48" s="17">
        <v>0</v>
      </c>
      <c r="AB48" s="17"/>
      <c r="AC48" s="17">
        <f>(1 - CUSTOS!$M$31)*342.8049</f>
        <v>342.80489999999998</v>
      </c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P48" s="17">
        <f>IF((1 - CUSTOS!$M$31)&lt;&gt;0,1/(1 - CUSTOS!$M$31),1)</f>
        <v>1</v>
      </c>
    </row>
    <row r="49" spans="1:42" ht="11.25" customHeight="1" x14ac:dyDescent="0.25">
      <c r="A49" s="130"/>
      <c r="B49" s="52" t="s">
        <v>89</v>
      </c>
      <c r="C49" s="52" t="s">
        <v>25</v>
      </c>
      <c r="D49" s="52" t="s">
        <v>25</v>
      </c>
      <c r="E49" s="52" t="s">
        <v>25</v>
      </c>
      <c r="F49" s="52" t="s">
        <v>25</v>
      </c>
      <c r="G49" s="36" t="s">
        <v>79</v>
      </c>
      <c r="H49" s="36" t="s">
        <v>73</v>
      </c>
      <c r="I49" s="36">
        <f>'MERCADO TUSD'!$U$46</f>
        <v>0</v>
      </c>
      <c r="J49" s="16"/>
      <c r="L49" s="17"/>
      <c r="M49" s="17"/>
      <c r="N49" s="17"/>
      <c r="O49" s="17"/>
      <c r="P49" s="17"/>
      <c r="Q49" s="17"/>
      <c r="R49" s="17"/>
      <c r="S49" s="17"/>
      <c r="T49" s="17"/>
      <c r="U49" s="17">
        <v>0</v>
      </c>
      <c r="V49" s="17">
        <v>0</v>
      </c>
      <c r="W49" s="17">
        <v>0</v>
      </c>
      <c r="X49" s="17">
        <v>0</v>
      </c>
      <c r="Y49" s="17">
        <f>(1 - CUSTOS!$M$31)*124.4062</f>
        <v>124.4062</v>
      </c>
      <c r="Z49" s="17">
        <v>0</v>
      </c>
      <c r="AA49" s="17">
        <v>0</v>
      </c>
      <c r="AB49" s="17"/>
      <c r="AC49" s="17">
        <f>(1 - CUSTOS!$M$31)*342.8049</f>
        <v>342.80489999999998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P49" s="17">
        <f>IF((1 - CUSTOS!$M$31)&lt;&gt;0,1/(1 - CUSTOS!$M$31),1)</f>
        <v>1</v>
      </c>
    </row>
    <row r="50" spans="1:42" ht="11.25" customHeight="1" x14ac:dyDescent="0.25">
      <c r="A50" s="130" t="s">
        <v>44</v>
      </c>
      <c r="B50" s="130" t="s">
        <v>23</v>
      </c>
      <c r="C50" s="130" t="s">
        <v>45</v>
      </c>
      <c r="D50" s="52" t="s">
        <v>46</v>
      </c>
      <c r="E50" s="52" t="s">
        <v>25</v>
      </c>
      <c r="F50" s="52" t="s">
        <v>25</v>
      </c>
      <c r="G50" s="36" t="s">
        <v>79</v>
      </c>
      <c r="H50" s="36" t="s">
        <v>73</v>
      </c>
      <c r="I50" s="36">
        <f>'MERCADO TUSD'!$U$47</f>
        <v>121.60999999999999</v>
      </c>
      <c r="J50" s="16"/>
      <c r="L50" s="17"/>
      <c r="M50" s="17"/>
      <c r="N50" s="17"/>
      <c r="O50" s="17"/>
      <c r="P50" s="17"/>
      <c r="Q50" s="17"/>
      <c r="R50" s="17"/>
      <c r="S50" s="17"/>
      <c r="T50" s="17"/>
      <c r="U50" s="17">
        <v>0</v>
      </c>
      <c r="V50" s="17">
        <v>0</v>
      </c>
      <c r="W50" s="17">
        <v>0</v>
      </c>
      <c r="X50" s="17">
        <v>0</v>
      </c>
      <c r="Y50" s="17">
        <f>(1 - CUSTOS!$M$32)*124.4062</f>
        <v>68.423410000000004</v>
      </c>
      <c r="Z50" s="17">
        <v>0</v>
      </c>
      <c r="AA50" s="17">
        <v>0</v>
      </c>
      <c r="AB50" s="17"/>
      <c r="AC50" s="17">
        <f>(1 - CUSTOS!$M$32)*342.8049</f>
        <v>188.54269500000001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P50" s="17">
        <f>IF((1 - CUSTOS!$M$32)&lt;&gt;0,1/(1 - CUSTOS!$M$32),1)</f>
        <v>1.8181818181818181</v>
      </c>
    </row>
    <row r="51" spans="1:42" ht="11.25" customHeight="1" x14ac:dyDescent="0.25">
      <c r="A51" s="130"/>
      <c r="B51" s="130"/>
      <c r="C51" s="130"/>
      <c r="D51" s="36" t="s">
        <v>47</v>
      </c>
      <c r="E51" s="36" t="s">
        <v>25</v>
      </c>
      <c r="F51" s="36" t="s">
        <v>25</v>
      </c>
      <c r="G51" s="36" t="s">
        <v>79</v>
      </c>
      <c r="H51" s="36" t="s">
        <v>73</v>
      </c>
      <c r="I51" s="36">
        <f>'MERCADO TUSD'!$U$48</f>
        <v>2220.8670000000002</v>
      </c>
      <c r="J51" s="16"/>
      <c r="L51" s="17"/>
      <c r="M51" s="17"/>
      <c r="N51" s="17"/>
      <c r="O51" s="17"/>
      <c r="P51" s="17"/>
      <c r="Q51" s="17"/>
      <c r="R51" s="17"/>
      <c r="S51" s="17"/>
      <c r="T51" s="17"/>
      <c r="U51" s="17">
        <v>0</v>
      </c>
      <c r="V51" s="17">
        <v>0</v>
      </c>
      <c r="W51" s="17">
        <v>0</v>
      </c>
      <c r="X51" s="17">
        <v>0</v>
      </c>
      <c r="Y51" s="17">
        <f>(1 - CUSTOS!$M$33)*124.4062</f>
        <v>74.643720000000002</v>
      </c>
      <c r="Z51" s="17">
        <v>0</v>
      </c>
      <c r="AA51" s="17">
        <v>0</v>
      </c>
      <c r="AB51" s="17"/>
      <c r="AC51" s="17">
        <f>(1 - CUSTOS!$M$33)*342.8049</f>
        <v>205.68293999999997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P51" s="17">
        <f>IF((1 - CUSTOS!$M$33)&lt;&gt;0,1/(1 - CUSTOS!$M$33),1)</f>
        <v>1.6666666666666667</v>
      </c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1BAB4-E776-44A4-9034-3E2333EEC05B}">
  <sheetPr codeName="Planilha8"/>
  <dimension ref="A1:AP70"/>
  <sheetViews>
    <sheetView showGridLines="0" topLeftCell="C38" workbookViewId="0">
      <selection activeCell="K62" sqref="K62:P62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10" style="9" bestFit="1" customWidth="1"/>
    <col min="32" max="32" width="7.28515625" style="9" bestFit="1" customWidth="1"/>
    <col min="33" max="33" width="10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1" t="s">
        <v>63</v>
      </c>
      <c r="B1" s="131" t="s">
        <v>64</v>
      </c>
      <c r="C1" s="131" t="s">
        <v>65</v>
      </c>
      <c r="D1" s="131" t="s">
        <v>66</v>
      </c>
      <c r="E1" s="131" t="s">
        <v>67</v>
      </c>
      <c r="F1" s="131" t="s">
        <v>15</v>
      </c>
      <c r="G1" s="131" t="s">
        <v>69</v>
      </c>
      <c r="H1" s="131" t="s">
        <v>70</v>
      </c>
      <c r="I1" s="131" t="s">
        <v>488</v>
      </c>
      <c r="J1" s="124"/>
      <c r="L1" s="132" t="s">
        <v>489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P1" s="132" t="s">
        <v>490</v>
      </c>
    </row>
    <row r="2" spans="1:42" ht="11.25" customHeight="1" x14ac:dyDescent="0.25">
      <c r="A2" s="131"/>
      <c r="B2" s="131"/>
      <c r="C2" s="131"/>
      <c r="D2" s="131"/>
      <c r="E2" s="131"/>
      <c r="F2" s="131"/>
      <c r="G2" s="131"/>
      <c r="H2" s="131"/>
      <c r="I2" s="131"/>
      <c r="J2" s="124"/>
      <c r="L2" s="132" t="s">
        <v>399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P2" s="133"/>
    </row>
    <row r="3" spans="1:42" ht="11.25" customHeight="1" x14ac:dyDescent="0.25">
      <c r="A3" s="131"/>
      <c r="B3" s="131"/>
      <c r="C3" s="131"/>
      <c r="D3" s="131"/>
      <c r="E3" s="131"/>
      <c r="F3" s="131"/>
      <c r="G3" s="131"/>
      <c r="H3" s="131"/>
      <c r="I3" s="131"/>
      <c r="J3" s="124"/>
      <c r="L3" s="132" t="s">
        <v>400</v>
      </c>
      <c r="M3" s="132"/>
      <c r="N3" s="132"/>
      <c r="O3" s="132"/>
      <c r="P3" s="132"/>
      <c r="Q3" s="132"/>
      <c r="R3" s="132"/>
      <c r="S3" s="132"/>
      <c r="T3" s="132"/>
      <c r="U3" s="132" t="s">
        <v>409</v>
      </c>
      <c r="V3" s="132"/>
      <c r="W3" s="132"/>
      <c r="X3" s="132"/>
      <c r="Y3" s="132"/>
      <c r="Z3" s="132"/>
      <c r="AA3" s="132"/>
      <c r="AB3" s="132"/>
      <c r="AC3" s="132" t="s">
        <v>417</v>
      </c>
      <c r="AD3" s="132"/>
      <c r="AE3" s="132" t="s">
        <v>419</v>
      </c>
      <c r="AF3" s="132"/>
      <c r="AG3" s="132"/>
      <c r="AH3" s="132" t="s">
        <v>422</v>
      </c>
      <c r="AI3" s="132"/>
      <c r="AJ3" s="132"/>
      <c r="AK3" s="132"/>
      <c r="AL3" s="132"/>
      <c r="AM3" s="132" t="s">
        <v>408</v>
      </c>
      <c r="AP3" s="133"/>
    </row>
    <row r="4" spans="1:42" ht="11.25" customHeight="1" x14ac:dyDescent="0.25">
      <c r="A4" s="131"/>
      <c r="B4" s="131"/>
      <c r="C4" s="131"/>
      <c r="D4" s="131"/>
      <c r="E4" s="131"/>
      <c r="F4" s="131"/>
      <c r="G4" s="131"/>
      <c r="H4" s="131"/>
      <c r="I4" s="131"/>
      <c r="J4" s="124"/>
      <c r="L4" s="34" t="s">
        <v>484</v>
      </c>
      <c r="M4" s="34" t="s">
        <v>401</v>
      </c>
      <c r="N4" s="34" t="s">
        <v>402</v>
      </c>
      <c r="O4" s="34" t="s">
        <v>403</v>
      </c>
      <c r="P4" s="34" t="s">
        <v>404</v>
      </c>
      <c r="Q4" s="34" t="s">
        <v>405</v>
      </c>
      <c r="R4" s="34" t="s">
        <v>406</v>
      </c>
      <c r="S4" s="34" t="s">
        <v>407</v>
      </c>
      <c r="T4" s="34" t="s">
        <v>408</v>
      </c>
      <c r="U4" s="34" t="s">
        <v>410</v>
      </c>
      <c r="V4" s="34" t="s">
        <v>411</v>
      </c>
      <c r="W4" s="34" t="s">
        <v>412</v>
      </c>
      <c r="X4" s="34" t="s">
        <v>413</v>
      </c>
      <c r="Y4" s="34" t="s">
        <v>414</v>
      </c>
      <c r="Z4" s="34" t="s">
        <v>415</v>
      </c>
      <c r="AA4" s="34" t="s">
        <v>416</v>
      </c>
      <c r="AB4" s="34" t="s">
        <v>408</v>
      </c>
      <c r="AC4" s="34" t="s">
        <v>418</v>
      </c>
      <c r="AD4" s="34" t="s">
        <v>408</v>
      </c>
      <c r="AE4" s="34" t="s">
        <v>420</v>
      </c>
      <c r="AF4" s="34" t="s">
        <v>421</v>
      </c>
      <c r="AG4" s="34" t="s">
        <v>408</v>
      </c>
      <c r="AH4" s="34" t="s">
        <v>423</v>
      </c>
      <c r="AI4" s="34" t="s">
        <v>424</v>
      </c>
      <c r="AJ4" s="34" t="s">
        <v>425</v>
      </c>
      <c r="AK4" s="34" t="s">
        <v>426</v>
      </c>
      <c r="AL4" s="34" t="s">
        <v>408</v>
      </c>
      <c r="AM4" s="134"/>
      <c r="AP4" s="133"/>
    </row>
    <row r="5" spans="1:42" ht="11.25" customHeight="1" x14ac:dyDescent="0.25">
      <c r="A5" s="130" t="s">
        <v>33</v>
      </c>
      <c r="B5" s="130" t="s">
        <v>43</v>
      </c>
      <c r="C5" s="130" t="s">
        <v>25</v>
      </c>
      <c r="D5" s="130" t="s">
        <v>25</v>
      </c>
      <c r="E5" s="130" t="s">
        <v>25</v>
      </c>
      <c r="F5" s="130" t="s">
        <v>25</v>
      </c>
      <c r="G5" s="36" t="s">
        <v>77</v>
      </c>
      <c r="H5" s="36" t="s">
        <v>76</v>
      </c>
      <c r="I5" s="36">
        <f>'MERCADO TUSD'!$U$2</f>
        <v>1679</v>
      </c>
      <c r="J5" s="16"/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/>
      <c r="U5" s="17">
        <f>TRANSICAO!$U$5*CUSTOS!$R$3</f>
        <v>0</v>
      </c>
      <c r="V5" s="17">
        <f>TRANSICAO!$V$5*CUSTOS!$R$3</f>
        <v>0</v>
      </c>
      <c r="W5" s="17">
        <f>TRANSICAO!$W$5*CUSTOS!$R$3</f>
        <v>0</v>
      </c>
      <c r="X5" s="17">
        <f>TRANSICAO!$X$5*CUSTOS!$R$3</f>
        <v>0</v>
      </c>
      <c r="Y5" s="17">
        <f>TRANSICAO!$Y$5*CUSTOS!$R$3</f>
        <v>44.527799999999999</v>
      </c>
      <c r="Z5" s="17">
        <f>TRANSICAO!$Z$5*CUSTOS!$R$3</f>
        <v>0</v>
      </c>
      <c r="AA5" s="17">
        <f>TRANSICAO!$AA$5*CUSTOS!$R$3</f>
        <v>0</v>
      </c>
      <c r="AB5" s="17">
        <f>TRANSICAO!$AB$5*CUSTOS!$R$3</f>
        <v>0</v>
      </c>
      <c r="AC5" s="17">
        <f>TRANSICAO!$AC$5*CUSTOS!$R$3</f>
        <v>72.432900000000004</v>
      </c>
      <c r="AD5" s="17">
        <f>TRANSICAO!$AD$5*CUSTOS!$R$3</f>
        <v>0</v>
      </c>
      <c r="AE5" s="17">
        <v>0</v>
      </c>
      <c r="AF5" s="17">
        <v>0</v>
      </c>
      <c r="AG5" s="17"/>
      <c r="AH5" s="17">
        <v>0</v>
      </c>
      <c r="AI5" s="17">
        <v>0</v>
      </c>
      <c r="AJ5" s="17">
        <v>0</v>
      </c>
      <c r="AK5" s="17">
        <f t="shared" ref="AK5:AK51" si="0">AJ5</f>
        <v>0</v>
      </c>
      <c r="AL5" s="17"/>
      <c r="AM5" s="17"/>
      <c r="AP5" s="17">
        <v>1</v>
      </c>
    </row>
    <row r="6" spans="1:42" ht="11.25" customHeight="1" x14ac:dyDescent="0.25">
      <c r="A6" s="130"/>
      <c r="B6" s="130"/>
      <c r="C6" s="130"/>
      <c r="D6" s="130"/>
      <c r="E6" s="130"/>
      <c r="F6" s="130"/>
      <c r="G6" s="36" t="s">
        <v>78</v>
      </c>
      <c r="H6" s="36" t="s">
        <v>76</v>
      </c>
      <c r="I6" s="36">
        <f>'MERCADO TUSD'!$U$3</f>
        <v>1683</v>
      </c>
      <c r="J6" s="16"/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/>
      <c r="U6" s="17">
        <f>TRANSICAO!$U$6*CUSTOS!$R$3</f>
        <v>0</v>
      </c>
      <c r="V6" s="17">
        <f>TRANSICAO!$V$6*CUSTOS!$R$3</f>
        <v>0</v>
      </c>
      <c r="W6" s="17">
        <f>TRANSICAO!$W$6*CUSTOS!$R$3</f>
        <v>0</v>
      </c>
      <c r="X6" s="17">
        <f>TRANSICAO!$X$6*CUSTOS!$R$3</f>
        <v>0</v>
      </c>
      <c r="Y6" s="17">
        <f>TRANSICAO!$Y$6*CUSTOS!$R$3</f>
        <v>10.6595</v>
      </c>
      <c r="Z6" s="17">
        <f>TRANSICAO!$Z$6*CUSTOS!$R$3</f>
        <v>0</v>
      </c>
      <c r="AA6" s="17">
        <f>TRANSICAO!$AA$6*CUSTOS!$R$3</f>
        <v>0</v>
      </c>
      <c r="AB6" s="17">
        <f>TRANSICAO!$AB$6*CUSTOS!$R$3</f>
        <v>0</v>
      </c>
      <c r="AC6" s="17">
        <f>TRANSICAO!$AC$6*CUSTOS!$R$3</f>
        <v>19.834399999999999</v>
      </c>
      <c r="AD6" s="17">
        <f>TRANSICAO!$AD$6*CUSTOS!$R$3</f>
        <v>0</v>
      </c>
      <c r="AE6" s="17">
        <v>0</v>
      </c>
      <c r="AF6" s="17">
        <v>0</v>
      </c>
      <c r="AG6" s="17"/>
      <c r="AH6" s="17">
        <v>0</v>
      </c>
      <c r="AI6" s="17">
        <v>0</v>
      </c>
      <c r="AJ6" s="17">
        <v>0</v>
      </c>
      <c r="AK6" s="17">
        <f t="shared" si="0"/>
        <v>0</v>
      </c>
      <c r="AL6" s="17"/>
      <c r="AM6" s="17"/>
      <c r="AP6" s="17">
        <v>1</v>
      </c>
    </row>
    <row r="7" spans="1:42" ht="11.25" customHeight="1" x14ac:dyDescent="0.25">
      <c r="A7" s="130"/>
      <c r="B7" s="130"/>
      <c r="C7" s="130"/>
      <c r="D7" s="130"/>
      <c r="E7" s="130"/>
      <c r="F7" s="130"/>
      <c r="G7" s="36" t="s">
        <v>79</v>
      </c>
      <c r="H7" s="36" t="s">
        <v>73</v>
      </c>
      <c r="I7" s="36">
        <f>'MERCADO TUSD'!$U$4</f>
        <v>645.12700000000018</v>
      </c>
      <c r="J7" s="16"/>
      <c r="L7" s="17">
        <f>0.84</f>
        <v>0.84</v>
      </c>
      <c r="M7" s="17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1.1160494587673409</v>
      </c>
      <c r="N7" s="17">
        <f ca="1">(+M7+O7+R7+U7+V7+W7+X7+Y7+Z7+AA7+AC7+AH7+AI7+AJ7+AK7)*CUSTOS!$M$5</f>
        <v>1.7274249458767343E-13</v>
      </c>
      <c r="O7" s="17">
        <v>1</v>
      </c>
      <c r="P7" s="17">
        <v>1</v>
      </c>
      <c r="Q7" s="17">
        <f>0.84</f>
        <v>0.84</v>
      </c>
      <c r="R7" s="17">
        <v>1</v>
      </c>
      <c r="S7" s="17">
        <v>1</v>
      </c>
      <c r="T7" s="17"/>
      <c r="U7" s="17">
        <f>TRANSICAO!$U$7*CUSTOS!$R$3</f>
        <v>0</v>
      </c>
      <c r="V7" s="17">
        <f>TRANSICAO!$V$7*CUSTOS!$R$3</f>
        <v>0</v>
      </c>
      <c r="W7" s="17">
        <f>TRANSICAO!$W$7*CUSTOS!$R$3</f>
        <v>0</v>
      </c>
      <c r="X7" s="17">
        <f>TRANSICAO!$X$7*CUSTOS!$R$3</f>
        <v>0</v>
      </c>
      <c r="Y7" s="17">
        <f>TRANSICAO!$Y$7*CUSTOS!$R$3</f>
        <v>0</v>
      </c>
      <c r="Z7" s="17">
        <f>TRANSICAO!$Z$7*CUSTOS!$R$3</f>
        <v>0</v>
      </c>
      <c r="AA7" s="17">
        <f>TRANSICAO!$AA$7*CUSTOS!$R$3</f>
        <v>0</v>
      </c>
      <c r="AB7" s="17">
        <f>TRANSICAO!$AB$7*CUSTOS!$R$3</f>
        <v>0</v>
      </c>
      <c r="AC7" s="17">
        <f>TRANSICAO!$AC$7*CUSTOS!$R$3</f>
        <v>0</v>
      </c>
      <c r="AD7" s="17">
        <f>TRANSICAO!$AD$7*CUSTOS!$R$3</f>
        <v>0</v>
      </c>
      <c r="AE7" s="17">
        <v>0</v>
      </c>
      <c r="AF7" s="17">
        <v>0</v>
      </c>
      <c r="AG7" s="17"/>
      <c r="AH7" s="17">
        <v>14.158200000000001</v>
      </c>
      <c r="AI7" s="17">
        <v>0</v>
      </c>
      <c r="AJ7" s="17">
        <f ca="1">$N$63</f>
        <v>0</v>
      </c>
      <c r="AK7" s="17">
        <f t="shared" ca="1" si="0"/>
        <v>0</v>
      </c>
      <c r="AL7" s="17"/>
      <c r="AM7" s="17"/>
      <c r="AP7" s="17">
        <v>1</v>
      </c>
    </row>
    <row r="8" spans="1:42" ht="11.25" customHeight="1" x14ac:dyDescent="0.25">
      <c r="A8" s="130"/>
      <c r="B8" s="130"/>
      <c r="C8" s="130"/>
      <c r="D8" s="130"/>
      <c r="E8" s="37" t="s">
        <v>80</v>
      </c>
      <c r="F8" s="37" t="s">
        <v>25</v>
      </c>
      <c r="G8" s="36" t="s">
        <v>79</v>
      </c>
      <c r="H8" s="36" t="s">
        <v>73</v>
      </c>
      <c r="I8" s="36">
        <f>'MERCADO TUSD'!$U$5</f>
        <v>0</v>
      </c>
      <c r="J8" s="16"/>
      <c r="L8" s="17">
        <v>0</v>
      </c>
      <c r="M8" s="17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1.1160494587673409</v>
      </c>
      <c r="N8" s="17">
        <f ca="1">(+M8+O8+R8+U8+V8+W8+X8+Y8+Z8+AA8+AC8+AH8+AI8+AJ8+AK8)*CUSTOS!$M$5</f>
        <v>1.6274249458767344E-13</v>
      </c>
      <c r="O8" s="17">
        <v>1</v>
      </c>
      <c r="P8" s="17">
        <v>0</v>
      </c>
      <c r="Q8" s="17">
        <v>0</v>
      </c>
      <c r="R8" s="17">
        <v>0</v>
      </c>
      <c r="S8" s="17">
        <v>0</v>
      </c>
      <c r="T8" s="17"/>
      <c r="U8" s="17">
        <f>TRANSICAO!$U$8*CUSTOS!$R$3</f>
        <v>0</v>
      </c>
      <c r="V8" s="17">
        <f>TRANSICAO!$V$8*CUSTOS!$R$3</f>
        <v>0</v>
      </c>
      <c r="W8" s="17">
        <f>TRANSICAO!$W$8*CUSTOS!$R$3</f>
        <v>0</v>
      </c>
      <c r="X8" s="17">
        <f>TRANSICAO!$X$8*CUSTOS!$R$3</f>
        <v>0</v>
      </c>
      <c r="Y8" s="17">
        <f>TRANSICAO!$Y$8*CUSTOS!$R$3</f>
        <v>0</v>
      </c>
      <c r="Z8" s="17">
        <f>TRANSICAO!$Z$8*CUSTOS!$R$3</f>
        <v>0</v>
      </c>
      <c r="AA8" s="17">
        <f>TRANSICAO!$AA$8*CUSTOS!$R$3</f>
        <v>0</v>
      </c>
      <c r="AB8" s="17">
        <f>TRANSICAO!$AB$8*CUSTOS!$R$3</f>
        <v>0</v>
      </c>
      <c r="AC8" s="17">
        <f>TRANSICAO!$AC$8*CUSTOS!$R$3</f>
        <v>0</v>
      </c>
      <c r="AD8" s="17">
        <f>TRANSICAO!$AD$8*CUSTOS!$R$3</f>
        <v>0</v>
      </c>
      <c r="AE8" s="17">
        <v>0</v>
      </c>
      <c r="AF8" s="17">
        <v>0</v>
      </c>
      <c r="AG8" s="17"/>
      <c r="AH8" s="17">
        <v>14.158200000000001</v>
      </c>
      <c r="AI8" s="17">
        <v>0</v>
      </c>
      <c r="AJ8" s="17">
        <f ca="1">$N$63</f>
        <v>0</v>
      </c>
      <c r="AK8" s="17">
        <f t="shared" ca="1" si="0"/>
        <v>0</v>
      </c>
      <c r="AL8" s="17"/>
      <c r="AM8" s="17"/>
      <c r="AP8" s="17">
        <v>1</v>
      </c>
    </row>
    <row r="9" spans="1:42" ht="11.25" customHeight="1" x14ac:dyDescent="0.25">
      <c r="A9" s="130"/>
      <c r="B9" s="37" t="s">
        <v>81</v>
      </c>
      <c r="C9" s="37" t="s">
        <v>25</v>
      </c>
      <c r="D9" s="37" t="s">
        <v>25</v>
      </c>
      <c r="E9" s="37" t="s">
        <v>25</v>
      </c>
      <c r="F9" s="37" t="s">
        <v>25</v>
      </c>
      <c r="G9" s="36" t="s">
        <v>9</v>
      </c>
      <c r="H9" s="36" t="s">
        <v>76</v>
      </c>
      <c r="I9" s="36">
        <f>'MERCADO TUSD'!$U$6</f>
        <v>0</v>
      </c>
      <c r="J9" s="16"/>
      <c r="L9" s="17">
        <v>0</v>
      </c>
      <c r="M9" s="17">
        <v>1.7399999999999999E-2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/>
      <c r="U9" s="17">
        <f>TRANSICAO!$U$9*CUSTOS!$R$4</f>
        <v>0</v>
      </c>
      <c r="V9" s="17">
        <f>TRANSICAO!$V$9*CUSTOS!$R$4</f>
        <v>0</v>
      </c>
      <c r="W9" s="17">
        <f>TRANSICAO!$W$9*CUSTOS!$R$4</f>
        <v>0</v>
      </c>
      <c r="X9" s="17">
        <f>TRANSICAO!$X$9*CUSTOS!$R$4</f>
        <v>0</v>
      </c>
      <c r="Y9" s="17">
        <f>TRANSICAO!$Y$9*CUSTOS!$R$4</f>
        <v>0</v>
      </c>
      <c r="Z9" s="17">
        <f>TRANSICAO!$Z$9*CUSTOS!$R$4</f>
        <v>0</v>
      </c>
      <c r="AA9" s="17">
        <f>TRANSICAO!$AA$9*CUSTOS!$R$4</f>
        <v>0</v>
      </c>
      <c r="AB9" s="17">
        <f>TRANSICAO!$AB$9*CUSTOS!$R$4</f>
        <v>0</v>
      </c>
      <c r="AC9" s="17">
        <f>TRANSICAO!$AC$9*CUSTOS!$R$4</f>
        <v>12.822800000000001</v>
      </c>
      <c r="AD9" s="17">
        <f>TRANSICAO!$AD$9*CUSTOS!$R$4</f>
        <v>0</v>
      </c>
      <c r="AE9" s="17">
        <v>0</v>
      </c>
      <c r="AF9" s="17">
        <v>0</v>
      </c>
      <c r="AG9" s="17"/>
      <c r="AH9" s="17">
        <v>0</v>
      </c>
      <c r="AI9" s="17">
        <v>0</v>
      </c>
      <c r="AJ9" s="17">
        <v>0</v>
      </c>
      <c r="AK9" s="17">
        <f t="shared" si="0"/>
        <v>0</v>
      </c>
      <c r="AL9" s="17"/>
      <c r="AM9" s="17"/>
      <c r="AP9" s="17"/>
    </row>
    <row r="10" spans="1:42" ht="11.25" customHeight="1" x14ac:dyDescent="0.25">
      <c r="A10" s="130"/>
      <c r="B10" s="130" t="s">
        <v>34</v>
      </c>
      <c r="C10" s="130" t="s">
        <v>25</v>
      </c>
      <c r="D10" s="130" t="s">
        <v>25</v>
      </c>
      <c r="E10" s="130" t="s">
        <v>25</v>
      </c>
      <c r="F10" s="130" t="s">
        <v>25</v>
      </c>
      <c r="G10" s="36" t="s">
        <v>9</v>
      </c>
      <c r="H10" s="36" t="s">
        <v>76</v>
      </c>
      <c r="I10" s="36">
        <f>'MERCADO TUSD'!$U$7</f>
        <v>643658</v>
      </c>
      <c r="J10" s="16"/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/>
      <c r="U10" s="17">
        <f>TRANSICAO!$U$10*CUSTOS!$R$3</f>
        <v>0</v>
      </c>
      <c r="V10" s="17">
        <f>TRANSICAO!$V$10*CUSTOS!$R$3</f>
        <v>0</v>
      </c>
      <c r="W10" s="17">
        <f>TRANSICAO!$W$10*CUSTOS!$R$3</f>
        <v>0</v>
      </c>
      <c r="X10" s="17">
        <f>TRANSICAO!$X$10*CUSTOS!$R$3</f>
        <v>0</v>
      </c>
      <c r="Y10" s="17">
        <f>TRANSICAO!$Y$10*CUSTOS!$R$3</f>
        <v>10.6595</v>
      </c>
      <c r="Z10" s="17">
        <f>TRANSICAO!$Z$10*CUSTOS!$R$3</f>
        <v>0</v>
      </c>
      <c r="AA10" s="17">
        <f>TRANSICAO!$AA$10*CUSTOS!$R$3</f>
        <v>0</v>
      </c>
      <c r="AB10" s="17">
        <f>TRANSICAO!$AB$10*CUSTOS!$R$3</f>
        <v>0</v>
      </c>
      <c r="AC10" s="17">
        <f>TRANSICAO!$AC$10*CUSTOS!$R$3</f>
        <v>19.834399999999999</v>
      </c>
      <c r="AD10" s="17">
        <f>TRANSICAO!$AD$10*CUSTOS!$R$3</f>
        <v>0</v>
      </c>
      <c r="AE10" s="17">
        <v>0</v>
      </c>
      <c r="AF10" s="17">
        <v>0</v>
      </c>
      <c r="AG10" s="17"/>
      <c r="AH10" s="17">
        <v>0</v>
      </c>
      <c r="AI10" s="17">
        <v>0</v>
      </c>
      <c r="AJ10" s="17">
        <v>0</v>
      </c>
      <c r="AK10" s="17">
        <f t="shared" si="0"/>
        <v>0</v>
      </c>
      <c r="AL10" s="17"/>
      <c r="AM10" s="17"/>
      <c r="AP10" s="17">
        <v>1</v>
      </c>
    </row>
    <row r="11" spans="1:42" ht="11.25" customHeight="1" x14ac:dyDescent="0.25">
      <c r="A11" s="130"/>
      <c r="B11" s="130"/>
      <c r="C11" s="130"/>
      <c r="D11" s="130"/>
      <c r="E11" s="130"/>
      <c r="F11" s="130"/>
      <c r="G11" s="36" t="s">
        <v>74</v>
      </c>
      <c r="H11" s="36" t="s">
        <v>73</v>
      </c>
      <c r="I11" s="36">
        <f>'MERCADO TUSD'!$U$8</f>
        <v>2922.2139999999999</v>
      </c>
      <c r="J11" s="16"/>
      <c r="L11" s="17">
        <f>0.84</f>
        <v>0.84</v>
      </c>
      <c r="M11" s="17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1.1160494587673409</v>
      </c>
      <c r="N11" s="17">
        <f ca="1">(+M11+O11+R11+U11+V11+W11+X11+Y11+Z11+AA11+AC11+AH11+AI11+AJ11+AK11)*CUSTOS!$M$5</f>
        <v>2.829301749458767E-11</v>
      </c>
      <c r="O11" s="17">
        <v>1</v>
      </c>
      <c r="P11" s="17">
        <v>1</v>
      </c>
      <c r="Q11" s="17">
        <f>0.84</f>
        <v>0.84</v>
      </c>
      <c r="R11" s="17">
        <v>1</v>
      </c>
      <c r="S11" s="17">
        <v>1</v>
      </c>
      <c r="T11" s="17"/>
      <c r="U11" s="17">
        <f>TRANSICAO!$U$11*CUSTOS!$R$3</f>
        <v>0</v>
      </c>
      <c r="V11" s="17">
        <f>TRANSICAO!$V$11*CUSTOS!$R$3</f>
        <v>0</v>
      </c>
      <c r="W11" s="17">
        <f>TRANSICAO!$W$11*CUSTOS!$R$3</f>
        <v>0</v>
      </c>
      <c r="X11" s="17">
        <f>TRANSICAO!$X$11*CUSTOS!$R$3</f>
        <v>0</v>
      </c>
      <c r="Y11" s="17">
        <f>TRANSICAO!$Y$11*CUSTOS!$R$3</f>
        <v>1070.0210999999999</v>
      </c>
      <c r="Z11" s="17">
        <f>TRANSICAO!$Z$11*CUSTOS!$R$3</f>
        <v>0</v>
      </c>
      <c r="AA11" s="17">
        <f>TRANSICAO!$AA$11*CUSTOS!$R$3</f>
        <v>0</v>
      </c>
      <c r="AB11" s="17">
        <f>TRANSICAO!$AB$11*CUSTOS!$R$3</f>
        <v>0</v>
      </c>
      <c r="AC11" s="17">
        <f>TRANSICAO!$AC$11*CUSTOS!$R$3</f>
        <v>1742.0064</v>
      </c>
      <c r="AD11" s="17">
        <f>TRANSICAO!$AD$11*CUSTOS!$R$3</f>
        <v>0</v>
      </c>
      <c r="AE11" s="17">
        <v>0</v>
      </c>
      <c r="AF11" s="17">
        <v>0</v>
      </c>
      <c r="AG11" s="17"/>
      <c r="AH11" s="17">
        <v>14.158200000000001</v>
      </c>
      <c r="AI11" s="17">
        <v>0</v>
      </c>
      <c r="AJ11" s="17">
        <f ca="1">$N$63</f>
        <v>0</v>
      </c>
      <c r="AK11" s="17">
        <f t="shared" ca="1" si="0"/>
        <v>0</v>
      </c>
      <c r="AL11" s="17"/>
      <c r="AM11" s="17"/>
      <c r="AP11" s="17">
        <v>1</v>
      </c>
    </row>
    <row r="12" spans="1:42" ht="11.25" customHeight="1" x14ac:dyDescent="0.25">
      <c r="A12" s="130"/>
      <c r="B12" s="130"/>
      <c r="C12" s="130"/>
      <c r="D12" s="130"/>
      <c r="E12" s="130"/>
      <c r="F12" s="130"/>
      <c r="G12" s="36" t="s">
        <v>75</v>
      </c>
      <c r="H12" s="36" t="s">
        <v>73</v>
      </c>
      <c r="I12" s="36">
        <f>'MERCADO TUSD'!$U$9</f>
        <v>84044.817999999999</v>
      </c>
      <c r="J12" s="16"/>
      <c r="L12" s="17">
        <f>0.84</f>
        <v>0.84</v>
      </c>
      <c r="M12" s="17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1.1160494587673409</v>
      </c>
      <c r="N12" s="17">
        <f ca="1">(+M12+O12+R12+U12+V12+W12+X12+Y12+Z12+AA12+AC12+AH12+AI12+AJ12+AK12)*CUSTOS!$M$5</f>
        <v>1.7274249458767343E-13</v>
      </c>
      <c r="O12" s="17">
        <v>1</v>
      </c>
      <c r="P12" s="17">
        <v>1</v>
      </c>
      <c r="Q12" s="17">
        <f>0.84</f>
        <v>0.84</v>
      </c>
      <c r="R12" s="17">
        <v>1</v>
      </c>
      <c r="S12" s="17">
        <v>1</v>
      </c>
      <c r="T12" s="17"/>
      <c r="U12" s="17">
        <f>TRANSICAO!$U$12*CUSTOS!$R$3</f>
        <v>0</v>
      </c>
      <c r="V12" s="17">
        <f>TRANSICAO!$V$12*CUSTOS!$R$3</f>
        <v>0</v>
      </c>
      <c r="W12" s="17">
        <f>TRANSICAO!$W$12*CUSTOS!$R$3</f>
        <v>0</v>
      </c>
      <c r="X12" s="17">
        <f>TRANSICAO!$X$12*CUSTOS!$R$3</f>
        <v>0</v>
      </c>
      <c r="Y12" s="17">
        <f>TRANSICAO!$Y$12*CUSTOS!$R$3</f>
        <v>0</v>
      </c>
      <c r="Z12" s="17">
        <f>TRANSICAO!$Z$12*CUSTOS!$R$3</f>
        <v>0</v>
      </c>
      <c r="AA12" s="17">
        <f>TRANSICAO!$AA$12*CUSTOS!$R$3</f>
        <v>0</v>
      </c>
      <c r="AB12" s="17">
        <f>TRANSICAO!$AB$12*CUSTOS!$R$3</f>
        <v>0</v>
      </c>
      <c r="AC12" s="17">
        <f>TRANSICAO!$AC$12*CUSTOS!$R$3</f>
        <v>0</v>
      </c>
      <c r="AD12" s="17">
        <f>TRANSICAO!$AD$12*CUSTOS!$R$3</f>
        <v>0</v>
      </c>
      <c r="AE12" s="17">
        <v>0</v>
      </c>
      <c r="AF12" s="17">
        <v>0</v>
      </c>
      <c r="AG12" s="17"/>
      <c r="AH12" s="17">
        <v>14.158200000000001</v>
      </c>
      <c r="AI12" s="17">
        <v>0</v>
      </c>
      <c r="AJ12" s="17">
        <f ca="1">$N$63</f>
        <v>0</v>
      </c>
      <c r="AK12" s="17">
        <f t="shared" ca="1" si="0"/>
        <v>0</v>
      </c>
      <c r="AL12" s="17"/>
      <c r="AM12" s="17"/>
      <c r="AP12" s="17">
        <v>1</v>
      </c>
    </row>
    <row r="13" spans="1:42" ht="11.25" customHeight="1" x14ac:dyDescent="0.25">
      <c r="A13" s="130"/>
      <c r="B13" s="130"/>
      <c r="C13" s="130"/>
      <c r="D13" s="130"/>
      <c r="E13" s="130" t="s">
        <v>80</v>
      </c>
      <c r="F13" s="130" t="s">
        <v>25</v>
      </c>
      <c r="G13" s="36" t="s">
        <v>74</v>
      </c>
      <c r="H13" s="36" t="s">
        <v>73</v>
      </c>
      <c r="I13" s="36">
        <f>'MERCADO TUSD'!$U$10</f>
        <v>0</v>
      </c>
      <c r="J13" s="16"/>
      <c r="L13" s="17">
        <v>0</v>
      </c>
      <c r="M13" s="17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1.1160494587673409</v>
      </c>
      <c r="N13" s="17">
        <f ca="1">(+M13+O13+R13+U13+V13+W13+X13+Y13+Z13+AA13+AC13+AH13+AI13+AJ13+AK13)*CUSTOS!$M$5</f>
        <v>2.8283017494587672E-11</v>
      </c>
      <c r="O13" s="17">
        <v>1</v>
      </c>
      <c r="P13" s="17">
        <v>0</v>
      </c>
      <c r="Q13" s="17">
        <v>0</v>
      </c>
      <c r="R13" s="17">
        <v>0</v>
      </c>
      <c r="S13" s="17">
        <v>0</v>
      </c>
      <c r="T13" s="17"/>
      <c r="U13" s="17">
        <f>TRANSICAO!$U$13*CUSTOS!$R$3</f>
        <v>0</v>
      </c>
      <c r="V13" s="17">
        <f>TRANSICAO!$V$13*CUSTOS!$R$3</f>
        <v>0</v>
      </c>
      <c r="W13" s="17">
        <f>TRANSICAO!$W$13*CUSTOS!$R$3</f>
        <v>0</v>
      </c>
      <c r="X13" s="17">
        <f>TRANSICAO!$X$13*CUSTOS!$R$3</f>
        <v>0</v>
      </c>
      <c r="Y13" s="17">
        <f>TRANSICAO!$Y$13*CUSTOS!$R$3</f>
        <v>1070.0210999999999</v>
      </c>
      <c r="Z13" s="17">
        <f>TRANSICAO!$Z$13*CUSTOS!$R$3</f>
        <v>0</v>
      </c>
      <c r="AA13" s="17">
        <f>TRANSICAO!$AA$13*CUSTOS!$R$3</f>
        <v>0</v>
      </c>
      <c r="AB13" s="17">
        <f>TRANSICAO!$AB$13*CUSTOS!$R$3</f>
        <v>0</v>
      </c>
      <c r="AC13" s="17">
        <f>TRANSICAO!$AC$13*CUSTOS!$R$3</f>
        <v>1742.0064</v>
      </c>
      <c r="AD13" s="17">
        <f>TRANSICAO!$AD$13*CUSTOS!$R$3</f>
        <v>0</v>
      </c>
      <c r="AE13" s="17">
        <v>0</v>
      </c>
      <c r="AF13" s="17">
        <v>0</v>
      </c>
      <c r="AG13" s="17"/>
      <c r="AH13" s="17">
        <v>14.158200000000001</v>
      </c>
      <c r="AI13" s="17">
        <v>0</v>
      </c>
      <c r="AJ13" s="17">
        <f ca="1">$N$63</f>
        <v>0</v>
      </c>
      <c r="AK13" s="17">
        <f t="shared" ca="1" si="0"/>
        <v>0</v>
      </c>
      <c r="AL13" s="17"/>
      <c r="AM13" s="17"/>
      <c r="AP13" s="17">
        <v>1</v>
      </c>
    </row>
    <row r="14" spans="1:42" ht="11.25" customHeight="1" x14ac:dyDescent="0.25">
      <c r="A14" s="130"/>
      <c r="B14" s="130"/>
      <c r="C14" s="130"/>
      <c r="D14" s="130"/>
      <c r="E14" s="130"/>
      <c r="F14" s="130"/>
      <c r="G14" s="36" t="s">
        <v>75</v>
      </c>
      <c r="H14" s="36" t="s">
        <v>73</v>
      </c>
      <c r="I14" s="36">
        <f>'MERCADO TUSD'!$U$11</f>
        <v>0</v>
      </c>
      <c r="J14" s="16"/>
      <c r="L14" s="17">
        <v>0</v>
      </c>
      <c r="M14" s="17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1.1160494587673409</v>
      </c>
      <c r="N14" s="17">
        <f ca="1">(+M14+O14+R14+U14+V14+W14+X14+Y14+Z14+AA14+AC14+AH14+AI14+AJ14+AK14)*CUSTOS!$M$5</f>
        <v>1.6274249458767344E-13</v>
      </c>
      <c r="O14" s="17">
        <v>1</v>
      </c>
      <c r="P14" s="17">
        <v>0</v>
      </c>
      <c r="Q14" s="17">
        <v>0</v>
      </c>
      <c r="R14" s="17">
        <v>0</v>
      </c>
      <c r="S14" s="17">
        <v>0</v>
      </c>
      <c r="T14" s="17"/>
      <c r="U14" s="17">
        <f>TRANSICAO!$U$14*CUSTOS!$R$3</f>
        <v>0</v>
      </c>
      <c r="V14" s="17">
        <f>TRANSICAO!$V$14*CUSTOS!$R$3</f>
        <v>0</v>
      </c>
      <c r="W14" s="17">
        <f>TRANSICAO!$W$14*CUSTOS!$R$3</f>
        <v>0</v>
      </c>
      <c r="X14" s="17">
        <f>TRANSICAO!$X$14*CUSTOS!$R$3</f>
        <v>0</v>
      </c>
      <c r="Y14" s="17">
        <f>TRANSICAO!$Y$14*CUSTOS!$R$3</f>
        <v>0</v>
      </c>
      <c r="Z14" s="17">
        <f>TRANSICAO!$Z$14*CUSTOS!$R$3</f>
        <v>0</v>
      </c>
      <c r="AA14" s="17">
        <f>TRANSICAO!$AA$14*CUSTOS!$R$3</f>
        <v>0</v>
      </c>
      <c r="AB14" s="17">
        <f>TRANSICAO!$AB$14*CUSTOS!$R$3</f>
        <v>0</v>
      </c>
      <c r="AC14" s="17">
        <f>TRANSICAO!$AC$14*CUSTOS!$R$3</f>
        <v>0</v>
      </c>
      <c r="AD14" s="17">
        <f>TRANSICAO!$AD$14*CUSTOS!$R$3</f>
        <v>0</v>
      </c>
      <c r="AE14" s="17">
        <v>0</v>
      </c>
      <c r="AF14" s="17">
        <v>0</v>
      </c>
      <c r="AG14" s="17"/>
      <c r="AH14" s="17">
        <v>14.158200000000001</v>
      </c>
      <c r="AI14" s="17">
        <v>0</v>
      </c>
      <c r="AJ14" s="17">
        <f ca="1">$N$63</f>
        <v>0</v>
      </c>
      <c r="AK14" s="17">
        <f t="shared" ca="1" si="0"/>
        <v>0</v>
      </c>
      <c r="AL14" s="17"/>
      <c r="AM14" s="17"/>
      <c r="AP14" s="17">
        <v>1</v>
      </c>
    </row>
    <row r="15" spans="1:42" ht="11.25" customHeight="1" x14ac:dyDescent="0.25">
      <c r="A15" s="130" t="s">
        <v>82</v>
      </c>
      <c r="B15" s="130" t="s">
        <v>81</v>
      </c>
      <c r="C15" s="130" t="s">
        <v>25</v>
      </c>
      <c r="D15" s="130" t="s">
        <v>25</v>
      </c>
      <c r="E15" s="37" t="s">
        <v>83</v>
      </c>
      <c r="F15" s="37" t="s">
        <v>25</v>
      </c>
      <c r="G15" s="36" t="s">
        <v>9</v>
      </c>
      <c r="H15" s="36" t="s">
        <v>76</v>
      </c>
      <c r="I15" s="36">
        <f>'MERCADO TUSD'!$U$12+0.00000001</f>
        <v>1E-8</v>
      </c>
      <c r="J15" s="16"/>
      <c r="L15" s="17">
        <v>0</v>
      </c>
      <c r="M15" s="17">
        <v>9.1999999999999998E-3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/>
      <c r="U15" s="17">
        <f>TRANSICAO!$U$15*CUSTOS!$T$4</f>
        <v>0</v>
      </c>
      <c r="V15" s="17">
        <f>TRANSICAO!$V$15*CUSTOS!$T$4</f>
        <v>0</v>
      </c>
      <c r="W15" s="17">
        <f>TRANSICAO!$W$15*CUSTOS!$T$4</f>
        <v>0</v>
      </c>
      <c r="X15" s="17">
        <f>TRANSICAO!$X$15*CUSTOS!$T$4</f>
        <v>0</v>
      </c>
      <c r="Y15" s="17">
        <f>TRANSICAO!$Y$15*CUSTOS!$T$4</f>
        <v>0</v>
      </c>
      <c r="Z15" s="17">
        <f>TRANSICAO!$Z$15*CUSTOS!$T$4</f>
        <v>0</v>
      </c>
      <c r="AA15" s="17">
        <f>TRANSICAO!$AA$15*CUSTOS!$T$4</f>
        <v>0</v>
      </c>
      <c r="AB15" s="17">
        <f>TRANSICAO!$AB$15*CUSTOS!$T$4</f>
        <v>0</v>
      </c>
      <c r="AC15" s="17">
        <f>TRANSICAO!$AC$15*CUSTOS!$T$4</f>
        <v>7.9370000000000003</v>
      </c>
      <c r="AD15" s="17">
        <f>TRANSICAO!$AD$15*CUSTOS!$T$4</f>
        <v>0</v>
      </c>
      <c r="AE15" s="17">
        <v>0</v>
      </c>
      <c r="AF15" s="17">
        <v>0</v>
      </c>
      <c r="AG15" s="17"/>
      <c r="AH15" s="17">
        <v>0</v>
      </c>
      <c r="AI15" s="17">
        <v>0</v>
      </c>
      <c r="AJ15" s="17">
        <v>0</v>
      </c>
      <c r="AK15" s="17">
        <f t="shared" si="0"/>
        <v>0</v>
      </c>
      <c r="AL15" s="17"/>
      <c r="AM15" s="17"/>
      <c r="AP15" s="17"/>
    </row>
    <row r="16" spans="1:42" ht="11.25" customHeight="1" x14ac:dyDescent="0.25">
      <c r="A16" s="130"/>
      <c r="B16" s="130"/>
      <c r="C16" s="130"/>
      <c r="D16" s="130"/>
      <c r="E16" s="37" t="s">
        <v>84</v>
      </c>
      <c r="F16" s="37" t="s">
        <v>25</v>
      </c>
      <c r="G16" s="36" t="s">
        <v>9</v>
      </c>
      <c r="H16" s="36" t="s">
        <v>76</v>
      </c>
      <c r="I16" s="36">
        <f>'MERCADO TUSD'!$U$13+0.00000001</f>
        <v>1E-8</v>
      </c>
      <c r="J16" s="16"/>
      <c r="L16" s="17">
        <v>0</v>
      </c>
      <c r="M16" s="17">
        <v>9.1999999999999998E-3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/>
      <c r="U16" s="17">
        <f>TRANSICAO!$U$16*CUSTOS!$T$4</f>
        <v>0</v>
      </c>
      <c r="V16" s="17">
        <f>TRANSICAO!$V$16*CUSTOS!$T$4</f>
        <v>0</v>
      </c>
      <c r="W16" s="17">
        <f>TRANSICAO!$W$16*CUSTOS!$T$4</f>
        <v>0</v>
      </c>
      <c r="X16" s="17">
        <f>TRANSICAO!$X$16*CUSTOS!$T$4</f>
        <v>0</v>
      </c>
      <c r="Y16" s="17">
        <f>TRANSICAO!$Y$16*CUSTOS!$T$4</f>
        <v>0</v>
      </c>
      <c r="Z16" s="17">
        <f>TRANSICAO!$Z$16*CUSTOS!$T$4</f>
        <v>0</v>
      </c>
      <c r="AA16" s="17">
        <f>TRANSICAO!$AA$16*CUSTOS!$T$4</f>
        <v>0</v>
      </c>
      <c r="AB16" s="17">
        <f>TRANSICAO!$AB$16*CUSTOS!$T$4</f>
        <v>0</v>
      </c>
      <c r="AC16" s="17">
        <f>TRANSICAO!$AC$16*CUSTOS!$T$4</f>
        <v>26.655999999999999</v>
      </c>
      <c r="AD16" s="17">
        <f>TRANSICAO!$AD$16*CUSTOS!$T$4</f>
        <v>0</v>
      </c>
      <c r="AE16" s="17">
        <v>0</v>
      </c>
      <c r="AF16" s="17">
        <v>0</v>
      </c>
      <c r="AG16" s="17"/>
      <c r="AH16" s="17">
        <v>0</v>
      </c>
      <c r="AI16" s="17">
        <v>0</v>
      </c>
      <c r="AJ16" s="17">
        <v>0</v>
      </c>
      <c r="AK16" s="17">
        <f t="shared" si="0"/>
        <v>0</v>
      </c>
      <c r="AL16" s="17"/>
      <c r="AM16" s="17"/>
      <c r="AP16" s="17"/>
    </row>
    <row r="17" spans="1:42" ht="11.25" customHeight="1" x14ac:dyDescent="0.25">
      <c r="A17" s="130" t="s">
        <v>22</v>
      </c>
      <c r="B17" s="130" t="s">
        <v>87</v>
      </c>
      <c r="C17" s="130" t="s">
        <v>24</v>
      </c>
      <c r="D17" s="130" t="s">
        <v>24</v>
      </c>
      <c r="E17" s="130" t="s">
        <v>25</v>
      </c>
      <c r="F17" s="130" t="s">
        <v>25</v>
      </c>
      <c r="G17" s="36" t="s">
        <v>74</v>
      </c>
      <c r="H17" s="36" t="s">
        <v>73</v>
      </c>
      <c r="I17" s="36">
        <f>'MERCADO TUSD'!$U$14</f>
        <v>0</v>
      </c>
      <c r="J17" s="16"/>
      <c r="L17" s="17">
        <f>1</f>
        <v>1</v>
      </c>
      <c r="M17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1.8609338378225224</v>
      </c>
      <c r="N17" s="17">
        <f ca="1">(+M17+O17+R17+U17+V17+W17+X17+Y17+Z17+AA17+AC17+AH17+AI17+AJ17+AK17)*CUSTOS!$M$5</f>
        <v>1.0847937338378225E-11</v>
      </c>
      <c r="O17" s="17">
        <v>1</v>
      </c>
      <c r="P17" s="17">
        <v>1</v>
      </c>
      <c r="Q17" s="17">
        <f>1</f>
        <v>1</v>
      </c>
      <c r="R17" s="17">
        <v>1</v>
      </c>
      <c r="S17" s="17">
        <v>1</v>
      </c>
      <c r="T17" s="17"/>
      <c r="U17" s="17">
        <f>TRANSICAO!$U$17*CUSTOS!$T$3</f>
        <v>0</v>
      </c>
      <c r="V17" s="17">
        <f>TRANSICAO!$V$17*CUSTOS!$T$3</f>
        <v>0</v>
      </c>
      <c r="W17" s="17">
        <f>TRANSICAO!$W$17*CUSTOS!$T$3</f>
        <v>0</v>
      </c>
      <c r="X17" s="17">
        <f>TRANSICAO!$X$17*CUSTOS!$T$3</f>
        <v>0</v>
      </c>
      <c r="Y17" s="17">
        <f>TRANSICAO!$Y$17*CUSTOS!$T$3</f>
        <v>279.91390000000001</v>
      </c>
      <c r="Z17" s="17">
        <f>TRANSICAO!$Z$17*CUSTOS!$T$3</f>
        <v>0</v>
      </c>
      <c r="AA17" s="17">
        <f>TRANSICAO!$AA$17*CUSTOS!$T$3</f>
        <v>0</v>
      </c>
      <c r="AB17" s="17">
        <f>TRANSICAO!$AB$17*CUSTOS!$T$3</f>
        <v>0</v>
      </c>
      <c r="AC17" s="17">
        <f>TRANSICAO!$AC$17*CUSTOS!$T$3</f>
        <v>771.3107</v>
      </c>
      <c r="AD17" s="17">
        <f>TRANSICAO!$AD$17*CUSTOS!$T$3</f>
        <v>0</v>
      </c>
      <c r="AE17" s="17">
        <v>0</v>
      </c>
      <c r="AF17" s="17">
        <v>0</v>
      </c>
      <c r="AG17" s="17"/>
      <c r="AH17" s="17">
        <v>29.708200000000001</v>
      </c>
      <c r="AI17" s="17">
        <v>0</v>
      </c>
      <c r="AJ17" s="17">
        <f ca="1">$N$64</f>
        <v>0</v>
      </c>
      <c r="AK17" s="17">
        <f t="shared" ca="1" si="0"/>
        <v>0</v>
      </c>
      <c r="AL17" s="17"/>
      <c r="AM17" s="17"/>
      <c r="AP17" s="17">
        <v>1</v>
      </c>
    </row>
    <row r="18" spans="1:42" ht="11.25" customHeight="1" x14ac:dyDescent="0.25">
      <c r="A18" s="130"/>
      <c r="B18" s="130"/>
      <c r="C18" s="130"/>
      <c r="D18" s="130"/>
      <c r="E18" s="130"/>
      <c r="F18" s="130"/>
      <c r="G18" s="36" t="s">
        <v>85</v>
      </c>
      <c r="H18" s="36" t="s">
        <v>73</v>
      </c>
      <c r="I18" s="36">
        <f>'MERCADO TUSD'!$U$15</f>
        <v>0</v>
      </c>
      <c r="J18" s="16"/>
      <c r="L18" s="17">
        <f>1</f>
        <v>1</v>
      </c>
      <c r="M18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1.8609338378225224</v>
      </c>
      <c r="N18" s="17">
        <f ca="1">(+M18+O18+R18+U18+V18+W18+X18+Y18+Z18+AA18+AC18+AH18+AI18+AJ18+AK18)*CUSTOS!$M$5</f>
        <v>1.9709973383782251E-12</v>
      </c>
      <c r="O18" s="17">
        <v>1</v>
      </c>
      <c r="P18" s="17">
        <v>1</v>
      </c>
      <c r="Q18" s="17">
        <f>1</f>
        <v>1</v>
      </c>
      <c r="R18" s="17">
        <v>1</v>
      </c>
      <c r="S18" s="17">
        <v>1</v>
      </c>
      <c r="T18" s="17"/>
      <c r="U18" s="17">
        <f>TRANSICAO!$U$18*CUSTOS!$T$3</f>
        <v>0</v>
      </c>
      <c r="V18" s="17">
        <f>TRANSICAO!$V$18*CUSTOS!$T$3</f>
        <v>0</v>
      </c>
      <c r="W18" s="17">
        <f>TRANSICAO!$W$18*CUSTOS!$T$3</f>
        <v>0</v>
      </c>
      <c r="X18" s="17">
        <f>TRANSICAO!$X$18*CUSTOS!$T$3</f>
        <v>0</v>
      </c>
      <c r="Y18" s="17">
        <f>TRANSICAO!$Y$18*CUSTOS!$T$3</f>
        <v>43.548900000000003</v>
      </c>
      <c r="Z18" s="17">
        <f>TRANSICAO!$Z$18*CUSTOS!$T$3</f>
        <v>0</v>
      </c>
      <c r="AA18" s="17">
        <f>TRANSICAO!$AA$18*CUSTOS!$T$3</f>
        <v>0</v>
      </c>
      <c r="AB18" s="17">
        <f>TRANSICAO!$AB$18*CUSTOS!$T$3</f>
        <v>0</v>
      </c>
      <c r="AC18" s="17">
        <f>TRANSICAO!$AC$18*CUSTOS!$T$3</f>
        <v>119.9817</v>
      </c>
      <c r="AD18" s="17">
        <f>TRANSICAO!$AD$18*CUSTOS!$T$3</f>
        <v>0</v>
      </c>
      <c r="AE18" s="17">
        <v>0</v>
      </c>
      <c r="AF18" s="17">
        <v>0</v>
      </c>
      <c r="AG18" s="17"/>
      <c r="AH18" s="17">
        <v>29.708200000000001</v>
      </c>
      <c r="AI18" s="17">
        <v>0</v>
      </c>
      <c r="AJ18" s="17">
        <f ca="1">$N$64</f>
        <v>0</v>
      </c>
      <c r="AK18" s="17">
        <f t="shared" ca="1" si="0"/>
        <v>0</v>
      </c>
      <c r="AL18" s="17"/>
      <c r="AM18" s="17"/>
      <c r="AP18" s="17">
        <v>1</v>
      </c>
    </row>
    <row r="19" spans="1:42" ht="11.25" customHeight="1" x14ac:dyDescent="0.25">
      <c r="A19" s="130"/>
      <c r="B19" s="130"/>
      <c r="C19" s="130"/>
      <c r="D19" s="130"/>
      <c r="E19" s="130"/>
      <c r="F19" s="130"/>
      <c r="G19" s="36" t="s">
        <v>75</v>
      </c>
      <c r="H19" s="36" t="s">
        <v>73</v>
      </c>
      <c r="I19" s="36">
        <f>'MERCADO TUSD'!$U$16</f>
        <v>0</v>
      </c>
      <c r="J19" s="16"/>
      <c r="L19" s="17">
        <f>1</f>
        <v>1</v>
      </c>
      <c r="M19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1.8609338378225224</v>
      </c>
      <c r="N19" s="17">
        <f ca="1">(+M19+O19+R19+U19+V19+W19+X19+Y19+Z19+AA19+AC19+AH19+AI19+AJ19+AK19)*CUSTOS!$M$5</f>
        <v>3.139025338378225E-12</v>
      </c>
      <c r="O19" s="17">
        <v>1</v>
      </c>
      <c r="P19" s="17">
        <v>1</v>
      </c>
      <c r="Q19" s="17">
        <f>1</f>
        <v>1</v>
      </c>
      <c r="R19" s="17">
        <v>1</v>
      </c>
      <c r="S19" s="17">
        <v>1</v>
      </c>
      <c r="T19" s="17"/>
      <c r="U19" s="17">
        <f>TRANSICAO!$U$19*CUSTOS!$T$3</f>
        <v>0</v>
      </c>
      <c r="V19" s="17">
        <f>TRANSICAO!$V$19*CUSTOS!$T$3</f>
        <v>0</v>
      </c>
      <c r="W19" s="17">
        <f>TRANSICAO!$W$19*CUSTOS!$T$3</f>
        <v>0</v>
      </c>
      <c r="X19" s="17">
        <f>TRANSICAO!$X$19*CUSTOS!$T$3</f>
        <v>0</v>
      </c>
      <c r="Y19" s="17">
        <f>TRANSICAO!$Y$19*CUSTOS!$T$3</f>
        <v>74.650400000000005</v>
      </c>
      <c r="Z19" s="17">
        <f>TRANSICAO!$Z$19*CUSTOS!$T$3</f>
        <v>0</v>
      </c>
      <c r="AA19" s="17">
        <f>TRANSICAO!$AA$19*CUSTOS!$T$3</f>
        <v>0</v>
      </c>
      <c r="AB19" s="17">
        <f>TRANSICAO!$AB$19*CUSTOS!$T$3</f>
        <v>0</v>
      </c>
      <c r="AC19" s="17">
        <f>TRANSICAO!$AC$19*CUSTOS!$T$3</f>
        <v>205.68299999999999</v>
      </c>
      <c r="AD19" s="17">
        <f>TRANSICAO!$AD$19*CUSTOS!$T$3</f>
        <v>0</v>
      </c>
      <c r="AE19" s="17">
        <v>0</v>
      </c>
      <c r="AF19" s="17">
        <v>0</v>
      </c>
      <c r="AG19" s="17"/>
      <c r="AH19" s="17">
        <v>29.708200000000001</v>
      </c>
      <c r="AI19" s="17">
        <v>0</v>
      </c>
      <c r="AJ19" s="17">
        <f ca="1">$N$64</f>
        <v>0</v>
      </c>
      <c r="AK19" s="17">
        <f t="shared" ca="1" si="0"/>
        <v>0</v>
      </c>
      <c r="AL19" s="17"/>
      <c r="AM19" s="17"/>
      <c r="AP19" s="17">
        <v>1</v>
      </c>
    </row>
    <row r="20" spans="1:42" ht="11.25" customHeight="1" x14ac:dyDescent="0.25">
      <c r="A20" s="130"/>
      <c r="B20" s="130" t="s">
        <v>23</v>
      </c>
      <c r="C20" s="130" t="s">
        <v>24</v>
      </c>
      <c r="D20" s="37" t="s">
        <v>24</v>
      </c>
      <c r="E20" s="37" t="s">
        <v>25</v>
      </c>
      <c r="F20" s="37" t="s">
        <v>25</v>
      </c>
      <c r="G20" s="36" t="s">
        <v>79</v>
      </c>
      <c r="H20" s="36" t="s">
        <v>73</v>
      </c>
      <c r="I20" s="36">
        <f>'MERCADO TUSD'!$U$17</f>
        <v>23903.932000000001</v>
      </c>
      <c r="J20" s="16"/>
      <c r="L20" s="17">
        <f>1</f>
        <v>1</v>
      </c>
      <c r="M20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1.8609338378225224</v>
      </c>
      <c r="N20" s="17">
        <f ca="1">(+M20+O20+R20+U20+V20+W20+X20+Y20+Z20+AA20+AC20+AH20+AI20+AJ20+AK20)*CUSTOS!$M$5</f>
        <v>5.0078023383782241E-12</v>
      </c>
      <c r="O20" s="17">
        <v>1</v>
      </c>
      <c r="P20" s="17">
        <v>1</v>
      </c>
      <c r="Q20" s="17">
        <f>1</f>
        <v>1</v>
      </c>
      <c r="R20" s="17">
        <v>1</v>
      </c>
      <c r="S20" s="17">
        <v>1</v>
      </c>
      <c r="T20" s="17"/>
      <c r="U20" s="17">
        <f>TRANSICAO!$U$20*CUSTOS!$T$3</f>
        <v>0</v>
      </c>
      <c r="V20" s="17">
        <f>TRANSICAO!$V$20*CUSTOS!$T$3</f>
        <v>0</v>
      </c>
      <c r="W20" s="17">
        <f>TRANSICAO!$W$20*CUSTOS!$T$3</f>
        <v>0</v>
      </c>
      <c r="X20" s="17">
        <f>TRANSICAO!$X$20*CUSTOS!$T$3</f>
        <v>0</v>
      </c>
      <c r="Y20" s="17">
        <f>TRANSICAO!$Y$20*CUSTOS!$T$3</f>
        <v>124.4062</v>
      </c>
      <c r="Z20" s="17">
        <f>TRANSICAO!$Z$20*CUSTOS!$T$3</f>
        <v>0</v>
      </c>
      <c r="AA20" s="17">
        <f>TRANSICAO!$AA$20*CUSTOS!$T$3</f>
        <v>0</v>
      </c>
      <c r="AB20" s="17">
        <f>TRANSICAO!$AB$20*CUSTOS!$T$3</f>
        <v>0</v>
      </c>
      <c r="AC20" s="17">
        <f>TRANSICAO!$AC$20*CUSTOS!$T$3</f>
        <v>342.80489999999998</v>
      </c>
      <c r="AD20" s="17">
        <f>TRANSICAO!$AD$20*CUSTOS!$T$3</f>
        <v>0</v>
      </c>
      <c r="AE20" s="17">
        <v>0</v>
      </c>
      <c r="AF20" s="17">
        <v>0</v>
      </c>
      <c r="AG20" s="17"/>
      <c r="AH20" s="17">
        <v>29.708200000000001</v>
      </c>
      <c r="AI20" s="17">
        <v>0</v>
      </c>
      <c r="AJ20" s="17">
        <f ca="1">$N$64</f>
        <v>0</v>
      </c>
      <c r="AK20" s="17">
        <f t="shared" ca="1" si="0"/>
        <v>0</v>
      </c>
      <c r="AL20" s="17"/>
      <c r="AM20" s="17"/>
      <c r="AP20" s="17">
        <v>1</v>
      </c>
    </row>
    <row r="21" spans="1:42" ht="11.25" customHeight="1" x14ac:dyDescent="0.25">
      <c r="A21" s="130"/>
      <c r="B21" s="130"/>
      <c r="C21" s="130"/>
      <c r="D21" s="37" t="s">
        <v>29</v>
      </c>
      <c r="E21" s="37" t="s">
        <v>25</v>
      </c>
      <c r="F21" s="37" t="s">
        <v>25</v>
      </c>
      <c r="G21" s="36" t="s">
        <v>79</v>
      </c>
      <c r="H21" s="36" t="s">
        <v>73</v>
      </c>
      <c r="I21" s="36">
        <f>'MERCADO TUSD'!$U$18</f>
        <v>17.04</v>
      </c>
      <c r="J21" s="16"/>
      <c r="L21" s="17">
        <v>0</v>
      </c>
      <c r="M21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1.8609338378225224</v>
      </c>
      <c r="N21" s="17">
        <f ca="1">(+M21+O21+R21+U21+V21+W21+X21+Y21+Z21+AA21+AC21+AH21+AI21+AJ21+AK21)*CUSTOS!$M$5</f>
        <v>4.9978023383782248E-12</v>
      </c>
      <c r="O21" s="17">
        <f>1 - CUSTOS!$M$24</f>
        <v>1</v>
      </c>
      <c r="P21" s="17">
        <v>0</v>
      </c>
      <c r="Q21" s="17">
        <v>0</v>
      </c>
      <c r="R21" s="17">
        <v>0</v>
      </c>
      <c r="S21" s="17">
        <f>1 - CUSTOS!$M$24</f>
        <v>1</v>
      </c>
      <c r="T21" s="17"/>
      <c r="U21" s="17">
        <f>TRANSICAO!$U$21*CUSTOS!$T$3</f>
        <v>0</v>
      </c>
      <c r="V21" s="17">
        <f>TRANSICAO!$V$21*CUSTOS!$T$3</f>
        <v>0</v>
      </c>
      <c r="W21" s="17">
        <f>TRANSICAO!$W$21*CUSTOS!$T$3</f>
        <v>0</v>
      </c>
      <c r="X21" s="17">
        <f>TRANSICAO!$X$21*CUSTOS!$T$3</f>
        <v>0</v>
      </c>
      <c r="Y21" s="17">
        <f>TRANSICAO!$Y$21*CUSTOS!$T$3</f>
        <v>124.4062</v>
      </c>
      <c r="Z21" s="17">
        <f>TRANSICAO!$Z$21*CUSTOS!$T$3</f>
        <v>0</v>
      </c>
      <c r="AA21" s="17">
        <f>TRANSICAO!$AA$21*CUSTOS!$T$3</f>
        <v>0</v>
      </c>
      <c r="AB21" s="17">
        <f>TRANSICAO!$AB$21*CUSTOS!$T$3</f>
        <v>0</v>
      </c>
      <c r="AC21" s="17">
        <f>TRANSICAO!$AC$21*CUSTOS!$T$3</f>
        <v>342.80489999999998</v>
      </c>
      <c r="AD21" s="17">
        <f>TRANSICAO!$AD$21*CUSTOS!$T$3</f>
        <v>0</v>
      </c>
      <c r="AE21" s="17">
        <v>0</v>
      </c>
      <c r="AF21" s="17">
        <v>0</v>
      </c>
      <c r="AG21" s="17"/>
      <c r="AH21" s="17">
        <f>(1 - CUSTOS!$M$24)*29.7082</f>
        <v>29.708200000000001</v>
      </c>
      <c r="AI21" s="17">
        <v>0</v>
      </c>
      <c r="AJ21" s="17">
        <f ca="1">$N$64*(1-CUSTOS!$M$24)</f>
        <v>0</v>
      </c>
      <c r="AK21" s="17">
        <f t="shared" ca="1" si="0"/>
        <v>0</v>
      </c>
      <c r="AL21" s="17"/>
      <c r="AM21" s="17"/>
      <c r="AP21" s="17">
        <f>IF((1 - CUSTOS!$M$24)&lt;&gt;0,1/(1 - CUSTOS!$M$24),1)</f>
        <v>1</v>
      </c>
    </row>
    <row r="22" spans="1:42" ht="11.25" customHeight="1" x14ac:dyDescent="0.25">
      <c r="A22" s="130"/>
      <c r="B22" s="130"/>
      <c r="C22" s="130"/>
      <c r="D22" s="37" t="s">
        <v>30</v>
      </c>
      <c r="E22" s="37" t="s">
        <v>25</v>
      </c>
      <c r="F22" s="37" t="s">
        <v>25</v>
      </c>
      <c r="G22" s="36" t="s">
        <v>79</v>
      </c>
      <c r="H22" s="36" t="s">
        <v>73</v>
      </c>
      <c r="I22" s="36">
        <f>'MERCADO TUSD'!$U$19</f>
        <v>36.048999999999999</v>
      </c>
      <c r="J22" s="16"/>
      <c r="L22" s="17">
        <v>0</v>
      </c>
      <c r="M22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1.8609338378225224</v>
      </c>
      <c r="N22" s="17">
        <f ca="1">(+M22+O22+R22+U22+V22+W22+X22+Y22+Z22+AA22+AC22+AH22+AI22+AJ22+AK22)*CUSTOS!$M$5</f>
        <v>4.9978023383782248E-12</v>
      </c>
      <c r="O22" s="17">
        <f>1 - CUSTOS!$M$25</f>
        <v>1</v>
      </c>
      <c r="P22" s="17">
        <v>0</v>
      </c>
      <c r="Q22" s="17">
        <v>0</v>
      </c>
      <c r="R22" s="17">
        <v>0</v>
      </c>
      <c r="S22" s="17">
        <f>1 - CUSTOS!$M$25</f>
        <v>1</v>
      </c>
      <c r="T22" s="17"/>
      <c r="U22" s="17">
        <f>TRANSICAO!$U$22*CUSTOS!$T$3</f>
        <v>0</v>
      </c>
      <c r="V22" s="17">
        <f>TRANSICAO!$V$22*CUSTOS!$T$3</f>
        <v>0</v>
      </c>
      <c r="W22" s="17">
        <f>TRANSICAO!$W$22*CUSTOS!$T$3</f>
        <v>0</v>
      </c>
      <c r="X22" s="17">
        <f>TRANSICAO!$X$22*CUSTOS!$T$3</f>
        <v>0</v>
      </c>
      <c r="Y22" s="17">
        <f>TRANSICAO!$Y$22*CUSTOS!$T$3</f>
        <v>124.4062</v>
      </c>
      <c r="Z22" s="17">
        <f>TRANSICAO!$Z$22*CUSTOS!$T$3</f>
        <v>0</v>
      </c>
      <c r="AA22" s="17">
        <f>TRANSICAO!$AA$22*CUSTOS!$T$3</f>
        <v>0</v>
      </c>
      <c r="AB22" s="17">
        <f>TRANSICAO!$AB$22*CUSTOS!$T$3</f>
        <v>0</v>
      </c>
      <c r="AC22" s="17">
        <f>TRANSICAO!$AC$22*CUSTOS!$T$3</f>
        <v>342.80489999999998</v>
      </c>
      <c r="AD22" s="17">
        <f>TRANSICAO!$AD$22*CUSTOS!$T$3</f>
        <v>0</v>
      </c>
      <c r="AE22" s="17">
        <v>0</v>
      </c>
      <c r="AF22" s="17">
        <v>0</v>
      </c>
      <c r="AG22" s="17"/>
      <c r="AH22" s="17">
        <f>(1 - CUSTOS!$M$25)*29.7082</f>
        <v>29.708200000000001</v>
      </c>
      <c r="AI22" s="17">
        <v>0</v>
      </c>
      <c r="AJ22" s="17">
        <f ca="1">$N$64*(1-CUSTOS!$M$25)</f>
        <v>0</v>
      </c>
      <c r="AK22" s="17">
        <f t="shared" ca="1" si="0"/>
        <v>0</v>
      </c>
      <c r="AL22" s="17"/>
      <c r="AM22" s="17"/>
      <c r="AP22" s="17">
        <f>IF((1 - CUSTOS!$M$25)&lt;&gt;0,1/(1 - CUSTOS!$M$25),1)</f>
        <v>1</v>
      </c>
    </row>
    <row r="23" spans="1:42" ht="11.25" customHeight="1" x14ac:dyDescent="0.25">
      <c r="A23" s="130"/>
      <c r="B23" s="130"/>
      <c r="C23" s="130"/>
      <c r="D23" s="37" t="s">
        <v>31</v>
      </c>
      <c r="E23" s="37" t="s">
        <v>25</v>
      </c>
      <c r="F23" s="37" t="s">
        <v>25</v>
      </c>
      <c r="G23" s="36" t="s">
        <v>79</v>
      </c>
      <c r="H23" s="36" t="s">
        <v>73</v>
      </c>
      <c r="I23" s="36">
        <f>'MERCADO TUSD'!$U$20</f>
        <v>32.835000000000001</v>
      </c>
      <c r="J23" s="16"/>
      <c r="L23" s="17">
        <v>0</v>
      </c>
      <c r="M23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1.8609338378225224</v>
      </c>
      <c r="N23" s="17">
        <f ca="1">(+M23+O23+R23+U23+V23+W23+X23+Y23+Z23+AA23+AC23+AH23+AI23+AJ23+AK23)*CUSTOS!$M$5</f>
        <v>4.9978023383782248E-12</v>
      </c>
      <c r="O23" s="17">
        <f>1 - CUSTOS!$M$26</f>
        <v>1</v>
      </c>
      <c r="P23" s="17">
        <v>0</v>
      </c>
      <c r="Q23" s="17">
        <v>0</v>
      </c>
      <c r="R23" s="17">
        <v>0</v>
      </c>
      <c r="S23" s="17">
        <f>1 - CUSTOS!$M$26</f>
        <v>1</v>
      </c>
      <c r="T23" s="17"/>
      <c r="U23" s="17">
        <f>TRANSICAO!$U$23*CUSTOS!$T$3</f>
        <v>0</v>
      </c>
      <c r="V23" s="17">
        <f>TRANSICAO!$V$23*CUSTOS!$T$3</f>
        <v>0</v>
      </c>
      <c r="W23" s="17">
        <f>TRANSICAO!$W$23*CUSTOS!$T$3</f>
        <v>0</v>
      </c>
      <c r="X23" s="17">
        <f>TRANSICAO!$X$23*CUSTOS!$T$3</f>
        <v>0</v>
      </c>
      <c r="Y23" s="17">
        <f>TRANSICAO!$Y$23*CUSTOS!$T$3</f>
        <v>124.4062</v>
      </c>
      <c r="Z23" s="17">
        <f>TRANSICAO!$Z$23*CUSTOS!$T$3</f>
        <v>0</v>
      </c>
      <c r="AA23" s="17">
        <f>TRANSICAO!$AA$23*CUSTOS!$T$3</f>
        <v>0</v>
      </c>
      <c r="AB23" s="17">
        <f>TRANSICAO!$AB$23*CUSTOS!$T$3</f>
        <v>0</v>
      </c>
      <c r="AC23" s="17">
        <f>TRANSICAO!$AC$23*CUSTOS!$T$3</f>
        <v>342.80489999999998</v>
      </c>
      <c r="AD23" s="17">
        <f>TRANSICAO!$AD$23*CUSTOS!$T$3</f>
        <v>0</v>
      </c>
      <c r="AE23" s="17">
        <v>0</v>
      </c>
      <c r="AF23" s="17">
        <v>0</v>
      </c>
      <c r="AG23" s="17"/>
      <c r="AH23" s="17">
        <f>(1 - CUSTOS!$M$26)*29.7082</f>
        <v>29.708200000000001</v>
      </c>
      <c r="AI23" s="17">
        <v>0</v>
      </c>
      <c r="AJ23" s="17">
        <f ca="1">$N$64*(1-CUSTOS!$M$26)</f>
        <v>0</v>
      </c>
      <c r="AK23" s="17">
        <f t="shared" ca="1" si="0"/>
        <v>0</v>
      </c>
      <c r="AL23" s="17"/>
      <c r="AM23" s="17"/>
      <c r="AP23" s="17">
        <f>IF((1 - CUSTOS!$M$26)&lt;&gt;0,1/(1 - CUSTOS!$M$26),1)</f>
        <v>1</v>
      </c>
    </row>
    <row r="24" spans="1:42" ht="11.25" customHeight="1" x14ac:dyDescent="0.25">
      <c r="A24" s="130"/>
      <c r="B24" s="130"/>
      <c r="C24" s="130"/>
      <c r="D24" s="37" t="s">
        <v>32</v>
      </c>
      <c r="E24" s="37" t="s">
        <v>25</v>
      </c>
      <c r="F24" s="37" t="s">
        <v>25</v>
      </c>
      <c r="G24" s="36" t="s">
        <v>79</v>
      </c>
      <c r="H24" s="36" t="s">
        <v>73</v>
      </c>
      <c r="I24" s="36">
        <f>'MERCADO TUSD'!$U$21</f>
        <v>10.568</v>
      </c>
      <c r="J24" s="16"/>
      <c r="L24" s="17">
        <v>0</v>
      </c>
      <c r="M24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1.8609338378225224</v>
      </c>
      <c r="N24" s="17">
        <f ca="1">(+M24+O24+R24+U24+V24+W24+X24+Y24+Z24+AA24+AC24+AH24+AI24+AJ24+AK24)*CUSTOS!$M$5</f>
        <v>4.9978023383782248E-12</v>
      </c>
      <c r="O24" s="17">
        <f>1 - CUSTOS!$M$27</f>
        <v>1</v>
      </c>
      <c r="P24" s="17">
        <v>0</v>
      </c>
      <c r="Q24" s="17">
        <v>0</v>
      </c>
      <c r="R24" s="17">
        <v>0</v>
      </c>
      <c r="S24" s="17">
        <f>1 - CUSTOS!$M$27</f>
        <v>1</v>
      </c>
      <c r="T24" s="17"/>
      <c r="U24" s="17">
        <f>TRANSICAO!$U$24*CUSTOS!$T$3</f>
        <v>0</v>
      </c>
      <c r="V24" s="17">
        <f>TRANSICAO!$V$24*CUSTOS!$T$3</f>
        <v>0</v>
      </c>
      <c r="W24" s="17">
        <f>TRANSICAO!$W$24*CUSTOS!$T$3</f>
        <v>0</v>
      </c>
      <c r="X24" s="17">
        <f>TRANSICAO!$X$24*CUSTOS!$T$3</f>
        <v>0</v>
      </c>
      <c r="Y24" s="17">
        <f>TRANSICAO!$Y$24*CUSTOS!$T$3</f>
        <v>124.4062</v>
      </c>
      <c r="Z24" s="17">
        <f>TRANSICAO!$Z$24*CUSTOS!$T$3</f>
        <v>0</v>
      </c>
      <c r="AA24" s="17">
        <f>TRANSICAO!$AA$24*CUSTOS!$T$3</f>
        <v>0</v>
      </c>
      <c r="AB24" s="17">
        <f>TRANSICAO!$AB$24*CUSTOS!$T$3</f>
        <v>0</v>
      </c>
      <c r="AC24" s="17">
        <f>TRANSICAO!$AC$24*CUSTOS!$T$3</f>
        <v>342.80489999999998</v>
      </c>
      <c r="AD24" s="17">
        <f>TRANSICAO!$AD$24*CUSTOS!$T$3</f>
        <v>0</v>
      </c>
      <c r="AE24" s="17">
        <v>0</v>
      </c>
      <c r="AF24" s="17">
        <v>0</v>
      </c>
      <c r="AG24" s="17"/>
      <c r="AH24" s="17">
        <f>(1 - CUSTOS!$M$27)*29.7082</f>
        <v>29.708200000000001</v>
      </c>
      <c r="AI24" s="17">
        <v>0</v>
      </c>
      <c r="AJ24" s="17">
        <f ca="1">$N$64*(1-CUSTOS!$M$27)</f>
        <v>0</v>
      </c>
      <c r="AK24" s="17">
        <f t="shared" ca="1" si="0"/>
        <v>0</v>
      </c>
      <c r="AL24" s="17"/>
      <c r="AM24" s="17"/>
      <c r="AP24" s="17">
        <f>IF((1 - CUSTOS!$M$27)&lt;&gt;0,1/(1 - CUSTOS!$M$27),1)</f>
        <v>1</v>
      </c>
    </row>
    <row r="25" spans="1:42" ht="11.25" customHeight="1" x14ac:dyDescent="0.25">
      <c r="A25" s="130"/>
      <c r="B25" s="130" t="s">
        <v>89</v>
      </c>
      <c r="C25" s="130" t="s">
        <v>24</v>
      </c>
      <c r="D25" s="37" t="s">
        <v>24</v>
      </c>
      <c r="E25" s="37" t="s">
        <v>25</v>
      </c>
      <c r="F25" s="37" t="s">
        <v>25</v>
      </c>
      <c r="G25" s="36" t="s">
        <v>79</v>
      </c>
      <c r="H25" s="36" t="s">
        <v>73</v>
      </c>
      <c r="I25" s="36">
        <f>'MERCADO TUSD'!$U$22</f>
        <v>0</v>
      </c>
      <c r="J25" s="16"/>
      <c r="L25" s="17">
        <f>1</f>
        <v>1</v>
      </c>
      <c r="M25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1.8609338378225224</v>
      </c>
      <c r="N25" s="17">
        <f ca="1">(+M25+O25+R25+U25+V25+W25+X25+Y25+Z25+AA25+AC25+AH25+AI25+AJ25+AK25)*CUSTOS!$M$5</f>
        <v>5.0078023383782241E-12</v>
      </c>
      <c r="O25" s="17">
        <v>1</v>
      </c>
      <c r="P25" s="17">
        <v>1</v>
      </c>
      <c r="Q25" s="17">
        <f>1</f>
        <v>1</v>
      </c>
      <c r="R25" s="17">
        <v>1</v>
      </c>
      <c r="S25" s="17">
        <v>1</v>
      </c>
      <c r="T25" s="17"/>
      <c r="U25" s="17">
        <f>TRANSICAO!$U$25*CUSTOS!$T$3</f>
        <v>0</v>
      </c>
      <c r="V25" s="17">
        <f>TRANSICAO!$V$25*CUSTOS!$T$3</f>
        <v>0</v>
      </c>
      <c r="W25" s="17">
        <f>TRANSICAO!$W$25*CUSTOS!$T$3</f>
        <v>0</v>
      </c>
      <c r="X25" s="17">
        <f>TRANSICAO!$X$25*CUSTOS!$T$3</f>
        <v>0</v>
      </c>
      <c r="Y25" s="17">
        <f>TRANSICAO!$Y$25*CUSTOS!$T$3</f>
        <v>124.4062</v>
      </c>
      <c r="Z25" s="17">
        <f>TRANSICAO!$Z$25*CUSTOS!$T$3</f>
        <v>0</v>
      </c>
      <c r="AA25" s="17">
        <f>TRANSICAO!$AA$25*CUSTOS!$T$3</f>
        <v>0</v>
      </c>
      <c r="AB25" s="17">
        <f>TRANSICAO!$AB$25*CUSTOS!$T$3</f>
        <v>0</v>
      </c>
      <c r="AC25" s="17">
        <f>TRANSICAO!$AC$25*CUSTOS!$T$3</f>
        <v>342.80489999999998</v>
      </c>
      <c r="AD25" s="17">
        <f>TRANSICAO!$AD$25*CUSTOS!$T$3</f>
        <v>0</v>
      </c>
      <c r="AE25" s="17">
        <v>0</v>
      </c>
      <c r="AF25" s="17">
        <v>0</v>
      </c>
      <c r="AG25" s="17"/>
      <c r="AH25" s="17">
        <v>29.708200000000001</v>
      </c>
      <c r="AI25" s="17">
        <v>0</v>
      </c>
      <c r="AJ25" s="17">
        <f ca="1">$N$64</f>
        <v>0</v>
      </c>
      <c r="AK25" s="17">
        <f t="shared" ca="1" si="0"/>
        <v>0</v>
      </c>
      <c r="AL25" s="17"/>
      <c r="AM25" s="17"/>
      <c r="AP25" s="17">
        <v>1</v>
      </c>
    </row>
    <row r="26" spans="1:42" ht="11.25" customHeight="1" x14ac:dyDescent="0.25">
      <c r="A26" s="130"/>
      <c r="B26" s="130"/>
      <c r="C26" s="130"/>
      <c r="D26" s="37" t="s">
        <v>29</v>
      </c>
      <c r="E26" s="37" t="s">
        <v>25</v>
      </c>
      <c r="F26" s="37" t="s">
        <v>25</v>
      </c>
      <c r="G26" s="36" t="s">
        <v>79</v>
      </c>
      <c r="H26" s="36" t="s">
        <v>73</v>
      </c>
      <c r="I26" s="36">
        <f>'MERCADO TUSD'!$U$23</f>
        <v>0</v>
      </c>
      <c r="J26" s="16"/>
      <c r="L26" s="17">
        <v>0</v>
      </c>
      <c r="M26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1.8609338378225224</v>
      </c>
      <c r="N26" s="17">
        <f ca="1">(+M26+O26+R26+U26+V26+W26+X26+Y26+Z26+AA26+AC26+AH26+AI26+AJ26+AK26)*CUSTOS!$M$5</f>
        <v>4.9978023383782248E-12</v>
      </c>
      <c r="O26" s="17">
        <f>1 - CUSTOS!$M$24</f>
        <v>1</v>
      </c>
      <c r="P26" s="17">
        <v>0</v>
      </c>
      <c r="Q26" s="17">
        <v>0</v>
      </c>
      <c r="R26" s="17">
        <v>0</v>
      </c>
      <c r="S26" s="17">
        <f>1 - CUSTOS!$M$24</f>
        <v>1</v>
      </c>
      <c r="T26" s="17"/>
      <c r="U26" s="17">
        <f>TRANSICAO!$U$26*CUSTOS!$T$3</f>
        <v>0</v>
      </c>
      <c r="V26" s="17">
        <f>TRANSICAO!$V$26*CUSTOS!$T$3</f>
        <v>0</v>
      </c>
      <c r="W26" s="17">
        <f>TRANSICAO!$W$26*CUSTOS!$T$3</f>
        <v>0</v>
      </c>
      <c r="X26" s="17">
        <f>TRANSICAO!$X$26*CUSTOS!$T$3</f>
        <v>0</v>
      </c>
      <c r="Y26" s="17">
        <f>TRANSICAO!$Y$26*CUSTOS!$T$3</f>
        <v>124.4062</v>
      </c>
      <c r="Z26" s="17">
        <f>TRANSICAO!$Z$26*CUSTOS!$T$3</f>
        <v>0</v>
      </c>
      <c r="AA26" s="17">
        <f>TRANSICAO!$AA$26*CUSTOS!$T$3</f>
        <v>0</v>
      </c>
      <c r="AB26" s="17">
        <f>TRANSICAO!$AB$26*CUSTOS!$T$3</f>
        <v>0</v>
      </c>
      <c r="AC26" s="17">
        <f>TRANSICAO!$AC$26*CUSTOS!$T$3</f>
        <v>342.80489999999998</v>
      </c>
      <c r="AD26" s="17">
        <f>TRANSICAO!$AD$26*CUSTOS!$T$3</f>
        <v>0</v>
      </c>
      <c r="AE26" s="17">
        <v>0</v>
      </c>
      <c r="AF26" s="17">
        <v>0</v>
      </c>
      <c r="AG26" s="17"/>
      <c r="AH26" s="17">
        <f>(1 - CUSTOS!$M$24)*29.7082</f>
        <v>29.708200000000001</v>
      </c>
      <c r="AI26" s="17">
        <v>0</v>
      </c>
      <c r="AJ26" s="17">
        <f ca="1">$N$64*(1-CUSTOS!$M$24)</f>
        <v>0</v>
      </c>
      <c r="AK26" s="17">
        <f t="shared" ca="1" si="0"/>
        <v>0</v>
      </c>
      <c r="AL26" s="17"/>
      <c r="AM26" s="17"/>
      <c r="AP26" s="17">
        <f>IF((1 - CUSTOS!$M$24)&lt;&gt;0,1/(1 - CUSTOS!$M$24),1)</f>
        <v>1</v>
      </c>
    </row>
    <row r="27" spans="1:42" ht="11.25" customHeight="1" x14ac:dyDescent="0.25">
      <c r="A27" s="130"/>
      <c r="B27" s="130"/>
      <c r="C27" s="130"/>
      <c r="D27" s="37" t="s">
        <v>30</v>
      </c>
      <c r="E27" s="37" t="s">
        <v>25</v>
      </c>
      <c r="F27" s="37" t="s">
        <v>25</v>
      </c>
      <c r="G27" s="36" t="s">
        <v>79</v>
      </c>
      <c r="H27" s="36" t="s">
        <v>73</v>
      </c>
      <c r="I27" s="36">
        <f>'MERCADO TUSD'!$U$24</f>
        <v>0</v>
      </c>
      <c r="J27" s="16"/>
      <c r="L27" s="17">
        <v>0</v>
      </c>
      <c r="M27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1.8609338378225224</v>
      </c>
      <c r="N27" s="17">
        <f ca="1">(+M27+O27+R27+U27+V27+W27+X27+Y27+Z27+AA27+AC27+AH27+AI27+AJ27+AK27)*CUSTOS!$M$5</f>
        <v>4.9978023383782248E-12</v>
      </c>
      <c r="O27" s="17">
        <f>1 - CUSTOS!$M$25</f>
        <v>1</v>
      </c>
      <c r="P27" s="17">
        <v>0</v>
      </c>
      <c r="Q27" s="17">
        <v>0</v>
      </c>
      <c r="R27" s="17">
        <v>0</v>
      </c>
      <c r="S27" s="17">
        <f>1 - CUSTOS!$M$25</f>
        <v>1</v>
      </c>
      <c r="T27" s="17"/>
      <c r="U27" s="17">
        <f>TRANSICAO!$U$27*CUSTOS!$T$3</f>
        <v>0</v>
      </c>
      <c r="V27" s="17">
        <f>TRANSICAO!$V$27*CUSTOS!$T$3</f>
        <v>0</v>
      </c>
      <c r="W27" s="17">
        <f>TRANSICAO!$W$27*CUSTOS!$T$3</f>
        <v>0</v>
      </c>
      <c r="X27" s="17">
        <f>TRANSICAO!$X$27*CUSTOS!$T$3</f>
        <v>0</v>
      </c>
      <c r="Y27" s="17">
        <f>TRANSICAO!$Y$27*CUSTOS!$T$3</f>
        <v>124.4062</v>
      </c>
      <c r="Z27" s="17">
        <f>TRANSICAO!$Z$27*CUSTOS!$T$3</f>
        <v>0</v>
      </c>
      <c r="AA27" s="17">
        <f>TRANSICAO!$AA$27*CUSTOS!$T$3</f>
        <v>0</v>
      </c>
      <c r="AB27" s="17">
        <f>TRANSICAO!$AB$27*CUSTOS!$T$3</f>
        <v>0</v>
      </c>
      <c r="AC27" s="17">
        <f>TRANSICAO!$AC$27*CUSTOS!$T$3</f>
        <v>342.80489999999998</v>
      </c>
      <c r="AD27" s="17">
        <f>TRANSICAO!$AD$27*CUSTOS!$T$3</f>
        <v>0</v>
      </c>
      <c r="AE27" s="17">
        <v>0</v>
      </c>
      <c r="AF27" s="17">
        <v>0</v>
      </c>
      <c r="AG27" s="17"/>
      <c r="AH27" s="17">
        <f>(1 - CUSTOS!$M$25)*29.7082</f>
        <v>29.708200000000001</v>
      </c>
      <c r="AI27" s="17">
        <v>0</v>
      </c>
      <c r="AJ27" s="17">
        <f ca="1">$N$64*(1-CUSTOS!$M$25)</f>
        <v>0</v>
      </c>
      <c r="AK27" s="17">
        <f t="shared" ca="1" si="0"/>
        <v>0</v>
      </c>
      <c r="AL27" s="17"/>
      <c r="AM27" s="17"/>
      <c r="AP27" s="17">
        <f>IF((1 - CUSTOS!$M$25)&lt;&gt;0,1/(1 - CUSTOS!$M$25),1)</f>
        <v>1</v>
      </c>
    </row>
    <row r="28" spans="1:42" ht="11.25" customHeight="1" x14ac:dyDescent="0.25">
      <c r="A28" s="130"/>
      <c r="B28" s="130"/>
      <c r="C28" s="130"/>
      <c r="D28" s="37" t="s">
        <v>31</v>
      </c>
      <c r="E28" s="37" t="s">
        <v>25</v>
      </c>
      <c r="F28" s="37" t="s">
        <v>25</v>
      </c>
      <c r="G28" s="36" t="s">
        <v>79</v>
      </c>
      <c r="H28" s="36" t="s">
        <v>73</v>
      </c>
      <c r="I28" s="36">
        <f>'MERCADO TUSD'!$U$25</f>
        <v>0</v>
      </c>
      <c r="J28" s="16"/>
      <c r="L28" s="17">
        <v>0</v>
      </c>
      <c r="M28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1.8609338378225224</v>
      </c>
      <c r="N28" s="17">
        <f ca="1">(+M28+O28+R28+U28+V28+W28+X28+Y28+Z28+AA28+AC28+AH28+AI28+AJ28+AK28)*CUSTOS!$M$5</f>
        <v>4.9978023383782248E-12</v>
      </c>
      <c r="O28" s="17">
        <f>1 - CUSTOS!$M$26</f>
        <v>1</v>
      </c>
      <c r="P28" s="17">
        <v>0</v>
      </c>
      <c r="Q28" s="17">
        <v>0</v>
      </c>
      <c r="R28" s="17">
        <v>0</v>
      </c>
      <c r="S28" s="17">
        <f>1 - CUSTOS!$M$26</f>
        <v>1</v>
      </c>
      <c r="T28" s="17"/>
      <c r="U28" s="17">
        <f>TRANSICAO!$U$28*CUSTOS!$T$3</f>
        <v>0</v>
      </c>
      <c r="V28" s="17">
        <f>TRANSICAO!$V$28*CUSTOS!$T$3</f>
        <v>0</v>
      </c>
      <c r="W28" s="17">
        <f>TRANSICAO!$W$28*CUSTOS!$T$3</f>
        <v>0</v>
      </c>
      <c r="X28" s="17">
        <f>TRANSICAO!$X$28*CUSTOS!$T$3</f>
        <v>0</v>
      </c>
      <c r="Y28" s="17">
        <f>TRANSICAO!$Y$28*CUSTOS!$T$3</f>
        <v>124.4062</v>
      </c>
      <c r="Z28" s="17">
        <f>TRANSICAO!$Z$28*CUSTOS!$T$3</f>
        <v>0</v>
      </c>
      <c r="AA28" s="17">
        <f>TRANSICAO!$AA$28*CUSTOS!$T$3</f>
        <v>0</v>
      </c>
      <c r="AB28" s="17">
        <f>TRANSICAO!$AB$28*CUSTOS!$T$3</f>
        <v>0</v>
      </c>
      <c r="AC28" s="17">
        <f>TRANSICAO!$AC$28*CUSTOS!$T$3</f>
        <v>342.80489999999998</v>
      </c>
      <c r="AD28" s="17">
        <f>TRANSICAO!$AD$28*CUSTOS!$T$3</f>
        <v>0</v>
      </c>
      <c r="AE28" s="17">
        <v>0</v>
      </c>
      <c r="AF28" s="17">
        <v>0</v>
      </c>
      <c r="AG28" s="17"/>
      <c r="AH28" s="17">
        <f>(1 - CUSTOS!$M$26)*29.7082</f>
        <v>29.708200000000001</v>
      </c>
      <c r="AI28" s="17">
        <v>0</v>
      </c>
      <c r="AJ28" s="17">
        <f ca="1">$N$64*(1-CUSTOS!$M$26)</f>
        <v>0</v>
      </c>
      <c r="AK28" s="17">
        <f t="shared" ca="1" si="0"/>
        <v>0</v>
      </c>
      <c r="AL28" s="17"/>
      <c r="AM28" s="17"/>
      <c r="AP28" s="17">
        <f>IF((1 - CUSTOS!$M$26)&lt;&gt;0,1/(1 - CUSTOS!$M$26),1)</f>
        <v>1</v>
      </c>
    </row>
    <row r="29" spans="1:42" ht="11.25" customHeight="1" x14ac:dyDescent="0.25">
      <c r="A29" s="130"/>
      <c r="B29" s="130"/>
      <c r="C29" s="130"/>
      <c r="D29" s="37" t="s">
        <v>32</v>
      </c>
      <c r="E29" s="37" t="s">
        <v>25</v>
      </c>
      <c r="F29" s="37" t="s">
        <v>25</v>
      </c>
      <c r="G29" s="36" t="s">
        <v>79</v>
      </c>
      <c r="H29" s="36" t="s">
        <v>73</v>
      </c>
      <c r="I29" s="36">
        <f>'MERCADO TUSD'!$U$26</f>
        <v>0</v>
      </c>
      <c r="J29" s="16"/>
      <c r="L29" s="17">
        <v>0</v>
      </c>
      <c r="M29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1.8609338378225224</v>
      </c>
      <c r="N29" s="17">
        <f ca="1">(+M29+O29+R29+U29+V29+W29+X29+Y29+Z29+AA29+AC29+AH29+AI29+AJ29+AK29)*CUSTOS!$M$5</f>
        <v>4.9978023383782248E-12</v>
      </c>
      <c r="O29" s="17">
        <f>1 - CUSTOS!$M$27</f>
        <v>1</v>
      </c>
      <c r="P29" s="17">
        <v>0</v>
      </c>
      <c r="Q29" s="17">
        <v>0</v>
      </c>
      <c r="R29" s="17">
        <v>0</v>
      </c>
      <c r="S29" s="17">
        <f>1 - CUSTOS!$M$27</f>
        <v>1</v>
      </c>
      <c r="T29" s="17"/>
      <c r="U29" s="17">
        <f>TRANSICAO!$U$29*CUSTOS!$T$3</f>
        <v>0</v>
      </c>
      <c r="V29" s="17">
        <f>TRANSICAO!$V$29*CUSTOS!$T$3</f>
        <v>0</v>
      </c>
      <c r="W29" s="17">
        <f>TRANSICAO!$W$29*CUSTOS!$T$3</f>
        <v>0</v>
      </c>
      <c r="X29" s="17">
        <f>TRANSICAO!$X$29*CUSTOS!$T$3</f>
        <v>0</v>
      </c>
      <c r="Y29" s="17">
        <f>TRANSICAO!$Y$29*CUSTOS!$T$3</f>
        <v>124.4062</v>
      </c>
      <c r="Z29" s="17">
        <f>TRANSICAO!$Z$29*CUSTOS!$T$3</f>
        <v>0</v>
      </c>
      <c r="AA29" s="17">
        <f>TRANSICAO!$AA$29*CUSTOS!$T$3</f>
        <v>0</v>
      </c>
      <c r="AB29" s="17">
        <f>TRANSICAO!$AB$29*CUSTOS!$T$3</f>
        <v>0</v>
      </c>
      <c r="AC29" s="17">
        <f>TRANSICAO!$AC$29*CUSTOS!$T$3</f>
        <v>342.80489999999998</v>
      </c>
      <c r="AD29" s="17">
        <f>TRANSICAO!$AD$29*CUSTOS!$T$3</f>
        <v>0</v>
      </c>
      <c r="AE29" s="17">
        <v>0</v>
      </c>
      <c r="AF29" s="17">
        <v>0</v>
      </c>
      <c r="AG29" s="17"/>
      <c r="AH29" s="17">
        <f>(1 - CUSTOS!$M$27)*29.7082</f>
        <v>29.708200000000001</v>
      </c>
      <c r="AI29" s="17">
        <v>0</v>
      </c>
      <c r="AJ29" s="17">
        <f ca="1">$N$64*(1-CUSTOS!$M$27)</f>
        <v>0</v>
      </c>
      <c r="AK29" s="17">
        <f t="shared" ca="1" si="0"/>
        <v>0</v>
      </c>
      <c r="AL29" s="17"/>
      <c r="AM29" s="17"/>
      <c r="AP29" s="17">
        <f>IF((1 - CUSTOS!$M$27)&lt;&gt;0,1/(1 - CUSTOS!$M$27),1)</f>
        <v>1</v>
      </c>
    </row>
    <row r="30" spans="1:42" ht="11.25" customHeight="1" x14ac:dyDescent="0.25">
      <c r="A30" s="130" t="s">
        <v>40</v>
      </c>
      <c r="B30" s="130" t="s">
        <v>87</v>
      </c>
      <c r="C30" s="130" t="s">
        <v>41</v>
      </c>
      <c r="D30" s="130" t="s">
        <v>25</v>
      </c>
      <c r="E30" s="130" t="s">
        <v>25</v>
      </c>
      <c r="F30" s="130" t="s">
        <v>25</v>
      </c>
      <c r="G30" s="36" t="s">
        <v>74</v>
      </c>
      <c r="H30" s="36" t="s">
        <v>73</v>
      </c>
      <c r="I30" s="36">
        <f>'MERCADO TUSD'!$U$27</f>
        <v>0</v>
      </c>
      <c r="J30" s="16"/>
      <c r="L30" s="17">
        <f>1*(1 - CUSTOS!$M$28)</f>
        <v>1</v>
      </c>
      <c r="M30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1.8609338378225224</v>
      </c>
      <c r="N30" s="17">
        <f ca="1">(+M30+O30+R30+U30+V30+W30+X30+Y30+Z30+AA30+AC30+AH30+AI30+AJ30+AK30)*CUSTOS!$M$5</f>
        <v>1.1815311338378226E-11</v>
      </c>
      <c r="O30" s="17">
        <f>1 - CUSTOS!$M$28</f>
        <v>1</v>
      </c>
      <c r="P30" s="17">
        <f>1 - CUSTOS!$M$28</f>
        <v>1</v>
      </c>
      <c r="Q30" s="17">
        <f>1*(1 - CUSTOS!$M$28)</f>
        <v>1</v>
      </c>
      <c r="R30" s="17">
        <f>1 - CUSTOS!$M$28</f>
        <v>1</v>
      </c>
      <c r="S30" s="17">
        <f>1 - CUSTOS!$M$28</f>
        <v>1</v>
      </c>
      <c r="T30" s="17"/>
      <c r="U30" s="17">
        <f>TRANSICAO!$U$30*CUSTOS!$T$3</f>
        <v>0</v>
      </c>
      <c r="V30" s="17">
        <f>TRANSICAO!$V$30*CUSTOS!$T$3</f>
        <v>0</v>
      </c>
      <c r="W30" s="17">
        <f>TRANSICAO!$W$30*CUSTOS!$T$3</f>
        <v>0</v>
      </c>
      <c r="X30" s="17">
        <f>TRANSICAO!$X$30*CUSTOS!$T$3</f>
        <v>0</v>
      </c>
      <c r="Y30" s="17">
        <f>TRANSICAO!$Y$30*CUSTOS!$T$3</f>
        <v>305.69060000000002</v>
      </c>
      <c r="Z30" s="17">
        <f>TRANSICAO!$Z$30*CUSTOS!$T$3</f>
        <v>0</v>
      </c>
      <c r="AA30" s="17">
        <f>TRANSICAO!$AA$30*CUSTOS!$T$3</f>
        <v>0</v>
      </c>
      <c r="AB30" s="17">
        <f>TRANSICAO!$AB$30*CUSTOS!$T$3</f>
        <v>0</v>
      </c>
      <c r="AC30" s="17">
        <f>TRANSICAO!$AC$30*CUSTOS!$T$3</f>
        <v>842.27139999999997</v>
      </c>
      <c r="AD30" s="17">
        <f>TRANSICAO!$AD$30*CUSTOS!$T$3</f>
        <v>0</v>
      </c>
      <c r="AE30" s="17">
        <v>0</v>
      </c>
      <c r="AF30" s="17">
        <v>0</v>
      </c>
      <c r="AG30" s="17"/>
      <c r="AH30" s="17">
        <f>(1 - CUSTOS!$M$28)*29.7082</f>
        <v>29.708200000000001</v>
      </c>
      <c r="AI30" s="17">
        <v>0</v>
      </c>
      <c r="AJ30" s="17">
        <f ca="1">$N$64*(1-CUSTOS!$M$28)</f>
        <v>0</v>
      </c>
      <c r="AK30" s="17">
        <f t="shared" ca="1" si="0"/>
        <v>0</v>
      </c>
      <c r="AL30" s="17"/>
      <c r="AM30" s="17"/>
      <c r="AP30" s="17">
        <f>IF((1 - CUSTOS!$M$28)&lt;&gt;0,1/(1 - CUSTOS!$M$28),1)</f>
        <v>1</v>
      </c>
    </row>
    <row r="31" spans="1:42" ht="11.25" customHeight="1" x14ac:dyDescent="0.25">
      <c r="A31" s="130"/>
      <c r="B31" s="130"/>
      <c r="C31" s="130"/>
      <c r="D31" s="130"/>
      <c r="E31" s="130"/>
      <c r="F31" s="130"/>
      <c r="G31" s="36" t="s">
        <v>85</v>
      </c>
      <c r="H31" s="36" t="s">
        <v>73</v>
      </c>
      <c r="I31" s="36">
        <f>'MERCADO TUSD'!$U$28</f>
        <v>0</v>
      </c>
      <c r="J31" s="16"/>
      <c r="L31" s="17">
        <f>1*(1 - CUSTOS!$M$28)</f>
        <v>1</v>
      </c>
      <c r="M31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1.8609338378225224</v>
      </c>
      <c r="N31" s="17">
        <f ca="1">(+M31+O31+R31+U31+V31+W31+X31+Y31+Z31+AA31+AC31+AH31+AI31+AJ31+AK31)*CUSTOS!$M$5</f>
        <v>7.2231943383782256E-12</v>
      </c>
      <c r="O31" s="17">
        <f>1 - CUSTOS!$M$28</f>
        <v>1</v>
      </c>
      <c r="P31" s="17">
        <f>1 - CUSTOS!$M$28</f>
        <v>1</v>
      </c>
      <c r="Q31" s="17">
        <f>1*(1 - CUSTOS!$M$28)</f>
        <v>1</v>
      </c>
      <c r="R31" s="17">
        <f>1 - CUSTOS!$M$28</f>
        <v>1</v>
      </c>
      <c r="S31" s="17">
        <f>1 - CUSTOS!$M$28</f>
        <v>1</v>
      </c>
      <c r="T31" s="17"/>
      <c r="U31" s="17">
        <f>TRANSICAO!$U$31*CUSTOS!$T$3</f>
        <v>0</v>
      </c>
      <c r="V31" s="17">
        <f>TRANSICAO!$V$31*CUSTOS!$T$3</f>
        <v>0</v>
      </c>
      <c r="W31" s="17">
        <f>TRANSICAO!$W$31*CUSTOS!$T$3</f>
        <v>0</v>
      </c>
      <c r="X31" s="17">
        <f>TRANSICAO!$X$31*CUSTOS!$T$3</f>
        <v>0</v>
      </c>
      <c r="Y31" s="17">
        <f>TRANSICAO!$Y$31*CUSTOS!$T$3</f>
        <v>183.38730000000001</v>
      </c>
      <c r="Z31" s="17">
        <f>TRANSICAO!$Z$31*CUSTOS!$T$3</f>
        <v>0</v>
      </c>
      <c r="AA31" s="17">
        <f>TRANSICAO!$AA$31*CUSTOS!$T$3</f>
        <v>0</v>
      </c>
      <c r="AB31" s="17">
        <f>TRANSICAO!$AB$31*CUSTOS!$T$3</f>
        <v>0</v>
      </c>
      <c r="AC31" s="17">
        <f>TRANSICAO!$AC$31*CUSTOS!$T$3</f>
        <v>505.363</v>
      </c>
      <c r="AD31" s="17">
        <f>TRANSICAO!$AD$31*CUSTOS!$T$3</f>
        <v>0</v>
      </c>
      <c r="AE31" s="17">
        <v>0</v>
      </c>
      <c r="AF31" s="17">
        <v>0</v>
      </c>
      <c r="AG31" s="17"/>
      <c r="AH31" s="17">
        <f>(1 - CUSTOS!$M$28)*29.7082</f>
        <v>29.708200000000001</v>
      </c>
      <c r="AI31" s="17">
        <v>0</v>
      </c>
      <c r="AJ31" s="17">
        <f ca="1">$N$64*(1-CUSTOS!$M$28)</f>
        <v>0</v>
      </c>
      <c r="AK31" s="17">
        <f t="shared" ca="1" si="0"/>
        <v>0</v>
      </c>
      <c r="AL31" s="17"/>
      <c r="AM31" s="17"/>
      <c r="AP31" s="17">
        <f>IF((1 - CUSTOS!$M$28)&lt;&gt;0,1/(1 - CUSTOS!$M$28),1)</f>
        <v>1</v>
      </c>
    </row>
    <row r="32" spans="1:42" ht="11.25" customHeight="1" x14ac:dyDescent="0.25">
      <c r="A32" s="130"/>
      <c r="B32" s="130"/>
      <c r="C32" s="130"/>
      <c r="D32" s="130"/>
      <c r="E32" s="130"/>
      <c r="F32" s="130"/>
      <c r="G32" s="36" t="s">
        <v>75</v>
      </c>
      <c r="H32" s="36" t="s">
        <v>73</v>
      </c>
      <c r="I32" s="36">
        <f>'MERCADO TUSD'!$U$29</f>
        <v>0</v>
      </c>
      <c r="J32" s="16"/>
      <c r="L32" s="17">
        <f>1*(1 - CUSTOS!$M$28)</f>
        <v>1</v>
      </c>
      <c r="M32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1.8609338378225224</v>
      </c>
      <c r="N32" s="17">
        <f ca="1">(+M32+O32+R32+U32+V32+W32+X32+Y32+Z32+AA32+AC32+AH32+AI32+AJ32+AK32)*CUSTOS!$M$5</f>
        <v>2.6314103383782249E-12</v>
      </c>
      <c r="O32" s="17">
        <f>1 - CUSTOS!$M$28</f>
        <v>1</v>
      </c>
      <c r="P32" s="17">
        <f>1 - CUSTOS!$M$28</f>
        <v>1</v>
      </c>
      <c r="Q32" s="17">
        <f>1*(1 - CUSTOS!$M$28)</f>
        <v>1</v>
      </c>
      <c r="R32" s="17">
        <f>1 - CUSTOS!$M$28</f>
        <v>1</v>
      </c>
      <c r="S32" s="17">
        <f>1 - CUSTOS!$M$28</f>
        <v>1</v>
      </c>
      <c r="T32" s="17"/>
      <c r="U32" s="17">
        <f>TRANSICAO!$U$32*CUSTOS!$T$3</f>
        <v>0</v>
      </c>
      <c r="V32" s="17">
        <f>TRANSICAO!$V$32*CUSTOS!$T$3</f>
        <v>0</v>
      </c>
      <c r="W32" s="17">
        <f>TRANSICAO!$W$32*CUSTOS!$T$3</f>
        <v>0</v>
      </c>
      <c r="X32" s="17">
        <f>TRANSICAO!$X$32*CUSTOS!$T$3</f>
        <v>0</v>
      </c>
      <c r="Y32" s="17">
        <f>TRANSICAO!$Y$32*CUSTOS!$T$3</f>
        <v>61.117600000000003</v>
      </c>
      <c r="Z32" s="17">
        <f>TRANSICAO!$Z$32*CUSTOS!$T$3</f>
        <v>0</v>
      </c>
      <c r="AA32" s="17">
        <f>TRANSICAO!$AA$32*CUSTOS!$T$3</f>
        <v>0</v>
      </c>
      <c r="AB32" s="17">
        <f>TRANSICAO!$AB$32*CUSTOS!$T$3</f>
        <v>0</v>
      </c>
      <c r="AC32" s="17">
        <f>TRANSICAO!$AC$32*CUSTOS!$T$3</f>
        <v>168.45429999999999</v>
      </c>
      <c r="AD32" s="17">
        <f>TRANSICAO!$AD$32*CUSTOS!$T$3</f>
        <v>0</v>
      </c>
      <c r="AE32" s="17">
        <v>0</v>
      </c>
      <c r="AF32" s="17">
        <v>0</v>
      </c>
      <c r="AG32" s="17"/>
      <c r="AH32" s="17">
        <f>(1 - CUSTOS!$M$28)*29.7082</f>
        <v>29.708200000000001</v>
      </c>
      <c r="AI32" s="17">
        <v>0</v>
      </c>
      <c r="AJ32" s="17">
        <f ca="1">$N$64*(1-CUSTOS!$M$28)</f>
        <v>0</v>
      </c>
      <c r="AK32" s="17">
        <f t="shared" ca="1" si="0"/>
        <v>0</v>
      </c>
      <c r="AL32" s="17"/>
      <c r="AM32" s="17"/>
      <c r="AP32" s="17">
        <f>IF((1 - CUSTOS!$M$28)&lt;&gt;0,1/(1 - CUSTOS!$M$28),1)</f>
        <v>1</v>
      </c>
    </row>
    <row r="33" spans="1:42" ht="11.25" customHeight="1" x14ac:dyDescent="0.25">
      <c r="A33" s="130"/>
      <c r="B33" s="37" t="s">
        <v>23</v>
      </c>
      <c r="C33" s="37" t="s">
        <v>41</v>
      </c>
      <c r="D33" s="37" t="s">
        <v>25</v>
      </c>
      <c r="E33" s="37" t="s">
        <v>25</v>
      </c>
      <c r="F33" s="37" t="s">
        <v>25</v>
      </c>
      <c r="G33" s="36" t="s">
        <v>79</v>
      </c>
      <c r="H33" s="36" t="s">
        <v>73</v>
      </c>
      <c r="I33" s="36">
        <f>'MERCADO TUSD'!$U$30</f>
        <v>55907.260999999999</v>
      </c>
      <c r="J33" s="16"/>
      <c r="L33" s="17">
        <f>1*(1 - CUSTOS!$M$28)</f>
        <v>1</v>
      </c>
      <c r="M33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1.8609338378225224</v>
      </c>
      <c r="N33" s="17">
        <f ca="1">(+M33+O33+R33+U33+V33+W33+X33+Y33+Z33+AA33+AC33+AH33+AI33+AJ33+AK33)*CUSTOS!$M$5</f>
        <v>5.0078023383782241E-12</v>
      </c>
      <c r="O33" s="17">
        <f>1 - CUSTOS!$M$28</f>
        <v>1</v>
      </c>
      <c r="P33" s="17">
        <f>1 - CUSTOS!$M$28</f>
        <v>1</v>
      </c>
      <c r="Q33" s="17">
        <f>1*(1 - CUSTOS!$M$28)</f>
        <v>1</v>
      </c>
      <c r="R33" s="17">
        <f>1 - CUSTOS!$M$28</f>
        <v>1</v>
      </c>
      <c r="S33" s="17">
        <f>1 - CUSTOS!$M$28</f>
        <v>1</v>
      </c>
      <c r="T33" s="17"/>
      <c r="U33" s="17">
        <f>TRANSICAO!$U$33*CUSTOS!$T$3</f>
        <v>0</v>
      </c>
      <c r="V33" s="17">
        <f>TRANSICAO!$V$33*CUSTOS!$T$3</f>
        <v>0</v>
      </c>
      <c r="W33" s="17">
        <f>TRANSICAO!$W$33*CUSTOS!$T$3</f>
        <v>0</v>
      </c>
      <c r="X33" s="17">
        <f>TRANSICAO!$X$33*CUSTOS!$T$3</f>
        <v>0</v>
      </c>
      <c r="Y33" s="17">
        <f>TRANSICAO!$Y$33*CUSTOS!$T$3</f>
        <v>124.4062</v>
      </c>
      <c r="Z33" s="17">
        <f>TRANSICAO!$Z$33*CUSTOS!$T$3</f>
        <v>0</v>
      </c>
      <c r="AA33" s="17">
        <f>TRANSICAO!$AA$33*CUSTOS!$T$3</f>
        <v>0</v>
      </c>
      <c r="AB33" s="17">
        <f>TRANSICAO!$AB$33*CUSTOS!$T$3</f>
        <v>0</v>
      </c>
      <c r="AC33" s="17">
        <f>TRANSICAO!$AC$33*CUSTOS!$T$3</f>
        <v>342.80489999999998</v>
      </c>
      <c r="AD33" s="17">
        <f>TRANSICAO!$AD$33*CUSTOS!$T$3</f>
        <v>0</v>
      </c>
      <c r="AE33" s="17">
        <v>0</v>
      </c>
      <c r="AF33" s="17">
        <v>0</v>
      </c>
      <c r="AG33" s="17"/>
      <c r="AH33" s="17">
        <f>(1 - CUSTOS!$M$28)*29.7082</f>
        <v>29.708200000000001</v>
      </c>
      <c r="AI33" s="17">
        <v>0</v>
      </c>
      <c r="AJ33" s="17">
        <f ca="1">$N$64*(1-CUSTOS!$M$28)</f>
        <v>0</v>
      </c>
      <c r="AK33" s="17">
        <f t="shared" ca="1" si="0"/>
        <v>0</v>
      </c>
      <c r="AL33" s="17"/>
      <c r="AM33" s="17"/>
      <c r="AP33" s="17">
        <f>IF((1 - CUSTOS!$M$28)&lt;&gt;0,1/(1 - CUSTOS!$M$28),1)</f>
        <v>1</v>
      </c>
    </row>
    <row r="34" spans="1:42" ht="11.25" customHeight="1" x14ac:dyDescent="0.25">
      <c r="A34" s="130"/>
      <c r="B34" s="130" t="s">
        <v>87</v>
      </c>
      <c r="C34" s="130" t="s">
        <v>41</v>
      </c>
      <c r="D34" s="130" t="s">
        <v>90</v>
      </c>
      <c r="E34" s="130" t="s">
        <v>25</v>
      </c>
      <c r="F34" s="130" t="s">
        <v>25</v>
      </c>
      <c r="G34" s="36" t="s">
        <v>74</v>
      </c>
      <c r="H34" s="36" t="s">
        <v>73</v>
      </c>
      <c r="I34" s="36">
        <f>'MERCADO TUSD'!$U$31</f>
        <v>0</v>
      </c>
      <c r="J34" s="16"/>
      <c r="L34" s="17">
        <f>1*(1 - CUSTOS!$M$29)</f>
        <v>1</v>
      </c>
      <c r="M34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1.8609338378225224</v>
      </c>
      <c r="N34" s="17">
        <f ca="1">(+M34+O34+R34+U34+V34+W34+X34+Y34+Z34+AA34+AC34+AH34+AI34+AJ34+AK34)*CUSTOS!$M$5</f>
        <v>1.1815311338378226E-11</v>
      </c>
      <c r="O34" s="17">
        <f>1 - CUSTOS!$M$29</f>
        <v>1</v>
      </c>
      <c r="P34" s="17">
        <f>1 - CUSTOS!$M$29</f>
        <v>1</v>
      </c>
      <c r="Q34" s="17">
        <f>1*(1 - CUSTOS!$M$29)</f>
        <v>1</v>
      </c>
      <c r="R34" s="17">
        <f>1 - CUSTOS!$M$29</f>
        <v>1</v>
      </c>
      <c r="S34" s="17">
        <f>1 - CUSTOS!$M$29</f>
        <v>1</v>
      </c>
      <c r="T34" s="17"/>
      <c r="U34" s="17">
        <f>TRANSICAO!$U$34*CUSTOS!$T$3</f>
        <v>0</v>
      </c>
      <c r="V34" s="17">
        <f>TRANSICAO!$V$34*CUSTOS!$T$3</f>
        <v>0</v>
      </c>
      <c r="W34" s="17">
        <f>TRANSICAO!$W$34*CUSTOS!$T$3</f>
        <v>0</v>
      </c>
      <c r="X34" s="17">
        <f>TRANSICAO!$X$34*CUSTOS!$T$3</f>
        <v>0</v>
      </c>
      <c r="Y34" s="17">
        <f>TRANSICAO!$Y$34*CUSTOS!$T$3</f>
        <v>305.69060000000002</v>
      </c>
      <c r="Z34" s="17">
        <f>TRANSICAO!$Z$34*CUSTOS!$T$3</f>
        <v>0</v>
      </c>
      <c r="AA34" s="17">
        <f>TRANSICAO!$AA$34*CUSTOS!$T$3</f>
        <v>0</v>
      </c>
      <c r="AB34" s="17">
        <f>TRANSICAO!$AB$34*CUSTOS!$T$3</f>
        <v>0</v>
      </c>
      <c r="AC34" s="17">
        <f>TRANSICAO!$AC$34*CUSTOS!$T$3</f>
        <v>842.27139999999997</v>
      </c>
      <c r="AD34" s="17">
        <f>TRANSICAO!$AD$34*CUSTOS!$T$3</f>
        <v>0</v>
      </c>
      <c r="AE34" s="17">
        <v>0</v>
      </c>
      <c r="AF34" s="17">
        <v>0</v>
      </c>
      <c r="AG34" s="17"/>
      <c r="AH34" s="17">
        <f>(1 - CUSTOS!$M$29)*29.7082</f>
        <v>29.708200000000001</v>
      </c>
      <c r="AI34" s="17">
        <v>0</v>
      </c>
      <c r="AJ34" s="17">
        <f ca="1">$N$64*(1-CUSTOS!$M$29)</f>
        <v>0</v>
      </c>
      <c r="AK34" s="17">
        <f t="shared" ca="1" si="0"/>
        <v>0</v>
      </c>
      <c r="AL34" s="17"/>
      <c r="AM34" s="17"/>
      <c r="AP34" s="17">
        <f>IF((1 - CUSTOS!$M$29)&lt;&gt;0,1/(1 - CUSTOS!$M$29),1)</f>
        <v>1</v>
      </c>
    </row>
    <row r="35" spans="1:42" ht="11.25" customHeight="1" x14ac:dyDescent="0.25">
      <c r="A35" s="130"/>
      <c r="B35" s="130"/>
      <c r="C35" s="130"/>
      <c r="D35" s="130"/>
      <c r="E35" s="130"/>
      <c r="F35" s="130"/>
      <c r="G35" s="36" t="s">
        <v>85</v>
      </c>
      <c r="H35" s="36" t="s">
        <v>73</v>
      </c>
      <c r="I35" s="36">
        <f>'MERCADO TUSD'!$U$32</f>
        <v>0</v>
      </c>
      <c r="J35" s="16"/>
      <c r="L35" s="17">
        <f>1*(1 - CUSTOS!$M$29)</f>
        <v>1</v>
      </c>
      <c r="M35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1.8609338378225224</v>
      </c>
      <c r="N35" s="17">
        <f ca="1">(+M35+O35+R35+U35+V35+W35+X35+Y35+Z35+AA35+AC35+AH35+AI35+AJ35+AK35)*CUSTOS!$M$5</f>
        <v>7.2231943383782256E-12</v>
      </c>
      <c r="O35" s="17">
        <f>1 - CUSTOS!$M$29</f>
        <v>1</v>
      </c>
      <c r="P35" s="17">
        <f>1 - CUSTOS!$M$29</f>
        <v>1</v>
      </c>
      <c r="Q35" s="17">
        <f>1*(1 - CUSTOS!$M$29)</f>
        <v>1</v>
      </c>
      <c r="R35" s="17">
        <f>1 - CUSTOS!$M$29</f>
        <v>1</v>
      </c>
      <c r="S35" s="17">
        <f>1 - CUSTOS!$M$29</f>
        <v>1</v>
      </c>
      <c r="T35" s="17"/>
      <c r="U35" s="17">
        <f>TRANSICAO!$U$35*CUSTOS!$T$3</f>
        <v>0</v>
      </c>
      <c r="V35" s="17">
        <f>TRANSICAO!$V$35*CUSTOS!$T$3</f>
        <v>0</v>
      </c>
      <c r="W35" s="17">
        <f>TRANSICAO!$W$35*CUSTOS!$T$3</f>
        <v>0</v>
      </c>
      <c r="X35" s="17">
        <f>TRANSICAO!$X$35*CUSTOS!$T$3</f>
        <v>0</v>
      </c>
      <c r="Y35" s="17">
        <f>TRANSICAO!$Y$35*CUSTOS!$T$3</f>
        <v>183.38730000000001</v>
      </c>
      <c r="Z35" s="17">
        <f>TRANSICAO!$Z$35*CUSTOS!$T$3</f>
        <v>0</v>
      </c>
      <c r="AA35" s="17">
        <f>TRANSICAO!$AA$35*CUSTOS!$T$3</f>
        <v>0</v>
      </c>
      <c r="AB35" s="17">
        <f>TRANSICAO!$AB$35*CUSTOS!$T$3</f>
        <v>0</v>
      </c>
      <c r="AC35" s="17">
        <f>TRANSICAO!$AC$35*CUSTOS!$T$3</f>
        <v>505.363</v>
      </c>
      <c r="AD35" s="17">
        <f>TRANSICAO!$AD$35*CUSTOS!$T$3</f>
        <v>0</v>
      </c>
      <c r="AE35" s="17">
        <v>0</v>
      </c>
      <c r="AF35" s="17">
        <v>0</v>
      </c>
      <c r="AG35" s="17"/>
      <c r="AH35" s="17">
        <f>(1 - CUSTOS!$M$29)*29.7082</f>
        <v>29.708200000000001</v>
      </c>
      <c r="AI35" s="17">
        <v>0</v>
      </c>
      <c r="AJ35" s="17">
        <f ca="1">$N$64*(1-CUSTOS!$M$29)</f>
        <v>0</v>
      </c>
      <c r="AK35" s="17">
        <f t="shared" ca="1" si="0"/>
        <v>0</v>
      </c>
      <c r="AL35" s="17"/>
      <c r="AM35" s="17"/>
      <c r="AP35" s="17">
        <f>IF((1 - CUSTOS!$M$29)&lt;&gt;0,1/(1 - CUSTOS!$M$29),1)</f>
        <v>1</v>
      </c>
    </row>
    <row r="36" spans="1:42" ht="11.25" customHeight="1" x14ac:dyDescent="0.25">
      <c r="A36" s="130"/>
      <c r="B36" s="130"/>
      <c r="C36" s="130"/>
      <c r="D36" s="130"/>
      <c r="E36" s="130"/>
      <c r="F36" s="130"/>
      <c r="G36" s="36" t="s">
        <v>75</v>
      </c>
      <c r="H36" s="36" t="s">
        <v>73</v>
      </c>
      <c r="I36" s="36">
        <f>'MERCADO TUSD'!$U$33</f>
        <v>0</v>
      </c>
      <c r="J36" s="16"/>
      <c r="L36" s="17">
        <f>1*(1 - CUSTOS!$M$29)</f>
        <v>1</v>
      </c>
      <c r="M36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1.8609338378225224</v>
      </c>
      <c r="N36" s="17">
        <f ca="1">(+M36+O36+R36+U36+V36+W36+X36+Y36+Z36+AA36+AC36+AH36+AI36+AJ36+AK36)*CUSTOS!$M$5</f>
        <v>2.6314103383782249E-12</v>
      </c>
      <c r="O36" s="17">
        <f>1 - CUSTOS!$M$29</f>
        <v>1</v>
      </c>
      <c r="P36" s="17">
        <f>1 - CUSTOS!$M$29</f>
        <v>1</v>
      </c>
      <c r="Q36" s="17">
        <f>1*(1 - CUSTOS!$M$29)</f>
        <v>1</v>
      </c>
      <c r="R36" s="17">
        <f>1 - CUSTOS!$M$29</f>
        <v>1</v>
      </c>
      <c r="S36" s="17">
        <f>1 - CUSTOS!$M$29</f>
        <v>1</v>
      </c>
      <c r="T36" s="17"/>
      <c r="U36" s="17">
        <f>TRANSICAO!$U$36*CUSTOS!$T$3</f>
        <v>0</v>
      </c>
      <c r="V36" s="17">
        <f>TRANSICAO!$V$36*CUSTOS!$T$3</f>
        <v>0</v>
      </c>
      <c r="W36" s="17">
        <f>TRANSICAO!$W$36*CUSTOS!$T$3</f>
        <v>0</v>
      </c>
      <c r="X36" s="17">
        <f>TRANSICAO!$X$36*CUSTOS!$T$3</f>
        <v>0</v>
      </c>
      <c r="Y36" s="17">
        <f>TRANSICAO!$Y$36*CUSTOS!$T$3</f>
        <v>61.117600000000003</v>
      </c>
      <c r="Z36" s="17">
        <f>TRANSICAO!$Z$36*CUSTOS!$T$3</f>
        <v>0</v>
      </c>
      <c r="AA36" s="17">
        <f>TRANSICAO!$AA$36*CUSTOS!$T$3</f>
        <v>0</v>
      </c>
      <c r="AB36" s="17">
        <f>TRANSICAO!$AB$36*CUSTOS!$T$3</f>
        <v>0</v>
      </c>
      <c r="AC36" s="17">
        <f>TRANSICAO!$AC$36*CUSTOS!$T$3</f>
        <v>168.45429999999999</v>
      </c>
      <c r="AD36" s="17">
        <f>TRANSICAO!$AD$36*CUSTOS!$T$3</f>
        <v>0</v>
      </c>
      <c r="AE36" s="17">
        <v>0</v>
      </c>
      <c r="AF36" s="17">
        <v>0</v>
      </c>
      <c r="AG36" s="17"/>
      <c r="AH36" s="17">
        <f>(1 - CUSTOS!$M$29)*29.7082</f>
        <v>29.708200000000001</v>
      </c>
      <c r="AI36" s="17">
        <v>0</v>
      </c>
      <c r="AJ36" s="17">
        <f ca="1">$N$64*(1-CUSTOS!$M$29)</f>
        <v>0</v>
      </c>
      <c r="AK36" s="17">
        <f t="shared" ca="1" si="0"/>
        <v>0</v>
      </c>
      <c r="AL36" s="17"/>
      <c r="AM36" s="17"/>
      <c r="AP36" s="17">
        <f>IF((1 - CUSTOS!$M$29)&lt;&gt;0,1/(1 - CUSTOS!$M$29),1)</f>
        <v>1</v>
      </c>
    </row>
    <row r="37" spans="1:42" ht="11.25" customHeight="1" x14ac:dyDescent="0.25">
      <c r="A37" s="130"/>
      <c r="B37" s="37" t="s">
        <v>23</v>
      </c>
      <c r="C37" s="37" t="s">
        <v>41</v>
      </c>
      <c r="D37" s="37" t="s">
        <v>90</v>
      </c>
      <c r="E37" s="37" t="s">
        <v>25</v>
      </c>
      <c r="F37" s="37" t="s">
        <v>25</v>
      </c>
      <c r="G37" s="36" t="s">
        <v>79</v>
      </c>
      <c r="H37" s="36" t="s">
        <v>73</v>
      </c>
      <c r="I37" s="36">
        <f>'MERCADO TUSD'!$U$34</f>
        <v>0</v>
      </c>
      <c r="J37" s="16"/>
      <c r="L37" s="17">
        <f>1*(1 - CUSTOS!$M$29)</f>
        <v>1</v>
      </c>
      <c r="M37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1.8609338378225224</v>
      </c>
      <c r="N37" s="17">
        <f ca="1">(+M37+O37+R37+U37+V37+W37+X37+Y37+Z37+AA37+AC37+AH37+AI37+AJ37+AK37)*CUSTOS!$M$5</f>
        <v>5.0078023383782241E-12</v>
      </c>
      <c r="O37" s="17">
        <f>1 - CUSTOS!$M$29</f>
        <v>1</v>
      </c>
      <c r="P37" s="17">
        <f>1 - CUSTOS!$M$29</f>
        <v>1</v>
      </c>
      <c r="Q37" s="17">
        <f>1*(1 - CUSTOS!$M$29)</f>
        <v>1</v>
      </c>
      <c r="R37" s="17">
        <f>1 - CUSTOS!$M$29</f>
        <v>1</v>
      </c>
      <c r="S37" s="17">
        <f>1 - CUSTOS!$M$29</f>
        <v>1</v>
      </c>
      <c r="T37" s="17"/>
      <c r="U37" s="17">
        <f>TRANSICAO!$U$37*CUSTOS!$T$3</f>
        <v>0</v>
      </c>
      <c r="V37" s="17">
        <f>TRANSICAO!$V$37*CUSTOS!$T$3</f>
        <v>0</v>
      </c>
      <c r="W37" s="17">
        <f>TRANSICAO!$W$37*CUSTOS!$T$3</f>
        <v>0</v>
      </c>
      <c r="X37" s="17">
        <f>TRANSICAO!$X$37*CUSTOS!$T$3</f>
        <v>0</v>
      </c>
      <c r="Y37" s="17">
        <f>TRANSICAO!$Y$37*CUSTOS!$T$3</f>
        <v>124.4062</v>
      </c>
      <c r="Z37" s="17">
        <f>TRANSICAO!$Z$37*CUSTOS!$T$3</f>
        <v>0</v>
      </c>
      <c r="AA37" s="17">
        <f>TRANSICAO!$AA$37*CUSTOS!$T$3</f>
        <v>0</v>
      </c>
      <c r="AB37" s="17">
        <f>TRANSICAO!$AB$37*CUSTOS!$T$3</f>
        <v>0</v>
      </c>
      <c r="AC37" s="17">
        <f>TRANSICAO!$AC$37*CUSTOS!$T$3</f>
        <v>342.80489999999998</v>
      </c>
      <c r="AD37" s="17">
        <f>TRANSICAO!$AD$37*CUSTOS!$T$3</f>
        <v>0</v>
      </c>
      <c r="AE37" s="17">
        <v>0</v>
      </c>
      <c r="AF37" s="17">
        <v>0</v>
      </c>
      <c r="AG37" s="17"/>
      <c r="AH37" s="17">
        <f>(1 - CUSTOS!$M$29)*29.7082</f>
        <v>29.708200000000001</v>
      </c>
      <c r="AI37" s="17">
        <v>0</v>
      </c>
      <c r="AJ37" s="17">
        <f ca="1">$N$64*(1-CUSTOS!$M$29)</f>
        <v>0</v>
      </c>
      <c r="AK37" s="17">
        <f t="shared" ca="1" si="0"/>
        <v>0</v>
      </c>
      <c r="AL37" s="17"/>
      <c r="AM37" s="17"/>
      <c r="AP37" s="17">
        <f>IF((1 - CUSTOS!$M$29)&lt;&gt;0,1/(1 - CUSTOS!$M$29),1)</f>
        <v>1</v>
      </c>
    </row>
    <row r="38" spans="1:42" ht="11.25" customHeight="1" x14ac:dyDescent="0.25">
      <c r="A38" s="130"/>
      <c r="B38" s="130" t="s">
        <v>87</v>
      </c>
      <c r="C38" s="130" t="s">
        <v>41</v>
      </c>
      <c r="D38" s="130" t="s">
        <v>91</v>
      </c>
      <c r="E38" s="130" t="s">
        <v>25</v>
      </c>
      <c r="F38" s="130" t="s">
        <v>25</v>
      </c>
      <c r="G38" s="36" t="s">
        <v>74</v>
      </c>
      <c r="H38" s="36" t="s">
        <v>73</v>
      </c>
      <c r="I38" s="36">
        <f>'MERCADO TUSD'!$U$35</f>
        <v>0</v>
      </c>
      <c r="J38" s="16"/>
      <c r="L38" s="17">
        <f>1*(1 - CUSTOS!$M$30)</f>
        <v>1</v>
      </c>
      <c r="M38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1.8609338378225224</v>
      </c>
      <c r="N38" s="17">
        <f ca="1">(+M38+O38+R38+U38+V38+W38+X38+Y38+Z38+AA38+AC38+AH38+AI38+AJ38+AK38)*CUSTOS!$M$5</f>
        <v>1.1815311338378226E-11</v>
      </c>
      <c r="O38" s="17">
        <f>1 - CUSTOS!$M$30</f>
        <v>1</v>
      </c>
      <c r="P38" s="17">
        <f>1 - CUSTOS!$M$30</f>
        <v>1</v>
      </c>
      <c r="Q38" s="17">
        <f>1*(1 - CUSTOS!$M$30)</f>
        <v>1</v>
      </c>
      <c r="R38" s="17">
        <f>1 - CUSTOS!$M$30</f>
        <v>1</v>
      </c>
      <c r="S38" s="17">
        <f>1 - CUSTOS!$M$30</f>
        <v>1</v>
      </c>
      <c r="T38" s="17"/>
      <c r="U38" s="17">
        <f>TRANSICAO!$U$38*CUSTOS!$T$3</f>
        <v>0</v>
      </c>
      <c r="V38" s="17">
        <f>TRANSICAO!$V$38*CUSTOS!$T$3</f>
        <v>0</v>
      </c>
      <c r="W38" s="17">
        <f>TRANSICAO!$W$38*CUSTOS!$T$3</f>
        <v>0</v>
      </c>
      <c r="X38" s="17">
        <f>TRANSICAO!$X$38*CUSTOS!$T$3</f>
        <v>0</v>
      </c>
      <c r="Y38" s="17">
        <f>TRANSICAO!$Y$38*CUSTOS!$T$3</f>
        <v>305.69060000000002</v>
      </c>
      <c r="Z38" s="17">
        <f>TRANSICAO!$Z$38*CUSTOS!$T$3</f>
        <v>0</v>
      </c>
      <c r="AA38" s="17">
        <f>TRANSICAO!$AA$38*CUSTOS!$T$3</f>
        <v>0</v>
      </c>
      <c r="AB38" s="17">
        <f>TRANSICAO!$AB$38*CUSTOS!$T$3</f>
        <v>0</v>
      </c>
      <c r="AC38" s="17">
        <f>TRANSICAO!$AC$38*CUSTOS!$T$3</f>
        <v>842.27139999999997</v>
      </c>
      <c r="AD38" s="17">
        <f>TRANSICAO!$AD$38*CUSTOS!$T$3</f>
        <v>0</v>
      </c>
      <c r="AE38" s="17">
        <v>0</v>
      </c>
      <c r="AF38" s="17">
        <v>0</v>
      </c>
      <c r="AG38" s="17"/>
      <c r="AH38" s="17">
        <f>(1 - CUSTOS!$M$30)*29.7082</f>
        <v>29.708200000000001</v>
      </c>
      <c r="AI38" s="17">
        <v>0</v>
      </c>
      <c r="AJ38" s="17">
        <f ca="1">$N$64*(1-CUSTOS!$M$30)</f>
        <v>0</v>
      </c>
      <c r="AK38" s="17">
        <f t="shared" ca="1" si="0"/>
        <v>0</v>
      </c>
      <c r="AL38" s="17"/>
      <c r="AM38" s="17"/>
      <c r="AP38" s="17">
        <f>IF((1 - CUSTOS!$M$30)&lt;&gt;0,1/(1 - CUSTOS!$M$30),1)</f>
        <v>1</v>
      </c>
    </row>
    <row r="39" spans="1:42" ht="11.25" customHeight="1" x14ac:dyDescent="0.25">
      <c r="A39" s="130"/>
      <c r="B39" s="130"/>
      <c r="C39" s="130"/>
      <c r="D39" s="130"/>
      <c r="E39" s="130"/>
      <c r="F39" s="130"/>
      <c r="G39" s="36" t="s">
        <v>85</v>
      </c>
      <c r="H39" s="36" t="s">
        <v>73</v>
      </c>
      <c r="I39" s="36">
        <f>'MERCADO TUSD'!$U$36</f>
        <v>0</v>
      </c>
      <c r="J39" s="16"/>
      <c r="L39" s="17">
        <f>1*(1 - CUSTOS!$M$30)</f>
        <v>1</v>
      </c>
      <c r="M39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1.8609338378225224</v>
      </c>
      <c r="N39" s="17">
        <f ca="1">(+M39+O39+R39+U39+V39+W39+X39+Y39+Z39+AA39+AC39+AH39+AI39+AJ39+AK39)*CUSTOS!$M$5</f>
        <v>7.2231943383782256E-12</v>
      </c>
      <c r="O39" s="17">
        <f>1 - CUSTOS!$M$30</f>
        <v>1</v>
      </c>
      <c r="P39" s="17">
        <f>1 - CUSTOS!$M$30</f>
        <v>1</v>
      </c>
      <c r="Q39" s="17">
        <f>1*(1 - CUSTOS!$M$30)</f>
        <v>1</v>
      </c>
      <c r="R39" s="17">
        <f>1 - CUSTOS!$M$30</f>
        <v>1</v>
      </c>
      <c r="S39" s="17">
        <f>1 - CUSTOS!$M$30</f>
        <v>1</v>
      </c>
      <c r="T39" s="17"/>
      <c r="U39" s="17">
        <f>TRANSICAO!$U$39*CUSTOS!$T$3</f>
        <v>0</v>
      </c>
      <c r="V39" s="17">
        <f>TRANSICAO!$V$39*CUSTOS!$T$3</f>
        <v>0</v>
      </c>
      <c r="W39" s="17">
        <f>TRANSICAO!$W$39*CUSTOS!$T$3</f>
        <v>0</v>
      </c>
      <c r="X39" s="17">
        <f>TRANSICAO!$X$39*CUSTOS!$T$3</f>
        <v>0</v>
      </c>
      <c r="Y39" s="17">
        <f>TRANSICAO!$Y$39*CUSTOS!$T$3</f>
        <v>183.38730000000001</v>
      </c>
      <c r="Z39" s="17">
        <f>TRANSICAO!$Z$39*CUSTOS!$T$3</f>
        <v>0</v>
      </c>
      <c r="AA39" s="17">
        <f>TRANSICAO!$AA$39*CUSTOS!$T$3</f>
        <v>0</v>
      </c>
      <c r="AB39" s="17">
        <f>TRANSICAO!$AB$39*CUSTOS!$T$3</f>
        <v>0</v>
      </c>
      <c r="AC39" s="17">
        <f>TRANSICAO!$AC$39*CUSTOS!$T$3</f>
        <v>505.363</v>
      </c>
      <c r="AD39" s="17">
        <f>TRANSICAO!$AD$39*CUSTOS!$T$3</f>
        <v>0</v>
      </c>
      <c r="AE39" s="17">
        <v>0</v>
      </c>
      <c r="AF39" s="17">
        <v>0</v>
      </c>
      <c r="AG39" s="17"/>
      <c r="AH39" s="17">
        <f>(1 - CUSTOS!$M$30)*29.7082</f>
        <v>29.708200000000001</v>
      </c>
      <c r="AI39" s="17">
        <v>0</v>
      </c>
      <c r="AJ39" s="17">
        <f ca="1">$N$64*(1-CUSTOS!$M$30)</f>
        <v>0</v>
      </c>
      <c r="AK39" s="17">
        <f t="shared" ca="1" si="0"/>
        <v>0</v>
      </c>
      <c r="AL39" s="17"/>
      <c r="AM39" s="17"/>
      <c r="AP39" s="17">
        <f>IF((1 - CUSTOS!$M$30)&lt;&gt;0,1/(1 - CUSTOS!$M$30),1)</f>
        <v>1</v>
      </c>
    </row>
    <row r="40" spans="1:42" ht="11.25" customHeight="1" x14ac:dyDescent="0.25">
      <c r="A40" s="130"/>
      <c r="B40" s="130"/>
      <c r="C40" s="130"/>
      <c r="D40" s="130"/>
      <c r="E40" s="130"/>
      <c r="F40" s="130"/>
      <c r="G40" s="36" t="s">
        <v>75</v>
      </c>
      <c r="H40" s="36" t="s">
        <v>73</v>
      </c>
      <c r="I40" s="36">
        <f>'MERCADO TUSD'!$U$37</f>
        <v>0</v>
      </c>
      <c r="J40" s="16"/>
      <c r="L40" s="17">
        <f>1*(1 - CUSTOS!$M$30)</f>
        <v>1</v>
      </c>
      <c r="M40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1.8609338378225224</v>
      </c>
      <c r="N40" s="17">
        <f ca="1">(+M40+O40+R40+U40+V40+W40+X40+Y40+Z40+AA40+AC40+AH40+AI40+AJ40+AK40)*CUSTOS!$M$5</f>
        <v>2.6314103383782249E-12</v>
      </c>
      <c r="O40" s="17">
        <f>1 - CUSTOS!$M$30</f>
        <v>1</v>
      </c>
      <c r="P40" s="17">
        <f>1 - CUSTOS!$M$30</f>
        <v>1</v>
      </c>
      <c r="Q40" s="17">
        <f>1*(1 - CUSTOS!$M$30)</f>
        <v>1</v>
      </c>
      <c r="R40" s="17">
        <f>1 - CUSTOS!$M$30</f>
        <v>1</v>
      </c>
      <c r="S40" s="17">
        <f>1 - CUSTOS!$M$30</f>
        <v>1</v>
      </c>
      <c r="T40" s="17"/>
      <c r="U40" s="17">
        <f>TRANSICAO!$U$40*CUSTOS!$T$3</f>
        <v>0</v>
      </c>
      <c r="V40" s="17">
        <f>TRANSICAO!$V$40*CUSTOS!$T$3</f>
        <v>0</v>
      </c>
      <c r="W40" s="17">
        <f>TRANSICAO!$W$40*CUSTOS!$T$3</f>
        <v>0</v>
      </c>
      <c r="X40" s="17">
        <f>TRANSICAO!$X$40*CUSTOS!$T$3</f>
        <v>0</v>
      </c>
      <c r="Y40" s="17">
        <f>TRANSICAO!$Y$40*CUSTOS!$T$3</f>
        <v>61.117600000000003</v>
      </c>
      <c r="Z40" s="17">
        <f>TRANSICAO!$Z$40*CUSTOS!$T$3</f>
        <v>0</v>
      </c>
      <c r="AA40" s="17">
        <f>TRANSICAO!$AA$40*CUSTOS!$T$3</f>
        <v>0</v>
      </c>
      <c r="AB40" s="17">
        <f>TRANSICAO!$AB$40*CUSTOS!$T$3</f>
        <v>0</v>
      </c>
      <c r="AC40" s="17">
        <f>TRANSICAO!$AC$40*CUSTOS!$T$3</f>
        <v>168.45429999999999</v>
      </c>
      <c r="AD40" s="17">
        <f>TRANSICAO!$AD$40*CUSTOS!$T$3</f>
        <v>0</v>
      </c>
      <c r="AE40" s="17">
        <v>0</v>
      </c>
      <c r="AF40" s="17">
        <v>0</v>
      </c>
      <c r="AG40" s="17"/>
      <c r="AH40" s="17">
        <f>(1 - CUSTOS!$M$30)*29.7082</f>
        <v>29.708200000000001</v>
      </c>
      <c r="AI40" s="17">
        <v>0</v>
      </c>
      <c r="AJ40" s="17">
        <f ca="1">$N$64*(1-CUSTOS!$M$30)</f>
        <v>0</v>
      </c>
      <c r="AK40" s="17">
        <f t="shared" ca="1" si="0"/>
        <v>0</v>
      </c>
      <c r="AL40" s="17"/>
      <c r="AM40" s="17"/>
      <c r="AP40" s="17">
        <f>IF((1 - CUSTOS!$M$30)&lt;&gt;0,1/(1 - CUSTOS!$M$30),1)</f>
        <v>1</v>
      </c>
    </row>
    <row r="41" spans="1:42" ht="11.25" customHeight="1" x14ac:dyDescent="0.25">
      <c r="A41" s="130"/>
      <c r="B41" s="37" t="s">
        <v>23</v>
      </c>
      <c r="C41" s="37" t="s">
        <v>41</v>
      </c>
      <c r="D41" s="37" t="s">
        <v>91</v>
      </c>
      <c r="E41" s="37" t="s">
        <v>25</v>
      </c>
      <c r="F41" s="37" t="s">
        <v>25</v>
      </c>
      <c r="G41" s="36" t="s">
        <v>79</v>
      </c>
      <c r="H41" s="36" t="s">
        <v>73</v>
      </c>
      <c r="I41" s="36">
        <f>'MERCADO TUSD'!$U$38</f>
        <v>0</v>
      </c>
      <c r="J41" s="16"/>
      <c r="L41" s="17">
        <f>1*(1 - CUSTOS!$M$30)</f>
        <v>1</v>
      </c>
      <c r="M41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1.8609338378225224</v>
      </c>
      <c r="N41" s="17">
        <f ca="1">(+M41+O41+R41+U41+V41+W41+X41+Y41+Z41+AA41+AC41+AH41+AI41+AJ41+AK41)*CUSTOS!$M$5</f>
        <v>5.0078023383782241E-12</v>
      </c>
      <c r="O41" s="17">
        <f>1 - CUSTOS!$M$30</f>
        <v>1</v>
      </c>
      <c r="P41" s="17">
        <f>1 - CUSTOS!$M$30</f>
        <v>1</v>
      </c>
      <c r="Q41" s="17">
        <f>1*(1 - CUSTOS!$M$30)</f>
        <v>1</v>
      </c>
      <c r="R41" s="17">
        <f>1 - CUSTOS!$M$30</f>
        <v>1</v>
      </c>
      <c r="S41" s="17">
        <f>1 - CUSTOS!$M$30</f>
        <v>1</v>
      </c>
      <c r="T41" s="17"/>
      <c r="U41" s="17">
        <f>TRANSICAO!$U$41*CUSTOS!$T$3</f>
        <v>0</v>
      </c>
      <c r="V41" s="17">
        <f>TRANSICAO!$V$41*CUSTOS!$T$3</f>
        <v>0</v>
      </c>
      <c r="W41" s="17">
        <f>TRANSICAO!$W$41*CUSTOS!$T$3</f>
        <v>0</v>
      </c>
      <c r="X41" s="17">
        <f>TRANSICAO!$X$41*CUSTOS!$T$3</f>
        <v>0</v>
      </c>
      <c r="Y41" s="17">
        <f>TRANSICAO!$Y$41*CUSTOS!$T$3</f>
        <v>124.4062</v>
      </c>
      <c r="Z41" s="17">
        <f>TRANSICAO!$Z$41*CUSTOS!$T$3</f>
        <v>0</v>
      </c>
      <c r="AA41" s="17">
        <f>TRANSICAO!$AA$41*CUSTOS!$T$3</f>
        <v>0</v>
      </c>
      <c r="AB41" s="17">
        <f>TRANSICAO!$AB$41*CUSTOS!$T$3</f>
        <v>0</v>
      </c>
      <c r="AC41" s="17">
        <f>TRANSICAO!$AC$41*CUSTOS!$T$3</f>
        <v>342.80489999999998</v>
      </c>
      <c r="AD41" s="17">
        <f>TRANSICAO!$AD$41*CUSTOS!$T$3</f>
        <v>0</v>
      </c>
      <c r="AE41" s="17">
        <v>0</v>
      </c>
      <c r="AF41" s="17">
        <v>0</v>
      </c>
      <c r="AG41" s="17"/>
      <c r="AH41" s="17">
        <f>(1 - CUSTOS!$M$30)*29.7082</f>
        <v>29.708200000000001</v>
      </c>
      <c r="AI41" s="17">
        <v>0</v>
      </c>
      <c r="AJ41" s="17">
        <f ca="1">$N$64*(1-CUSTOS!$M$30)</f>
        <v>0</v>
      </c>
      <c r="AK41" s="17">
        <f t="shared" ca="1" si="0"/>
        <v>0</v>
      </c>
      <c r="AL41" s="17"/>
      <c r="AM41" s="17"/>
      <c r="AP41" s="17">
        <f>IF((1 - CUSTOS!$M$30)&lt;&gt;0,1/(1 - CUSTOS!$M$30),1)</f>
        <v>1</v>
      </c>
    </row>
    <row r="42" spans="1:42" ht="11.25" customHeight="1" x14ac:dyDescent="0.25">
      <c r="A42" s="130"/>
      <c r="B42" s="130" t="s">
        <v>89</v>
      </c>
      <c r="C42" s="130" t="s">
        <v>41</v>
      </c>
      <c r="D42" s="37" t="s">
        <v>25</v>
      </c>
      <c r="E42" s="37" t="s">
        <v>25</v>
      </c>
      <c r="F42" s="37" t="s">
        <v>25</v>
      </c>
      <c r="G42" s="36" t="s">
        <v>79</v>
      </c>
      <c r="H42" s="36" t="s">
        <v>73</v>
      </c>
      <c r="I42" s="36">
        <f>'MERCADO TUSD'!$U$39</f>
        <v>0</v>
      </c>
      <c r="J42" s="16"/>
      <c r="L42" s="17">
        <f>1*(1 - CUSTOS!$M$28)</f>
        <v>1</v>
      </c>
      <c r="M42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1.8609338378225224</v>
      </c>
      <c r="N42" s="17">
        <f ca="1">(+M42+O42+R42+U42+V42+W42+X42+Y42+Z42+AA42+AC42+AH42+AI42+AJ42+AK42)*CUSTOS!$M$5</f>
        <v>5.0078023383782241E-12</v>
      </c>
      <c r="O42" s="17">
        <f>1 - CUSTOS!$M$28</f>
        <v>1</v>
      </c>
      <c r="P42" s="17">
        <f>1 - CUSTOS!$M$28</f>
        <v>1</v>
      </c>
      <c r="Q42" s="17">
        <f>1*(1 - CUSTOS!$M$28)</f>
        <v>1</v>
      </c>
      <c r="R42" s="17">
        <f>1 - CUSTOS!$M$28</f>
        <v>1</v>
      </c>
      <c r="S42" s="17">
        <f>1 - CUSTOS!$M$28</f>
        <v>1</v>
      </c>
      <c r="T42" s="17"/>
      <c r="U42" s="17">
        <f>TRANSICAO!$U$42*CUSTOS!$T$3</f>
        <v>0</v>
      </c>
      <c r="V42" s="17">
        <f>TRANSICAO!$V$42*CUSTOS!$T$3</f>
        <v>0</v>
      </c>
      <c r="W42" s="17">
        <f>TRANSICAO!$W$42*CUSTOS!$T$3</f>
        <v>0</v>
      </c>
      <c r="X42" s="17">
        <f>TRANSICAO!$X$42*CUSTOS!$T$3</f>
        <v>0</v>
      </c>
      <c r="Y42" s="17">
        <f>TRANSICAO!$Y$42*CUSTOS!$T$3</f>
        <v>124.4062</v>
      </c>
      <c r="Z42" s="17">
        <f>TRANSICAO!$Z$42*CUSTOS!$T$3</f>
        <v>0</v>
      </c>
      <c r="AA42" s="17">
        <f>TRANSICAO!$AA$42*CUSTOS!$T$3</f>
        <v>0</v>
      </c>
      <c r="AB42" s="17">
        <f>TRANSICAO!$AB$42*CUSTOS!$T$3</f>
        <v>0</v>
      </c>
      <c r="AC42" s="17">
        <f>TRANSICAO!$AC$42*CUSTOS!$T$3</f>
        <v>342.80489999999998</v>
      </c>
      <c r="AD42" s="17">
        <f>TRANSICAO!$AD$42*CUSTOS!$T$3</f>
        <v>0</v>
      </c>
      <c r="AE42" s="17">
        <v>0</v>
      </c>
      <c r="AF42" s="17">
        <v>0</v>
      </c>
      <c r="AG42" s="17"/>
      <c r="AH42" s="17">
        <f>(1 - CUSTOS!$M$28)*29.7082</f>
        <v>29.708200000000001</v>
      </c>
      <c r="AI42" s="17">
        <v>0</v>
      </c>
      <c r="AJ42" s="17">
        <f ca="1">$N$64*(1-CUSTOS!$M$28)</f>
        <v>0</v>
      </c>
      <c r="AK42" s="17">
        <f t="shared" ca="1" si="0"/>
        <v>0</v>
      </c>
      <c r="AL42" s="17"/>
      <c r="AM42" s="17"/>
      <c r="AP42" s="17">
        <f>IF((1 - CUSTOS!$M$28)&lt;&gt;0,1/(1 - CUSTOS!$M$28),1)</f>
        <v>1</v>
      </c>
    </row>
    <row r="43" spans="1:42" ht="11.25" customHeight="1" x14ac:dyDescent="0.25">
      <c r="A43" s="130"/>
      <c r="B43" s="130"/>
      <c r="C43" s="130"/>
      <c r="D43" s="37" t="s">
        <v>90</v>
      </c>
      <c r="E43" s="37" t="s">
        <v>25</v>
      </c>
      <c r="F43" s="37" t="s">
        <v>25</v>
      </c>
      <c r="G43" s="36" t="s">
        <v>79</v>
      </c>
      <c r="H43" s="36" t="s">
        <v>73</v>
      </c>
      <c r="I43" s="36">
        <f>'MERCADO TUSD'!$U$40</f>
        <v>0</v>
      </c>
      <c r="J43" s="16"/>
      <c r="L43" s="17">
        <f>1*(1 - CUSTOS!$M$29)</f>
        <v>1</v>
      </c>
      <c r="M43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1.8609338378225224</v>
      </c>
      <c r="N43" s="17">
        <f ca="1">(+M43+O43+R43+U43+V43+W43+X43+Y43+Z43+AA43+AC43+AH43+AI43+AJ43+AK43)*CUSTOS!$M$5</f>
        <v>5.0078023383782241E-12</v>
      </c>
      <c r="O43" s="17">
        <f>1 - CUSTOS!$M$29</f>
        <v>1</v>
      </c>
      <c r="P43" s="17">
        <f>1 - CUSTOS!$M$29</f>
        <v>1</v>
      </c>
      <c r="Q43" s="17">
        <f>1*(1 - CUSTOS!$M$29)</f>
        <v>1</v>
      </c>
      <c r="R43" s="17">
        <f>1 - CUSTOS!$M$29</f>
        <v>1</v>
      </c>
      <c r="S43" s="17">
        <f>1 - CUSTOS!$M$29</f>
        <v>1</v>
      </c>
      <c r="T43" s="17"/>
      <c r="U43" s="17">
        <f>TRANSICAO!$U$43*CUSTOS!$T$3</f>
        <v>0</v>
      </c>
      <c r="V43" s="17">
        <f>TRANSICAO!$V$43*CUSTOS!$T$3</f>
        <v>0</v>
      </c>
      <c r="W43" s="17">
        <f>TRANSICAO!$W$43*CUSTOS!$T$3</f>
        <v>0</v>
      </c>
      <c r="X43" s="17">
        <f>TRANSICAO!$X$43*CUSTOS!$T$3</f>
        <v>0</v>
      </c>
      <c r="Y43" s="17">
        <f>TRANSICAO!$Y$43*CUSTOS!$T$3</f>
        <v>124.4062</v>
      </c>
      <c r="Z43" s="17">
        <f>TRANSICAO!$Z$43*CUSTOS!$T$3</f>
        <v>0</v>
      </c>
      <c r="AA43" s="17">
        <f>TRANSICAO!$AA$43*CUSTOS!$T$3</f>
        <v>0</v>
      </c>
      <c r="AB43" s="17">
        <f>TRANSICAO!$AB$43*CUSTOS!$T$3</f>
        <v>0</v>
      </c>
      <c r="AC43" s="17">
        <f>TRANSICAO!$AC$43*CUSTOS!$T$3</f>
        <v>342.80489999999998</v>
      </c>
      <c r="AD43" s="17">
        <f>TRANSICAO!$AD$43*CUSTOS!$T$3</f>
        <v>0</v>
      </c>
      <c r="AE43" s="17">
        <v>0</v>
      </c>
      <c r="AF43" s="17">
        <v>0</v>
      </c>
      <c r="AG43" s="17"/>
      <c r="AH43" s="17">
        <f>(1 - CUSTOS!$M$29)*29.7082</f>
        <v>29.708200000000001</v>
      </c>
      <c r="AI43" s="17">
        <v>0</v>
      </c>
      <c r="AJ43" s="17">
        <f ca="1">$N$64*(1-CUSTOS!$M$29)</f>
        <v>0</v>
      </c>
      <c r="AK43" s="17">
        <f t="shared" ca="1" si="0"/>
        <v>0</v>
      </c>
      <c r="AL43" s="17"/>
      <c r="AM43" s="17"/>
      <c r="AP43" s="17">
        <f>IF((1 - CUSTOS!$M$29)&lt;&gt;0,1/(1 - CUSTOS!$M$29),1)</f>
        <v>1</v>
      </c>
    </row>
    <row r="44" spans="1:42" ht="11.25" customHeight="1" x14ac:dyDescent="0.25">
      <c r="A44" s="130"/>
      <c r="B44" s="130"/>
      <c r="C44" s="130"/>
      <c r="D44" s="37" t="s">
        <v>91</v>
      </c>
      <c r="E44" s="37" t="s">
        <v>25</v>
      </c>
      <c r="F44" s="37" t="s">
        <v>25</v>
      </c>
      <c r="G44" s="36" t="s">
        <v>79</v>
      </c>
      <c r="H44" s="36" t="s">
        <v>73</v>
      </c>
      <c r="I44" s="36">
        <f>'MERCADO TUSD'!$U$41</f>
        <v>0</v>
      </c>
      <c r="J44" s="16"/>
      <c r="L44" s="17">
        <f>1*(1 - CUSTOS!$M$30)</f>
        <v>1</v>
      </c>
      <c r="M44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1.8609338378225224</v>
      </c>
      <c r="N44" s="17">
        <f ca="1">(+M44+O44+R44+U44+V44+W44+X44+Y44+Z44+AA44+AC44+AH44+AI44+AJ44+AK44)*CUSTOS!$M$5</f>
        <v>5.0078023383782241E-12</v>
      </c>
      <c r="O44" s="17">
        <f>1 - CUSTOS!$M$30</f>
        <v>1</v>
      </c>
      <c r="P44" s="17">
        <f>1 - CUSTOS!$M$30</f>
        <v>1</v>
      </c>
      <c r="Q44" s="17">
        <f>1*(1 - CUSTOS!$M$30)</f>
        <v>1</v>
      </c>
      <c r="R44" s="17">
        <f>1 - CUSTOS!$M$30</f>
        <v>1</v>
      </c>
      <c r="S44" s="17">
        <f>1 - CUSTOS!$M$30</f>
        <v>1</v>
      </c>
      <c r="T44" s="17"/>
      <c r="U44" s="17">
        <f>TRANSICAO!$U$44*CUSTOS!$T$3</f>
        <v>0</v>
      </c>
      <c r="V44" s="17">
        <f>TRANSICAO!$V$44*CUSTOS!$T$3</f>
        <v>0</v>
      </c>
      <c r="W44" s="17">
        <f>TRANSICAO!$W$44*CUSTOS!$T$3</f>
        <v>0</v>
      </c>
      <c r="X44" s="17">
        <f>TRANSICAO!$X$44*CUSTOS!$T$3</f>
        <v>0</v>
      </c>
      <c r="Y44" s="17">
        <f>TRANSICAO!$Y$44*CUSTOS!$T$3</f>
        <v>124.4062</v>
      </c>
      <c r="Z44" s="17">
        <f>TRANSICAO!$Z$44*CUSTOS!$T$3</f>
        <v>0</v>
      </c>
      <c r="AA44" s="17">
        <f>TRANSICAO!$AA$44*CUSTOS!$T$3</f>
        <v>0</v>
      </c>
      <c r="AB44" s="17">
        <f>TRANSICAO!$AB$44*CUSTOS!$T$3</f>
        <v>0</v>
      </c>
      <c r="AC44" s="17">
        <f>TRANSICAO!$AC$44*CUSTOS!$T$3</f>
        <v>342.80489999999998</v>
      </c>
      <c r="AD44" s="17">
        <f>TRANSICAO!$AD$44*CUSTOS!$T$3</f>
        <v>0</v>
      </c>
      <c r="AE44" s="17">
        <v>0</v>
      </c>
      <c r="AF44" s="17">
        <v>0</v>
      </c>
      <c r="AG44" s="17"/>
      <c r="AH44" s="17">
        <f>(1 - CUSTOS!$M$30)*29.7082</f>
        <v>29.708200000000001</v>
      </c>
      <c r="AI44" s="17">
        <v>0</v>
      </c>
      <c r="AJ44" s="17">
        <f ca="1">$N$64*(1-CUSTOS!$M$30)</f>
        <v>0</v>
      </c>
      <c r="AK44" s="17">
        <f t="shared" ca="1" si="0"/>
        <v>0</v>
      </c>
      <c r="AL44" s="17"/>
      <c r="AM44" s="17"/>
      <c r="AP44" s="17">
        <f>IF((1 - CUSTOS!$M$30)&lt;&gt;0,1/(1 - CUSTOS!$M$30),1)</f>
        <v>1</v>
      </c>
    </row>
    <row r="45" spans="1:42" ht="11.25" customHeight="1" x14ac:dyDescent="0.25">
      <c r="A45" s="130" t="s">
        <v>37</v>
      </c>
      <c r="B45" s="130" t="s">
        <v>87</v>
      </c>
      <c r="C45" s="130" t="s">
        <v>25</v>
      </c>
      <c r="D45" s="130" t="s">
        <v>25</v>
      </c>
      <c r="E45" s="130" t="s">
        <v>25</v>
      </c>
      <c r="F45" s="130" t="s">
        <v>25</v>
      </c>
      <c r="G45" s="36" t="s">
        <v>74</v>
      </c>
      <c r="H45" s="36" t="s">
        <v>73</v>
      </c>
      <c r="I45" s="36">
        <f>'MERCADO TUSD'!$U$42</f>
        <v>0</v>
      </c>
      <c r="J45" s="16"/>
      <c r="L45" s="17">
        <f>1*(1 - CUSTOS!$M$31)</f>
        <v>1</v>
      </c>
      <c r="M45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1.8609338378225224</v>
      </c>
      <c r="N45" s="17">
        <f ca="1">(+M45+O45+R45+U45+V45+W45+X45+Y45+Z45+AA45+AC45+AH45+AI45+AJ45+AK45)*CUSTOS!$M$5</f>
        <v>1.5599339338378224E-11</v>
      </c>
      <c r="O45" s="17">
        <f>1 - CUSTOS!$M$31</f>
        <v>1</v>
      </c>
      <c r="P45" s="17">
        <f>1 - CUSTOS!$M$31</f>
        <v>1</v>
      </c>
      <c r="Q45" s="17">
        <f>1*(1 - CUSTOS!$M$31)</f>
        <v>1</v>
      </c>
      <c r="R45" s="17">
        <f>1 - CUSTOS!$M$31</f>
        <v>1</v>
      </c>
      <c r="S45" s="17">
        <f>1 - CUSTOS!$M$31</f>
        <v>1</v>
      </c>
      <c r="T45" s="17"/>
      <c r="U45" s="17">
        <f>TRANSICAO!$U$45*CUSTOS!$T$3</f>
        <v>0</v>
      </c>
      <c r="V45" s="17">
        <f>TRANSICAO!$V$45*CUSTOS!$T$3</f>
        <v>0</v>
      </c>
      <c r="W45" s="17">
        <f>TRANSICAO!$W$45*CUSTOS!$T$3</f>
        <v>0</v>
      </c>
      <c r="X45" s="17">
        <f>TRANSICAO!$X$45*CUSTOS!$T$3</f>
        <v>0</v>
      </c>
      <c r="Y45" s="17">
        <f>TRANSICAO!$Y$45*CUSTOS!$T$3</f>
        <v>406.42160000000001</v>
      </c>
      <c r="Z45" s="17">
        <f>TRANSICAO!$Z$45*CUSTOS!$T$3</f>
        <v>0</v>
      </c>
      <c r="AA45" s="17">
        <f>TRANSICAO!$AA$45*CUSTOS!$T$3</f>
        <v>0</v>
      </c>
      <c r="AB45" s="17">
        <f>TRANSICAO!$AB$45*CUSTOS!$T$3</f>
        <v>0</v>
      </c>
      <c r="AC45" s="17">
        <f>TRANSICAO!$AC$45*CUSTOS!$T$3</f>
        <v>1119.9431999999999</v>
      </c>
      <c r="AD45" s="17">
        <f>TRANSICAO!$AD$45*CUSTOS!$T$3</f>
        <v>0</v>
      </c>
      <c r="AE45" s="17">
        <v>0</v>
      </c>
      <c r="AF45" s="17">
        <v>0</v>
      </c>
      <c r="AG45" s="17"/>
      <c r="AH45" s="17">
        <f>(1 - CUSTOS!$M$31)*29.7082</f>
        <v>29.708200000000001</v>
      </c>
      <c r="AI45" s="17">
        <v>0</v>
      </c>
      <c r="AJ45" s="17">
        <f ca="1">$N$64*(1-CUSTOS!$M$31)</f>
        <v>0</v>
      </c>
      <c r="AK45" s="17">
        <f t="shared" ca="1" si="0"/>
        <v>0</v>
      </c>
      <c r="AL45" s="17"/>
      <c r="AM45" s="17"/>
      <c r="AP45" s="17">
        <f>IF((1 - CUSTOS!$M$31)&lt;&gt;0,1/(1 - CUSTOS!$M$31),1)</f>
        <v>1</v>
      </c>
    </row>
    <row r="46" spans="1:42" ht="11.25" customHeight="1" x14ac:dyDescent="0.25">
      <c r="A46" s="130"/>
      <c r="B46" s="130"/>
      <c r="C46" s="130"/>
      <c r="D46" s="130"/>
      <c r="E46" s="130"/>
      <c r="F46" s="130"/>
      <c r="G46" s="36" t="s">
        <v>85</v>
      </c>
      <c r="H46" s="36" t="s">
        <v>73</v>
      </c>
      <c r="I46" s="36">
        <f>'MERCADO TUSD'!$U$43</f>
        <v>0</v>
      </c>
      <c r="J46" s="16"/>
      <c r="L46" s="17">
        <f>1*(1 - CUSTOS!$M$31)</f>
        <v>1</v>
      </c>
      <c r="M46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1.8609338378225224</v>
      </c>
      <c r="N46" s="17">
        <f ca="1">(+M46+O46+R46+U46+V46+W46+X46+Y46+Z46+AA46+AC46+AH46+AI46+AJ46+AK46)*CUSTOS!$M$5</f>
        <v>9.4937433383782257E-12</v>
      </c>
      <c r="O46" s="17">
        <f>1 - CUSTOS!$M$31</f>
        <v>1</v>
      </c>
      <c r="P46" s="17">
        <f>1 - CUSTOS!$M$31</f>
        <v>1</v>
      </c>
      <c r="Q46" s="17">
        <f>1*(1 - CUSTOS!$M$31)</f>
        <v>1</v>
      </c>
      <c r="R46" s="17">
        <f>1 - CUSTOS!$M$31</f>
        <v>1</v>
      </c>
      <c r="S46" s="17">
        <f>1 - CUSTOS!$M$31</f>
        <v>1</v>
      </c>
      <c r="T46" s="17"/>
      <c r="U46" s="17">
        <f>TRANSICAO!$U$46*CUSTOS!$T$3</f>
        <v>0</v>
      </c>
      <c r="V46" s="17">
        <f>TRANSICAO!$V$46*CUSTOS!$T$3</f>
        <v>0</v>
      </c>
      <c r="W46" s="17">
        <f>TRANSICAO!$W$46*CUSTOS!$T$3</f>
        <v>0</v>
      </c>
      <c r="X46" s="17">
        <f>TRANSICAO!$X$46*CUSTOS!$T$3</f>
        <v>0</v>
      </c>
      <c r="Y46" s="17">
        <f>TRANSICAO!$Y$46*CUSTOS!$T$3</f>
        <v>243.83940000000001</v>
      </c>
      <c r="Z46" s="17">
        <f>TRANSICAO!$Z$46*CUSTOS!$T$3</f>
        <v>0</v>
      </c>
      <c r="AA46" s="17">
        <f>TRANSICAO!$AA$46*CUSTOS!$T$3</f>
        <v>0</v>
      </c>
      <c r="AB46" s="17">
        <f>TRANSICAO!$AB$46*CUSTOS!$T$3</f>
        <v>0</v>
      </c>
      <c r="AC46" s="17">
        <f>TRANSICAO!$AC$46*CUSTOS!$T$3</f>
        <v>671.96579999999994</v>
      </c>
      <c r="AD46" s="17">
        <f>TRANSICAO!$AD$46*CUSTOS!$T$3</f>
        <v>0</v>
      </c>
      <c r="AE46" s="17">
        <v>0</v>
      </c>
      <c r="AF46" s="17">
        <v>0</v>
      </c>
      <c r="AG46" s="17"/>
      <c r="AH46" s="17">
        <f>(1 - CUSTOS!$M$31)*29.7082</f>
        <v>29.708200000000001</v>
      </c>
      <c r="AI46" s="17">
        <v>0</v>
      </c>
      <c r="AJ46" s="17">
        <f ca="1">$N$64*(1-CUSTOS!$M$31)</f>
        <v>0</v>
      </c>
      <c r="AK46" s="17">
        <f t="shared" ca="1" si="0"/>
        <v>0</v>
      </c>
      <c r="AL46" s="17"/>
      <c r="AM46" s="17"/>
      <c r="AP46" s="17">
        <f>IF((1 - CUSTOS!$M$31)&lt;&gt;0,1/(1 - CUSTOS!$M$31),1)</f>
        <v>1</v>
      </c>
    </row>
    <row r="47" spans="1:42" ht="11.25" customHeight="1" x14ac:dyDescent="0.25">
      <c r="A47" s="130"/>
      <c r="B47" s="130"/>
      <c r="C47" s="130"/>
      <c r="D47" s="130"/>
      <c r="E47" s="130"/>
      <c r="F47" s="130"/>
      <c r="G47" s="36" t="s">
        <v>75</v>
      </c>
      <c r="H47" s="36" t="s">
        <v>73</v>
      </c>
      <c r="I47" s="36">
        <f>'MERCADO TUSD'!$U$44</f>
        <v>0</v>
      </c>
      <c r="J47" s="16"/>
      <c r="L47" s="17">
        <f>1*(1 - CUSTOS!$M$31)</f>
        <v>1</v>
      </c>
      <c r="M47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1.8609338378225224</v>
      </c>
      <c r="N47" s="17">
        <f ca="1">(+M47+O47+R47+U47+V47+W47+X47+Y47+Z47+AA47+AC47+AH47+AI47+AJ47+AK47)*CUSTOS!$M$5</f>
        <v>3.3881523383782251E-12</v>
      </c>
      <c r="O47" s="17">
        <f>1 - CUSTOS!$M$31</f>
        <v>1</v>
      </c>
      <c r="P47" s="17">
        <f>1 - CUSTOS!$M$31</f>
        <v>1</v>
      </c>
      <c r="Q47" s="17">
        <f>1*(1 - CUSTOS!$M$31)</f>
        <v>1</v>
      </c>
      <c r="R47" s="17">
        <f>1 - CUSTOS!$M$31</f>
        <v>1</v>
      </c>
      <c r="S47" s="17">
        <f>1 - CUSTOS!$M$31</f>
        <v>1</v>
      </c>
      <c r="T47" s="17"/>
      <c r="U47" s="17">
        <f>TRANSICAO!$U$47*CUSTOS!$T$3</f>
        <v>0</v>
      </c>
      <c r="V47" s="17">
        <f>TRANSICAO!$V$47*CUSTOS!$T$3</f>
        <v>0</v>
      </c>
      <c r="W47" s="17">
        <f>TRANSICAO!$W$47*CUSTOS!$T$3</f>
        <v>0</v>
      </c>
      <c r="X47" s="17">
        <f>TRANSICAO!$X$47*CUSTOS!$T$3</f>
        <v>0</v>
      </c>
      <c r="Y47" s="17">
        <f>TRANSICAO!$Y$47*CUSTOS!$T$3</f>
        <v>81.257599999999996</v>
      </c>
      <c r="Z47" s="17">
        <f>TRANSICAO!$Z$47*CUSTOS!$T$3</f>
        <v>0</v>
      </c>
      <c r="AA47" s="17">
        <f>TRANSICAO!$AA$47*CUSTOS!$T$3</f>
        <v>0</v>
      </c>
      <c r="AB47" s="17">
        <f>TRANSICAO!$AB$47*CUSTOS!$T$3</f>
        <v>0</v>
      </c>
      <c r="AC47" s="17">
        <f>TRANSICAO!$AC$47*CUSTOS!$T$3</f>
        <v>223.98849999999999</v>
      </c>
      <c r="AD47" s="17">
        <f>TRANSICAO!$AD$47*CUSTOS!$T$3</f>
        <v>0</v>
      </c>
      <c r="AE47" s="17">
        <v>0</v>
      </c>
      <c r="AF47" s="17">
        <v>0</v>
      </c>
      <c r="AG47" s="17"/>
      <c r="AH47" s="17">
        <f>(1 - CUSTOS!$M$31)*29.7082</f>
        <v>29.708200000000001</v>
      </c>
      <c r="AI47" s="17">
        <v>0</v>
      </c>
      <c r="AJ47" s="17">
        <f ca="1">$N$64*(1-CUSTOS!$M$31)</f>
        <v>0</v>
      </c>
      <c r="AK47" s="17">
        <f t="shared" ca="1" si="0"/>
        <v>0</v>
      </c>
      <c r="AL47" s="17"/>
      <c r="AM47" s="17"/>
      <c r="AP47" s="17">
        <f>IF((1 - CUSTOS!$M$31)&lt;&gt;0,1/(1 - CUSTOS!$M$31),1)</f>
        <v>1</v>
      </c>
    </row>
    <row r="48" spans="1:42" ht="11.25" customHeight="1" x14ac:dyDescent="0.25">
      <c r="A48" s="130"/>
      <c r="B48" s="37" t="s">
        <v>23</v>
      </c>
      <c r="C48" s="37" t="s">
        <v>25</v>
      </c>
      <c r="D48" s="37" t="s">
        <v>25</v>
      </c>
      <c r="E48" s="37" t="s">
        <v>25</v>
      </c>
      <c r="F48" s="37" t="s">
        <v>25</v>
      </c>
      <c r="G48" s="36" t="s">
        <v>79</v>
      </c>
      <c r="H48" s="36" t="s">
        <v>73</v>
      </c>
      <c r="I48" s="36">
        <f>'MERCADO TUSD'!$U$45</f>
        <v>9351.1280000000006</v>
      </c>
      <c r="J48" s="16"/>
      <c r="L48" s="17">
        <f>1*(1 - CUSTOS!$M$31)</f>
        <v>1</v>
      </c>
      <c r="M48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1.8609338378225224</v>
      </c>
      <c r="N48" s="17">
        <f ca="1">(+M48+O48+R48+U48+V48+W48+X48+Y48+Z48+AA48+AC48+AH48+AI48+AJ48+AK48)*CUSTOS!$M$5</f>
        <v>5.0078023383782241E-12</v>
      </c>
      <c r="O48" s="17">
        <f>1 - CUSTOS!$M$31</f>
        <v>1</v>
      </c>
      <c r="P48" s="17">
        <f>1 - CUSTOS!$M$31</f>
        <v>1</v>
      </c>
      <c r="Q48" s="17">
        <f>1*(1 - CUSTOS!$M$31)</f>
        <v>1</v>
      </c>
      <c r="R48" s="17">
        <f>1 - CUSTOS!$M$31</f>
        <v>1</v>
      </c>
      <c r="S48" s="17">
        <f>1 - CUSTOS!$M$31</f>
        <v>1</v>
      </c>
      <c r="T48" s="17"/>
      <c r="U48" s="17">
        <f>TRANSICAO!$U$48*CUSTOS!$T$3</f>
        <v>0</v>
      </c>
      <c r="V48" s="17">
        <f>TRANSICAO!$V$48*CUSTOS!$T$3</f>
        <v>0</v>
      </c>
      <c r="W48" s="17">
        <f>TRANSICAO!$W$48*CUSTOS!$T$3</f>
        <v>0</v>
      </c>
      <c r="X48" s="17">
        <f>TRANSICAO!$X$48*CUSTOS!$T$3</f>
        <v>0</v>
      </c>
      <c r="Y48" s="17">
        <f>TRANSICAO!$Y$48*CUSTOS!$T$3</f>
        <v>124.4062</v>
      </c>
      <c r="Z48" s="17">
        <f>TRANSICAO!$Z$48*CUSTOS!$T$3</f>
        <v>0</v>
      </c>
      <c r="AA48" s="17">
        <f>TRANSICAO!$AA$48*CUSTOS!$T$3</f>
        <v>0</v>
      </c>
      <c r="AB48" s="17">
        <f>TRANSICAO!$AB$48*CUSTOS!$T$3</f>
        <v>0</v>
      </c>
      <c r="AC48" s="17">
        <f>TRANSICAO!$AC$48*CUSTOS!$T$3</f>
        <v>342.80489999999998</v>
      </c>
      <c r="AD48" s="17">
        <f>TRANSICAO!$AD$48*CUSTOS!$T$3</f>
        <v>0</v>
      </c>
      <c r="AE48" s="17">
        <v>0</v>
      </c>
      <c r="AF48" s="17">
        <v>0</v>
      </c>
      <c r="AG48" s="17"/>
      <c r="AH48" s="17">
        <f>(1 - CUSTOS!$M$31)*29.7082</f>
        <v>29.708200000000001</v>
      </c>
      <c r="AI48" s="17">
        <v>0</v>
      </c>
      <c r="AJ48" s="17">
        <f ca="1">$N$64*(1-CUSTOS!$M$31)</f>
        <v>0</v>
      </c>
      <c r="AK48" s="17">
        <f t="shared" ca="1" si="0"/>
        <v>0</v>
      </c>
      <c r="AL48" s="17"/>
      <c r="AM48" s="17"/>
      <c r="AP48" s="17">
        <f>IF((1 - CUSTOS!$M$31)&lt;&gt;0,1/(1 - CUSTOS!$M$31),1)</f>
        <v>1</v>
      </c>
    </row>
    <row r="49" spans="1:42" ht="11.25" customHeight="1" x14ac:dyDescent="0.25">
      <c r="A49" s="130"/>
      <c r="B49" s="37" t="s">
        <v>89</v>
      </c>
      <c r="C49" s="37" t="s">
        <v>25</v>
      </c>
      <c r="D49" s="37" t="s">
        <v>25</v>
      </c>
      <c r="E49" s="37" t="s">
        <v>25</v>
      </c>
      <c r="F49" s="37" t="s">
        <v>25</v>
      </c>
      <c r="G49" s="36" t="s">
        <v>79</v>
      </c>
      <c r="H49" s="36" t="s">
        <v>73</v>
      </c>
      <c r="I49" s="36">
        <f>'MERCADO TUSD'!$U$46</f>
        <v>0</v>
      </c>
      <c r="J49" s="16"/>
      <c r="L49" s="17">
        <f>1*(1 - CUSTOS!$M$31)</f>
        <v>1</v>
      </c>
      <c r="M49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1.8609338378225224</v>
      </c>
      <c r="N49" s="17">
        <f ca="1">(+M49+O49+R49+U49+V49+W49+X49+Y49+Z49+AA49+AC49+AH49+AI49+AJ49+AK49)*CUSTOS!$M$5</f>
        <v>5.0078023383782241E-12</v>
      </c>
      <c r="O49" s="17">
        <f>1 - CUSTOS!$M$31</f>
        <v>1</v>
      </c>
      <c r="P49" s="17">
        <f>1 - CUSTOS!$M$31</f>
        <v>1</v>
      </c>
      <c r="Q49" s="17">
        <f>1*(1 - CUSTOS!$M$31)</f>
        <v>1</v>
      </c>
      <c r="R49" s="17">
        <f>1 - CUSTOS!$M$31</f>
        <v>1</v>
      </c>
      <c r="S49" s="17">
        <f>1 - CUSTOS!$M$31</f>
        <v>1</v>
      </c>
      <c r="T49" s="17"/>
      <c r="U49" s="17">
        <f>TRANSICAO!$U$49*CUSTOS!$T$3</f>
        <v>0</v>
      </c>
      <c r="V49" s="17">
        <f>TRANSICAO!$V$49*CUSTOS!$T$3</f>
        <v>0</v>
      </c>
      <c r="W49" s="17">
        <f>TRANSICAO!$W$49*CUSTOS!$T$3</f>
        <v>0</v>
      </c>
      <c r="X49" s="17">
        <f>TRANSICAO!$X$49*CUSTOS!$T$3</f>
        <v>0</v>
      </c>
      <c r="Y49" s="17">
        <f>TRANSICAO!$Y$49*CUSTOS!$T$3</f>
        <v>124.4062</v>
      </c>
      <c r="Z49" s="17">
        <f>TRANSICAO!$Z$49*CUSTOS!$T$3</f>
        <v>0</v>
      </c>
      <c r="AA49" s="17">
        <f>TRANSICAO!$AA$49*CUSTOS!$T$3</f>
        <v>0</v>
      </c>
      <c r="AB49" s="17">
        <f>TRANSICAO!$AB$49*CUSTOS!$T$3</f>
        <v>0</v>
      </c>
      <c r="AC49" s="17">
        <f>TRANSICAO!$AC$49*CUSTOS!$T$3</f>
        <v>342.80489999999998</v>
      </c>
      <c r="AD49" s="17">
        <f>TRANSICAO!$AD$49*CUSTOS!$T$3</f>
        <v>0</v>
      </c>
      <c r="AE49" s="17">
        <v>0</v>
      </c>
      <c r="AF49" s="17">
        <v>0</v>
      </c>
      <c r="AG49" s="17"/>
      <c r="AH49" s="17">
        <f>(1 - CUSTOS!$M$31)*29.7082</f>
        <v>29.708200000000001</v>
      </c>
      <c r="AI49" s="17">
        <v>0</v>
      </c>
      <c r="AJ49" s="17">
        <f ca="1">$N$64*(1-CUSTOS!$M$31)</f>
        <v>0</v>
      </c>
      <c r="AK49" s="17">
        <f t="shared" ca="1" si="0"/>
        <v>0</v>
      </c>
      <c r="AL49" s="17"/>
      <c r="AM49" s="17"/>
      <c r="AP49" s="17">
        <f>IF((1 - CUSTOS!$M$31)&lt;&gt;0,1/(1 - CUSTOS!$M$31),1)</f>
        <v>1</v>
      </c>
    </row>
    <row r="50" spans="1:42" ht="11.25" customHeight="1" x14ac:dyDescent="0.25">
      <c r="A50" s="130" t="s">
        <v>44</v>
      </c>
      <c r="B50" s="130" t="s">
        <v>23</v>
      </c>
      <c r="C50" s="130" t="s">
        <v>45</v>
      </c>
      <c r="D50" s="37" t="s">
        <v>46</v>
      </c>
      <c r="E50" s="37" t="s">
        <v>25</v>
      </c>
      <c r="F50" s="37" t="s">
        <v>25</v>
      </c>
      <c r="G50" s="36" t="s">
        <v>79</v>
      </c>
      <c r="H50" s="36" t="s">
        <v>73</v>
      </c>
      <c r="I50" s="36">
        <f>'MERCADO TUSD'!$U$47</f>
        <v>121.60999999999999</v>
      </c>
      <c r="J50" s="16"/>
      <c r="L50" s="17">
        <f>1*(1 - CUSTOS!$M$32)</f>
        <v>0.55000000000000004</v>
      </c>
      <c r="M50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1.0235136108023875</v>
      </c>
      <c r="N50" s="17">
        <f ca="1">(+M50+O50+R50+U50+V50+W50+X50+Y50+Z50+AA50+AC50+AH50+AI50+AJ50+AK50)*CUSTOS!$M$5</f>
        <v>2.7542912861080242E-12</v>
      </c>
      <c r="O50" s="17">
        <f>1 - CUSTOS!$M$32</f>
        <v>0.55000000000000004</v>
      </c>
      <c r="P50" s="17">
        <f>1 - CUSTOS!$M$32</f>
        <v>0.55000000000000004</v>
      </c>
      <c r="Q50" s="17">
        <f>1*(1 - CUSTOS!$M$32)</f>
        <v>0.55000000000000004</v>
      </c>
      <c r="R50" s="17">
        <f>1 - CUSTOS!$M$32</f>
        <v>0.55000000000000004</v>
      </c>
      <c r="S50" s="17">
        <f>1 - CUSTOS!$M$32</f>
        <v>0.55000000000000004</v>
      </c>
      <c r="T50" s="17"/>
      <c r="U50" s="17">
        <f>TRANSICAO!$U$50*CUSTOS!$T$3</f>
        <v>0</v>
      </c>
      <c r="V50" s="17">
        <f>TRANSICAO!$V$50*CUSTOS!$T$3</f>
        <v>0</v>
      </c>
      <c r="W50" s="17">
        <f>TRANSICAO!$W$50*CUSTOS!$T$3</f>
        <v>0</v>
      </c>
      <c r="X50" s="17">
        <f>TRANSICAO!$X$50*CUSTOS!$T$3</f>
        <v>0</v>
      </c>
      <c r="Y50" s="17">
        <f>TRANSICAO!$Y$50*CUSTOS!$T$3</f>
        <v>68.423410000000004</v>
      </c>
      <c r="Z50" s="17">
        <f>TRANSICAO!$Z$50*CUSTOS!$T$3</f>
        <v>0</v>
      </c>
      <c r="AA50" s="17">
        <f>TRANSICAO!$AA$50*CUSTOS!$T$3</f>
        <v>0</v>
      </c>
      <c r="AB50" s="17">
        <f>TRANSICAO!$AB$50*CUSTOS!$T$3</f>
        <v>0</v>
      </c>
      <c r="AC50" s="17">
        <f>TRANSICAO!$AC$50*CUSTOS!$T$3</f>
        <v>188.54269500000001</v>
      </c>
      <c r="AD50" s="17">
        <f>TRANSICAO!$AD$50*CUSTOS!$T$3</f>
        <v>0</v>
      </c>
      <c r="AE50" s="17">
        <v>0</v>
      </c>
      <c r="AF50" s="17">
        <v>0</v>
      </c>
      <c r="AG50" s="17"/>
      <c r="AH50" s="17">
        <f>(1 - CUSTOS!$M$32)*29.7082</f>
        <v>16.339510000000001</v>
      </c>
      <c r="AI50" s="17">
        <v>0</v>
      </c>
      <c r="AJ50" s="17">
        <f ca="1">$N$64*(1-CUSTOS!$M$32)</f>
        <v>0</v>
      </c>
      <c r="AK50" s="17">
        <f t="shared" ca="1" si="0"/>
        <v>0</v>
      </c>
      <c r="AL50" s="17"/>
      <c r="AM50" s="17"/>
      <c r="AP50" s="17">
        <f>IF((1 - CUSTOS!$M$32)&lt;&gt;0,1/(1 - CUSTOS!$M$32),1)</f>
        <v>1.8181818181818181</v>
      </c>
    </row>
    <row r="51" spans="1:42" ht="11.25" customHeight="1" x14ac:dyDescent="0.25">
      <c r="A51" s="130"/>
      <c r="B51" s="130"/>
      <c r="C51" s="130"/>
      <c r="D51" s="36" t="s">
        <v>47</v>
      </c>
      <c r="E51" s="36" t="s">
        <v>25</v>
      </c>
      <c r="F51" s="36" t="s">
        <v>25</v>
      </c>
      <c r="G51" s="36" t="s">
        <v>79</v>
      </c>
      <c r="H51" s="36" t="s">
        <v>73</v>
      </c>
      <c r="I51" s="36">
        <f>'MERCADO TUSD'!$U$48</f>
        <v>2220.8670000000002</v>
      </c>
      <c r="J51" s="16"/>
      <c r="L51" s="17">
        <f>1*(1 - CUSTOS!$M$33)</f>
        <v>0.6</v>
      </c>
      <c r="M51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1.1165603026935134</v>
      </c>
      <c r="N51" s="17">
        <f ca="1">(+M51+O51+R51+U51+V51+W51+X51+Y51+Z51+AA51+AC51+AH51+AI51+AJ51+AK51)*CUSTOS!$M$5</f>
        <v>3.0046814030269355E-12</v>
      </c>
      <c r="O51" s="17">
        <f>1 - CUSTOS!$M$33</f>
        <v>0.6</v>
      </c>
      <c r="P51" s="17">
        <f>1 - CUSTOS!$M$33</f>
        <v>0.6</v>
      </c>
      <c r="Q51" s="17">
        <f>1*(1 - CUSTOS!$M$33)</f>
        <v>0.6</v>
      </c>
      <c r="R51" s="17">
        <f>1 - CUSTOS!$M$33</f>
        <v>0.6</v>
      </c>
      <c r="S51" s="17">
        <f>1 - CUSTOS!$M$33</f>
        <v>0.6</v>
      </c>
      <c r="T51" s="17"/>
      <c r="U51" s="17">
        <f>TRANSICAO!$U$51*CUSTOS!$T$3</f>
        <v>0</v>
      </c>
      <c r="V51" s="17">
        <f>TRANSICAO!$V$51*CUSTOS!$T$3</f>
        <v>0</v>
      </c>
      <c r="W51" s="17">
        <f>TRANSICAO!$W$51*CUSTOS!$T$3</f>
        <v>0</v>
      </c>
      <c r="X51" s="17">
        <f>TRANSICAO!$X$51*CUSTOS!$T$3</f>
        <v>0</v>
      </c>
      <c r="Y51" s="17">
        <f>TRANSICAO!$Y$51*CUSTOS!$T$3</f>
        <v>74.643720000000002</v>
      </c>
      <c r="Z51" s="17">
        <f>TRANSICAO!$Z$51*CUSTOS!$T$3</f>
        <v>0</v>
      </c>
      <c r="AA51" s="17">
        <f>TRANSICAO!$AA$51*CUSTOS!$T$3</f>
        <v>0</v>
      </c>
      <c r="AB51" s="17">
        <f>TRANSICAO!$AB$51*CUSTOS!$T$3</f>
        <v>0</v>
      </c>
      <c r="AC51" s="17">
        <f>TRANSICAO!$AC$51*CUSTOS!$T$3</f>
        <v>205.68293999999997</v>
      </c>
      <c r="AD51" s="17">
        <f>TRANSICAO!$AD$51*CUSTOS!$T$3</f>
        <v>0</v>
      </c>
      <c r="AE51" s="17">
        <v>0</v>
      </c>
      <c r="AF51" s="17">
        <v>0</v>
      </c>
      <c r="AG51" s="17"/>
      <c r="AH51" s="17">
        <f>(1 - CUSTOS!$M$33)*29.7082</f>
        <v>17.824919999999999</v>
      </c>
      <c r="AI51" s="17">
        <v>0</v>
      </c>
      <c r="AJ51" s="17">
        <f ca="1">$N$64*(1-CUSTOS!$M$33)</f>
        <v>0</v>
      </c>
      <c r="AK51" s="17">
        <f t="shared" ca="1" si="0"/>
        <v>0</v>
      </c>
      <c r="AL51" s="17"/>
      <c r="AM51" s="17"/>
      <c r="AP51" s="17">
        <f>IF((1 - CUSTOS!$M$33)&lt;&gt;0,1/(1 - CUSTOS!$M$33),1)</f>
        <v>1.6666666666666667</v>
      </c>
    </row>
    <row r="53" spans="1:42" ht="11.25" customHeight="1" x14ac:dyDescent="0.25">
      <c r="K53" s="32" t="s">
        <v>491</v>
      </c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</row>
    <row r="54" spans="1:42" ht="11.25" customHeight="1" x14ac:dyDescent="0.25">
      <c r="K54" s="32" t="s">
        <v>492</v>
      </c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</row>
    <row r="55" spans="1:42" ht="11.25" customHeight="1" x14ac:dyDescent="0.25">
      <c r="K55" s="32" t="s">
        <v>493</v>
      </c>
      <c r="L55" s="17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164155.94025999997</v>
      </c>
      <c r="M55" s="17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266488.44948893297</v>
      </c>
      <c r="N55" s="17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5.5130527886978637E-7</v>
      </c>
      <c r="O55" s="17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178270.37769999998</v>
      </c>
      <c r="P55" s="17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178173.88570000001</v>
      </c>
      <c r="Q55" s="17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164155.94025999997</v>
      </c>
      <c r="R55" s="17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178173.88570000001</v>
      </c>
      <c r="S55" s="17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178270.37769999998</v>
      </c>
      <c r="T55" s="17"/>
      <c r="U55" s="17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0</v>
      </c>
      <c r="V55" s="17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0</v>
      </c>
      <c r="W55" s="17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0</v>
      </c>
      <c r="X55" s="17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17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21359049.691651341</v>
      </c>
      <c r="Z55" s="17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17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17"/>
      <c r="AC55" s="17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49090163.455301568</v>
      </c>
      <c r="AD55" s="17"/>
      <c r="AE55" s="17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17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17"/>
      <c r="AH55" s="17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3933722.96233714</v>
      </c>
      <c r="AI55" s="17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0</v>
      </c>
      <c r="AJ55" s="17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0</v>
      </c>
      <c r="AK55" s="17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0</v>
      </c>
      <c r="AL55" s="17"/>
      <c r="AM55" s="17"/>
    </row>
    <row r="56" spans="1:42" ht="11.25" customHeight="1" x14ac:dyDescent="0.25">
      <c r="K56" s="32" t="s">
        <v>440</v>
      </c>
      <c r="L56" s="17">
        <f>CUSTOS!$D$2</f>
        <v>0</v>
      </c>
      <c r="M56" s="17">
        <f>CUSTOS!$D$3</f>
        <v>268243.44278258207</v>
      </c>
      <c r="N56" s="17">
        <f>CUSTOS!$D$4</f>
        <v>0</v>
      </c>
      <c r="O56" s="17">
        <f>CUSTOS!$D$5</f>
        <v>0</v>
      </c>
      <c r="P56" s="17">
        <f>CUSTOS!$D$6</f>
        <v>0</v>
      </c>
      <c r="Q56" s="17">
        <f>CUSTOS!$D$7</f>
        <v>14054948.943829997</v>
      </c>
      <c r="R56" s="17">
        <f>CUSTOS!$D$8</f>
        <v>2530922.6024099994</v>
      </c>
      <c r="S56" s="17">
        <f>CUSTOS!$D$9</f>
        <v>0</v>
      </c>
      <c r="T56" s="17">
        <f>CUSTOS!$D$10</f>
        <v>16854114.989022579</v>
      </c>
      <c r="U56" s="17">
        <f>CUSTOS!$D$11</f>
        <v>0</v>
      </c>
      <c r="V56" s="17">
        <f>IF(SUM(V53:V55)&lt;&gt;0,CUSTOS!$D$12+CUSTOS!$D$16+CUSTOS!$D$17-'TR TUSD'!$Z$54-'TR TUSD'!$AA$54,0)</f>
        <v>0</v>
      </c>
      <c r="W56" s="17">
        <f>CUSTOS!$D$13</f>
        <v>0</v>
      </c>
      <c r="X56" s="17">
        <f>CUSTOS!$D$14</f>
        <v>0</v>
      </c>
      <c r="Y56" s="17">
        <f>IF(SUM(V53:V55)=0,CUSTOS!$D$15+CUSTOS!$D$16+CUSTOS!$D$17-'TR TUSD'!$Z$54-'TR TUSD'!$AA$54,CUSTOS!$D$15)</f>
        <v>21824003.3997114</v>
      </c>
      <c r="Z56" s="17">
        <f>Z54</f>
        <v>0</v>
      </c>
      <c r="AA56" s="17">
        <f>AA54</f>
        <v>0</v>
      </c>
      <c r="AB56" s="17">
        <f>CUSTOS!$D$18</f>
        <v>21824003.3997114</v>
      </c>
      <c r="AC56" s="17">
        <f>CUSTOS!$D$19</f>
        <v>52758480.06437514</v>
      </c>
      <c r="AD56" s="17">
        <f>CUSTOS!$D$20</f>
        <v>52758480.06437514</v>
      </c>
      <c r="AE56" s="17">
        <f>CUSTOS!$D$21</f>
        <v>0</v>
      </c>
      <c r="AF56" s="17">
        <f>CUSTOS!$D$22</f>
        <v>0</v>
      </c>
      <c r="AG56" s="17">
        <f>CUSTOS!$D$23</f>
        <v>0</v>
      </c>
      <c r="AH56" s="17">
        <f>CUSTOS!$D$24</f>
        <v>4413610.3065110203</v>
      </c>
      <c r="AI56" s="17">
        <f>CUSTOS!$D$25</f>
        <v>0</v>
      </c>
      <c r="AJ56" s="17">
        <f>CUSTOS!$D$26</f>
        <v>0</v>
      </c>
      <c r="AK56" s="17">
        <f>CUSTOS!$D$27</f>
        <v>0</v>
      </c>
      <c r="AL56" s="17">
        <f>CUSTOS!$D$28</f>
        <v>4413610.3065110203</v>
      </c>
      <c r="AM56" s="17">
        <f>CUSTOS!$D$29</f>
        <v>95850208.75962013</v>
      </c>
    </row>
    <row r="57" spans="1:42" ht="11.25" customHeight="1" x14ac:dyDescent="0.25">
      <c r="K57" s="32" t="s">
        <v>441</v>
      </c>
      <c r="L57" s="17">
        <f>CUSTOS!$E$2</f>
        <v>0</v>
      </c>
      <c r="M57" s="17">
        <f>CUSTOS!$E$3</f>
        <v>-13358.584548436307</v>
      </c>
      <c r="N57" s="17">
        <f>CUSTOS!$E$4</f>
        <v>0</v>
      </c>
      <c r="O57" s="17">
        <f>CUSTOS!$E$5</f>
        <v>0</v>
      </c>
      <c r="P57" s="17">
        <f>CUSTOS!$E$6</f>
        <v>0</v>
      </c>
      <c r="Q57" s="17">
        <f>CUSTOS!$E$7</f>
        <v>-520176.23269056814</v>
      </c>
      <c r="R57" s="17">
        <f>CUSTOS!$E$8</f>
        <v>-87124.034373721021</v>
      </c>
      <c r="S57" s="17">
        <f>CUSTOS!$E$9</f>
        <v>0</v>
      </c>
      <c r="T57" s="17">
        <f>CUSTOS!$E$10</f>
        <v>-620658.85161272541</v>
      </c>
      <c r="U57" s="17">
        <f>CUSTOS!$E$11</f>
        <v>0</v>
      </c>
      <c r="V57" s="17">
        <f>CUSTOS!$E$12</f>
        <v>0</v>
      </c>
      <c r="W57" s="17">
        <f>CUSTOS!$E$13</f>
        <v>0</v>
      </c>
      <c r="X57" s="17">
        <f>CUSTOS!$E$14</f>
        <v>0</v>
      </c>
      <c r="Y57" s="17">
        <f>CUSTOS!$E$15</f>
        <v>16131.736745447153</v>
      </c>
      <c r="Z57" s="17">
        <f>CUSTOS!$E$16</f>
        <v>0</v>
      </c>
      <c r="AA57" s="17">
        <f>CUSTOS!$E$17</f>
        <v>0</v>
      </c>
      <c r="AB57" s="17">
        <f>CUSTOS!$E$18</f>
        <v>16131.736745447153</v>
      </c>
      <c r="AC57" s="17">
        <f>CUSTOS!$E$19</f>
        <v>-20920469.666595757</v>
      </c>
      <c r="AD57" s="17">
        <f>CUSTOS!$E$20</f>
        <v>-20920469.666595757</v>
      </c>
      <c r="AE57" s="17">
        <f>CUSTOS!$E$21</f>
        <v>1501347.3773171748</v>
      </c>
      <c r="AF57" s="17">
        <f>CUSTOS!$E$22</f>
        <v>0</v>
      </c>
      <c r="AG57" s="17">
        <f>CUSTOS!$E$23</f>
        <v>1501347.3773171748</v>
      </c>
      <c r="AH57" s="17">
        <f>CUSTOS!$E$24</f>
        <v>489657.37437033339</v>
      </c>
      <c r="AI57" s="17">
        <f>CUSTOS!$E$25</f>
        <v>0</v>
      </c>
      <c r="AJ57" s="17">
        <f>CUSTOS!$E$26</f>
        <v>0</v>
      </c>
      <c r="AK57" s="17">
        <f>CUSTOS!$E$27</f>
        <v>0</v>
      </c>
      <c r="AL57" s="17">
        <f>CUSTOS!$E$28</f>
        <v>489657.37437033339</v>
      </c>
      <c r="AM57" s="17">
        <f>CUSTOS!$E$29</f>
        <v>-19533992.029775526</v>
      </c>
    </row>
    <row r="58" spans="1:42" ht="11.25" customHeight="1" x14ac:dyDescent="0.25">
      <c r="K58" s="32" t="s">
        <v>442</v>
      </c>
      <c r="L58" s="17">
        <f>CUSTOS!$F$2</f>
        <v>0</v>
      </c>
      <c r="M58" s="17">
        <f>CUSTOS!$F$3</f>
        <v>0</v>
      </c>
      <c r="N58" s="17">
        <f>CUSTOS!$F$4</f>
        <v>0</v>
      </c>
      <c r="O58" s="17">
        <f>CUSTOS!$F$5</f>
        <v>0</v>
      </c>
      <c r="P58" s="17">
        <f>CUSTOS!$F$6</f>
        <v>0</v>
      </c>
      <c r="Q58" s="17">
        <f>CUSTOS!$F$7</f>
        <v>0</v>
      </c>
      <c r="R58" s="17">
        <f>CUSTOS!$F$8</f>
        <v>0</v>
      </c>
      <c r="S58" s="17">
        <f>CUSTOS!$F$9</f>
        <v>0</v>
      </c>
      <c r="T58" s="17">
        <f>CUSTOS!$F$10</f>
        <v>0</v>
      </c>
      <c r="U58" s="17">
        <f>CUSTOS!$F$11</f>
        <v>0</v>
      </c>
      <c r="V58" s="17">
        <f>CUSTOS!$F$12</f>
        <v>0</v>
      </c>
      <c r="W58" s="17">
        <f>CUSTOS!$F$13</f>
        <v>0</v>
      </c>
      <c r="X58" s="17">
        <f>CUSTOS!$F$14</f>
        <v>0</v>
      </c>
      <c r="Y58" s="17">
        <f>CUSTOS!$F$15</f>
        <v>0</v>
      </c>
      <c r="Z58" s="17">
        <f>CUSTOS!$F$16</f>
        <v>0</v>
      </c>
      <c r="AA58" s="17">
        <f>CUSTOS!$F$17</f>
        <v>0</v>
      </c>
      <c r="AB58" s="17">
        <f>CUSTOS!$F$18</f>
        <v>0</v>
      </c>
      <c r="AC58" s="17">
        <f>CUSTOS!$F$19</f>
        <v>0</v>
      </c>
      <c r="AD58" s="17">
        <f>CUSTOS!$F$20</f>
        <v>0</v>
      </c>
      <c r="AE58" s="17">
        <f>CUSTOS!$F$21</f>
        <v>0</v>
      </c>
      <c r="AF58" s="17">
        <f>CUSTOS!$F$22</f>
        <v>0</v>
      </c>
      <c r="AG58" s="17">
        <f>CUSTOS!$F$23</f>
        <v>0</v>
      </c>
      <c r="AH58" s="17">
        <f>CUSTOS!$F$24</f>
        <v>0</v>
      </c>
      <c r="AI58" s="17">
        <f>CUSTOS!$F$25</f>
        <v>0</v>
      </c>
      <c r="AJ58" s="17">
        <f>CUSTOS!$F$26</f>
        <v>0</v>
      </c>
      <c r="AK58" s="17">
        <f>CUSTOS!$F$27</f>
        <v>0</v>
      </c>
      <c r="AL58" s="17">
        <f>CUSTOS!$F$28</f>
        <v>0</v>
      </c>
      <c r="AM58" s="17">
        <f>CUSTOS!$F$29</f>
        <v>0</v>
      </c>
    </row>
    <row r="59" spans="1:42" ht="11.25" customHeight="1" x14ac:dyDescent="0.25">
      <c r="K59" s="32" t="s">
        <v>494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/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/>
      <c r="AC59" s="17">
        <v>0</v>
      </c>
      <c r="AD59" s="17"/>
      <c r="AE59" s="17">
        <v>0</v>
      </c>
      <c r="AF59" s="17">
        <v>0</v>
      </c>
      <c r="AG59" s="17"/>
      <c r="AH59" s="17">
        <v>0</v>
      </c>
      <c r="AI59" s="17">
        <v>0</v>
      </c>
      <c r="AJ59" s="17">
        <v>0</v>
      </c>
      <c r="AK59" s="17">
        <v>0</v>
      </c>
      <c r="AL59" s="17"/>
      <c r="AM59" s="17"/>
    </row>
    <row r="60" spans="1:42" ht="11.25" customHeight="1" x14ac:dyDescent="0.25">
      <c r="K60" s="32" t="s">
        <v>495</v>
      </c>
      <c r="L60" s="17">
        <f t="shared" ref="L60:S60" si="1">IF((L55+L53)&lt;&gt;0,(L56-L54-L59)/(L55+L53),0)</f>
        <v>0</v>
      </c>
      <c r="M60" s="17">
        <f t="shared" si="1"/>
        <v>1.0065856261200619</v>
      </c>
      <c r="N60" s="17">
        <f t="shared" ca="1" si="1"/>
        <v>0</v>
      </c>
      <c r="O60" s="17">
        <f t="shared" si="1"/>
        <v>0</v>
      </c>
      <c r="P60" s="17">
        <f t="shared" si="1"/>
        <v>0</v>
      </c>
      <c r="Q60" s="17">
        <f t="shared" si="1"/>
        <v>85.619496446908528</v>
      </c>
      <c r="R60" s="17">
        <f t="shared" si="1"/>
        <v>14.204789845979091</v>
      </c>
      <c r="S60" s="17">
        <f t="shared" si="1"/>
        <v>0</v>
      </c>
      <c r="T60" s="17"/>
      <c r="U60" s="17">
        <f>IF(U55&lt;&gt;0,(U56-U54-U53-U59)/U55,0)</f>
        <v>0</v>
      </c>
      <c r="V60" s="17">
        <f>IF(V55&lt;&gt;0,(V56-V54-V53-V59)/V55,0)</f>
        <v>0</v>
      </c>
      <c r="W60" s="17">
        <f>IF(W55&lt;&gt;0,(W56-W54-W53-W59)/W55,0)</f>
        <v>0</v>
      </c>
      <c r="X60" s="17">
        <f>IF(X55&lt;&gt;0,(X56-X54-X53-X59)/X55,0)</f>
        <v>0</v>
      </c>
      <c r="Y60" s="17">
        <f>IF(Y55&lt;&gt;0,(Y56-Y54-Y53-Y59)/Y55,0)</f>
        <v>1.0217684641766529</v>
      </c>
      <c r="Z60" s="17"/>
      <c r="AA60" s="17"/>
      <c r="AB60" s="17"/>
      <c r="AC60" s="17">
        <f>IF(AC55&lt;&gt;0,(AC56-AC54-AC53-AC59)/AC55,0)</f>
        <v>1.074726102967934</v>
      </c>
      <c r="AD60" s="17"/>
      <c r="AE60" s="17">
        <f>IF((AE55+AE53)&lt;&gt;0,(AE56-AE54-AE59)/(AE55+AE53),0)</f>
        <v>0</v>
      </c>
      <c r="AF60" s="17">
        <f>IF((AF55+AF53)&lt;&gt;0,(AF56-AF54-AF59)/(AF55+AF53),0)</f>
        <v>0</v>
      </c>
      <c r="AG60" s="17"/>
      <c r="AH60" s="17">
        <f>IF(AH55&lt;&gt;0,(AH56-AH54-AH53-AH59)/AH55,0)</f>
        <v>1.1219931725666734</v>
      </c>
      <c r="AI60" s="17">
        <f>IF(AI55&lt;&gt;0,(AI56-AI54-AI53-AI59)/AI55,0)</f>
        <v>0</v>
      </c>
      <c r="AJ60" s="17">
        <f ca="1">IF((AJ55+AJ53)&lt;&gt;0,(AJ56-AJ54-AJ59)/(AJ55+AJ53),0)</f>
        <v>0</v>
      </c>
      <c r="AK60" s="17">
        <f ca="1">IF((AK55+AK53)&lt;&gt;0,(AK56-AK54-AK59)/(AK55+AK53),0)</f>
        <v>0</v>
      </c>
      <c r="AL60" s="17"/>
      <c r="AM60" s="17"/>
    </row>
    <row r="62" spans="1:42" ht="11.25" customHeight="1" x14ac:dyDescent="0.25">
      <c r="K62" s="42" t="s">
        <v>980</v>
      </c>
      <c r="L62" s="42" t="s">
        <v>981</v>
      </c>
      <c r="M62" s="42" t="s">
        <v>982</v>
      </c>
      <c r="N62" s="42" t="s">
        <v>983</v>
      </c>
      <c r="O62" s="42" t="s">
        <v>984</v>
      </c>
      <c r="P62" s="42" t="s">
        <v>985</v>
      </c>
    </row>
    <row r="63" spans="1:42" ht="11.25" customHeight="1" x14ac:dyDescent="0.25">
      <c r="K63" s="36" t="s">
        <v>33</v>
      </c>
      <c r="L63" s="36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38693888.81379275</v>
      </c>
      <c r="M63" s="36">
        <f>+'TUSD BE'!$I$7+'TUSD BE'!$I$8+'TUSD BE'!$I$11+'TUSD BE'!$I$12+'TUSD BE'!$I$13+'TUSD BE'!$I$14</f>
        <v>87612.159</v>
      </c>
      <c r="N63" s="36">
        <f ca="1">IF(AND($L$70&lt;&gt;0,M63&lt;&gt;0),(L63/$L$70*$AJ$56)/M63,0)</f>
        <v>0</v>
      </c>
      <c r="O63" s="36"/>
      <c r="P63" s="36"/>
    </row>
    <row r="64" spans="1:42" ht="11.25" customHeight="1" x14ac:dyDescent="0.25">
      <c r="K64" s="36" t="s">
        <v>82</v>
      </c>
      <c r="L64" s="36">
        <f ca="1">+$L$65+$L$66+$L$67+$L$68+$L$69</f>
        <v>57156319.94582703</v>
      </c>
      <c r="M64" s="36">
        <f>+$M$65+$M$66+$M$67+$M$68+$M$69</f>
        <v>91601.29</v>
      </c>
      <c r="N64" s="36">
        <f ca="1">IF(AND($L$70&lt;&gt;0,M64&lt;&gt;0),(L64/$L$70*$AJ$56)/M64,0)</f>
        <v>0</v>
      </c>
      <c r="O64" s="36"/>
      <c r="P64" s="36"/>
    </row>
    <row r="65" spans="11:16" ht="11.25" customHeight="1" x14ac:dyDescent="0.25">
      <c r="K65" s="36" t="s">
        <v>82</v>
      </c>
      <c r="L65" s="36"/>
      <c r="M65" s="36"/>
      <c r="N65" s="36">
        <f ca="1">IF(AND($L$70&lt;&gt;0,M65&lt;&gt;0),(L65/$L$70*$AJ$56)/M65,0)</f>
        <v>0</v>
      </c>
      <c r="O65" s="36"/>
      <c r="P65" s="36"/>
    </row>
    <row r="66" spans="11:16" ht="11.25" customHeight="1" x14ac:dyDescent="0.25">
      <c r="K66" s="36" t="s">
        <v>22</v>
      </c>
      <c r="L66" s="36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15124209.017440112</v>
      </c>
      <c r="M66" s="36">
        <f>+'TUSD BE'!$I$17+'TUSD BE'!$I$18+'TUSD BE'!$I$19+'TUSD BE'!$I$20+'TUSD BE'!$I$21+'TUSD BE'!$I$22+'TUSD BE'!$I$23+'TUSD BE'!$I$24+'TUSD BE'!$I$25+'TUSD BE'!$I$26+'TUSD BE'!$I$27+'TUSD BE'!$I$28+'TUSD BE'!$I$29</f>
        <v>24000.423999999999</v>
      </c>
      <c r="N66" s="36"/>
      <c r="O66" s="36"/>
      <c r="P66" s="36"/>
    </row>
    <row r="67" spans="11:16" ht="11.25" customHeight="1" x14ac:dyDescent="0.25">
      <c r="K67" s="36" t="s">
        <v>40</v>
      </c>
      <c r="L67" s="36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35253194.418300785</v>
      </c>
      <c r="M67" s="36">
        <f>+'TUSD BE'!$I$30+'TUSD BE'!$I$31+'TUSD BE'!$I$32+'TUSD BE'!$I$33+'TUSD BE'!$I$34+'TUSD BE'!$I$35+'TUSD BE'!$I$36+'TUSD BE'!$I$37+'TUSD BE'!$I$38+'TUSD BE'!$I$39+'TUSD BE'!$I$40+'TUSD BE'!$I$41+'TUSD BE'!$I$42+'TUSD BE'!$I$43+'TUSD BE'!$I$44</f>
        <v>55907.260999999999</v>
      </c>
      <c r="N67" s="36"/>
      <c r="O67" s="36"/>
      <c r="P67" s="36"/>
    </row>
    <row r="68" spans="11:16" ht="11.25" customHeight="1" x14ac:dyDescent="0.25">
      <c r="K68" s="36" t="s">
        <v>37</v>
      </c>
      <c r="L68" s="36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5896499.4442209611</v>
      </c>
      <c r="M68" s="36">
        <f>+'TUSD BE'!$I$45+'TUSD BE'!$I$46+'TUSD BE'!$I$47+'TUSD BE'!$I$48+'TUSD BE'!$I$49</f>
        <v>9351.1280000000006</v>
      </c>
      <c r="N68" s="36"/>
      <c r="O68" s="36"/>
      <c r="P68" s="36"/>
    </row>
    <row r="69" spans="11:16" ht="11.25" customHeight="1" x14ac:dyDescent="0.25">
      <c r="K69" s="36" t="s">
        <v>44</v>
      </c>
      <c r="L69" s="36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882417.06586517091</v>
      </c>
      <c r="M69" s="36">
        <f>+'TUSD BE'!$I$50+'TUSD BE'!$I$51</f>
        <v>2342.4770000000003</v>
      </c>
      <c r="N69" s="36"/>
      <c r="O69" s="36"/>
      <c r="P69" s="36"/>
    </row>
    <row r="70" spans="11:16" ht="11.25" customHeight="1" x14ac:dyDescent="0.25">
      <c r="K70" s="36"/>
      <c r="L70" s="36">
        <f ca="1">SUM($L$63:$L$69,-$L$64)</f>
        <v>95850208.759619743</v>
      </c>
      <c r="M70" s="36">
        <f>SUM($M$63:$M$69,-$M$64)</f>
        <v>179213.44900000002</v>
      </c>
      <c r="N70" s="36"/>
      <c r="O70" s="36"/>
      <c r="P70" s="36"/>
    </row>
  </sheetData>
  <mergeCells count="73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D1B50-F5B0-4E69-A008-58620D883B3C}">
  <sheetPr codeName="Planilha9"/>
  <dimension ref="A1:AP58"/>
  <sheetViews>
    <sheetView showGridLines="0" topLeftCell="Z38" workbookViewId="0">
      <selection activeCell="AM53" sqref="AM53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10" style="9" bestFit="1" customWidth="1"/>
    <col min="32" max="32" width="7.28515625" style="9" bestFit="1" customWidth="1"/>
    <col min="33" max="33" width="10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1" t="s">
        <v>63</v>
      </c>
      <c r="B1" s="131" t="s">
        <v>64</v>
      </c>
      <c r="C1" s="131" t="s">
        <v>65</v>
      </c>
      <c r="D1" s="131" t="s">
        <v>66</v>
      </c>
      <c r="E1" s="131" t="s">
        <v>67</v>
      </c>
      <c r="F1" s="131" t="s">
        <v>15</v>
      </c>
      <c r="G1" s="131" t="s">
        <v>69</v>
      </c>
      <c r="H1" s="131" t="s">
        <v>70</v>
      </c>
      <c r="I1" s="131" t="s">
        <v>488</v>
      </c>
      <c r="J1" s="124"/>
      <c r="L1" s="132" t="s">
        <v>496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P1" s="132" t="s">
        <v>490</v>
      </c>
    </row>
    <row r="2" spans="1:42" ht="11.25" customHeight="1" x14ac:dyDescent="0.25">
      <c r="A2" s="131"/>
      <c r="B2" s="131"/>
      <c r="C2" s="131"/>
      <c r="D2" s="131"/>
      <c r="E2" s="131"/>
      <c r="F2" s="131"/>
      <c r="G2" s="131"/>
      <c r="H2" s="131"/>
      <c r="I2" s="131"/>
      <c r="J2" s="124"/>
      <c r="L2" s="132" t="s">
        <v>399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P2" s="133"/>
    </row>
    <row r="3" spans="1:42" ht="11.25" customHeight="1" x14ac:dyDescent="0.25">
      <c r="A3" s="131"/>
      <c r="B3" s="131"/>
      <c r="C3" s="131"/>
      <c r="D3" s="131"/>
      <c r="E3" s="131"/>
      <c r="F3" s="131"/>
      <c r="G3" s="131"/>
      <c r="H3" s="131"/>
      <c r="I3" s="131"/>
      <c r="J3" s="124"/>
      <c r="L3" s="132" t="s">
        <v>400</v>
      </c>
      <c r="M3" s="132"/>
      <c r="N3" s="132"/>
      <c r="O3" s="132"/>
      <c r="P3" s="132"/>
      <c r="Q3" s="132"/>
      <c r="R3" s="132"/>
      <c r="S3" s="132"/>
      <c r="T3" s="132"/>
      <c r="U3" s="132" t="s">
        <v>409</v>
      </c>
      <c r="V3" s="132"/>
      <c r="W3" s="132"/>
      <c r="X3" s="132"/>
      <c r="Y3" s="132"/>
      <c r="Z3" s="132"/>
      <c r="AA3" s="132"/>
      <c r="AB3" s="132"/>
      <c r="AC3" s="132" t="s">
        <v>417</v>
      </c>
      <c r="AD3" s="132"/>
      <c r="AE3" s="132" t="s">
        <v>419</v>
      </c>
      <c r="AF3" s="132"/>
      <c r="AG3" s="132"/>
      <c r="AH3" s="132" t="s">
        <v>422</v>
      </c>
      <c r="AI3" s="132"/>
      <c r="AJ3" s="132"/>
      <c r="AK3" s="132"/>
      <c r="AL3" s="132"/>
      <c r="AM3" s="132" t="s">
        <v>408</v>
      </c>
      <c r="AP3" s="133"/>
    </row>
    <row r="4" spans="1:42" ht="11.25" customHeight="1" x14ac:dyDescent="0.25">
      <c r="A4" s="131"/>
      <c r="B4" s="131"/>
      <c r="C4" s="131"/>
      <c r="D4" s="131"/>
      <c r="E4" s="131"/>
      <c r="F4" s="131"/>
      <c r="G4" s="131"/>
      <c r="H4" s="131"/>
      <c r="I4" s="131"/>
      <c r="J4" s="124"/>
      <c r="L4" s="35" t="s">
        <v>484</v>
      </c>
      <c r="M4" s="35" t="s">
        <v>401</v>
      </c>
      <c r="N4" s="35" t="s">
        <v>402</v>
      </c>
      <c r="O4" s="35" t="s">
        <v>403</v>
      </c>
      <c r="P4" s="35" t="s">
        <v>404</v>
      </c>
      <c r="Q4" s="35" t="s">
        <v>405</v>
      </c>
      <c r="R4" s="35" t="s">
        <v>406</v>
      </c>
      <c r="S4" s="35" t="s">
        <v>407</v>
      </c>
      <c r="T4" s="35" t="s">
        <v>408</v>
      </c>
      <c r="U4" s="35" t="s">
        <v>410</v>
      </c>
      <c r="V4" s="35" t="s">
        <v>411</v>
      </c>
      <c r="W4" s="35" t="s">
        <v>412</v>
      </c>
      <c r="X4" s="35" t="s">
        <v>413</v>
      </c>
      <c r="Y4" s="35" t="s">
        <v>414</v>
      </c>
      <c r="Z4" s="35" t="s">
        <v>415</v>
      </c>
      <c r="AA4" s="35" t="s">
        <v>416</v>
      </c>
      <c r="AB4" s="35" t="s">
        <v>408</v>
      </c>
      <c r="AC4" s="35" t="s">
        <v>418</v>
      </c>
      <c r="AD4" s="35" t="s">
        <v>408</v>
      </c>
      <c r="AE4" s="35" t="s">
        <v>420</v>
      </c>
      <c r="AF4" s="35" t="s">
        <v>421</v>
      </c>
      <c r="AG4" s="35" t="s">
        <v>408</v>
      </c>
      <c r="AH4" s="35" t="s">
        <v>423</v>
      </c>
      <c r="AI4" s="35" t="s">
        <v>424</v>
      </c>
      <c r="AJ4" s="35" t="s">
        <v>425</v>
      </c>
      <c r="AK4" s="35" t="s">
        <v>426</v>
      </c>
      <c r="AL4" s="35" t="s">
        <v>408</v>
      </c>
      <c r="AM4" s="134"/>
      <c r="AP4" s="133"/>
    </row>
    <row r="5" spans="1:42" ht="11.25" customHeight="1" x14ac:dyDescent="0.25">
      <c r="A5" s="130" t="s">
        <v>33</v>
      </c>
      <c r="B5" s="130" t="s">
        <v>43</v>
      </c>
      <c r="C5" s="130" t="s">
        <v>25</v>
      </c>
      <c r="D5" s="130" t="s">
        <v>25</v>
      </c>
      <c r="E5" s="130" t="s">
        <v>25</v>
      </c>
      <c r="F5" s="130" t="s">
        <v>25</v>
      </c>
      <c r="G5" s="36" t="s">
        <v>77</v>
      </c>
      <c r="H5" s="36" t="s">
        <v>76</v>
      </c>
      <c r="I5" s="36">
        <f>'MERCADO TUSD'!$U$2</f>
        <v>1679</v>
      </c>
      <c r="J5" s="16"/>
      <c r="L5" s="17">
        <f>'TR TUSD'!$L$5*'TR TUSD'!$L$60</f>
        <v>0</v>
      </c>
      <c r="M5" s="17">
        <f>'TR TUSD'!$M$5*'TR TUSD'!$M$60</f>
        <v>0</v>
      </c>
      <c r="N5" s="17">
        <f ca="1">'TR TUSD'!$N$5*'TR TUSD'!$N$60</f>
        <v>0</v>
      </c>
      <c r="O5" s="17">
        <f>'TR TUSD'!$O$5*'TR TUSD'!$O$60</f>
        <v>0</v>
      </c>
      <c r="P5" s="17">
        <f>'TR TUSD'!$P$5*'TR TUSD'!$P$60</f>
        <v>0</v>
      </c>
      <c r="Q5" s="17">
        <f>'TR TUSD'!$Q$5*'TR TUSD'!$Q$60</f>
        <v>0</v>
      </c>
      <c r="R5" s="17">
        <f>'TR TUSD'!$R$5*'TR TUSD'!$R$60</f>
        <v>0</v>
      </c>
      <c r="S5" s="17">
        <f>'TR TUSD'!$S$5*'TR TUSD'!$S$60</f>
        <v>0</v>
      </c>
      <c r="T5" s="17">
        <f ca="1">SUM($L$5:$S$5)</f>
        <v>0</v>
      </c>
      <c r="U5" s="17">
        <f>'TR TUSD'!$U$5*'TR TUSD'!$U$60</f>
        <v>0</v>
      </c>
      <c r="V5" s="17">
        <f>'TR TUSD'!$V$5*'TR TUSD'!$V$60</f>
        <v>0</v>
      </c>
      <c r="W5" s="17">
        <f>'TR TUSD'!$W$5*'TR TUSD'!$W$60</f>
        <v>0</v>
      </c>
      <c r="X5" s="17">
        <f>'TR TUSD'!$X$5*'TR TUSD'!$X$60</f>
        <v>0</v>
      </c>
      <c r="Y5" s="17">
        <f>'TR TUSD'!$Y$5*'TR TUSD'!$Y$60</f>
        <v>45.497101819165167</v>
      </c>
      <c r="Z5" s="17">
        <f>'TR TUSD'!$Z$5</f>
        <v>0</v>
      </c>
      <c r="AA5" s="17">
        <f>'TR TUSD'!$AA$5</f>
        <v>0</v>
      </c>
      <c r="AB5" s="17">
        <f>SUM($U$5:$AA$5)</f>
        <v>45.497101819165167</v>
      </c>
      <c r="AC5" s="17">
        <f>'TR TUSD'!$AC$5*'TR TUSD'!$AC$60</f>
        <v>77.845528343666075</v>
      </c>
      <c r="AD5" s="17">
        <f>SUM($AC$5:$AC$5)</f>
        <v>77.845528343666075</v>
      </c>
      <c r="AE5" s="17">
        <v>0</v>
      </c>
      <c r="AF5" s="17">
        <v>0</v>
      </c>
      <c r="AG5" s="17">
        <f>SUM($AE$5:$AF$5)</f>
        <v>0</v>
      </c>
      <c r="AH5" s="17">
        <f>'TR TUSD'!$AH$5*'TR TUSD'!$AH$60</f>
        <v>0</v>
      </c>
      <c r="AI5" s="17">
        <f>'TR TUSD'!$AI$5*'TR TUSD'!$AI$60</f>
        <v>0</v>
      </c>
      <c r="AJ5" s="17">
        <f ca="1">'TR TUSD'!$AJ$5*'TR TUSD'!$AJ$60</f>
        <v>0</v>
      </c>
      <c r="AK5" s="17">
        <f ca="1">'TR TUSD'!$AK$5*'TR TUSD'!$AK$60</f>
        <v>0</v>
      </c>
      <c r="AL5" s="17">
        <f ca="1">SUM($AH$5:$AK$5)</f>
        <v>0</v>
      </c>
      <c r="AM5" s="17">
        <f ca="1">SUMIF($L$4:$AL$4,"SUBTOTAL",$L$5:$AL$5)</f>
        <v>123.34263016283124</v>
      </c>
      <c r="AP5" s="17">
        <v>1</v>
      </c>
    </row>
    <row r="6" spans="1:42" ht="11.25" customHeight="1" x14ac:dyDescent="0.25">
      <c r="A6" s="130"/>
      <c r="B6" s="130"/>
      <c r="C6" s="130"/>
      <c r="D6" s="130"/>
      <c r="E6" s="130"/>
      <c r="F6" s="130"/>
      <c r="G6" s="36" t="s">
        <v>78</v>
      </c>
      <c r="H6" s="36" t="s">
        <v>76</v>
      </c>
      <c r="I6" s="36">
        <f>'MERCADO TUSD'!$U$3</f>
        <v>1683</v>
      </c>
      <c r="J6" s="16"/>
      <c r="L6" s="17">
        <f>'TR TUSD'!$L$6*'TR TUSD'!$L$60</f>
        <v>0</v>
      </c>
      <c r="M6" s="17">
        <f>'TR TUSD'!$M$6*'TR TUSD'!$M$60</f>
        <v>0</v>
      </c>
      <c r="N6" s="17">
        <f ca="1">'TR TUSD'!$N$6*'TR TUSD'!$N$60</f>
        <v>0</v>
      </c>
      <c r="O6" s="17">
        <f>'TR TUSD'!$O$6*'TR TUSD'!$O$60</f>
        <v>0</v>
      </c>
      <c r="P6" s="17">
        <f>'TR TUSD'!$P$6*'TR TUSD'!$P$60</f>
        <v>0</v>
      </c>
      <c r="Q6" s="17">
        <f>'TR TUSD'!$Q$6*'TR TUSD'!$Q$60</f>
        <v>0</v>
      </c>
      <c r="R6" s="17">
        <f>'TR TUSD'!$R$6*'TR TUSD'!$R$60</f>
        <v>0</v>
      </c>
      <c r="S6" s="17">
        <f>'TR TUSD'!$S$6*'TR TUSD'!$S$60</f>
        <v>0</v>
      </c>
      <c r="T6" s="17">
        <f ca="1">SUM($L$6:$S$6)</f>
        <v>0</v>
      </c>
      <c r="U6" s="17">
        <f>'TR TUSD'!$U$6*'TR TUSD'!$U$60</f>
        <v>0</v>
      </c>
      <c r="V6" s="17">
        <f>'TR TUSD'!$V$6*'TR TUSD'!$V$60</f>
        <v>0</v>
      </c>
      <c r="W6" s="17">
        <f>'TR TUSD'!$W$6*'TR TUSD'!$W$60</f>
        <v>0</v>
      </c>
      <c r="X6" s="17">
        <f>'TR TUSD'!$X$6*'TR TUSD'!$X$60</f>
        <v>0</v>
      </c>
      <c r="Y6" s="17">
        <f>'TR TUSD'!$Y$6*'TR TUSD'!$Y$60</f>
        <v>10.891540943891032</v>
      </c>
      <c r="Z6" s="17">
        <f>'TR TUSD'!$Z$6</f>
        <v>0</v>
      </c>
      <c r="AA6" s="17">
        <f>'TR TUSD'!$AA$6</f>
        <v>0</v>
      </c>
      <c r="AB6" s="17">
        <f>SUM($U$6:$AA$6)</f>
        <v>10.891540943891032</v>
      </c>
      <c r="AC6" s="17">
        <f>'TR TUSD'!$AC$6*'TR TUSD'!$AC$60</f>
        <v>21.316547416707188</v>
      </c>
      <c r="AD6" s="17">
        <f>SUM($AC$6:$AC$6)</f>
        <v>21.316547416707188</v>
      </c>
      <c r="AE6" s="17">
        <v>0</v>
      </c>
      <c r="AF6" s="17">
        <v>0</v>
      </c>
      <c r="AG6" s="17">
        <f>SUM($AE$6:$AF$6)</f>
        <v>0</v>
      </c>
      <c r="AH6" s="17">
        <f>'TR TUSD'!$AH$6*'TR TUSD'!$AH$60</f>
        <v>0</v>
      </c>
      <c r="AI6" s="17">
        <f>'TR TUSD'!$AI$6*'TR TUSD'!$AI$60</f>
        <v>0</v>
      </c>
      <c r="AJ6" s="17">
        <f ca="1">'TR TUSD'!$AJ$6*'TR TUSD'!$AJ$60</f>
        <v>0</v>
      </c>
      <c r="AK6" s="17">
        <f ca="1">'TR TUSD'!$AK$6*'TR TUSD'!$AK$60</f>
        <v>0</v>
      </c>
      <c r="AL6" s="17">
        <f ca="1">SUM($AH$6:$AK$6)</f>
        <v>0</v>
      </c>
      <c r="AM6" s="17">
        <f ca="1">SUMIF($L$4:$AL$4,"SUBTOTAL",$L$6:$AL$6)</f>
        <v>32.208088360598218</v>
      </c>
      <c r="AP6" s="17">
        <v>1</v>
      </c>
    </row>
    <row r="7" spans="1:42" ht="11.25" customHeight="1" x14ac:dyDescent="0.25">
      <c r="A7" s="130"/>
      <c r="B7" s="130"/>
      <c r="C7" s="130"/>
      <c r="D7" s="130"/>
      <c r="E7" s="130"/>
      <c r="F7" s="130"/>
      <c r="G7" s="36" t="s">
        <v>79</v>
      </c>
      <c r="H7" s="36" t="s">
        <v>73</v>
      </c>
      <c r="I7" s="36">
        <f>'MERCADO TUSD'!$U$4</f>
        <v>645.12700000000018</v>
      </c>
      <c r="J7" s="16"/>
      <c r="L7" s="17">
        <f>'TR TUSD'!$L$7*'TR TUSD'!$L$60</f>
        <v>0</v>
      </c>
      <c r="M7" s="17">
        <f>'TR TUSD'!$M$7*'TR TUSD'!$M$60</f>
        <v>1.1233993432342799</v>
      </c>
      <c r="N7" s="17">
        <f ca="1">'TR TUSD'!$N$7*'TR TUSD'!$N$60</f>
        <v>0</v>
      </c>
      <c r="O7" s="17">
        <f>'TR TUSD'!$O$7*'TR TUSD'!$O$60</f>
        <v>0</v>
      </c>
      <c r="P7" s="17">
        <f>'TR TUSD'!$P$7*'TR TUSD'!$P$60</f>
        <v>0</v>
      </c>
      <c r="Q7" s="17">
        <f>'TR TUSD'!$Q$7*'TR TUSD'!$Q$60</f>
        <v>71.920377015403162</v>
      </c>
      <c r="R7" s="17">
        <f>'TR TUSD'!$R$7*'TR TUSD'!$R$60</f>
        <v>14.204789845979091</v>
      </c>
      <c r="S7" s="17">
        <f>'TR TUSD'!$S$7*'TR TUSD'!$S$60</f>
        <v>0</v>
      </c>
      <c r="T7" s="17">
        <f ca="1">SUM($L$7:$S$7)</f>
        <v>87.248566204616537</v>
      </c>
      <c r="U7" s="17">
        <f>'TR TUSD'!$U$7*'TR TUSD'!$U$60</f>
        <v>0</v>
      </c>
      <c r="V7" s="17">
        <f>'TR TUSD'!$V$7*'TR TUSD'!$V$60</f>
        <v>0</v>
      </c>
      <c r="W7" s="17">
        <f>'TR TUSD'!$W$7*'TR TUSD'!$W$60</f>
        <v>0</v>
      </c>
      <c r="X7" s="17">
        <f>'TR TUSD'!$X$7*'TR TUSD'!$X$60</f>
        <v>0</v>
      </c>
      <c r="Y7" s="17">
        <f>'TR TUSD'!$Y$7*'TR TUSD'!$Y$60</f>
        <v>0</v>
      </c>
      <c r="Z7" s="17">
        <f>'TR TUSD'!$Z$7</f>
        <v>0</v>
      </c>
      <c r="AA7" s="17">
        <f>'TR TUSD'!$AA$7</f>
        <v>0</v>
      </c>
      <c r="AB7" s="17">
        <f>SUM($U$7:$AA$7)</f>
        <v>0</v>
      </c>
      <c r="AC7" s="17">
        <f>'TR TUSD'!$AC$7*'TR TUSD'!$AC$60</f>
        <v>0</v>
      </c>
      <c r="AD7" s="17">
        <f>SUM($AC$7:$AC$7)</f>
        <v>0</v>
      </c>
      <c r="AE7" s="17">
        <v>0</v>
      </c>
      <c r="AF7" s="17">
        <v>0</v>
      </c>
      <c r="AG7" s="17">
        <f>SUM($AE$7:$AF$7)</f>
        <v>0</v>
      </c>
      <c r="AH7" s="17">
        <f>'TR TUSD'!$AH$7*'TR TUSD'!$AH$60</f>
        <v>15.885403735833476</v>
      </c>
      <c r="AI7" s="17">
        <f>'TR TUSD'!$AI$7*'TR TUSD'!$AI$60</f>
        <v>0</v>
      </c>
      <c r="AJ7" s="17">
        <f ca="1">'TR TUSD'!$AJ$7*'TR TUSD'!$AJ$60</f>
        <v>0</v>
      </c>
      <c r="AK7" s="17">
        <f ca="1">'TR TUSD'!$AK$7*'TR TUSD'!$AK$60</f>
        <v>0</v>
      </c>
      <c r="AL7" s="17">
        <f ca="1">SUM($AH$7:$AK$7)</f>
        <v>15.885403735833476</v>
      </c>
      <c r="AM7" s="17">
        <f ca="1">SUMIF($L$4:$AL$4,"SUBTOTAL",$L$7:$AL$7)</f>
        <v>103.13396994045002</v>
      </c>
      <c r="AP7" s="17">
        <v>1</v>
      </c>
    </row>
    <row r="8" spans="1:42" ht="11.25" customHeight="1" x14ac:dyDescent="0.25">
      <c r="A8" s="130"/>
      <c r="B8" s="130"/>
      <c r="C8" s="130"/>
      <c r="D8" s="130"/>
      <c r="E8" s="37" t="s">
        <v>80</v>
      </c>
      <c r="F8" s="37" t="s">
        <v>25</v>
      </c>
      <c r="G8" s="36" t="s">
        <v>79</v>
      </c>
      <c r="H8" s="36" t="s">
        <v>73</v>
      </c>
      <c r="I8" s="36">
        <f>'MERCADO TUSD'!$U$5</f>
        <v>0</v>
      </c>
      <c r="J8" s="16"/>
      <c r="L8" s="17">
        <f>'TR TUSD'!$L$8*'TR TUSD'!$L$60</f>
        <v>0</v>
      </c>
      <c r="M8" s="17">
        <f>'TR TUSD'!$M$8*'TR TUSD'!$M$60</f>
        <v>1.1233993432342799</v>
      </c>
      <c r="N8" s="17">
        <f ca="1">'TR TUSD'!$N$8*'TR TUSD'!$N$60</f>
        <v>0</v>
      </c>
      <c r="O8" s="17">
        <f>'TR TUSD'!$O$8*'TR TUSD'!$O$60</f>
        <v>0</v>
      </c>
      <c r="P8" s="17">
        <f>'TR TUSD'!$P$8*'TR TUSD'!$P$60</f>
        <v>0</v>
      </c>
      <c r="Q8" s="17">
        <f>'TR TUSD'!$Q$8*'TR TUSD'!$Q$60</f>
        <v>0</v>
      </c>
      <c r="R8" s="17">
        <f>'TR TUSD'!$R$8*'TR TUSD'!$R$60</f>
        <v>0</v>
      </c>
      <c r="S8" s="17">
        <f>'TR TUSD'!$S$8*'TR TUSD'!$S$60</f>
        <v>0</v>
      </c>
      <c r="T8" s="17">
        <f ca="1">SUM($L$8:$S$8)</f>
        <v>1.1233993432342799</v>
      </c>
      <c r="U8" s="17">
        <f>'TR TUSD'!$U$8*'TR TUSD'!$U$60</f>
        <v>0</v>
      </c>
      <c r="V8" s="17">
        <f>'TR TUSD'!$V$8*'TR TUSD'!$V$60</f>
        <v>0</v>
      </c>
      <c r="W8" s="17">
        <f>'TR TUSD'!$W$8*'TR TUSD'!$W$60</f>
        <v>0</v>
      </c>
      <c r="X8" s="17">
        <f>'TR TUSD'!$X$8*'TR TUSD'!$X$60</f>
        <v>0</v>
      </c>
      <c r="Y8" s="17">
        <f>'TR TUSD'!$Y$8*'TR TUSD'!$Y$60</f>
        <v>0</v>
      </c>
      <c r="Z8" s="17">
        <f>'TR TUSD'!$Z$8</f>
        <v>0</v>
      </c>
      <c r="AA8" s="17">
        <f>'TR TUSD'!$AA$8</f>
        <v>0</v>
      </c>
      <c r="AB8" s="17">
        <f>SUM($U$8:$AA$8)</f>
        <v>0</v>
      </c>
      <c r="AC8" s="17">
        <f>'TR TUSD'!$AC$8*'TR TUSD'!$AC$60</f>
        <v>0</v>
      </c>
      <c r="AD8" s="17">
        <f>SUM($AC$8:$AC$8)</f>
        <v>0</v>
      </c>
      <c r="AE8" s="17">
        <v>0</v>
      </c>
      <c r="AF8" s="17">
        <v>0</v>
      </c>
      <c r="AG8" s="17">
        <f>SUM($AE$8:$AF$8)</f>
        <v>0</v>
      </c>
      <c r="AH8" s="17">
        <f>'TR TUSD'!$AH$8*'TR TUSD'!$AH$60</f>
        <v>15.885403735833476</v>
      </c>
      <c r="AI8" s="17">
        <f>'TR TUSD'!$AI$8*'TR TUSD'!$AI$60</f>
        <v>0</v>
      </c>
      <c r="AJ8" s="17">
        <f ca="1">'TR TUSD'!$AJ$8*'TR TUSD'!$AJ$60</f>
        <v>0</v>
      </c>
      <c r="AK8" s="17">
        <f ca="1">'TR TUSD'!$AK$8*'TR TUSD'!$AK$60</f>
        <v>0</v>
      </c>
      <c r="AL8" s="17">
        <f ca="1">SUM($AH$8:$AK$8)</f>
        <v>15.885403735833476</v>
      </c>
      <c r="AM8" s="17">
        <f ca="1">SUMIF($L$4:$AL$4,"SUBTOTAL",$L$8:$AL$8)</f>
        <v>17.008803079067757</v>
      </c>
      <c r="AP8" s="17">
        <v>1</v>
      </c>
    </row>
    <row r="9" spans="1:42" ht="11.25" customHeight="1" x14ac:dyDescent="0.25">
      <c r="A9" s="130"/>
      <c r="B9" s="37" t="s">
        <v>81</v>
      </c>
      <c r="C9" s="37" t="s">
        <v>25</v>
      </c>
      <c r="D9" s="37" t="s">
        <v>25</v>
      </c>
      <c r="E9" s="37" t="s">
        <v>25</v>
      </c>
      <c r="F9" s="37" t="s">
        <v>25</v>
      </c>
      <c r="G9" s="36" t="s">
        <v>9</v>
      </c>
      <c r="H9" s="36" t="s">
        <v>76</v>
      </c>
      <c r="I9" s="36">
        <f>'MERCADO TUSD'!$U$6</f>
        <v>0</v>
      </c>
      <c r="J9" s="16"/>
      <c r="L9" s="17">
        <f>'TR TUSD'!$L$9*'TR TUSD'!$L$60</f>
        <v>0</v>
      </c>
      <c r="M9" s="17">
        <f>'TR TUSD'!$M$9*'TR TUSD'!$M$60</f>
        <v>1.7514589894489074E-2</v>
      </c>
      <c r="N9" s="17">
        <f ca="1">'TR TUSD'!$N$9*'TR TUSD'!$N$60</f>
        <v>0</v>
      </c>
      <c r="O9" s="17">
        <f>'TR TUSD'!$O$9*'TR TUSD'!$O$60</f>
        <v>0</v>
      </c>
      <c r="P9" s="17">
        <f>'TR TUSD'!$P$9*'TR TUSD'!$P$60</f>
        <v>0</v>
      </c>
      <c r="Q9" s="17">
        <f>'TR TUSD'!$Q$9*'TR TUSD'!$Q$60</f>
        <v>0</v>
      </c>
      <c r="R9" s="17">
        <f>'TR TUSD'!$R$9*'TR TUSD'!$R$60</f>
        <v>0</v>
      </c>
      <c r="S9" s="17">
        <f>'TR TUSD'!$S$9*'TR TUSD'!$S$60</f>
        <v>0</v>
      </c>
      <c r="T9" s="17">
        <f ca="1">SUM($L$9:$S$9)</f>
        <v>1.7514589894489074E-2</v>
      </c>
      <c r="U9" s="17">
        <f>'TR TUSD'!$U$9*'TR TUSD'!$U$60</f>
        <v>0</v>
      </c>
      <c r="V9" s="17">
        <f>'TR TUSD'!$V$9*'TR TUSD'!$V$60</f>
        <v>0</v>
      </c>
      <c r="W9" s="17">
        <f>'TR TUSD'!$W$9*'TR TUSD'!$W$60</f>
        <v>0</v>
      </c>
      <c r="X9" s="17">
        <f>'TR TUSD'!$X$9*'TR TUSD'!$X$60</f>
        <v>0</v>
      </c>
      <c r="Y9" s="17">
        <f>'TR TUSD'!$Y$9*'TR TUSD'!$Y$60</f>
        <v>0</v>
      </c>
      <c r="Z9" s="17">
        <f>'TR TUSD'!$Z$9*'TR TUSD'!$Z$60</f>
        <v>0</v>
      </c>
      <c r="AA9" s="17">
        <f>'TR TUSD'!$AA$9*'TR TUSD'!$AA$60</f>
        <v>0</v>
      </c>
      <c r="AB9" s="17">
        <f>SUM($U$9:$AA$9)</f>
        <v>0</v>
      </c>
      <c r="AC9" s="17">
        <f>'TR TUSD'!$AC$9*'TR TUSD'!$AC$60</f>
        <v>13.780997873137226</v>
      </c>
      <c r="AD9" s="17">
        <f>SUM($AC$9:$AC$9)</f>
        <v>13.780997873137226</v>
      </c>
      <c r="AE9" s="17">
        <v>0</v>
      </c>
      <c r="AF9" s="17">
        <v>0</v>
      </c>
      <c r="AG9" s="17">
        <f>SUM($AE$9:$AF$9)</f>
        <v>0</v>
      </c>
      <c r="AH9" s="17">
        <f>'TR TUSD'!$AH$9*'TR TUSD'!$AH$60</f>
        <v>0</v>
      </c>
      <c r="AI9" s="17">
        <f>'TR TUSD'!$AI$9*'TR TUSD'!$AI$60</f>
        <v>0</v>
      </c>
      <c r="AJ9" s="17">
        <f ca="1">'TR TUSD'!$AJ$9*'TR TUSD'!$AJ$60</f>
        <v>0</v>
      </c>
      <c r="AK9" s="17">
        <f ca="1">'TR TUSD'!$AK$9*'TR TUSD'!$AK$60</f>
        <v>0</v>
      </c>
      <c r="AL9" s="17">
        <f ca="1">SUM($AH$9:$AK$9)</f>
        <v>0</v>
      </c>
      <c r="AM9" s="17">
        <f ca="1">SUMIF($L$4:$AL$4,"SUBTOTAL",$L$9:$AL$9)</f>
        <v>13.798512463031715</v>
      </c>
      <c r="AP9" s="17"/>
    </row>
    <row r="10" spans="1:42" ht="11.25" customHeight="1" x14ac:dyDescent="0.25">
      <c r="A10" s="130"/>
      <c r="B10" s="130" t="s">
        <v>34</v>
      </c>
      <c r="C10" s="130" t="s">
        <v>25</v>
      </c>
      <c r="D10" s="130" t="s">
        <v>25</v>
      </c>
      <c r="E10" s="130" t="s">
        <v>25</v>
      </c>
      <c r="F10" s="130" t="s">
        <v>25</v>
      </c>
      <c r="G10" s="36" t="s">
        <v>9</v>
      </c>
      <c r="H10" s="36" t="s">
        <v>76</v>
      </c>
      <c r="I10" s="36">
        <f>'MERCADO TUSD'!$U$7</f>
        <v>643658</v>
      </c>
      <c r="J10" s="16"/>
      <c r="L10" s="17">
        <f>'TR TUSD'!$L$10*'TR TUSD'!$L$60</f>
        <v>0</v>
      </c>
      <c r="M10" s="17">
        <f>'TR TUSD'!$M$10*'TR TUSD'!$M$60</f>
        <v>0</v>
      </c>
      <c r="N10" s="17">
        <f ca="1">'TR TUSD'!$N$10*'TR TUSD'!$N$60</f>
        <v>0</v>
      </c>
      <c r="O10" s="17">
        <f>'TR TUSD'!$O$10*'TR TUSD'!$O$60</f>
        <v>0</v>
      </c>
      <c r="P10" s="17">
        <f>'TR TUSD'!$P$10*'TR TUSD'!$P$60</f>
        <v>0</v>
      </c>
      <c r="Q10" s="17">
        <f>'TR TUSD'!$Q$10*'TR TUSD'!$Q$60</f>
        <v>0</v>
      </c>
      <c r="R10" s="17">
        <f>'TR TUSD'!$R$10*'TR TUSD'!$R$60</f>
        <v>0</v>
      </c>
      <c r="S10" s="17">
        <f>'TR TUSD'!$S$10*'TR TUSD'!$S$60</f>
        <v>0</v>
      </c>
      <c r="T10" s="17">
        <f ca="1">SUM($L$10:$S$10)</f>
        <v>0</v>
      </c>
      <c r="U10" s="17">
        <f>'TR TUSD'!$U$10*'TR TUSD'!$U$60</f>
        <v>0</v>
      </c>
      <c r="V10" s="17">
        <f>'TR TUSD'!$V$10*'TR TUSD'!$V$60</f>
        <v>0</v>
      </c>
      <c r="W10" s="17">
        <f>'TR TUSD'!$W$10*'TR TUSD'!$W$60</f>
        <v>0</v>
      </c>
      <c r="X10" s="17">
        <f>'TR TUSD'!$X$10*'TR TUSD'!$X$60</f>
        <v>0</v>
      </c>
      <c r="Y10" s="17">
        <f>'TR TUSD'!$Y$10*'TR TUSD'!$Y$60</f>
        <v>10.891540943891032</v>
      </c>
      <c r="Z10" s="17">
        <f>'TR TUSD'!$Z$10</f>
        <v>0</v>
      </c>
      <c r="AA10" s="17">
        <f>'TR TUSD'!$AA$10</f>
        <v>0</v>
      </c>
      <c r="AB10" s="17">
        <f>SUM($U$10:$AA$10)</f>
        <v>10.891540943891032</v>
      </c>
      <c r="AC10" s="17">
        <f>'TR TUSD'!$AC$10*'TR TUSD'!$AC$60</f>
        <v>21.316547416707188</v>
      </c>
      <c r="AD10" s="17">
        <f>SUM($AC$10:$AC$10)</f>
        <v>21.316547416707188</v>
      </c>
      <c r="AE10" s="17">
        <v>0</v>
      </c>
      <c r="AF10" s="17">
        <v>0</v>
      </c>
      <c r="AG10" s="17">
        <f>SUM($AE$10:$AF$10)</f>
        <v>0</v>
      </c>
      <c r="AH10" s="17">
        <f>'TR TUSD'!$AH$10*'TR TUSD'!$AH$60</f>
        <v>0</v>
      </c>
      <c r="AI10" s="17">
        <f>'TR TUSD'!$AI$10*'TR TUSD'!$AI$60</f>
        <v>0</v>
      </c>
      <c r="AJ10" s="17">
        <f ca="1">'TR TUSD'!$AJ$10*'TR TUSD'!$AJ$60</f>
        <v>0</v>
      </c>
      <c r="AK10" s="17">
        <f ca="1">'TR TUSD'!$AK$10*'TR TUSD'!$AK$60</f>
        <v>0</v>
      </c>
      <c r="AL10" s="17">
        <f ca="1">SUM($AH$10:$AK$10)</f>
        <v>0</v>
      </c>
      <c r="AM10" s="17">
        <f ca="1">SUMIF($L$4:$AL$4,"SUBTOTAL",$L$10:$AL$10)</f>
        <v>32.208088360598218</v>
      </c>
      <c r="AP10" s="17">
        <v>1</v>
      </c>
    </row>
    <row r="11" spans="1:42" ht="11.25" customHeight="1" x14ac:dyDescent="0.25">
      <c r="A11" s="130"/>
      <c r="B11" s="130"/>
      <c r="C11" s="130"/>
      <c r="D11" s="130"/>
      <c r="E11" s="130"/>
      <c r="F11" s="130"/>
      <c r="G11" s="36" t="s">
        <v>74</v>
      </c>
      <c r="H11" s="36" t="s">
        <v>73</v>
      </c>
      <c r="I11" s="36">
        <f>'MERCADO TUSD'!$U$8</f>
        <v>2922.2139999999999</v>
      </c>
      <c r="J11" s="16"/>
      <c r="L11" s="17">
        <f>'TR TUSD'!$L$11*'TR TUSD'!$L$60</f>
        <v>0</v>
      </c>
      <c r="M11" s="17">
        <f>'TR TUSD'!$M$11*'TR TUSD'!$M$60</f>
        <v>1.1233993432342799</v>
      </c>
      <c r="N11" s="17">
        <f ca="1">'TR TUSD'!$N$11*'TR TUSD'!$N$60</f>
        <v>0</v>
      </c>
      <c r="O11" s="17">
        <f>'TR TUSD'!$O$11*'TR TUSD'!$O$60</f>
        <v>0</v>
      </c>
      <c r="P11" s="17">
        <f>'TR TUSD'!$P$11*'TR TUSD'!$P$60</f>
        <v>0</v>
      </c>
      <c r="Q11" s="17">
        <f>'TR TUSD'!$Q$11*'TR TUSD'!$Q$60</f>
        <v>71.920377015403162</v>
      </c>
      <c r="R11" s="17">
        <f>'TR TUSD'!$R$11*'TR TUSD'!$R$60</f>
        <v>14.204789845979091</v>
      </c>
      <c r="S11" s="17">
        <f>'TR TUSD'!$S$11*'TR TUSD'!$S$60</f>
        <v>0</v>
      </c>
      <c r="T11" s="17">
        <f ca="1">SUM($L$11:$S$11)</f>
        <v>87.248566204616537</v>
      </c>
      <c r="U11" s="17">
        <f>'TR TUSD'!$U$11*'TR TUSD'!$U$60</f>
        <v>0</v>
      </c>
      <c r="V11" s="17">
        <f>'TR TUSD'!$V$11*'TR TUSD'!$V$60</f>
        <v>0</v>
      </c>
      <c r="W11" s="17">
        <f>'TR TUSD'!$W$11*'TR TUSD'!$W$60</f>
        <v>0</v>
      </c>
      <c r="X11" s="17">
        <f>'TR TUSD'!$X$11*'TR TUSD'!$X$60</f>
        <v>0</v>
      </c>
      <c r="Y11" s="17">
        <f>'TR TUSD'!$Y$11*'TR TUSD'!$Y$60</f>
        <v>1093.3138159836126</v>
      </c>
      <c r="Z11" s="17">
        <f>'TR TUSD'!$Z$11</f>
        <v>0</v>
      </c>
      <c r="AA11" s="17">
        <f>'TR TUSD'!$AA$11</f>
        <v>0</v>
      </c>
      <c r="AB11" s="17">
        <f>SUM($U$11:$AA$11)</f>
        <v>1093.3138159836126</v>
      </c>
      <c r="AC11" s="17">
        <f>'TR TUSD'!$AC$11*'TR TUSD'!$AC$60</f>
        <v>1872.1797496172001</v>
      </c>
      <c r="AD11" s="17">
        <f>SUM($AC$11:$AC$11)</f>
        <v>1872.1797496172001</v>
      </c>
      <c r="AE11" s="17">
        <v>0</v>
      </c>
      <c r="AF11" s="17">
        <v>0</v>
      </c>
      <c r="AG11" s="17">
        <f>SUM($AE$11:$AF$11)</f>
        <v>0</v>
      </c>
      <c r="AH11" s="17">
        <f>'TR TUSD'!$AH$11*'TR TUSD'!$AH$60</f>
        <v>15.885403735833476</v>
      </c>
      <c r="AI11" s="17">
        <f>'TR TUSD'!$AI$11*'TR TUSD'!$AI$60</f>
        <v>0</v>
      </c>
      <c r="AJ11" s="17">
        <f ca="1">'TR TUSD'!$AJ$11*'TR TUSD'!$AJ$60</f>
        <v>0</v>
      </c>
      <c r="AK11" s="17">
        <f ca="1">'TR TUSD'!$AK$11*'TR TUSD'!$AK$60</f>
        <v>0</v>
      </c>
      <c r="AL11" s="17">
        <f ca="1">SUM($AH$11:$AK$11)</f>
        <v>15.885403735833476</v>
      </c>
      <c r="AM11" s="17">
        <f ca="1">SUMIF($L$4:$AL$4,"SUBTOTAL",$L$11:$AL$11)</f>
        <v>3068.6275355412627</v>
      </c>
      <c r="AP11" s="17">
        <v>1</v>
      </c>
    </row>
    <row r="12" spans="1:42" ht="11.25" customHeight="1" x14ac:dyDescent="0.25">
      <c r="A12" s="130"/>
      <c r="B12" s="130"/>
      <c r="C12" s="130"/>
      <c r="D12" s="130"/>
      <c r="E12" s="130"/>
      <c r="F12" s="130"/>
      <c r="G12" s="36" t="s">
        <v>75</v>
      </c>
      <c r="H12" s="36" t="s">
        <v>73</v>
      </c>
      <c r="I12" s="36">
        <f>'MERCADO TUSD'!$U$9</f>
        <v>84044.817999999999</v>
      </c>
      <c r="J12" s="16"/>
      <c r="L12" s="17">
        <f>'TR TUSD'!$L$12*'TR TUSD'!$L$60</f>
        <v>0</v>
      </c>
      <c r="M12" s="17">
        <f>'TR TUSD'!$M$12*'TR TUSD'!$M$60</f>
        <v>1.1233993432342799</v>
      </c>
      <c r="N12" s="17">
        <f ca="1">'TR TUSD'!$N$12*'TR TUSD'!$N$60</f>
        <v>0</v>
      </c>
      <c r="O12" s="17">
        <f>'TR TUSD'!$O$12*'TR TUSD'!$O$60</f>
        <v>0</v>
      </c>
      <c r="P12" s="17">
        <f>'TR TUSD'!$P$12*'TR TUSD'!$P$60</f>
        <v>0</v>
      </c>
      <c r="Q12" s="17">
        <f>'TR TUSD'!$Q$12*'TR TUSD'!$Q$60</f>
        <v>71.920377015403162</v>
      </c>
      <c r="R12" s="17">
        <f>'TR TUSD'!$R$12*'TR TUSD'!$R$60</f>
        <v>14.204789845979091</v>
      </c>
      <c r="S12" s="17">
        <f>'TR TUSD'!$S$12*'TR TUSD'!$S$60</f>
        <v>0</v>
      </c>
      <c r="T12" s="17">
        <f ca="1">SUM($L$12:$S$12)</f>
        <v>87.248566204616537</v>
      </c>
      <c r="U12" s="17">
        <f>'TR TUSD'!$U$12*'TR TUSD'!$U$60</f>
        <v>0</v>
      </c>
      <c r="V12" s="17">
        <f>'TR TUSD'!$V$12*'TR TUSD'!$V$60</f>
        <v>0</v>
      </c>
      <c r="W12" s="17">
        <f>'TR TUSD'!$W$12*'TR TUSD'!$W$60</f>
        <v>0</v>
      </c>
      <c r="X12" s="17">
        <f>'TR TUSD'!$X$12*'TR TUSD'!$X$60</f>
        <v>0</v>
      </c>
      <c r="Y12" s="17">
        <f>'TR TUSD'!$Y$12*'TR TUSD'!$Y$60</f>
        <v>0</v>
      </c>
      <c r="Z12" s="17">
        <f>'TR TUSD'!$Z$12</f>
        <v>0</v>
      </c>
      <c r="AA12" s="17">
        <f>'TR TUSD'!$AA$12</f>
        <v>0</v>
      </c>
      <c r="AB12" s="17">
        <f>SUM($U$12:$AA$12)</f>
        <v>0</v>
      </c>
      <c r="AC12" s="17">
        <f>'TR TUSD'!$AC$12*'TR TUSD'!$AC$60</f>
        <v>0</v>
      </c>
      <c r="AD12" s="17">
        <f>SUM($AC$12:$AC$12)</f>
        <v>0</v>
      </c>
      <c r="AE12" s="17">
        <v>0</v>
      </c>
      <c r="AF12" s="17">
        <v>0</v>
      </c>
      <c r="AG12" s="17">
        <f>SUM($AE$12:$AF$12)</f>
        <v>0</v>
      </c>
      <c r="AH12" s="17">
        <f>'TR TUSD'!$AH$12*'TR TUSD'!$AH$60</f>
        <v>15.885403735833476</v>
      </c>
      <c r="AI12" s="17">
        <f>'TR TUSD'!$AI$12*'TR TUSD'!$AI$60</f>
        <v>0</v>
      </c>
      <c r="AJ12" s="17">
        <f ca="1">'TR TUSD'!$AJ$12*'TR TUSD'!$AJ$60</f>
        <v>0</v>
      </c>
      <c r="AK12" s="17">
        <f ca="1">'TR TUSD'!$AK$12*'TR TUSD'!$AK$60</f>
        <v>0</v>
      </c>
      <c r="AL12" s="17">
        <f ca="1">SUM($AH$12:$AK$12)</f>
        <v>15.885403735833476</v>
      </c>
      <c r="AM12" s="17">
        <f ca="1">SUMIF($L$4:$AL$4,"SUBTOTAL",$L$12:$AL$12)</f>
        <v>103.13396994045002</v>
      </c>
      <c r="AP12" s="17">
        <v>1</v>
      </c>
    </row>
    <row r="13" spans="1:42" ht="11.25" customHeight="1" x14ac:dyDescent="0.25">
      <c r="A13" s="130"/>
      <c r="B13" s="130"/>
      <c r="C13" s="130"/>
      <c r="D13" s="130"/>
      <c r="E13" s="130" t="s">
        <v>80</v>
      </c>
      <c r="F13" s="130" t="s">
        <v>25</v>
      </c>
      <c r="G13" s="36" t="s">
        <v>74</v>
      </c>
      <c r="H13" s="36" t="s">
        <v>73</v>
      </c>
      <c r="I13" s="36">
        <f>'MERCADO TUSD'!$U$10</f>
        <v>0</v>
      </c>
      <c r="J13" s="16"/>
      <c r="L13" s="17">
        <f>'TR TUSD'!$L$13*'TR TUSD'!$L$60</f>
        <v>0</v>
      </c>
      <c r="M13" s="17">
        <f>'TR TUSD'!$M$13*'TR TUSD'!$M$60</f>
        <v>1.1233993432342799</v>
      </c>
      <c r="N13" s="17">
        <f ca="1">'TR TUSD'!$N$13*'TR TUSD'!$N$60</f>
        <v>0</v>
      </c>
      <c r="O13" s="17">
        <f>'TR TUSD'!$O$13*'TR TUSD'!$O$60</f>
        <v>0</v>
      </c>
      <c r="P13" s="17">
        <f>'TR TUSD'!$P$13*'TR TUSD'!$P$60</f>
        <v>0</v>
      </c>
      <c r="Q13" s="17">
        <f>'TR TUSD'!$Q$13*'TR TUSD'!$Q$60</f>
        <v>0</v>
      </c>
      <c r="R13" s="17">
        <f>'TR TUSD'!$R$13*'TR TUSD'!$R$60</f>
        <v>0</v>
      </c>
      <c r="S13" s="17">
        <f>'TR TUSD'!$S$13*'TR TUSD'!$S$60</f>
        <v>0</v>
      </c>
      <c r="T13" s="17">
        <f ca="1">SUM($L$13:$S$13)</f>
        <v>1.1233993432342799</v>
      </c>
      <c r="U13" s="17">
        <f>'TR TUSD'!$U$13*'TR TUSD'!$U$60</f>
        <v>0</v>
      </c>
      <c r="V13" s="17">
        <f>'TR TUSD'!$V$13*'TR TUSD'!$V$60</f>
        <v>0</v>
      </c>
      <c r="W13" s="17">
        <f>'TR TUSD'!$W$13*'TR TUSD'!$W$60</f>
        <v>0</v>
      </c>
      <c r="X13" s="17">
        <f>'TR TUSD'!$X$13*'TR TUSD'!$X$60</f>
        <v>0</v>
      </c>
      <c r="Y13" s="17">
        <f>'TR TUSD'!$Y$13*'TR TUSD'!$Y$60</f>
        <v>1093.3138159836126</v>
      </c>
      <c r="Z13" s="17">
        <f>'TR TUSD'!$Z$13</f>
        <v>0</v>
      </c>
      <c r="AA13" s="17">
        <f>'TR TUSD'!$AA$13</f>
        <v>0</v>
      </c>
      <c r="AB13" s="17">
        <f>SUM($U$13:$AA$13)</f>
        <v>1093.3138159836126</v>
      </c>
      <c r="AC13" s="17">
        <f>'TR TUSD'!$AC$13*'TR TUSD'!$AC$60</f>
        <v>1872.1797496172001</v>
      </c>
      <c r="AD13" s="17">
        <f>SUM($AC$13:$AC$13)</f>
        <v>1872.1797496172001</v>
      </c>
      <c r="AE13" s="17">
        <v>0</v>
      </c>
      <c r="AF13" s="17">
        <v>0</v>
      </c>
      <c r="AG13" s="17">
        <f>SUM($AE$13:$AF$13)</f>
        <v>0</v>
      </c>
      <c r="AH13" s="17">
        <f>'TR TUSD'!$AH$13*'TR TUSD'!$AH$60</f>
        <v>15.885403735833476</v>
      </c>
      <c r="AI13" s="17">
        <f>'TR TUSD'!$AI$13*'TR TUSD'!$AI$60</f>
        <v>0</v>
      </c>
      <c r="AJ13" s="17">
        <f ca="1">'TR TUSD'!$AJ$13*'TR TUSD'!$AJ$60</f>
        <v>0</v>
      </c>
      <c r="AK13" s="17">
        <f ca="1">'TR TUSD'!$AK$13*'TR TUSD'!$AK$60</f>
        <v>0</v>
      </c>
      <c r="AL13" s="17">
        <f ca="1">SUM($AH$13:$AK$13)</f>
        <v>15.885403735833476</v>
      </c>
      <c r="AM13" s="17">
        <f ca="1">SUMIF($L$4:$AL$4,"SUBTOTAL",$L$13:$AL$13)</f>
        <v>2982.5023686798804</v>
      </c>
      <c r="AP13" s="17">
        <v>1</v>
      </c>
    </row>
    <row r="14" spans="1:42" ht="11.25" customHeight="1" x14ac:dyDescent="0.25">
      <c r="A14" s="130"/>
      <c r="B14" s="130"/>
      <c r="C14" s="130"/>
      <c r="D14" s="130"/>
      <c r="E14" s="130"/>
      <c r="F14" s="130"/>
      <c r="G14" s="36" t="s">
        <v>75</v>
      </c>
      <c r="H14" s="36" t="s">
        <v>73</v>
      </c>
      <c r="I14" s="36">
        <f>'MERCADO TUSD'!$U$11</f>
        <v>0</v>
      </c>
      <c r="J14" s="16"/>
      <c r="L14" s="17">
        <f>'TR TUSD'!$L$14*'TR TUSD'!$L$60</f>
        <v>0</v>
      </c>
      <c r="M14" s="17">
        <f>'TR TUSD'!$M$14*'TR TUSD'!$M$60</f>
        <v>1.1233993432342799</v>
      </c>
      <c r="N14" s="17">
        <f ca="1">'TR TUSD'!$N$14*'TR TUSD'!$N$60</f>
        <v>0</v>
      </c>
      <c r="O14" s="17">
        <f>'TR TUSD'!$O$14*'TR TUSD'!$O$60</f>
        <v>0</v>
      </c>
      <c r="P14" s="17">
        <f>'TR TUSD'!$P$14*'TR TUSD'!$P$60</f>
        <v>0</v>
      </c>
      <c r="Q14" s="17">
        <f>'TR TUSD'!$Q$14*'TR TUSD'!$Q$60</f>
        <v>0</v>
      </c>
      <c r="R14" s="17">
        <f>'TR TUSD'!$R$14*'TR TUSD'!$R$60</f>
        <v>0</v>
      </c>
      <c r="S14" s="17">
        <f>'TR TUSD'!$S$14*'TR TUSD'!$S$60</f>
        <v>0</v>
      </c>
      <c r="T14" s="17">
        <f ca="1">SUM($L$14:$S$14)</f>
        <v>1.1233993432342799</v>
      </c>
      <c r="U14" s="17">
        <f>'TR TUSD'!$U$14*'TR TUSD'!$U$60</f>
        <v>0</v>
      </c>
      <c r="V14" s="17">
        <f>'TR TUSD'!$V$14*'TR TUSD'!$V$60</f>
        <v>0</v>
      </c>
      <c r="W14" s="17">
        <f>'TR TUSD'!$W$14*'TR TUSD'!$W$60</f>
        <v>0</v>
      </c>
      <c r="X14" s="17">
        <f>'TR TUSD'!$X$14*'TR TUSD'!$X$60</f>
        <v>0</v>
      </c>
      <c r="Y14" s="17">
        <f>'TR TUSD'!$Y$14*'TR TUSD'!$Y$60</f>
        <v>0</v>
      </c>
      <c r="Z14" s="17">
        <f>'TR TUSD'!$Z$14</f>
        <v>0</v>
      </c>
      <c r="AA14" s="17">
        <f>'TR TUSD'!$AA$14</f>
        <v>0</v>
      </c>
      <c r="AB14" s="17">
        <f>SUM($U$14:$AA$14)</f>
        <v>0</v>
      </c>
      <c r="AC14" s="17">
        <f>'TR TUSD'!$AC$14*'TR TUSD'!$AC$60</f>
        <v>0</v>
      </c>
      <c r="AD14" s="17">
        <f>SUM($AC$14:$AC$14)</f>
        <v>0</v>
      </c>
      <c r="AE14" s="17">
        <v>0</v>
      </c>
      <c r="AF14" s="17">
        <v>0</v>
      </c>
      <c r="AG14" s="17">
        <f>SUM($AE$14:$AF$14)</f>
        <v>0</v>
      </c>
      <c r="AH14" s="17">
        <f>'TR TUSD'!$AH$14*'TR TUSD'!$AH$60</f>
        <v>15.885403735833476</v>
      </c>
      <c r="AI14" s="17">
        <f>'TR TUSD'!$AI$14*'TR TUSD'!$AI$60</f>
        <v>0</v>
      </c>
      <c r="AJ14" s="17">
        <f ca="1">'TR TUSD'!$AJ$14*'TR TUSD'!$AJ$60</f>
        <v>0</v>
      </c>
      <c r="AK14" s="17">
        <f ca="1">'TR TUSD'!$AK$14*'TR TUSD'!$AK$60</f>
        <v>0</v>
      </c>
      <c r="AL14" s="17">
        <f ca="1">SUM($AH$14:$AK$14)</f>
        <v>15.885403735833476</v>
      </c>
      <c r="AM14" s="17">
        <f ca="1">SUMIF($L$4:$AL$4,"SUBTOTAL",$L$14:$AL$14)</f>
        <v>17.008803079067757</v>
      </c>
      <c r="AP14" s="17">
        <v>1</v>
      </c>
    </row>
    <row r="15" spans="1:42" ht="11.25" customHeight="1" x14ac:dyDescent="0.25">
      <c r="A15" s="130" t="s">
        <v>82</v>
      </c>
      <c r="B15" s="130" t="s">
        <v>81</v>
      </c>
      <c r="C15" s="130" t="s">
        <v>25</v>
      </c>
      <c r="D15" s="130" t="s">
        <v>25</v>
      </c>
      <c r="E15" s="37" t="s">
        <v>83</v>
      </c>
      <c r="F15" s="37" t="s">
        <v>25</v>
      </c>
      <c r="G15" s="36" t="s">
        <v>9</v>
      </c>
      <c r="H15" s="36" t="s">
        <v>76</v>
      </c>
      <c r="I15" s="36">
        <f>'MERCADO TUSD'!$U$12+0.00000001</f>
        <v>1E-8</v>
      </c>
      <c r="J15" s="16"/>
      <c r="L15" s="17">
        <f>'TR TUSD'!$L$15*'TR TUSD'!$L$60</f>
        <v>0</v>
      </c>
      <c r="M15" s="17">
        <f>'TR TUSD'!$M$15*'TR TUSD'!$M$60</f>
        <v>9.2605877603045682E-3</v>
      </c>
      <c r="N15" s="17">
        <f ca="1">'TR TUSD'!$N$15*'TR TUSD'!$N$60</f>
        <v>0</v>
      </c>
      <c r="O15" s="17">
        <f>'TR TUSD'!$O$15*'TR TUSD'!$O$60</f>
        <v>0</v>
      </c>
      <c r="P15" s="17">
        <f>'TR TUSD'!$P$15*'TR TUSD'!$P$60</f>
        <v>0</v>
      </c>
      <c r="Q15" s="17">
        <f>'TR TUSD'!$Q$15*'TR TUSD'!$Q$60</f>
        <v>0</v>
      </c>
      <c r="R15" s="17">
        <f>'TR TUSD'!$R$15*'TR TUSD'!$R$60</f>
        <v>0</v>
      </c>
      <c r="S15" s="17">
        <f>'TR TUSD'!$S$15*'TR TUSD'!$S$60</f>
        <v>0</v>
      </c>
      <c r="T15" s="17">
        <f ca="1">SUM($L$15:$S$15)</f>
        <v>9.2605877603045682E-3</v>
      </c>
      <c r="U15" s="17">
        <f>'TR TUSD'!$U$15*'TR TUSD'!$U$60</f>
        <v>0</v>
      </c>
      <c r="V15" s="17">
        <f>'TR TUSD'!$V$15*'TR TUSD'!$V$60</f>
        <v>0</v>
      </c>
      <c r="W15" s="17">
        <f>'TR TUSD'!$W$15*'TR TUSD'!$W$60</f>
        <v>0</v>
      </c>
      <c r="X15" s="17">
        <f>'TR TUSD'!$X$15*'TR TUSD'!$X$60</f>
        <v>0</v>
      </c>
      <c r="Y15" s="17">
        <f>'TR TUSD'!$Y$15*'TR TUSD'!$Y$60</f>
        <v>0</v>
      </c>
      <c r="Z15" s="17">
        <f>'TR TUSD'!$Z$15*'TR TUSD'!$Z$60</f>
        <v>0</v>
      </c>
      <c r="AA15" s="17">
        <f>'TR TUSD'!$AA$15*'TR TUSD'!$AA$60</f>
        <v>0</v>
      </c>
      <c r="AB15" s="17">
        <f>SUM($U$15:$AA$15)</f>
        <v>0</v>
      </c>
      <c r="AC15" s="17">
        <f>'TR TUSD'!$AC$15*'TR TUSD'!$AC$60</f>
        <v>8.5301010792564931</v>
      </c>
      <c r="AD15" s="17">
        <f>SUM($AC$15:$AC$15)</f>
        <v>8.5301010792564931</v>
      </c>
      <c r="AE15" s="17">
        <v>0</v>
      </c>
      <c r="AF15" s="17">
        <v>0</v>
      </c>
      <c r="AG15" s="17">
        <f>SUM($AE$15:$AF$15)</f>
        <v>0</v>
      </c>
      <c r="AH15" s="17">
        <f>'TR TUSD'!$AH$15*'TR TUSD'!$AH$60</f>
        <v>0</v>
      </c>
      <c r="AI15" s="17">
        <f>'TR TUSD'!$AI$15*'TR TUSD'!$AI$60</f>
        <v>0</v>
      </c>
      <c r="AJ15" s="17">
        <f ca="1">'TR TUSD'!$AJ$15*'TR TUSD'!$AJ$60</f>
        <v>0</v>
      </c>
      <c r="AK15" s="17">
        <f ca="1">'TR TUSD'!$AK$15*'TR TUSD'!$AK$60</f>
        <v>0</v>
      </c>
      <c r="AL15" s="17">
        <f ca="1">SUM($AH$15:$AK$15)</f>
        <v>0</v>
      </c>
      <c r="AM15" s="17">
        <f ca="1">SUMIF($L$4:$AL$4,"SUBTOTAL",$L$15:$AL$15)</f>
        <v>8.5393616670167969</v>
      </c>
      <c r="AP15" s="17"/>
    </row>
    <row r="16" spans="1:42" ht="11.25" customHeight="1" x14ac:dyDescent="0.25">
      <c r="A16" s="130"/>
      <c r="B16" s="130"/>
      <c r="C16" s="130"/>
      <c r="D16" s="130"/>
      <c r="E16" s="37" t="s">
        <v>84</v>
      </c>
      <c r="F16" s="37" t="s">
        <v>25</v>
      </c>
      <c r="G16" s="36" t="s">
        <v>9</v>
      </c>
      <c r="H16" s="36" t="s">
        <v>76</v>
      </c>
      <c r="I16" s="36">
        <f>'MERCADO TUSD'!$U$13+0.00000001</f>
        <v>1E-8</v>
      </c>
      <c r="J16" s="16"/>
      <c r="L16" s="17">
        <f>'TR TUSD'!$L$16*'TR TUSD'!$L$60</f>
        <v>0</v>
      </c>
      <c r="M16" s="17">
        <f>'TR TUSD'!$M$16*'TR TUSD'!$M$60</f>
        <v>9.2605877603045682E-3</v>
      </c>
      <c r="N16" s="17">
        <f ca="1">'TR TUSD'!$N$16*'TR TUSD'!$N$60</f>
        <v>0</v>
      </c>
      <c r="O16" s="17">
        <f>'TR TUSD'!$O$16*'TR TUSD'!$O$60</f>
        <v>0</v>
      </c>
      <c r="P16" s="17">
        <f>'TR TUSD'!$P$16*'TR TUSD'!$P$60</f>
        <v>0</v>
      </c>
      <c r="Q16" s="17">
        <f>'TR TUSD'!$Q$16*'TR TUSD'!$Q$60</f>
        <v>0</v>
      </c>
      <c r="R16" s="17">
        <f>'TR TUSD'!$R$16*'TR TUSD'!$R$60</f>
        <v>0</v>
      </c>
      <c r="S16" s="17">
        <f>'TR TUSD'!$S$16*'TR TUSD'!$S$60</f>
        <v>0</v>
      </c>
      <c r="T16" s="17">
        <f ca="1">SUM($L$16:$S$16)</f>
        <v>9.2605877603045682E-3</v>
      </c>
      <c r="U16" s="17">
        <f>'TR TUSD'!$U$16*'TR TUSD'!$U$60</f>
        <v>0</v>
      </c>
      <c r="V16" s="17">
        <f>'TR TUSD'!$V$16*'TR TUSD'!$V$60</f>
        <v>0</v>
      </c>
      <c r="W16" s="17">
        <f>'TR TUSD'!$W$16*'TR TUSD'!$W$60</f>
        <v>0</v>
      </c>
      <c r="X16" s="17">
        <f>'TR TUSD'!$X$16*'TR TUSD'!$X$60</f>
        <v>0</v>
      </c>
      <c r="Y16" s="17">
        <f>'TR TUSD'!$Y$16*'TR TUSD'!$Y$60</f>
        <v>0</v>
      </c>
      <c r="Z16" s="17">
        <f>'TR TUSD'!$Z$16*'TR TUSD'!$Z$60</f>
        <v>0</v>
      </c>
      <c r="AA16" s="17">
        <f>'TR TUSD'!$AA$16*'TR TUSD'!$AA$60</f>
        <v>0</v>
      </c>
      <c r="AB16" s="17">
        <f>SUM($U$16:$AA$16)</f>
        <v>0</v>
      </c>
      <c r="AC16" s="17">
        <f>'TR TUSD'!$AC$16*'TR TUSD'!$AC$60</f>
        <v>28.647899000713249</v>
      </c>
      <c r="AD16" s="17">
        <f>SUM($AC$16:$AC$16)</f>
        <v>28.647899000713249</v>
      </c>
      <c r="AE16" s="17">
        <v>0</v>
      </c>
      <c r="AF16" s="17">
        <v>0</v>
      </c>
      <c r="AG16" s="17">
        <f>SUM($AE$16:$AF$16)</f>
        <v>0</v>
      </c>
      <c r="AH16" s="17">
        <f>'TR TUSD'!$AH$16*'TR TUSD'!$AH$60</f>
        <v>0</v>
      </c>
      <c r="AI16" s="17">
        <f>'TR TUSD'!$AI$16*'TR TUSD'!$AI$60</f>
        <v>0</v>
      </c>
      <c r="AJ16" s="17">
        <f ca="1">'TR TUSD'!$AJ$16*'TR TUSD'!$AJ$60</f>
        <v>0</v>
      </c>
      <c r="AK16" s="17">
        <f ca="1">'TR TUSD'!$AK$16*'TR TUSD'!$AK$60</f>
        <v>0</v>
      </c>
      <c r="AL16" s="17">
        <f ca="1">SUM($AH$16:$AK$16)</f>
        <v>0</v>
      </c>
      <c r="AM16" s="17">
        <f ca="1">SUMIF($L$4:$AL$4,"SUBTOTAL",$L$16:$AL$16)</f>
        <v>28.657159588473554</v>
      </c>
      <c r="AP16" s="17"/>
    </row>
    <row r="17" spans="1:42" ht="11.25" customHeight="1" x14ac:dyDescent="0.25">
      <c r="A17" s="130" t="s">
        <v>22</v>
      </c>
      <c r="B17" s="130" t="s">
        <v>87</v>
      </c>
      <c r="C17" s="130" t="s">
        <v>24</v>
      </c>
      <c r="D17" s="130" t="s">
        <v>24</v>
      </c>
      <c r="E17" s="130" t="s">
        <v>25</v>
      </c>
      <c r="F17" s="130" t="s">
        <v>25</v>
      </c>
      <c r="G17" s="36" t="s">
        <v>74</v>
      </c>
      <c r="H17" s="36" t="s">
        <v>73</v>
      </c>
      <c r="I17" s="36">
        <f>'MERCADO TUSD'!$U$14</f>
        <v>0</v>
      </c>
      <c r="J17" s="16"/>
      <c r="L17" s="17">
        <f>'TR TUSD'!$L$17*'TR TUSD'!$L$60</f>
        <v>0</v>
      </c>
      <c r="M17" s="17">
        <f>'TR TUSD'!$M$17*'TR TUSD'!$M$60</f>
        <v>1.8731892523125935</v>
      </c>
      <c r="N17" s="17">
        <f ca="1">'TR TUSD'!$N$17*'TR TUSD'!$N$60</f>
        <v>0</v>
      </c>
      <c r="O17" s="17">
        <f>'TR TUSD'!$O$17*'TR TUSD'!$O$60</f>
        <v>0</v>
      </c>
      <c r="P17" s="17">
        <f>'TR TUSD'!$P$17*'TR TUSD'!$P$60</f>
        <v>0</v>
      </c>
      <c r="Q17" s="17">
        <f>'TR TUSD'!$Q$17*'TR TUSD'!$Q$60</f>
        <v>85.619496446908528</v>
      </c>
      <c r="R17" s="17">
        <f>'TR TUSD'!$R$17*'TR TUSD'!$R$60</f>
        <v>14.204789845979091</v>
      </c>
      <c r="S17" s="17">
        <f>'TR TUSD'!$S$17*'TR TUSD'!$S$60</f>
        <v>0</v>
      </c>
      <c r="T17" s="17">
        <f ca="1">SUM($L$17:$S$17)</f>
        <v>101.69747554520022</v>
      </c>
      <c r="U17" s="17">
        <f>'TR TUSD'!$U$17*'TR TUSD'!$U$60</f>
        <v>0</v>
      </c>
      <c r="V17" s="17">
        <f>'TR TUSD'!$V$17*'TR TUSD'!$V$60</f>
        <v>0</v>
      </c>
      <c r="W17" s="17">
        <f>'TR TUSD'!$W$17*'TR TUSD'!$W$60</f>
        <v>0</v>
      </c>
      <c r="X17" s="17">
        <f>'TR TUSD'!$X$17*'TR TUSD'!$X$60</f>
        <v>0</v>
      </c>
      <c r="Y17" s="17">
        <f>'TR TUSD'!$Y$17*'TR TUSD'!$Y$60</f>
        <v>286.00719570469721</v>
      </c>
      <c r="Z17" s="17">
        <f>'TR TUSD'!$Z$17</f>
        <v>0</v>
      </c>
      <c r="AA17" s="17">
        <f>'TR TUSD'!$AA$17</f>
        <v>0</v>
      </c>
      <c r="AB17" s="17">
        <f>SUM($U$17:$AA$17)</f>
        <v>286.00719570469721</v>
      </c>
      <c r="AC17" s="17">
        <f>'TR TUSD'!$AC$17*'TR TUSD'!$AC$60</f>
        <v>828.94774278846921</v>
      </c>
      <c r="AD17" s="17">
        <f>SUM($AC$17:$AC$17)</f>
        <v>828.94774278846921</v>
      </c>
      <c r="AE17" s="17">
        <v>0</v>
      </c>
      <c r="AF17" s="17">
        <v>0</v>
      </c>
      <c r="AG17" s="17">
        <f>SUM($AE$17:$AF$17)</f>
        <v>0</v>
      </c>
      <c r="AH17" s="17">
        <f>'TR TUSD'!$AH$17*'TR TUSD'!$AH$60</f>
        <v>33.332397569245252</v>
      </c>
      <c r="AI17" s="17">
        <f>'TR TUSD'!$AI$17*'TR TUSD'!$AI$60</f>
        <v>0</v>
      </c>
      <c r="AJ17" s="17">
        <f ca="1">'TR TUSD'!$AJ$17*'TR TUSD'!$AJ$60</f>
        <v>0</v>
      </c>
      <c r="AK17" s="17">
        <f ca="1">'TR TUSD'!$AK$17*'TR TUSD'!$AK$60</f>
        <v>0</v>
      </c>
      <c r="AL17" s="17">
        <f ca="1">SUM($AH$17:$AK$17)</f>
        <v>33.332397569245252</v>
      </c>
      <c r="AM17" s="17">
        <f ca="1">SUMIF($L$4:$AL$4,"SUBTOTAL",$L$17:$AL$17)</f>
        <v>1249.9848116076121</v>
      </c>
      <c r="AP17" s="17">
        <v>1</v>
      </c>
    </row>
    <row r="18" spans="1:42" ht="11.25" customHeight="1" x14ac:dyDescent="0.25">
      <c r="A18" s="130"/>
      <c r="B18" s="130"/>
      <c r="C18" s="130"/>
      <c r="D18" s="130"/>
      <c r="E18" s="130"/>
      <c r="F18" s="130"/>
      <c r="G18" s="36" t="s">
        <v>85</v>
      </c>
      <c r="H18" s="36" t="s">
        <v>73</v>
      </c>
      <c r="I18" s="36">
        <f>'MERCADO TUSD'!$U$15</f>
        <v>0</v>
      </c>
      <c r="J18" s="16"/>
      <c r="L18" s="17">
        <f>'TR TUSD'!$L$18*'TR TUSD'!$L$60</f>
        <v>0</v>
      </c>
      <c r="M18" s="17">
        <f>'TR TUSD'!$M$18*'TR TUSD'!$M$60</f>
        <v>1.8731892523125935</v>
      </c>
      <c r="N18" s="17">
        <f ca="1">'TR TUSD'!$N$18*'TR TUSD'!$N$60</f>
        <v>0</v>
      </c>
      <c r="O18" s="17">
        <f>'TR TUSD'!$O$18*'TR TUSD'!$O$60</f>
        <v>0</v>
      </c>
      <c r="P18" s="17">
        <f>'TR TUSD'!$P$18*'TR TUSD'!$P$60</f>
        <v>0</v>
      </c>
      <c r="Q18" s="17">
        <f>'TR TUSD'!$Q$18*'TR TUSD'!$Q$60</f>
        <v>85.619496446908528</v>
      </c>
      <c r="R18" s="17">
        <f>'TR TUSD'!$R$18*'TR TUSD'!$R$60</f>
        <v>14.204789845979091</v>
      </c>
      <c r="S18" s="17">
        <f>'TR TUSD'!$S$18*'TR TUSD'!$S$60</f>
        <v>0</v>
      </c>
      <c r="T18" s="17">
        <f ca="1">SUM($L$18:$S$18)</f>
        <v>101.69747554520022</v>
      </c>
      <c r="U18" s="17">
        <f>'TR TUSD'!$U$18*'TR TUSD'!$U$60</f>
        <v>0</v>
      </c>
      <c r="V18" s="17">
        <f>'TR TUSD'!$V$18*'TR TUSD'!$V$60</f>
        <v>0</v>
      </c>
      <c r="W18" s="17">
        <f>'TR TUSD'!$W$18*'TR TUSD'!$W$60</f>
        <v>0</v>
      </c>
      <c r="X18" s="17">
        <f>'TR TUSD'!$X$18*'TR TUSD'!$X$60</f>
        <v>0</v>
      </c>
      <c r="Y18" s="17">
        <f>'TR TUSD'!$Y$18*'TR TUSD'!$Y$60</f>
        <v>44.496892669582643</v>
      </c>
      <c r="Z18" s="17">
        <f>'TR TUSD'!$Z$18</f>
        <v>0</v>
      </c>
      <c r="AA18" s="17">
        <f>'TR TUSD'!$AA$18</f>
        <v>0</v>
      </c>
      <c r="AB18" s="17">
        <f>SUM($U$18:$AA$18)</f>
        <v>44.496892669582643</v>
      </c>
      <c r="AC18" s="17">
        <f>'TR TUSD'!$AC$18*'TR TUSD'!$AC$60</f>
        <v>128.94746486846776</v>
      </c>
      <c r="AD18" s="17">
        <f>SUM($AC$18:$AC$18)</f>
        <v>128.94746486846776</v>
      </c>
      <c r="AE18" s="17">
        <v>0</v>
      </c>
      <c r="AF18" s="17">
        <v>0</v>
      </c>
      <c r="AG18" s="17">
        <f>SUM($AE$18:$AF$18)</f>
        <v>0</v>
      </c>
      <c r="AH18" s="17">
        <f>'TR TUSD'!$AH$18*'TR TUSD'!$AH$60</f>
        <v>33.332397569245252</v>
      </c>
      <c r="AI18" s="17">
        <f>'TR TUSD'!$AI$18*'TR TUSD'!$AI$60</f>
        <v>0</v>
      </c>
      <c r="AJ18" s="17">
        <f ca="1">'TR TUSD'!$AJ$18*'TR TUSD'!$AJ$60</f>
        <v>0</v>
      </c>
      <c r="AK18" s="17">
        <f ca="1">'TR TUSD'!$AK$18*'TR TUSD'!$AK$60</f>
        <v>0</v>
      </c>
      <c r="AL18" s="17">
        <f ca="1">SUM($AH$18:$AK$18)</f>
        <v>33.332397569245252</v>
      </c>
      <c r="AM18" s="17">
        <f ca="1">SUMIF($L$4:$AL$4,"SUBTOTAL",$L$18:$AL$18)</f>
        <v>308.47423065249586</v>
      </c>
      <c r="AP18" s="17">
        <v>1</v>
      </c>
    </row>
    <row r="19" spans="1:42" ht="11.25" customHeight="1" x14ac:dyDescent="0.25">
      <c r="A19" s="130"/>
      <c r="B19" s="130"/>
      <c r="C19" s="130"/>
      <c r="D19" s="130"/>
      <c r="E19" s="130"/>
      <c r="F19" s="130"/>
      <c r="G19" s="36" t="s">
        <v>75</v>
      </c>
      <c r="H19" s="36" t="s">
        <v>73</v>
      </c>
      <c r="I19" s="36">
        <f>'MERCADO TUSD'!$U$16</f>
        <v>0</v>
      </c>
      <c r="J19" s="16"/>
      <c r="L19" s="17">
        <f>'TR TUSD'!$L$19*'TR TUSD'!$L$60</f>
        <v>0</v>
      </c>
      <c r="M19" s="17">
        <f>'TR TUSD'!$M$19*'TR TUSD'!$M$60</f>
        <v>1.8731892523125935</v>
      </c>
      <c r="N19" s="17">
        <f ca="1">'TR TUSD'!$N$19*'TR TUSD'!$N$60</f>
        <v>0</v>
      </c>
      <c r="O19" s="17">
        <f>'TR TUSD'!$O$19*'TR TUSD'!$O$60</f>
        <v>0</v>
      </c>
      <c r="P19" s="17">
        <f>'TR TUSD'!$P$19*'TR TUSD'!$P$60</f>
        <v>0</v>
      </c>
      <c r="Q19" s="17">
        <f>'TR TUSD'!$Q$19*'TR TUSD'!$Q$60</f>
        <v>85.619496446908528</v>
      </c>
      <c r="R19" s="17">
        <f>'TR TUSD'!$R$19*'TR TUSD'!$R$60</f>
        <v>14.204789845979091</v>
      </c>
      <c r="S19" s="17">
        <f>'TR TUSD'!$S$19*'TR TUSD'!$S$60</f>
        <v>0</v>
      </c>
      <c r="T19" s="17">
        <f ca="1">SUM($L$19:$S$19)</f>
        <v>101.69747554520022</v>
      </c>
      <c r="U19" s="17">
        <f>'TR TUSD'!$U$19*'TR TUSD'!$U$60</f>
        <v>0</v>
      </c>
      <c r="V19" s="17">
        <f>'TR TUSD'!$V$19*'TR TUSD'!$V$60</f>
        <v>0</v>
      </c>
      <c r="W19" s="17">
        <f>'TR TUSD'!$W$19*'TR TUSD'!$W$60</f>
        <v>0</v>
      </c>
      <c r="X19" s="17">
        <f>'TR TUSD'!$X$19*'TR TUSD'!$X$60</f>
        <v>0</v>
      </c>
      <c r="Y19" s="17">
        <f>'TR TUSD'!$Y$19*'TR TUSD'!$Y$60</f>
        <v>76.275424558172816</v>
      </c>
      <c r="Z19" s="17">
        <f>'TR TUSD'!$Z$19</f>
        <v>0</v>
      </c>
      <c r="AA19" s="17">
        <f>'TR TUSD'!$AA$19</f>
        <v>0</v>
      </c>
      <c r="AB19" s="17">
        <f>SUM($U$19:$AA$19)</f>
        <v>76.275424558172816</v>
      </c>
      <c r="AC19" s="17">
        <f>'TR TUSD'!$AC$19*'TR TUSD'!$AC$60</f>
        <v>221.05288903675356</v>
      </c>
      <c r="AD19" s="17">
        <f>SUM($AC$19:$AC$19)</f>
        <v>221.05288903675356</v>
      </c>
      <c r="AE19" s="17">
        <v>0</v>
      </c>
      <c r="AF19" s="17">
        <v>0</v>
      </c>
      <c r="AG19" s="17">
        <f>SUM($AE$19:$AF$19)</f>
        <v>0</v>
      </c>
      <c r="AH19" s="17">
        <f>'TR TUSD'!$AH$19*'TR TUSD'!$AH$60</f>
        <v>33.332397569245252</v>
      </c>
      <c r="AI19" s="17">
        <f>'TR TUSD'!$AI$19*'TR TUSD'!$AI$60</f>
        <v>0</v>
      </c>
      <c r="AJ19" s="17">
        <f ca="1">'TR TUSD'!$AJ$19*'TR TUSD'!$AJ$60</f>
        <v>0</v>
      </c>
      <c r="AK19" s="17">
        <f ca="1">'TR TUSD'!$AK$19*'TR TUSD'!$AK$60</f>
        <v>0</v>
      </c>
      <c r="AL19" s="17">
        <f ca="1">SUM($AH$19:$AK$19)</f>
        <v>33.332397569245252</v>
      </c>
      <c r="AM19" s="17">
        <f ca="1">SUMIF($L$4:$AL$4,"SUBTOTAL",$L$19:$AL$19)</f>
        <v>432.35818670937181</v>
      </c>
      <c r="AP19" s="17">
        <v>1</v>
      </c>
    </row>
    <row r="20" spans="1:42" ht="11.25" customHeight="1" x14ac:dyDescent="0.25">
      <c r="A20" s="130"/>
      <c r="B20" s="130" t="s">
        <v>23</v>
      </c>
      <c r="C20" s="130" t="s">
        <v>24</v>
      </c>
      <c r="D20" s="37" t="s">
        <v>24</v>
      </c>
      <c r="E20" s="37" t="s">
        <v>25</v>
      </c>
      <c r="F20" s="37" t="s">
        <v>25</v>
      </c>
      <c r="G20" s="36" t="s">
        <v>79</v>
      </c>
      <c r="H20" s="36" t="s">
        <v>73</v>
      </c>
      <c r="I20" s="36">
        <f>'MERCADO TUSD'!$U$17</f>
        <v>23903.932000000001</v>
      </c>
      <c r="J20" s="16"/>
      <c r="L20" s="17">
        <f>'TR TUSD'!$L$20*'TR TUSD'!$L$60</f>
        <v>0</v>
      </c>
      <c r="M20" s="17">
        <f>'TR TUSD'!$M$20*'TR TUSD'!$M$60</f>
        <v>1.8731892523125935</v>
      </c>
      <c r="N20" s="17">
        <f ca="1">'TR TUSD'!$N$20*'TR TUSD'!$N$60</f>
        <v>0</v>
      </c>
      <c r="O20" s="17">
        <f>'TR TUSD'!$O$20*'TR TUSD'!$O$60</f>
        <v>0</v>
      </c>
      <c r="P20" s="17">
        <f>'TR TUSD'!$P$20*'TR TUSD'!$P$60</f>
        <v>0</v>
      </c>
      <c r="Q20" s="17">
        <f>'TR TUSD'!$Q$20*'TR TUSD'!$Q$60</f>
        <v>85.619496446908528</v>
      </c>
      <c r="R20" s="17">
        <f>'TR TUSD'!$R$20*'TR TUSD'!$R$60</f>
        <v>14.204789845979091</v>
      </c>
      <c r="S20" s="17">
        <f>'TR TUSD'!$S$20*'TR TUSD'!$S$60</f>
        <v>0</v>
      </c>
      <c r="T20" s="17">
        <f ca="1">SUM($L$20:$S$20)</f>
        <v>101.69747554520022</v>
      </c>
      <c r="U20" s="17">
        <f>'TR TUSD'!$U$20*'TR TUSD'!$U$60</f>
        <v>0</v>
      </c>
      <c r="V20" s="17">
        <f>'TR TUSD'!$V$20*'TR TUSD'!$V$60</f>
        <v>0</v>
      </c>
      <c r="W20" s="17">
        <f>'TR TUSD'!$W$20*'TR TUSD'!$W$60</f>
        <v>0</v>
      </c>
      <c r="X20" s="17">
        <f>'TR TUSD'!$X$20*'TR TUSD'!$X$60</f>
        <v>0</v>
      </c>
      <c r="Y20" s="17">
        <f>'TR TUSD'!$Y$20*'TR TUSD'!$Y$60</f>
        <v>127.11433190805352</v>
      </c>
      <c r="Z20" s="17">
        <f>'TR TUSD'!$Z$20</f>
        <v>0</v>
      </c>
      <c r="AA20" s="17">
        <f>'TR TUSD'!$AA$20</f>
        <v>0</v>
      </c>
      <c r="AB20" s="17">
        <f>SUM($U$20:$AA$20)</f>
        <v>127.11433190805352</v>
      </c>
      <c r="AC20" s="17">
        <f>'TR TUSD'!$AC$20*'TR TUSD'!$AC$60</f>
        <v>368.42137425531229</v>
      </c>
      <c r="AD20" s="17">
        <f>SUM($AC$20:$AC$20)</f>
        <v>368.42137425531229</v>
      </c>
      <c r="AE20" s="17">
        <v>0</v>
      </c>
      <c r="AF20" s="17">
        <v>0</v>
      </c>
      <c r="AG20" s="17">
        <f>SUM($AE$20:$AF$20)</f>
        <v>0</v>
      </c>
      <c r="AH20" s="17">
        <f>'TR TUSD'!$AH$20*'TR TUSD'!$AH$60</f>
        <v>33.332397569245252</v>
      </c>
      <c r="AI20" s="17">
        <f>'TR TUSD'!$AI$20*'TR TUSD'!$AI$60</f>
        <v>0</v>
      </c>
      <c r="AJ20" s="17">
        <f ca="1">'TR TUSD'!$AJ$20*'TR TUSD'!$AJ$60</f>
        <v>0</v>
      </c>
      <c r="AK20" s="17">
        <f ca="1">'TR TUSD'!$AK$20*'TR TUSD'!$AK$60</f>
        <v>0</v>
      </c>
      <c r="AL20" s="17">
        <f ca="1">SUM($AH$20:$AK$20)</f>
        <v>33.332397569245252</v>
      </c>
      <c r="AM20" s="17">
        <f ca="1">SUMIF($L$4:$AL$4,"SUBTOTAL",$L$20:$AL$20)</f>
        <v>630.56557927781125</v>
      </c>
      <c r="AP20" s="17">
        <v>1</v>
      </c>
    </row>
    <row r="21" spans="1:42" ht="11.25" customHeight="1" x14ac:dyDescent="0.25">
      <c r="A21" s="130"/>
      <c r="B21" s="130"/>
      <c r="C21" s="130"/>
      <c r="D21" s="37" t="s">
        <v>29</v>
      </c>
      <c r="E21" s="37" t="s">
        <v>25</v>
      </c>
      <c r="F21" s="37" t="s">
        <v>25</v>
      </c>
      <c r="G21" s="36" t="s">
        <v>79</v>
      </c>
      <c r="H21" s="36" t="s">
        <v>73</v>
      </c>
      <c r="I21" s="36">
        <f>'MERCADO TUSD'!$U$18</f>
        <v>17.04</v>
      </c>
      <c r="J21" s="16"/>
      <c r="L21" s="17">
        <f>'TR TUSD'!$L$21*'TR TUSD'!$L$60</f>
        <v>0</v>
      </c>
      <c r="M21" s="17">
        <f>'TR TUSD'!$M$21*'TR TUSD'!$M$60</f>
        <v>1.8731892523125935</v>
      </c>
      <c r="N21" s="17">
        <f ca="1">'TR TUSD'!$N$21*'TR TUSD'!$N$60</f>
        <v>0</v>
      </c>
      <c r="O21" s="17">
        <f>'TR TUSD'!$O$21*'TR TUSD'!$O$60</f>
        <v>0</v>
      </c>
      <c r="P21" s="17">
        <f>'TR TUSD'!$P$21*'TR TUSD'!$P$60</f>
        <v>0</v>
      </c>
      <c r="Q21" s="17">
        <f>'TR TUSD'!$Q$21*'TR TUSD'!$Q$60</f>
        <v>0</v>
      </c>
      <c r="R21" s="17">
        <f>'TR TUSD'!$R$21*'TR TUSD'!$R$60</f>
        <v>0</v>
      </c>
      <c r="S21" s="17">
        <f>'TR TUSD'!$S$21*'TR TUSD'!$S$60</f>
        <v>0</v>
      </c>
      <c r="T21" s="17">
        <f ca="1">SUM($L$21:$S$21)</f>
        <v>1.8731892523125935</v>
      </c>
      <c r="U21" s="17">
        <f>'TR TUSD'!$U$21*'TR TUSD'!$U$60</f>
        <v>0</v>
      </c>
      <c r="V21" s="17">
        <f>'TR TUSD'!$V$21*'TR TUSD'!$V$60</f>
        <v>0</v>
      </c>
      <c r="W21" s="17">
        <f>'TR TUSD'!$W$21*'TR TUSD'!$W$60</f>
        <v>0</v>
      </c>
      <c r="X21" s="17">
        <f>'TR TUSD'!$X$21*'TR TUSD'!$X$60</f>
        <v>0</v>
      </c>
      <c r="Y21" s="17">
        <f>'TR TUSD'!$Y$21*'TR TUSD'!$Y$60</f>
        <v>127.11433190805352</v>
      </c>
      <c r="Z21" s="17">
        <f>'TR TUSD'!$Z$21</f>
        <v>0</v>
      </c>
      <c r="AA21" s="17">
        <f>'TR TUSD'!$AA$21</f>
        <v>0</v>
      </c>
      <c r="AB21" s="17">
        <f>SUM($U$21:$AA$21)</f>
        <v>127.11433190805352</v>
      </c>
      <c r="AC21" s="17">
        <f>'TR TUSD'!$AC$21*'TR TUSD'!$AC$60</f>
        <v>368.42137425531229</v>
      </c>
      <c r="AD21" s="17">
        <f>SUM($AC$21:$AC$21)</f>
        <v>368.42137425531229</v>
      </c>
      <c r="AE21" s="17">
        <v>0</v>
      </c>
      <c r="AF21" s="17">
        <v>0</v>
      </c>
      <c r="AG21" s="17">
        <f>SUM($AE$21:$AF$21)</f>
        <v>0</v>
      </c>
      <c r="AH21" s="17">
        <f>'TR TUSD'!$AH$21*'TR TUSD'!$AH$60</f>
        <v>33.332397569245252</v>
      </c>
      <c r="AI21" s="17">
        <f>'TR TUSD'!$AI$21*'TR TUSD'!$AI$60</f>
        <v>0</v>
      </c>
      <c r="AJ21" s="17">
        <f ca="1">'TR TUSD'!$AJ$21*'TR TUSD'!$AJ$60</f>
        <v>0</v>
      </c>
      <c r="AK21" s="17">
        <f ca="1">'TR TUSD'!$AK$21*'TR TUSD'!$AK$60</f>
        <v>0</v>
      </c>
      <c r="AL21" s="17">
        <f ca="1">SUM($AH$21:$AK$21)</f>
        <v>33.332397569245252</v>
      </c>
      <c r="AM21" s="17">
        <f ca="1">SUMIF($L$4:$AL$4,"SUBTOTAL",$L$21:$AL$21)</f>
        <v>530.74129298492369</v>
      </c>
      <c r="AP21" s="17">
        <f>IF((1 - CUSTOS!$M$24)&lt;&gt;0,1/(1 - CUSTOS!$M$24),1)</f>
        <v>1</v>
      </c>
    </row>
    <row r="22" spans="1:42" ht="11.25" customHeight="1" x14ac:dyDescent="0.25">
      <c r="A22" s="130"/>
      <c r="B22" s="130"/>
      <c r="C22" s="130"/>
      <c r="D22" s="37" t="s">
        <v>30</v>
      </c>
      <c r="E22" s="37" t="s">
        <v>25</v>
      </c>
      <c r="F22" s="37" t="s">
        <v>25</v>
      </c>
      <c r="G22" s="36" t="s">
        <v>79</v>
      </c>
      <c r="H22" s="36" t="s">
        <v>73</v>
      </c>
      <c r="I22" s="36">
        <f>'MERCADO TUSD'!$U$19</f>
        <v>36.048999999999999</v>
      </c>
      <c r="J22" s="16"/>
      <c r="L22" s="17">
        <f>'TR TUSD'!$L$22*'TR TUSD'!$L$60</f>
        <v>0</v>
      </c>
      <c r="M22" s="17">
        <f>'TR TUSD'!$M$22*'TR TUSD'!$M$60</f>
        <v>1.8731892523125935</v>
      </c>
      <c r="N22" s="17">
        <f ca="1">'TR TUSD'!$N$22*'TR TUSD'!$N$60</f>
        <v>0</v>
      </c>
      <c r="O22" s="17">
        <f>'TR TUSD'!$O$22*'TR TUSD'!$O$60</f>
        <v>0</v>
      </c>
      <c r="P22" s="17">
        <f>'TR TUSD'!$P$22*'TR TUSD'!$P$60</f>
        <v>0</v>
      </c>
      <c r="Q22" s="17">
        <f>'TR TUSD'!$Q$22*'TR TUSD'!$Q$60</f>
        <v>0</v>
      </c>
      <c r="R22" s="17">
        <f>'TR TUSD'!$R$22*'TR TUSD'!$R$60</f>
        <v>0</v>
      </c>
      <c r="S22" s="17">
        <f>'TR TUSD'!$S$22*'TR TUSD'!$S$60</f>
        <v>0</v>
      </c>
      <c r="T22" s="17">
        <f ca="1">SUM($L$22:$S$22)</f>
        <v>1.8731892523125935</v>
      </c>
      <c r="U22" s="17">
        <f>'TR TUSD'!$U$22*'TR TUSD'!$U$60</f>
        <v>0</v>
      </c>
      <c r="V22" s="17">
        <f>'TR TUSD'!$V$22*'TR TUSD'!$V$60</f>
        <v>0</v>
      </c>
      <c r="W22" s="17">
        <f>'TR TUSD'!$W$22*'TR TUSD'!$W$60</f>
        <v>0</v>
      </c>
      <c r="X22" s="17">
        <f>'TR TUSD'!$X$22*'TR TUSD'!$X$60</f>
        <v>0</v>
      </c>
      <c r="Y22" s="17">
        <f>'TR TUSD'!$Y$22*'TR TUSD'!$Y$60</f>
        <v>127.11433190805352</v>
      </c>
      <c r="Z22" s="17">
        <f>'TR TUSD'!$Z$22</f>
        <v>0</v>
      </c>
      <c r="AA22" s="17">
        <f>'TR TUSD'!$AA$22</f>
        <v>0</v>
      </c>
      <c r="AB22" s="17">
        <f>SUM($U$22:$AA$22)</f>
        <v>127.11433190805352</v>
      </c>
      <c r="AC22" s="17">
        <f>'TR TUSD'!$AC$22*'TR TUSD'!$AC$60</f>
        <v>368.42137425531229</v>
      </c>
      <c r="AD22" s="17">
        <f>SUM($AC$22:$AC$22)</f>
        <v>368.42137425531229</v>
      </c>
      <c r="AE22" s="17">
        <v>0</v>
      </c>
      <c r="AF22" s="17">
        <v>0</v>
      </c>
      <c r="AG22" s="17">
        <f>SUM($AE$22:$AF$22)</f>
        <v>0</v>
      </c>
      <c r="AH22" s="17">
        <f>'TR TUSD'!$AH$22*'TR TUSD'!$AH$60</f>
        <v>33.332397569245252</v>
      </c>
      <c r="AI22" s="17">
        <f>'TR TUSD'!$AI$22*'TR TUSD'!$AI$60</f>
        <v>0</v>
      </c>
      <c r="AJ22" s="17">
        <f ca="1">'TR TUSD'!$AJ$22*'TR TUSD'!$AJ$60</f>
        <v>0</v>
      </c>
      <c r="AK22" s="17">
        <f ca="1">'TR TUSD'!$AK$22*'TR TUSD'!$AK$60</f>
        <v>0</v>
      </c>
      <c r="AL22" s="17">
        <f ca="1">SUM($AH$22:$AK$22)</f>
        <v>33.332397569245252</v>
      </c>
      <c r="AM22" s="17">
        <f ca="1">SUMIF($L$4:$AL$4,"SUBTOTAL",$L$22:$AL$22)</f>
        <v>530.74129298492369</v>
      </c>
      <c r="AP22" s="17">
        <f>IF((1 - CUSTOS!$M$25)&lt;&gt;0,1/(1 - CUSTOS!$M$25),1)</f>
        <v>1</v>
      </c>
    </row>
    <row r="23" spans="1:42" ht="11.25" customHeight="1" x14ac:dyDescent="0.25">
      <c r="A23" s="130"/>
      <c r="B23" s="130"/>
      <c r="C23" s="130"/>
      <c r="D23" s="37" t="s">
        <v>31</v>
      </c>
      <c r="E23" s="37" t="s">
        <v>25</v>
      </c>
      <c r="F23" s="37" t="s">
        <v>25</v>
      </c>
      <c r="G23" s="36" t="s">
        <v>79</v>
      </c>
      <c r="H23" s="36" t="s">
        <v>73</v>
      </c>
      <c r="I23" s="36">
        <f>'MERCADO TUSD'!$U$20</f>
        <v>32.835000000000001</v>
      </c>
      <c r="J23" s="16"/>
      <c r="L23" s="17">
        <f>'TR TUSD'!$L$23*'TR TUSD'!$L$60</f>
        <v>0</v>
      </c>
      <c r="M23" s="17">
        <f>'TR TUSD'!$M$23*'TR TUSD'!$M$60</f>
        <v>1.8731892523125935</v>
      </c>
      <c r="N23" s="17">
        <f ca="1">'TR TUSD'!$N$23*'TR TUSD'!$N$60</f>
        <v>0</v>
      </c>
      <c r="O23" s="17">
        <f>'TR TUSD'!$O$23*'TR TUSD'!$O$60</f>
        <v>0</v>
      </c>
      <c r="P23" s="17">
        <f>'TR TUSD'!$P$23*'TR TUSD'!$P$60</f>
        <v>0</v>
      </c>
      <c r="Q23" s="17">
        <f>'TR TUSD'!$Q$23*'TR TUSD'!$Q$60</f>
        <v>0</v>
      </c>
      <c r="R23" s="17">
        <f>'TR TUSD'!$R$23*'TR TUSD'!$R$60</f>
        <v>0</v>
      </c>
      <c r="S23" s="17">
        <f>'TR TUSD'!$S$23*'TR TUSD'!$S$60</f>
        <v>0</v>
      </c>
      <c r="T23" s="17">
        <f ca="1">SUM($L$23:$S$23)</f>
        <v>1.8731892523125935</v>
      </c>
      <c r="U23" s="17">
        <f>'TR TUSD'!$U$23*'TR TUSD'!$U$60</f>
        <v>0</v>
      </c>
      <c r="V23" s="17">
        <f>'TR TUSD'!$V$23*'TR TUSD'!$V$60</f>
        <v>0</v>
      </c>
      <c r="W23" s="17">
        <f>'TR TUSD'!$W$23*'TR TUSD'!$W$60</f>
        <v>0</v>
      </c>
      <c r="X23" s="17">
        <f>'TR TUSD'!$X$23*'TR TUSD'!$X$60</f>
        <v>0</v>
      </c>
      <c r="Y23" s="17">
        <f>'TR TUSD'!$Y$23*'TR TUSD'!$Y$60</f>
        <v>127.11433190805352</v>
      </c>
      <c r="Z23" s="17">
        <f>'TR TUSD'!$Z$23</f>
        <v>0</v>
      </c>
      <c r="AA23" s="17">
        <f>'TR TUSD'!$AA$23</f>
        <v>0</v>
      </c>
      <c r="AB23" s="17">
        <f>SUM($U$23:$AA$23)</f>
        <v>127.11433190805352</v>
      </c>
      <c r="AC23" s="17">
        <f>'TR TUSD'!$AC$23*'TR TUSD'!$AC$60</f>
        <v>368.42137425531229</v>
      </c>
      <c r="AD23" s="17">
        <f>SUM($AC$23:$AC$23)</f>
        <v>368.42137425531229</v>
      </c>
      <c r="AE23" s="17">
        <v>0</v>
      </c>
      <c r="AF23" s="17">
        <v>0</v>
      </c>
      <c r="AG23" s="17">
        <f>SUM($AE$23:$AF$23)</f>
        <v>0</v>
      </c>
      <c r="AH23" s="17">
        <f>'TR TUSD'!$AH$23*'TR TUSD'!$AH$60</f>
        <v>33.332397569245252</v>
      </c>
      <c r="AI23" s="17">
        <f>'TR TUSD'!$AI$23*'TR TUSD'!$AI$60</f>
        <v>0</v>
      </c>
      <c r="AJ23" s="17">
        <f ca="1">'TR TUSD'!$AJ$23*'TR TUSD'!$AJ$60</f>
        <v>0</v>
      </c>
      <c r="AK23" s="17">
        <f ca="1">'TR TUSD'!$AK$23*'TR TUSD'!$AK$60</f>
        <v>0</v>
      </c>
      <c r="AL23" s="17">
        <f ca="1">SUM($AH$23:$AK$23)</f>
        <v>33.332397569245252</v>
      </c>
      <c r="AM23" s="17">
        <f ca="1">SUMIF($L$4:$AL$4,"SUBTOTAL",$L$23:$AL$23)</f>
        <v>530.74129298492369</v>
      </c>
      <c r="AP23" s="17">
        <f>IF((1 - CUSTOS!$M$26)&lt;&gt;0,1/(1 - CUSTOS!$M$26),1)</f>
        <v>1</v>
      </c>
    </row>
    <row r="24" spans="1:42" ht="11.25" customHeight="1" x14ac:dyDescent="0.25">
      <c r="A24" s="130"/>
      <c r="B24" s="130"/>
      <c r="C24" s="130"/>
      <c r="D24" s="37" t="s">
        <v>32</v>
      </c>
      <c r="E24" s="37" t="s">
        <v>25</v>
      </c>
      <c r="F24" s="37" t="s">
        <v>25</v>
      </c>
      <c r="G24" s="36" t="s">
        <v>79</v>
      </c>
      <c r="H24" s="36" t="s">
        <v>73</v>
      </c>
      <c r="I24" s="36">
        <f>'MERCADO TUSD'!$U$21</f>
        <v>10.568</v>
      </c>
      <c r="J24" s="16"/>
      <c r="L24" s="17">
        <f>'TR TUSD'!$L$24*'TR TUSD'!$L$60</f>
        <v>0</v>
      </c>
      <c r="M24" s="17">
        <f>'TR TUSD'!$M$24*'TR TUSD'!$M$60</f>
        <v>1.8731892523125935</v>
      </c>
      <c r="N24" s="17">
        <f ca="1">'TR TUSD'!$N$24*'TR TUSD'!$N$60</f>
        <v>0</v>
      </c>
      <c r="O24" s="17">
        <f>'TR TUSD'!$O$24*'TR TUSD'!$O$60</f>
        <v>0</v>
      </c>
      <c r="P24" s="17">
        <f>'TR TUSD'!$P$24*'TR TUSD'!$P$60</f>
        <v>0</v>
      </c>
      <c r="Q24" s="17">
        <f>'TR TUSD'!$Q$24*'TR TUSD'!$Q$60</f>
        <v>0</v>
      </c>
      <c r="R24" s="17">
        <f>'TR TUSD'!$R$24*'TR TUSD'!$R$60</f>
        <v>0</v>
      </c>
      <c r="S24" s="17">
        <f>'TR TUSD'!$S$24*'TR TUSD'!$S$60</f>
        <v>0</v>
      </c>
      <c r="T24" s="17">
        <f ca="1">SUM($L$24:$S$24)</f>
        <v>1.8731892523125935</v>
      </c>
      <c r="U24" s="17">
        <f>'TR TUSD'!$U$24*'TR TUSD'!$U$60</f>
        <v>0</v>
      </c>
      <c r="V24" s="17">
        <f>'TR TUSD'!$V$24*'TR TUSD'!$V$60</f>
        <v>0</v>
      </c>
      <c r="W24" s="17">
        <f>'TR TUSD'!$W$24*'TR TUSD'!$W$60</f>
        <v>0</v>
      </c>
      <c r="X24" s="17">
        <f>'TR TUSD'!$X$24*'TR TUSD'!$X$60</f>
        <v>0</v>
      </c>
      <c r="Y24" s="17">
        <f>'TR TUSD'!$Y$24*'TR TUSD'!$Y$60</f>
        <v>127.11433190805352</v>
      </c>
      <c r="Z24" s="17">
        <f>'TR TUSD'!$Z$24</f>
        <v>0</v>
      </c>
      <c r="AA24" s="17">
        <f>'TR TUSD'!$AA$24</f>
        <v>0</v>
      </c>
      <c r="AB24" s="17">
        <f>SUM($U$24:$AA$24)</f>
        <v>127.11433190805352</v>
      </c>
      <c r="AC24" s="17">
        <f>'TR TUSD'!$AC$24*'TR TUSD'!$AC$60</f>
        <v>368.42137425531229</v>
      </c>
      <c r="AD24" s="17">
        <f>SUM($AC$24:$AC$24)</f>
        <v>368.42137425531229</v>
      </c>
      <c r="AE24" s="17">
        <v>0</v>
      </c>
      <c r="AF24" s="17">
        <v>0</v>
      </c>
      <c r="AG24" s="17">
        <f>SUM($AE$24:$AF$24)</f>
        <v>0</v>
      </c>
      <c r="AH24" s="17">
        <f>'TR TUSD'!$AH$24*'TR TUSD'!$AH$60</f>
        <v>33.332397569245252</v>
      </c>
      <c r="AI24" s="17">
        <f>'TR TUSD'!$AI$24*'TR TUSD'!$AI$60</f>
        <v>0</v>
      </c>
      <c r="AJ24" s="17">
        <f ca="1">'TR TUSD'!$AJ$24*'TR TUSD'!$AJ$60</f>
        <v>0</v>
      </c>
      <c r="AK24" s="17">
        <f ca="1">'TR TUSD'!$AK$24*'TR TUSD'!$AK$60</f>
        <v>0</v>
      </c>
      <c r="AL24" s="17">
        <f ca="1">SUM($AH$24:$AK$24)</f>
        <v>33.332397569245252</v>
      </c>
      <c r="AM24" s="17">
        <f ca="1">SUMIF($L$4:$AL$4,"SUBTOTAL",$L$24:$AL$24)</f>
        <v>530.74129298492369</v>
      </c>
      <c r="AP24" s="17">
        <f>IF((1 - CUSTOS!$M$27)&lt;&gt;0,1/(1 - CUSTOS!$M$27),1)</f>
        <v>1</v>
      </c>
    </row>
    <row r="25" spans="1:42" ht="11.25" customHeight="1" x14ac:dyDescent="0.25">
      <c r="A25" s="130"/>
      <c r="B25" s="130" t="s">
        <v>89</v>
      </c>
      <c r="C25" s="130" t="s">
        <v>24</v>
      </c>
      <c r="D25" s="37" t="s">
        <v>24</v>
      </c>
      <c r="E25" s="37" t="s">
        <v>25</v>
      </c>
      <c r="F25" s="37" t="s">
        <v>25</v>
      </c>
      <c r="G25" s="36" t="s">
        <v>79</v>
      </c>
      <c r="H25" s="36" t="s">
        <v>73</v>
      </c>
      <c r="I25" s="36">
        <f>'MERCADO TUSD'!$U$22</f>
        <v>0</v>
      </c>
      <c r="J25" s="16"/>
      <c r="L25" s="17">
        <f>'TR TUSD'!$L$25*'TR TUSD'!$L$60</f>
        <v>0</v>
      </c>
      <c r="M25" s="17">
        <f>'TR TUSD'!$M$25*'TR TUSD'!$M$60</f>
        <v>1.8731892523125935</v>
      </c>
      <c r="N25" s="17">
        <f ca="1">'TR TUSD'!$N$25*'TR TUSD'!$N$60</f>
        <v>0</v>
      </c>
      <c r="O25" s="17">
        <f>'TR TUSD'!$O$25*'TR TUSD'!$O$60</f>
        <v>0</v>
      </c>
      <c r="P25" s="17">
        <f>'TR TUSD'!$P$25*'TR TUSD'!$P$60</f>
        <v>0</v>
      </c>
      <c r="Q25" s="17">
        <f>'TR TUSD'!$Q$25*'TR TUSD'!$Q$60</f>
        <v>85.619496446908528</v>
      </c>
      <c r="R25" s="17">
        <f>'TR TUSD'!$R$25*'TR TUSD'!$R$60</f>
        <v>14.204789845979091</v>
      </c>
      <c r="S25" s="17">
        <f>'TR TUSD'!$S$25*'TR TUSD'!$S$60</f>
        <v>0</v>
      </c>
      <c r="T25" s="17">
        <f ca="1">SUM($L$25:$S$25)</f>
        <v>101.69747554520022</v>
      </c>
      <c r="U25" s="17">
        <f>'TR TUSD'!$U$25*'TR TUSD'!$U$60</f>
        <v>0</v>
      </c>
      <c r="V25" s="17">
        <f>'TR TUSD'!$V$25*'TR TUSD'!$V$60</f>
        <v>0</v>
      </c>
      <c r="W25" s="17">
        <f>'TR TUSD'!$W$25*'TR TUSD'!$W$60</f>
        <v>0</v>
      </c>
      <c r="X25" s="17">
        <f>'TR TUSD'!$X$25*'TR TUSD'!$X$60</f>
        <v>0</v>
      </c>
      <c r="Y25" s="17">
        <f>'TR TUSD'!$Y$25*'TR TUSD'!$Y$60</f>
        <v>127.11433190805352</v>
      </c>
      <c r="Z25" s="17">
        <f>'TR TUSD'!$Z$25</f>
        <v>0</v>
      </c>
      <c r="AA25" s="17">
        <f>'TR TUSD'!$AA$25</f>
        <v>0</v>
      </c>
      <c r="AB25" s="17">
        <f>SUM($U$25:$AA$25)</f>
        <v>127.11433190805352</v>
      </c>
      <c r="AC25" s="17">
        <f>'TR TUSD'!$AC$25*'TR TUSD'!$AC$60</f>
        <v>368.42137425531229</v>
      </c>
      <c r="AD25" s="17">
        <f>SUM($AC$25:$AC$25)</f>
        <v>368.42137425531229</v>
      </c>
      <c r="AE25" s="17">
        <v>0</v>
      </c>
      <c r="AF25" s="17">
        <v>0</v>
      </c>
      <c r="AG25" s="17">
        <f>SUM($AE$25:$AF$25)</f>
        <v>0</v>
      </c>
      <c r="AH25" s="17">
        <f>'TR TUSD'!$AH$25*'TR TUSD'!$AH$60</f>
        <v>33.332397569245252</v>
      </c>
      <c r="AI25" s="17">
        <f>'TR TUSD'!$AI$25*'TR TUSD'!$AI$60</f>
        <v>0</v>
      </c>
      <c r="AJ25" s="17">
        <f ca="1">'TR TUSD'!$AJ$25*'TR TUSD'!$AJ$60</f>
        <v>0</v>
      </c>
      <c r="AK25" s="17">
        <f ca="1">'TR TUSD'!$AK$25*'TR TUSD'!$AK$60</f>
        <v>0</v>
      </c>
      <c r="AL25" s="17">
        <f ca="1">SUM($AH$25:$AK$25)</f>
        <v>33.332397569245252</v>
      </c>
      <c r="AM25" s="17">
        <f ca="1">SUMIF($L$4:$AL$4,"SUBTOTAL",$L$25:$AL$25)</f>
        <v>630.56557927781125</v>
      </c>
      <c r="AP25" s="17">
        <v>1</v>
      </c>
    </row>
    <row r="26" spans="1:42" ht="11.25" customHeight="1" x14ac:dyDescent="0.25">
      <c r="A26" s="130"/>
      <c r="B26" s="130"/>
      <c r="C26" s="130"/>
      <c r="D26" s="37" t="s">
        <v>29</v>
      </c>
      <c r="E26" s="37" t="s">
        <v>25</v>
      </c>
      <c r="F26" s="37" t="s">
        <v>25</v>
      </c>
      <c r="G26" s="36" t="s">
        <v>79</v>
      </c>
      <c r="H26" s="36" t="s">
        <v>73</v>
      </c>
      <c r="I26" s="36">
        <f>'MERCADO TUSD'!$U$23</f>
        <v>0</v>
      </c>
      <c r="J26" s="16"/>
      <c r="L26" s="17">
        <f>'TR TUSD'!$L$26*'TR TUSD'!$L$60</f>
        <v>0</v>
      </c>
      <c r="M26" s="17">
        <f>'TR TUSD'!$M$26*'TR TUSD'!$M$60</f>
        <v>1.8731892523125935</v>
      </c>
      <c r="N26" s="17">
        <f ca="1">'TR TUSD'!$N$26*'TR TUSD'!$N$60</f>
        <v>0</v>
      </c>
      <c r="O26" s="17">
        <f>'TR TUSD'!$O$26*'TR TUSD'!$O$60</f>
        <v>0</v>
      </c>
      <c r="P26" s="17">
        <f>'TR TUSD'!$P$26*'TR TUSD'!$P$60</f>
        <v>0</v>
      </c>
      <c r="Q26" s="17">
        <f>'TR TUSD'!$Q$26*'TR TUSD'!$Q$60</f>
        <v>0</v>
      </c>
      <c r="R26" s="17">
        <f>'TR TUSD'!$R$26*'TR TUSD'!$R$60</f>
        <v>0</v>
      </c>
      <c r="S26" s="17">
        <f>'TR TUSD'!$S$26*'TR TUSD'!$S$60</f>
        <v>0</v>
      </c>
      <c r="T26" s="17">
        <f ca="1">SUM($L$26:$S$26)</f>
        <v>1.8731892523125935</v>
      </c>
      <c r="U26" s="17">
        <f>'TR TUSD'!$U$26*'TR TUSD'!$U$60</f>
        <v>0</v>
      </c>
      <c r="V26" s="17">
        <f>'TR TUSD'!$V$26*'TR TUSD'!$V$60</f>
        <v>0</v>
      </c>
      <c r="W26" s="17">
        <f>'TR TUSD'!$W$26*'TR TUSD'!$W$60</f>
        <v>0</v>
      </c>
      <c r="X26" s="17">
        <f>'TR TUSD'!$X$26*'TR TUSD'!$X$60</f>
        <v>0</v>
      </c>
      <c r="Y26" s="17">
        <f>'TR TUSD'!$Y$26*'TR TUSD'!$Y$60</f>
        <v>127.11433190805352</v>
      </c>
      <c r="Z26" s="17">
        <f>'TR TUSD'!$Z$26</f>
        <v>0</v>
      </c>
      <c r="AA26" s="17">
        <f>'TR TUSD'!$AA$26</f>
        <v>0</v>
      </c>
      <c r="AB26" s="17">
        <f>SUM($U$26:$AA$26)</f>
        <v>127.11433190805352</v>
      </c>
      <c r="AC26" s="17">
        <f>'TR TUSD'!$AC$26*'TR TUSD'!$AC$60</f>
        <v>368.42137425531229</v>
      </c>
      <c r="AD26" s="17">
        <f>SUM($AC$26:$AC$26)</f>
        <v>368.42137425531229</v>
      </c>
      <c r="AE26" s="17">
        <v>0</v>
      </c>
      <c r="AF26" s="17">
        <v>0</v>
      </c>
      <c r="AG26" s="17">
        <f>SUM($AE$26:$AF$26)</f>
        <v>0</v>
      </c>
      <c r="AH26" s="17">
        <f>'TR TUSD'!$AH$26*'TR TUSD'!$AH$60</f>
        <v>33.332397569245252</v>
      </c>
      <c r="AI26" s="17">
        <f>'TR TUSD'!$AI$26*'TR TUSD'!$AI$60</f>
        <v>0</v>
      </c>
      <c r="AJ26" s="17">
        <f ca="1">'TR TUSD'!$AJ$26*'TR TUSD'!$AJ$60</f>
        <v>0</v>
      </c>
      <c r="AK26" s="17">
        <f ca="1">'TR TUSD'!$AK$26*'TR TUSD'!$AK$60</f>
        <v>0</v>
      </c>
      <c r="AL26" s="17">
        <f ca="1">SUM($AH$26:$AK$26)</f>
        <v>33.332397569245252</v>
      </c>
      <c r="AM26" s="17">
        <f ca="1">SUMIF($L$4:$AL$4,"SUBTOTAL",$L$26:$AL$26)</f>
        <v>530.74129298492369</v>
      </c>
      <c r="AP26" s="17">
        <f>IF((1 - CUSTOS!$M$24)&lt;&gt;0,1/(1 - CUSTOS!$M$24),1)</f>
        <v>1</v>
      </c>
    </row>
    <row r="27" spans="1:42" ht="11.25" customHeight="1" x14ac:dyDescent="0.25">
      <c r="A27" s="130"/>
      <c r="B27" s="130"/>
      <c r="C27" s="130"/>
      <c r="D27" s="37" t="s">
        <v>30</v>
      </c>
      <c r="E27" s="37" t="s">
        <v>25</v>
      </c>
      <c r="F27" s="37" t="s">
        <v>25</v>
      </c>
      <c r="G27" s="36" t="s">
        <v>79</v>
      </c>
      <c r="H27" s="36" t="s">
        <v>73</v>
      </c>
      <c r="I27" s="36">
        <f>'MERCADO TUSD'!$U$24</f>
        <v>0</v>
      </c>
      <c r="J27" s="16"/>
      <c r="L27" s="17">
        <f>'TR TUSD'!$L$27*'TR TUSD'!$L$60</f>
        <v>0</v>
      </c>
      <c r="M27" s="17">
        <f>'TR TUSD'!$M$27*'TR TUSD'!$M$60</f>
        <v>1.8731892523125935</v>
      </c>
      <c r="N27" s="17">
        <f ca="1">'TR TUSD'!$N$27*'TR TUSD'!$N$60</f>
        <v>0</v>
      </c>
      <c r="O27" s="17">
        <f>'TR TUSD'!$O$27*'TR TUSD'!$O$60</f>
        <v>0</v>
      </c>
      <c r="P27" s="17">
        <f>'TR TUSD'!$P$27*'TR TUSD'!$P$60</f>
        <v>0</v>
      </c>
      <c r="Q27" s="17">
        <f>'TR TUSD'!$Q$27*'TR TUSD'!$Q$60</f>
        <v>0</v>
      </c>
      <c r="R27" s="17">
        <f>'TR TUSD'!$R$27*'TR TUSD'!$R$60</f>
        <v>0</v>
      </c>
      <c r="S27" s="17">
        <f>'TR TUSD'!$S$27*'TR TUSD'!$S$60</f>
        <v>0</v>
      </c>
      <c r="T27" s="17">
        <f ca="1">SUM($L$27:$S$27)</f>
        <v>1.8731892523125935</v>
      </c>
      <c r="U27" s="17">
        <f>'TR TUSD'!$U$27*'TR TUSD'!$U$60</f>
        <v>0</v>
      </c>
      <c r="V27" s="17">
        <f>'TR TUSD'!$V$27*'TR TUSD'!$V$60</f>
        <v>0</v>
      </c>
      <c r="W27" s="17">
        <f>'TR TUSD'!$W$27*'TR TUSD'!$W$60</f>
        <v>0</v>
      </c>
      <c r="X27" s="17">
        <f>'TR TUSD'!$X$27*'TR TUSD'!$X$60</f>
        <v>0</v>
      </c>
      <c r="Y27" s="17">
        <f>'TR TUSD'!$Y$27*'TR TUSD'!$Y$60</f>
        <v>127.11433190805352</v>
      </c>
      <c r="Z27" s="17">
        <f>'TR TUSD'!$Z$27</f>
        <v>0</v>
      </c>
      <c r="AA27" s="17">
        <f>'TR TUSD'!$AA$27</f>
        <v>0</v>
      </c>
      <c r="AB27" s="17">
        <f>SUM($U$27:$AA$27)</f>
        <v>127.11433190805352</v>
      </c>
      <c r="AC27" s="17">
        <f>'TR TUSD'!$AC$27*'TR TUSD'!$AC$60</f>
        <v>368.42137425531229</v>
      </c>
      <c r="AD27" s="17">
        <f>SUM($AC$27:$AC$27)</f>
        <v>368.42137425531229</v>
      </c>
      <c r="AE27" s="17">
        <v>0</v>
      </c>
      <c r="AF27" s="17">
        <v>0</v>
      </c>
      <c r="AG27" s="17">
        <f>SUM($AE$27:$AF$27)</f>
        <v>0</v>
      </c>
      <c r="AH27" s="17">
        <f>'TR TUSD'!$AH$27*'TR TUSD'!$AH$60</f>
        <v>33.332397569245252</v>
      </c>
      <c r="AI27" s="17">
        <f>'TR TUSD'!$AI$27*'TR TUSD'!$AI$60</f>
        <v>0</v>
      </c>
      <c r="AJ27" s="17">
        <f ca="1">'TR TUSD'!$AJ$27*'TR TUSD'!$AJ$60</f>
        <v>0</v>
      </c>
      <c r="AK27" s="17">
        <f ca="1">'TR TUSD'!$AK$27*'TR TUSD'!$AK$60</f>
        <v>0</v>
      </c>
      <c r="AL27" s="17">
        <f ca="1">SUM($AH$27:$AK$27)</f>
        <v>33.332397569245252</v>
      </c>
      <c r="AM27" s="17">
        <f ca="1">SUMIF($L$4:$AL$4,"SUBTOTAL",$L$27:$AL$27)</f>
        <v>530.74129298492369</v>
      </c>
      <c r="AP27" s="17">
        <f>IF((1 - CUSTOS!$M$25)&lt;&gt;0,1/(1 - CUSTOS!$M$25),1)</f>
        <v>1</v>
      </c>
    </row>
    <row r="28" spans="1:42" ht="11.25" customHeight="1" x14ac:dyDescent="0.25">
      <c r="A28" s="130"/>
      <c r="B28" s="130"/>
      <c r="C28" s="130"/>
      <c r="D28" s="37" t="s">
        <v>31</v>
      </c>
      <c r="E28" s="37" t="s">
        <v>25</v>
      </c>
      <c r="F28" s="37" t="s">
        <v>25</v>
      </c>
      <c r="G28" s="36" t="s">
        <v>79</v>
      </c>
      <c r="H28" s="36" t="s">
        <v>73</v>
      </c>
      <c r="I28" s="36">
        <f>'MERCADO TUSD'!$U$25</f>
        <v>0</v>
      </c>
      <c r="J28" s="16"/>
      <c r="L28" s="17">
        <f>'TR TUSD'!$L$28*'TR TUSD'!$L$60</f>
        <v>0</v>
      </c>
      <c r="M28" s="17">
        <f>'TR TUSD'!$M$28*'TR TUSD'!$M$60</f>
        <v>1.8731892523125935</v>
      </c>
      <c r="N28" s="17">
        <f ca="1">'TR TUSD'!$N$28*'TR TUSD'!$N$60</f>
        <v>0</v>
      </c>
      <c r="O28" s="17">
        <f>'TR TUSD'!$O$28*'TR TUSD'!$O$60</f>
        <v>0</v>
      </c>
      <c r="P28" s="17">
        <f>'TR TUSD'!$P$28*'TR TUSD'!$P$60</f>
        <v>0</v>
      </c>
      <c r="Q28" s="17">
        <f>'TR TUSD'!$Q$28*'TR TUSD'!$Q$60</f>
        <v>0</v>
      </c>
      <c r="R28" s="17">
        <f>'TR TUSD'!$R$28*'TR TUSD'!$R$60</f>
        <v>0</v>
      </c>
      <c r="S28" s="17">
        <f>'TR TUSD'!$S$28*'TR TUSD'!$S$60</f>
        <v>0</v>
      </c>
      <c r="T28" s="17">
        <f ca="1">SUM($L$28:$S$28)</f>
        <v>1.8731892523125935</v>
      </c>
      <c r="U28" s="17">
        <f>'TR TUSD'!$U$28*'TR TUSD'!$U$60</f>
        <v>0</v>
      </c>
      <c r="V28" s="17">
        <f>'TR TUSD'!$V$28*'TR TUSD'!$V$60</f>
        <v>0</v>
      </c>
      <c r="W28" s="17">
        <f>'TR TUSD'!$W$28*'TR TUSD'!$W$60</f>
        <v>0</v>
      </c>
      <c r="X28" s="17">
        <f>'TR TUSD'!$X$28*'TR TUSD'!$X$60</f>
        <v>0</v>
      </c>
      <c r="Y28" s="17">
        <f>'TR TUSD'!$Y$28*'TR TUSD'!$Y$60</f>
        <v>127.11433190805352</v>
      </c>
      <c r="Z28" s="17">
        <f>'TR TUSD'!$Z$28</f>
        <v>0</v>
      </c>
      <c r="AA28" s="17">
        <f>'TR TUSD'!$AA$28</f>
        <v>0</v>
      </c>
      <c r="AB28" s="17">
        <f>SUM($U$28:$AA$28)</f>
        <v>127.11433190805352</v>
      </c>
      <c r="AC28" s="17">
        <f>'TR TUSD'!$AC$28*'TR TUSD'!$AC$60</f>
        <v>368.42137425531229</v>
      </c>
      <c r="AD28" s="17">
        <f>SUM($AC$28:$AC$28)</f>
        <v>368.42137425531229</v>
      </c>
      <c r="AE28" s="17">
        <v>0</v>
      </c>
      <c r="AF28" s="17">
        <v>0</v>
      </c>
      <c r="AG28" s="17">
        <f>SUM($AE$28:$AF$28)</f>
        <v>0</v>
      </c>
      <c r="AH28" s="17">
        <f>'TR TUSD'!$AH$28*'TR TUSD'!$AH$60</f>
        <v>33.332397569245252</v>
      </c>
      <c r="AI28" s="17">
        <f>'TR TUSD'!$AI$28*'TR TUSD'!$AI$60</f>
        <v>0</v>
      </c>
      <c r="AJ28" s="17">
        <f ca="1">'TR TUSD'!$AJ$28*'TR TUSD'!$AJ$60</f>
        <v>0</v>
      </c>
      <c r="AK28" s="17">
        <f ca="1">'TR TUSD'!$AK$28*'TR TUSD'!$AK$60</f>
        <v>0</v>
      </c>
      <c r="AL28" s="17">
        <f ca="1">SUM($AH$28:$AK$28)</f>
        <v>33.332397569245252</v>
      </c>
      <c r="AM28" s="17">
        <f ca="1">SUMIF($L$4:$AL$4,"SUBTOTAL",$L$28:$AL$28)</f>
        <v>530.74129298492369</v>
      </c>
      <c r="AP28" s="17">
        <f>IF((1 - CUSTOS!$M$26)&lt;&gt;0,1/(1 - CUSTOS!$M$26),1)</f>
        <v>1</v>
      </c>
    </row>
    <row r="29" spans="1:42" ht="11.25" customHeight="1" x14ac:dyDescent="0.25">
      <c r="A29" s="130"/>
      <c r="B29" s="130"/>
      <c r="C29" s="130"/>
      <c r="D29" s="37" t="s">
        <v>32</v>
      </c>
      <c r="E29" s="37" t="s">
        <v>25</v>
      </c>
      <c r="F29" s="37" t="s">
        <v>25</v>
      </c>
      <c r="G29" s="36" t="s">
        <v>79</v>
      </c>
      <c r="H29" s="36" t="s">
        <v>73</v>
      </c>
      <c r="I29" s="36">
        <f>'MERCADO TUSD'!$U$26</f>
        <v>0</v>
      </c>
      <c r="J29" s="16"/>
      <c r="L29" s="17">
        <f>'TR TUSD'!$L$29*'TR TUSD'!$L$60</f>
        <v>0</v>
      </c>
      <c r="M29" s="17">
        <f>'TR TUSD'!$M$29*'TR TUSD'!$M$60</f>
        <v>1.8731892523125935</v>
      </c>
      <c r="N29" s="17">
        <f ca="1">'TR TUSD'!$N$29*'TR TUSD'!$N$60</f>
        <v>0</v>
      </c>
      <c r="O29" s="17">
        <f>'TR TUSD'!$O$29*'TR TUSD'!$O$60</f>
        <v>0</v>
      </c>
      <c r="P29" s="17">
        <f>'TR TUSD'!$P$29*'TR TUSD'!$P$60</f>
        <v>0</v>
      </c>
      <c r="Q29" s="17">
        <f>'TR TUSD'!$Q$29*'TR TUSD'!$Q$60</f>
        <v>0</v>
      </c>
      <c r="R29" s="17">
        <f>'TR TUSD'!$R$29*'TR TUSD'!$R$60</f>
        <v>0</v>
      </c>
      <c r="S29" s="17">
        <f>'TR TUSD'!$S$29*'TR TUSD'!$S$60</f>
        <v>0</v>
      </c>
      <c r="T29" s="17">
        <f ca="1">SUM($L$29:$S$29)</f>
        <v>1.8731892523125935</v>
      </c>
      <c r="U29" s="17">
        <f>'TR TUSD'!$U$29*'TR TUSD'!$U$60</f>
        <v>0</v>
      </c>
      <c r="V29" s="17">
        <f>'TR TUSD'!$V$29*'TR TUSD'!$V$60</f>
        <v>0</v>
      </c>
      <c r="W29" s="17">
        <f>'TR TUSD'!$W$29*'TR TUSD'!$W$60</f>
        <v>0</v>
      </c>
      <c r="X29" s="17">
        <f>'TR TUSD'!$X$29*'TR TUSD'!$X$60</f>
        <v>0</v>
      </c>
      <c r="Y29" s="17">
        <f>'TR TUSD'!$Y$29*'TR TUSD'!$Y$60</f>
        <v>127.11433190805352</v>
      </c>
      <c r="Z29" s="17">
        <f>'TR TUSD'!$Z$29</f>
        <v>0</v>
      </c>
      <c r="AA29" s="17">
        <f>'TR TUSD'!$AA$29</f>
        <v>0</v>
      </c>
      <c r="AB29" s="17">
        <f>SUM($U$29:$AA$29)</f>
        <v>127.11433190805352</v>
      </c>
      <c r="AC29" s="17">
        <f>'TR TUSD'!$AC$29*'TR TUSD'!$AC$60</f>
        <v>368.42137425531229</v>
      </c>
      <c r="AD29" s="17">
        <f>SUM($AC$29:$AC$29)</f>
        <v>368.42137425531229</v>
      </c>
      <c r="AE29" s="17">
        <v>0</v>
      </c>
      <c r="AF29" s="17">
        <v>0</v>
      </c>
      <c r="AG29" s="17">
        <f>SUM($AE$29:$AF$29)</f>
        <v>0</v>
      </c>
      <c r="AH29" s="17">
        <f>'TR TUSD'!$AH$29*'TR TUSD'!$AH$60</f>
        <v>33.332397569245252</v>
      </c>
      <c r="AI29" s="17">
        <f>'TR TUSD'!$AI$29*'TR TUSD'!$AI$60</f>
        <v>0</v>
      </c>
      <c r="AJ29" s="17">
        <f ca="1">'TR TUSD'!$AJ$29*'TR TUSD'!$AJ$60</f>
        <v>0</v>
      </c>
      <c r="AK29" s="17">
        <f ca="1">'TR TUSD'!$AK$29*'TR TUSD'!$AK$60</f>
        <v>0</v>
      </c>
      <c r="AL29" s="17">
        <f ca="1">SUM($AH$29:$AK$29)</f>
        <v>33.332397569245252</v>
      </c>
      <c r="AM29" s="17">
        <f ca="1">SUMIF($L$4:$AL$4,"SUBTOTAL",$L$29:$AL$29)</f>
        <v>530.74129298492369</v>
      </c>
      <c r="AP29" s="17">
        <f>IF((1 - CUSTOS!$M$27)&lt;&gt;0,1/(1 - CUSTOS!$M$27),1)</f>
        <v>1</v>
      </c>
    </row>
    <row r="30" spans="1:42" ht="11.25" customHeight="1" x14ac:dyDescent="0.25">
      <c r="A30" s="130" t="s">
        <v>40</v>
      </c>
      <c r="B30" s="130" t="s">
        <v>87</v>
      </c>
      <c r="C30" s="130" t="s">
        <v>41</v>
      </c>
      <c r="D30" s="130" t="s">
        <v>25</v>
      </c>
      <c r="E30" s="130" t="s">
        <v>25</v>
      </c>
      <c r="F30" s="130" t="s">
        <v>25</v>
      </c>
      <c r="G30" s="36" t="s">
        <v>74</v>
      </c>
      <c r="H30" s="36" t="s">
        <v>73</v>
      </c>
      <c r="I30" s="36">
        <f>'MERCADO TUSD'!$U$27</f>
        <v>0</v>
      </c>
      <c r="J30" s="16"/>
      <c r="L30" s="17">
        <f>'TR TUSD'!$L$30*'TR TUSD'!$L$60</f>
        <v>0</v>
      </c>
      <c r="M30" s="17">
        <f>'TR TUSD'!$M$30*'TR TUSD'!$M$60</f>
        <v>1.8731892523125935</v>
      </c>
      <c r="N30" s="17">
        <f ca="1">'TR TUSD'!$N$30*'TR TUSD'!$N$60</f>
        <v>0</v>
      </c>
      <c r="O30" s="17">
        <f>'TR TUSD'!$O$30*'TR TUSD'!$O$60</f>
        <v>0</v>
      </c>
      <c r="P30" s="17">
        <f>'TR TUSD'!$P$30*'TR TUSD'!$P$60</f>
        <v>0</v>
      </c>
      <c r="Q30" s="17">
        <f>'TR TUSD'!$Q$30*'TR TUSD'!$Q$60</f>
        <v>85.619496446908528</v>
      </c>
      <c r="R30" s="17">
        <f>'TR TUSD'!$R$30*'TR TUSD'!$R$60</f>
        <v>14.204789845979091</v>
      </c>
      <c r="S30" s="17">
        <f>'TR TUSD'!$S$30*'TR TUSD'!$S$60</f>
        <v>0</v>
      </c>
      <c r="T30" s="17">
        <f ca="1">SUM($L$30:$S$30)</f>
        <v>101.69747554520022</v>
      </c>
      <c r="U30" s="17">
        <f>'TR TUSD'!$U$30*'TR TUSD'!$U$60</f>
        <v>0</v>
      </c>
      <c r="V30" s="17">
        <f>'TR TUSD'!$V$30*'TR TUSD'!$V$60</f>
        <v>0</v>
      </c>
      <c r="W30" s="17">
        <f>'TR TUSD'!$W$30*'TR TUSD'!$W$60</f>
        <v>0</v>
      </c>
      <c r="X30" s="17">
        <f>'TR TUSD'!$X$30*'TR TUSD'!$X$60</f>
        <v>0</v>
      </c>
      <c r="Y30" s="17">
        <f>'TR TUSD'!$Y$30*'TR TUSD'!$Y$60</f>
        <v>312.34501487523954</v>
      </c>
      <c r="Z30" s="17">
        <f>'TR TUSD'!$Z$30</f>
        <v>0</v>
      </c>
      <c r="AA30" s="17">
        <f>'TR TUSD'!$AA$30</f>
        <v>0</v>
      </c>
      <c r="AB30" s="17">
        <f>SUM($U$30:$AA$30)</f>
        <v>312.34501487523954</v>
      </c>
      <c r="AC30" s="17">
        <f>'TR TUSD'!$AC$30*'TR TUSD'!$AC$60</f>
        <v>905.21105936334595</v>
      </c>
      <c r="AD30" s="17">
        <f>SUM($AC$30:$AC$30)</f>
        <v>905.21105936334595</v>
      </c>
      <c r="AE30" s="17">
        <v>0</v>
      </c>
      <c r="AF30" s="17">
        <v>0</v>
      </c>
      <c r="AG30" s="17">
        <f>SUM($AE$30:$AF$30)</f>
        <v>0</v>
      </c>
      <c r="AH30" s="17">
        <f>'TR TUSD'!$AH$30*'TR TUSD'!$AH$60</f>
        <v>33.332397569245252</v>
      </c>
      <c r="AI30" s="17">
        <f>'TR TUSD'!$AI$30*'TR TUSD'!$AI$60</f>
        <v>0</v>
      </c>
      <c r="AJ30" s="17">
        <f ca="1">'TR TUSD'!$AJ$30*'TR TUSD'!$AJ$60</f>
        <v>0</v>
      </c>
      <c r="AK30" s="17">
        <f ca="1">'TR TUSD'!$AK$30*'TR TUSD'!$AK$60</f>
        <v>0</v>
      </c>
      <c r="AL30" s="17">
        <f ca="1">SUM($AH$30:$AK$30)</f>
        <v>33.332397569245252</v>
      </c>
      <c r="AM30" s="17">
        <f ca="1">SUMIF($L$4:$AL$4,"SUBTOTAL",$L$30:$AL$30)</f>
        <v>1352.5859473530311</v>
      </c>
      <c r="AP30" s="17">
        <f>IF((1 - CUSTOS!$M$28)&lt;&gt;0,1/(1 - CUSTOS!$M$28),1)</f>
        <v>1</v>
      </c>
    </row>
    <row r="31" spans="1:42" ht="11.25" customHeight="1" x14ac:dyDescent="0.25">
      <c r="A31" s="130"/>
      <c r="B31" s="130"/>
      <c r="C31" s="130"/>
      <c r="D31" s="130"/>
      <c r="E31" s="130"/>
      <c r="F31" s="130"/>
      <c r="G31" s="36" t="s">
        <v>85</v>
      </c>
      <c r="H31" s="36" t="s">
        <v>73</v>
      </c>
      <c r="I31" s="36">
        <f>'MERCADO TUSD'!$U$28</f>
        <v>0</v>
      </c>
      <c r="J31" s="16"/>
      <c r="L31" s="17">
        <f>'TR TUSD'!$L$31*'TR TUSD'!$L$60</f>
        <v>0</v>
      </c>
      <c r="M31" s="17">
        <f>'TR TUSD'!$M$31*'TR TUSD'!$M$60</f>
        <v>1.8731892523125935</v>
      </c>
      <c r="N31" s="17">
        <f ca="1">'TR TUSD'!$N$31*'TR TUSD'!$N$60</f>
        <v>0</v>
      </c>
      <c r="O31" s="17">
        <f>'TR TUSD'!$O$31*'TR TUSD'!$O$60</f>
        <v>0</v>
      </c>
      <c r="P31" s="17">
        <f>'TR TUSD'!$P$31*'TR TUSD'!$P$60</f>
        <v>0</v>
      </c>
      <c r="Q31" s="17">
        <f>'TR TUSD'!$Q$31*'TR TUSD'!$Q$60</f>
        <v>85.619496446908528</v>
      </c>
      <c r="R31" s="17">
        <f>'TR TUSD'!$R$31*'TR TUSD'!$R$60</f>
        <v>14.204789845979091</v>
      </c>
      <c r="S31" s="17">
        <f>'TR TUSD'!$S$31*'TR TUSD'!$S$60</f>
        <v>0</v>
      </c>
      <c r="T31" s="17">
        <f ca="1">SUM($L$31:$S$31)</f>
        <v>101.69747554520022</v>
      </c>
      <c r="U31" s="17">
        <f>'TR TUSD'!$U$31*'TR TUSD'!$U$60</f>
        <v>0</v>
      </c>
      <c r="V31" s="17">
        <f>'TR TUSD'!$V$31*'TR TUSD'!$V$60</f>
        <v>0</v>
      </c>
      <c r="W31" s="17">
        <f>'TR TUSD'!$W$31*'TR TUSD'!$W$60</f>
        <v>0</v>
      </c>
      <c r="X31" s="17">
        <f>'TR TUSD'!$X$31*'TR TUSD'!$X$60</f>
        <v>0</v>
      </c>
      <c r="Y31" s="17">
        <f>'TR TUSD'!$Y$31*'TR TUSD'!$Y$60</f>
        <v>187.37935987050312</v>
      </c>
      <c r="Z31" s="17">
        <f>'TR TUSD'!$Z$31</f>
        <v>0</v>
      </c>
      <c r="AA31" s="17">
        <f>'TR TUSD'!$AA$31</f>
        <v>0</v>
      </c>
      <c r="AB31" s="17">
        <f>SUM($U$31:$AA$31)</f>
        <v>187.37935987050312</v>
      </c>
      <c r="AC31" s="17">
        <f>'TR TUSD'!$AC$31*'TR TUSD'!$AC$60</f>
        <v>543.126807574184</v>
      </c>
      <c r="AD31" s="17">
        <f>SUM($AC$31:$AC$31)</f>
        <v>543.126807574184</v>
      </c>
      <c r="AE31" s="17">
        <v>0</v>
      </c>
      <c r="AF31" s="17">
        <v>0</v>
      </c>
      <c r="AG31" s="17">
        <f>SUM($AE$31:$AF$31)</f>
        <v>0</v>
      </c>
      <c r="AH31" s="17">
        <f>'TR TUSD'!$AH$31*'TR TUSD'!$AH$60</f>
        <v>33.332397569245252</v>
      </c>
      <c r="AI31" s="17">
        <f>'TR TUSD'!$AI$31*'TR TUSD'!$AI$60</f>
        <v>0</v>
      </c>
      <c r="AJ31" s="17">
        <f ca="1">'TR TUSD'!$AJ$31*'TR TUSD'!$AJ$60</f>
        <v>0</v>
      </c>
      <c r="AK31" s="17">
        <f ca="1">'TR TUSD'!$AK$31*'TR TUSD'!$AK$60</f>
        <v>0</v>
      </c>
      <c r="AL31" s="17">
        <f ca="1">SUM($AH$31:$AK$31)</f>
        <v>33.332397569245252</v>
      </c>
      <c r="AM31" s="17">
        <f ca="1">SUMIF($L$4:$AL$4,"SUBTOTAL",$L$31:$AL$31)</f>
        <v>865.53604055913263</v>
      </c>
      <c r="AP31" s="17">
        <f>IF((1 - CUSTOS!$M$28)&lt;&gt;0,1/(1 - CUSTOS!$M$28),1)</f>
        <v>1</v>
      </c>
    </row>
    <row r="32" spans="1:42" ht="11.25" customHeight="1" x14ac:dyDescent="0.25">
      <c r="A32" s="130"/>
      <c r="B32" s="130"/>
      <c r="C32" s="130"/>
      <c r="D32" s="130"/>
      <c r="E32" s="130"/>
      <c r="F32" s="130"/>
      <c r="G32" s="36" t="s">
        <v>75</v>
      </c>
      <c r="H32" s="36" t="s">
        <v>73</v>
      </c>
      <c r="I32" s="36">
        <f>'MERCADO TUSD'!$U$29</f>
        <v>0</v>
      </c>
      <c r="J32" s="16"/>
      <c r="L32" s="17">
        <f>'TR TUSD'!$L$32*'TR TUSD'!$L$60</f>
        <v>0</v>
      </c>
      <c r="M32" s="17">
        <f>'TR TUSD'!$M$32*'TR TUSD'!$M$60</f>
        <v>1.8731892523125935</v>
      </c>
      <c r="N32" s="17">
        <f ca="1">'TR TUSD'!$N$32*'TR TUSD'!$N$60</f>
        <v>0</v>
      </c>
      <c r="O32" s="17">
        <f>'TR TUSD'!$O$32*'TR TUSD'!$O$60</f>
        <v>0</v>
      </c>
      <c r="P32" s="17">
        <f>'TR TUSD'!$P$32*'TR TUSD'!$P$60</f>
        <v>0</v>
      </c>
      <c r="Q32" s="17">
        <f>'TR TUSD'!$Q$32*'TR TUSD'!$Q$60</f>
        <v>85.619496446908528</v>
      </c>
      <c r="R32" s="17">
        <f>'TR TUSD'!$R$32*'TR TUSD'!$R$60</f>
        <v>14.204789845979091</v>
      </c>
      <c r="S32" s="17">
        <f>'TR TUSD'!$S$32*'TR TUSD'!$S$60</f>
        <v>0</v>
      </c>
      <c r="T32" s="17">
        <f ca="1">SUM($L$32:$S$32)</f>
        <v>101.69747554520022</v>
      </c>
      <c r="U32" s="17">
        <f>'TR TUSD'!$U$32*'TR TUSD'!$U$60</f>
        <v>0</v>
      </c>
      <c r="V32" s="17">
        <f>'TR TUSD'!$V$32*'TR TUSD'!$V$60</f>
        <v>0</v>
      </c>
      <c r="W32" s="17">
        <f>'TR TUSD'!$W$32*'TR TUSD'!$W$60</f>
        <v>0</v>
      </c>
      <c r="X32" s="17">
        <f>'TR TUSD'!$X$32*'TR TUSD'!$X$60</f>
        <v>0</v>
      </c>
      <c r="Y32" s="17">
        <f>'TR TUSD'!$Y$32*'TR TUSD'!$Y$60</f>
        <v>62.448036286163003</v>
      </c>
      <c r="Z32" s="17">
        <f>'TR TUSD'!$Z$32</f>
        <v>0</v>
      </c>
      <c r="AA32" s="17">
        <f>'TR TUSD'!$AA$32</f>
        <v>0</v>
      </c>
      <c r="AB32" s="17">
        <f>SUM($U$32:$AA$32)</f>
        <v>62.448036286163003</v>
      </c>
      <c r="AC32" s="17">
        <f>'TR TUSD'!$AC$32*'TR TUSD'!$AC$60</f>
        <v>181.04223336719124</v>
      </c>
      <c r="AD32" s="17">
        <f>SUM($AC$32:$AC$32)</f>
        <v>181.04223336719124</v>
      </c>
      <c r="AE32" s="17">
        <v>0</v>
      </c>
      <c r="AF32" s="17">
        <v>0</v>
      </c>
      <c r="AG32" s="17">
        <f>SUM($AE$32:$AF$32)</f>
        <v>0</v>
      </c>
      <c r="AH32" s="17">
        <f>'TR TUSD'!$AH$32*'TR TUSD'!$AH$60</f>
        <v>33.332397569245252</v>
      </c>
      <c r="AI32" s="17">
        <f>'TR TUSD'!$AI$32*'TR TUSD'!$AI$60</f>
        <v>0</v>
      </c>
      <c r="AJ32" s="17">
        <f ca="1">'TR TUSD'!$AJ$32*'TR TUSD'!$AJ$60</f>
        <v>0</v>
      </c>
      <c r="AK32" s="17">
        <f ca="1">'TR TUSD'!$AK$32*'TR TUSD'!$AK$60</f>
        <v>0</v>
      </c>
      <c r="AL32" s="17">
        <f ca="1">SUM($AH$32:$AK$32)</f>
        <v>33.332397569245252</v>
      </c>
      <c r="AM32" s="17">
        <f ca="1">SUMIF($L$4:$AL$4,"SUBTOTAL",$L$32:$AL$32)</f>
        <v>378.52014276779971</v>
      </c>
      <c r="AP32" s="17">
        <f>IF((1 - CUSTOS!$M$28)&lt;&gt;0,1/(1 - CUSTOS!$M$28),1)</f>
        <v>1</v>
      </c>
    </row>
    <row r="33" spans="1:42" ht="11.25" customHeight="1" x14ac:dyDescent="0.25">
      <c r="A33" s="130"/>
      <c r="B33" s="37" t="s">
        <v>23</v>
      </c>
      <c r="C33" s="37" t="s">
        <v>41</v>
      </c>
      <c r="D33" s="37" t="s">
        <v>25</v>
      </c>
      <c r="E33" s="37" t="s">
        <v>25</v>
      </c>
      <c r="F33" s="37" t="s">
        <v>25</v>
      </c>
      <c r="G33" s="36" t="s">
        <v>79</v>
      </c>
      <c r="H33" s="36" t="s">
        <v>73</v>
      </c>
      <c r="I33" s="36">
        <f>'MERCADO TUSD'!$U$30</f>
        <v>55907.260999999999</v>
      </c>
      <c r="J33" s="16"/>
      <c r="L33" s="17">
        <f>'TR TUSD'!$L$33*'TR TUSD'!$L$60</f>
        <v>0</v>
      </c>
      <c r="M33" s="17">
        <f>'TR TUSD'!$M$33*'TR TUSD'!$M$60</f>
        <v>1.8731892523125935</v>
      </c>
      <c r="N33" s="17">
        <f ca="1">'TR TUSD'!$N$33*'TR TUSD'!$N$60</f>
        <v>0</v>
      </c>
      <c r="O33" s="17">
        <f>'TR TUSD'!$O$33*'TR TUSD'!$O$60</f>
        <v>0</v>
      </c>
      <c r="P33" s="17">
        <f>'TR TUSD'!$P$33*'TR TUSD'!$P$60</f>
        <v>0</v>
      </c>
      <c r="Q33" s="17">
        <f>'TR TUSD'!$Q$33*'TR TUSD'!$Q$60</f>
        <v>85.619496446908528</v>
      </c>
      <c r="R33" s="17">
        <f>'TR TUSD'!$R$33*'TR TUSD'!$R$60</f>
        <v>14.204789845979091</v>
      </c>
      <c r="S33" s="17">
        <f>'TR TUSD'!$S$33*'TR TUSD'!$S$60</f>
        <v>0</v>
      </c>
      <c r="T33" s="17">
        <f ca="1">SUM($L$33:$S$33)</f>
        <v>101.69747554520022</v>
      </c>
      <c r="U33" s="17">
        <f>'TR TUSD'!$U$33*'TR TUSD'!$U$60</f>
        <v>0</v>
      </c>
      <c r="V33" s="17">
        <f>'TR TUSD'!$V$33*'TR TUSD'!$V$60</f>
        <v>0</v>
      </c>
      <c r="W33" s="17">
        <f>'TR TUSD'!$W$33*'TR TUSD'!$W$60</f>
        <v>0</v>
      </c>
      <c r="X33" s="17">
        <f>'TR TUSD'!$X$33*'TR TUSD'!$X$60</f>
        <v>0</v>
      </c>
      <c r="Y33" s="17">
        <f>'TR TUSD'!$Y$33*'TR TUSD'!$Y$60</f>
        <v>127.11433190805352</v>
      </c>
      <c r="Z33" s="17">
        <f>'TR TUSD'!$Z$33</f>
        <v>0</v>
      </c>
      <c r="AA33" s="17">
        <f>'TR TUSD'!$AA$33</f>
        <v>0</v>
      </c>
      <c r="AB33" s="17">
        <f>SUM($U$33:$AA$33)</f>
        <v>127.11433190805352</v>
      </c>
      <c r="AC33" s="17">
        <f>'TR TUSD'!$AC$33*'TR TUSD'!$AC$60</f>
        <v>368.42137425531229</v>
      </c>
      <c r="AD33" s="17">
        <f>SUM($AC$33:$AC$33)</f>
        <v>368.42137425531229</v>
      </c>
      <c r="AE33" s="17">
        <v>0</v>
      </c>
      <c r="AF33" s="17">
        <v>0</v>
      </c>
      <c r="AG33" s="17">
        <f>SUM($AE$33:$AF$33)</f>
        <v>0</v>
      </c>
      <c r="AH33" s="17">
        <f>'TR TUSD'!$AH$33*'TR TUSD'!$AH$60</f>
        <v>33.332397569245252</v>
      </c>
      <c r="AI33" s="17">
        <f>'TR TUSD'!$AI$33*'TR TUSD'!$AI$60</f>
        <v>0</v>
      </c>
      <c r="AJ33" s="17">
        <f ca="1">'TR TUSD'!$AJ$33*'TR TUSD'!$AJ$60</f>
        <v>0</v>
      </c>
      <c r="AK33" s="17">
        <f ca="1">'TR TUSD'!$AK$33*'TR TUSD'!$AK$60</f>
        <v>0</v>
      </c>
      <c r="AL33" s="17">
        <f ca="1">SUM($AH$33:$AK$33)</f>
        <v>33.332397569245252</v>
      </c>
      <c r="AM33" s="17">
        <f ca="1">SUMIF($L$4:$AL$4,"SUBTOTAL",$L$33:$AL$33)</f>
        <v>630.56557927781125</v>
      </c>
      <c r="AP33" s="17">
        <f>IF((1 - CUSTOS!$M$28)&lt;&gt;0,1/(1 - CUSTOS!$M$28),1)</f>
        <v>1</v>
      </c>
    </row>
    <row r="34" spans="1:42" ht="11.25" customHeight="1" x14ac:dyDescent="0.25">
      <c r="A34" s="130"/>
      <c r="B34" s="130" t="s">
        <v>87</v>
      </c>
      <c r="C34" s="130" t="s">
        <v>41</v>
      </c>
      <c r="D34" s="130" t="s">
        <v>90</v>
      </c>
      <c r="E34" s="130" t="s">
        <v>25</v>
      </c>
      <c r="F34" s="130" t="s">
        <v>25</v>
      </c>
      <c r="G34" s="36" t="s">
        <v>74</v>
      </c>
      <c r="H34" s="36" t="s">
        <v>73</v>
      </c>
      <c r="I34" s="36">
        <f>'MERCADO TUSD'!$U$31</f>
        <v>0</v>
      </c>
      <c r="J34" s="16"/>
      <c r="L34" s="17">
        <f>'TR TUSD'!$L$34*'TR TUSD'!$L$60</f>
        <v>0</v>
      </c>
      <c r="M34" s="17">
        <f>'TR TUSD'!$M$34*'TR TUSD'!$M$60</f>
        <v>1.8731892523125935</v>
      </c>
      <c r="N34" s="17">
        <f ca="1">'TR TUSD'!$N$34*'TR TUSD'!$N$60</f>
        <v>0</v>
      </c>
      <c r="O34" s="17">
        <f>'TR TUSD'!$O$34*'TR TUSD'!$O$60</f>
        <v>0</v>
      </c>
      <c r="P34" s="17">
        <f>'TR TUSD'!$P$34*'TR TUSD'!$P$60</f>
        <v>0</v>
      </c>
      <c r="Q34" s="17">
        <f>'TR TUSD'!$Q$34*'TR TUSD'!$Q$60</f>
        <v>85.619496446908528</v>
      </c>
      <c r="R34" s="17">
        <f>'TR TUSD'!$R$34*'TR TUSD'!$R$60</f>
        <v>14.204789845979091</v>
      </c>
      <c r="S34" s="17">
        <f>'TR TUSD'!$S$34*'TR TUSD'!$S$60</f>
        <v>0</v>
      </c>
      <c r="T34" s="17">
        <f ca="1">SUM($L$34:$S$34)</f>
        <v>101.69747554520022</v>
      </c>
      <c r="U34" s="17">
        <f>'TR TUSD'!$U$34*'TR TUSD'!$U$60</f>
        <v>0</v>
      </c>
      <c r="V34" s="17">
        <f>'TR TUSD'!$V$34*'TR TUSD'!$V$60</f>
        <v>0</v>
      </c>
      <c r="W34" s="17">
        <f>'TR TUSD'!$W$34*'TR TUSD'!$W$60</f>
        <v>0</v>
      </c>
      <c r="X34" s="17">
        <f>'TR TUSD'!$X$34*'TR TUSD'!$X$60</f>
        <v>0</v>
      </c>
      <c r="Y34" s="17">
        <f>'TR TUSD'!$Y$34*'TR TUSD'!$Y$60</f>
        <v>312.34501487523954</v>
      </c>
      <c r="Z34" s="17">
        <f>'TR TUSD'!$Z$34</f>
        <v>0</v>
      </c>
      <c r="AA34" s="17">
        <f>'TR TUSD'!$AA$34</f>
        <v>0</v>
      </c>
      <c r="AB34" s="17">
        <f>SUM($U$34:$AA$34)</f>
        <v>312.34501487523954</v>
      </c>
      <c r="AC34" s="17">
        <f>'TR TUSD'!$AC$34*'TR TUSD'!$AC$60</f>
        <v>905.21105936334595</v>
      </c>
      <c r="AD34" s="17">
        <f>SUM($AC$34:$AC$34)</f>
        <v>905.21105936334595</v>
      </c>
      <c r="AE34" s="17">
        <v>0</v>
      </c>
      <c r="AF34" s="17">
        <v>0</v>
      </c>
      <c r="AG34" s="17">
        <f>SUM($AE$34:$AF$34)</f>
        <v>0</v>
      </c>
      <c r="AH34" s="17">
        <f>'TR TUSD'!$AH$34*'TR TUSD'!$AH$60</f>
        <v>33.332397569245252</v>
      </c>
      <c r="AI34" s="17">
        <f>'TR TUSD'!$AI$34*'TR TUSD'!$AI$60</f>
        <v>0</v>
      </c>
      <c r="AJ34" s="17">
        <f ca="1">'TR TUSD'!$AJ$34*'TR TUSD'!$AJ$60</f>
        <v>0</v>
      </c>
      <c r="AK34" s="17">
        <f ca="1">'TR TUSD'!$AK$34*'TR TUSD'!$AK$60</f>
        <v>0</v>
      </c>
      <c r="AL34" s="17">
        <f ca="1">SUM($AH$34:$AK$34)</f>
        <v>33.332397569245252</v>
      </c>
      <c r="AM34" s="17">
        <f ca="1">SUMIF($L$4:$AL$4,"SUBTOTAL",$L$34:$AL$34)</f>
        <v>1352.5859473530311</v>
      </c>
      <c r="AP34" s="17">
        <f>IF((1 - CUSTOS!$M$29)&lt;&gt;0,1/(1 - CUSTOS!$M$29),1)</f>
        <v>1</v>
      </c>
    </row>
    <row r="35" spans="1:42" ht="11.25" customHeight="1" x14ac:dyDescent="0.25">
      <c r="A35" s="130"/>
      <c r="B35" s="130"/>
      <c r="C35" s="130"/>
      <c r="D35" s="130"/>
      <c r="E35" s="130"/>
      <c r="F35" s="130"/>
      <c r="G35" s="36" t="s">
        <v>85</v>
      </c>
      <c r="H35" s="36" t="s">
        <v>73</v>
      </c>
      <c r="I35" s="36">
        <f>'MERCADO TUSD'!$U$32</f>
        <v>0</v>
      </c>
      <c r="J35" s="16"/>
      <c r="L35" s="17">
        <f>'TR TUSD'!$L$35*'TR TUSD'!$L$60</f>
        <v>0</v>
      </c>
      <c r="M35" s="17">
        <f>'TR TUSD'!$M$35*'TR TUSD'!$M$60</f>
        <v>1.8731892523125935</v>
      </c>
      <c r="N35" s="17">
        <f ca="1">'TR TUSD'!$N$35*'TR TUSD'!$N$60</f>
        <v>0</v>
      </c>
      <c r="O35" s="17">
        <f>'TR TUSD'!$O$35*'TR TUSD'!$O$60</f>
        <v>0</v>
      </c>
      <c r="P35" s="17">
        <f>'TR TUSD'!$P$35*'TR TUSD'!$P$60</f>
        <v>0</v>
      </c>
      <c r="Q35" s="17">
        <f>'TR TUSD'!$Q$35*'TR TUSD'!$Q$60</f>
        <v>85.619496446908528</v>
      </c>
      <c r="R35" s="17">
        <f>'TR TUSD'!$R$35*'TR TUSD'!$R$60</f>
        <v>14.204789845979091</v>
      </c>
      <c r="S35" s="17">
        <f>'TR TUSD'!$S$35*'TR TUSD'!$S$60</f>
        <v>0</v>
      </c>
      <c r="T35" s="17">
        <f ca="1">SUM($L$35:$S$35)</f>
        <v>101.69747554520022</v>
      </c>
      <c r="U35" s="17">
        <f>'TR TUSD'!$U$35*'TR TUSD'!$U$60</f>
        <v>0</v>
      </c>
      <c r="V35" s="17">
        <f>'TR TUSD'!$V$35*'TR TUSD'!$V$60</f>
        <v>0</v>
      </c>
      <c r="W35" s="17">
        <f>'TR TUSD'!$W$35*'TR TUSD'!$W$60</f>
        <v>0</v>
      </c>
      <c r="X35" s="17">
        <f>'TR TUSD'!$X$35*'TR TUSD'!$X$60</f>
        <v>0</v>
      </c>
      <c r="Y35" s="17">
        <f>'TR TUSD'!$Y$35*'TR TUSD'!$Y$60</f>
        <v>187.37935987050312</v>
      </c>
      <c r="Z35" s="17">
        <f>'TR TUSD'!$Z$35</f>
        <v>0</v>
      </c>
      <c r="AA35" s="17">
        <f>'TR TUSD'!$AA$35</f>
        <v>0</v>
      </c>
      <c r="AB35" s="17">
        <f>SUM($U$35:$AA$35)</f>
        <v>187.37935987050312</v>
      </c>
      <c r="AC35" s="17">
        <f>'TR TUSD'!$AC$35*'TR TUSD'!$AC$60</f>
        <v>543.126807574184</v>
      </c>
      <c r="AD35" s="17">
        <f>SUM($AC$35:$AC$35)</f>
        <v>543.126807574184</v>
      </c>
      <c r="AE35" s="17">
        <v>0</v>
      </c>
      <c r="AF35" s="17">
        <v>0</v>
      </c>
      <c r="AG35" s="17">
        <f>SUM($AE$35:$AF$35)</f>
        <v>0</v>
      </c>
      <c r="AH35" s="17">
        <f>'TR TUSD'!$AH$35*'TR TUSD'!$AH$60</f>
        <v>33.332397569245252</v>
      </c>
      <c r="AI35" s="17">
        <f>'TR TUSD'!$AI$35*'TR TUSD'!$AI$60</f>
        <v>0</v>
      </c>
      <c r="AJ35" s="17">
        <f ca="1">'TR TUSD'!$AJ$35*'TR TUSD'!$AJ$60</f>
        <v>0</v>
      </c>
      <c r="AK35" s="17">
        <f ca="1">'TR TUSD'!$AK$35*'TR TUSD'!$AK$60</f>
        <v>0</v>
      </c>
      <c r="AL35" s="17">
        <f ca="1">SUM($AH$35:$AK$35)</f>
        <v>33.332397569245252</v>
      </c>
      <c r="AM35" s="17">
        <f ca="1">SUMIF($L$4:$AL$4,"SUBTOTAL",$L$35:$AL$35)</f>
        <v>865.53604055913263</v>
      </c>
      <c r="AP35" s="17">
        <f>IF((1 - CUSTOS!$M$29)&lt;&gt;0,1/(1 - CUSTOS!$M$29),1)</f>
        <v>1</v>
      </c>
    </row>
    <row r="36" spans="1:42" ht="11.25" customHeight="1" x14ac:dyDescent="0.25">
      <c r="A36" s="130"/>
      <c r="B36" s="130"/>
      <c r="C36" s="130"/>
      <c r="D36" s="130"/>
      <c r="E36" s="130"/>
      <c r="F36" s="130"/>
      <c r="G36" s="36" t="s">
        <v>75</v>
      </c>
      <c r="H36" s="36" t="s">
        <v>73</v>
      </c>
      <c r="I36" s="36">
        <f>'MERCADO TUSD'!$U$33</f>
        <v>0</v>
      </c>
      <c r="J36" s="16"/>
      <c r="L36" s="17">
        <f>'TR TUSD'!$L$36*'TR TUSD'!$L$60</f>
        <v>0</v>
      </c>
      <c r="M36" s="17">
        <f>'TR TUSD'!$M$36*'TR TUSD'!$M$60</f>
        <v>1.8731892523125935</v>
      </c>
      <c r="N36" s="17">
        <f ca="1">'TR TUSD'!$N$36*'TR TUSD'!$N$60</f>
        <v>0</v>
      </c>
      <c r="O36" s="17">
        <f>'TR TUSD'!$O$36*'TR TUSD'!$O$60</f>
        <v>0</v>
      </c>
      <c r="P36" s="17">
        <f>'TR TUSD'!$P$36*'TR TUSD'!$P$60</f>
        <v>0</v>
      </c>
      <c r="Q36" s="17">
        <f>'TR TUSD'!$Q$36*'TR TUSD'!$Q$60</f>
        <v>85.619496446908528</v>
      </c>
      <c r="R36" s="17">
        <f>'TR TUSD'!$R$36*'TR TUSD'!$R$60</f>
        <v>14.204789845979091</v>
      </c>
      <c r="S36" s="17">
        <f>'TR TUSD'!$S$36*'TR TUSD'!$S$60</f>
        <v>0</v>
      </c>
      <c r="T36" s="17">
        <f ca="1">SUM($L$36:$S$36)</f>
        <v>101.69747554520022</v>
      </c>
      <c r="U36" s="17">
        <f>'TR TUSD'!$U$36*'TR TUSD'!$U$60</f>
        <v>0</v>
      </c>
      <c r="V36" s="17">
        <f>'TR TUSD'!$V$36*'TR TUSD'!$V$60</f>
        <v>0</v>
      </c>
      <c r="W36" s="17">
        <f>'TR TUSD'!$W$36*'TR TUSD'!$W$60</f>
        <v>0</v>
      </c>
      <c r="X36" s="17">
        <f>'TR TUSD'!$X$36*'TR TUSD'!$X$60</f>
        <v>0</v>
      </c>
      <c r="Y36" s="17">
        <f>'TR TUSD'!$Y$36*'TR TUSD'!$Y$60</f>
        <v>62.448036286163003</v>
      </c>
      <c r="Z36" s="17">
        <f>'TR TUSD'!$Z$36</f>
        <v>0</v>
      </c>
      <c r="AA36" s="17">
        <f>'TR TUSD'!$AA$36</f>
        <v>0</v>
      </c>
      <c r="AB36" s="17">
        <f>SUM($U$36:$AA$36)</f>
        <v>62.448036286163003</v>
      </c>
      <c r="AC36" s="17">
        <f>'TR TUSD'!$AC$36*'TR TUSD'!$AC$60</f>
        <v>181.04223336719124</v>
      </c>
      <c r="AD36" s="17">
        <f>SUM($AC$36:$AC$36)</f>
        <v>181.04223336719124</v>
      </c>
      <c r="AE36" s="17">
        <v>0</v>
      </c>
      <c r="AF36" s="17">
        <v>0</v>
      </c>
      <c r="AG36" s="17">
        <f>SUM($AE$36:$AF$36)</f>
        <v>0</v>
      </c>
      <c r="AH36" s="17">
        <f>'TR TUSD'!$AH$36*'TR TUSD'!$AH$60</f>
        <v>33.332397569245252</v>
      </c>
      <c r="AI36" s="17">
        <f>'TR TUSD'!$AI$36*'TR TUSD'!$AI$60</f>
        <v>0</v>
      </c>
      <c r="AJ36" s="17">
        <f ca="1">'TR TUSD'!$AJ$36*'TR TUSD'!$AJ$60</f>
        <v>0</v>
      </c>
      <c r="AK36" s="17">
        <f ca="1">'TR TUSD'!$AK$36*'TR TUSD'!$AK$60</f>
        <v>0</v>
      </c>
      <c r="AL36" s="17">
        <f ca="1">SUM($AH$36:$AK$36)</f>
        <v>33.332397569245252</v>
      </c>
      <c r="AM36" s="17">
        <f ca="1">SUMIF($L$4:$AL$4,"SUBTOTAL",$L$36:$AL$36)</f>
        <v>378.52014276779971</v>
      </c>
      <c r="AP36" s="17">
        <f>IF((1 - CUSTOS!$M$29)&lt;&gt;0,1/(1 - CUSTOS!$M$29),1)</f>
        <v>1</v>
      </c>
    </row>
    <row r="37" spans="1:42" ht="11.25" customHeight="1" x14ac:dyDescent="0.25">
      <c r="A37" s="130"/>
      <c r="B37" s="37" t="s">
        <v>23</v>
      </c>
      <c r="C37" s="37" t="s">
        <v>41</v>
      </c>
      <c r="D37" s="37" t="s">
        <v>90</v>
      </c>
      <c r="E37" s="37" t="s">
        <v>25</v>
      </c>
      <c r="F37" s="37" t="s">
        <v>25</v>
      </c>
      <c r="G37" s="36" t="s">
        <v>79</v>
      </c>
      <c r="H37" s="36" t="s">
        <v>73</v>
      </c>
      <c r="I37" s="36">
        <f>'MERCADO TUSD'!$U$34</f>
        <v>0</v>
      </c>
      <c r="J37" s="16"/>
      <c r="L37" s="17">
        <f>'TR TUSD'!$L$37*'TR TUSD'!$L$60</f>
        <v>0</v>
      </c>
      <c r="M37" s="17">
        <f>'TR TUSD'!$M$37*'TR TUSD'!$M$60</f>
        <v>1.8731892523125935</v>
      </c>
      <c r="N37" s="17">
        <f ca="1">'TR TUSD'!$N$37*'TR TUSD'!$N$60</f>
        <v>0</v>
      </c>
      <c r="O37" s="17">
        <f>'TR TUSD'!$O$37*'TR TUSD'!$O$60</f>
        <v>0</v>
      </c>
      <c r="P37" s="17">
        <f>'TR TUSD'!$P$37*'TR TUSD'!$P$60</f>
        <v>0</v>
      </c>
      <c r="Q37" s="17">
        <f>'TR TUSD'!$Q$37*'TR TUSD'!$Q$60</f>
        <v>85.619496446908528</v>
      </c>
      <c r="R37" s="17">
        <f>'TR TUSD'!$R$37*'TR TUSD'!$R$60</f>
        <v>14.204789845979091</v>
      </c>
      <c r="S37" s="17">
        <f>'TR TUSD'!$S$37*'TR TUSD'!$S$60</f>
        <v>0</v>
      </c>
      <c r="T37" s="17">
        <f ca="1">SUM($L$37:$S$37)</f>
        <v>101.69747554520022</v>
      </c>
      <c r="U37" s="17">
        <f>'TR TUSD'!$U$37*'TR TUSD'!$U$60</f>
        <v>0</v>
      </c>
      <c r="V37" s="17">
        <f>'TR TUSD'!$V$37*'TR TUSD'!$V$60</f>
        <v>0</v>
      </c>
      <c r="W37" s="17">
        <f>'TR TUSD'!$W$37*'TR TUSD'!$W$60</f>
        <v>0</v>
      </c>
      <c r="X37" s="17">
        <f>'TR TUSD'!$X$37*'TR TUSD'!$X$60</f>
        <v>0</v>
      </c>
      <c r="Y37" s="17">
        <f>'TR TUSD'!$Y$37*'TR TUSD'!$Y$60</f>
        <v>127.11433190805352</v>
      </c>
      <c r="Z37" s="17">
        <f>'TR TUSD'!$Z$37</f>
        <v>0</v>
      </c>
      <c r="AA37" s="17">
        <f>'TR TUSD'!$AA$37</f>
        <v>0</v>
      </c>
      <c r="AB37" s="17">
        <f>SUM($U$37:$AA$37)</f>
        <v>127.11433190805352</v>
      </c>
      <c r="AC37" s="17">
        <f>'TR TUSD'!$AC$37*'TR TUSD'!$AC$60</f>
        <v>368.42137425531229</v>
      </c>
      <c r="AD37" s="17">
        <f>SUM($AC$37:$AC$37)</f>
        <v>368.42137425531229</v>
      </c>
      <c r="AE37" s="17">
        <v>0</v>
      </c>
      <c r="AF37" s="17">
        <v>0</v>
      </c>
      <c r="AG37" s="17">
        <f>SUM($AE$37:$AF$37)</f>
        <v>0</v>
      </c>
      <c r="AH37" s="17">
        <f>'TR TUSD'!$AH$37*'TR TUSD'!$AH$60</f>
        <v>33.332397569245252</v>
      </c>
      <c r="AI37" s="17">
        <f>'TR TUSD'!$AI$37*'TR TUSD'!$AI$60</f>
        <v>0</v>
      </c>
      <c r="AJ37" s="17">
        <f ca="1">'TR TUSD'!$AJ$37*'TR TUSD'!$AJ$60</f>
        <v>0</v>
      </c>
      <c r="AK37" s="17">
        <f ca="1">'TR TUSD'!$AK$37*'TR TUSD'!$AK$60</f>
        <v>0</v>
      </c>
      <c r="AL37" s="17">
        <f ca="1">SUM($AH$37:$AK$37)</f>
        <v>33.332397569245252</v>
      </c>
      <c r="AM37" s="17">
        <f ca="1">SUMIF($L$4:$AL$4,"SUBTOTAL",$L$37:$AL$37)</f>
        <v>630.56557927781125</v>
      </c>
      <c r="AP37" s="17">
        <f>IF((1 - CUSTOS!$M$29)&lt;&gt;0,1/(1 - CUSTOS!$M$29),1)</f>
        <v>1</v>
      </c>
    </row>
    <row r="38" spans="1:42" ht="11.25" customHeight="1" x14ac:dyDescent="0.25">
      <c r="A38" s="130"/>
      <c r="B38" s="130" t="s">
        <v>87</v>
      </c>
      <c r="C38" s="130" t="s">
        <v>41</v>
      </c>
      <c r="D38" s="130" t="s">
        <v>91</v>
      </c>
      <c r="E38" s="130" t="s">
        <v>25</v>
      </c>
      <c r="F38" s="130" t="s">
        <v>25</v>
      </c>
      <c r="G38" s="36" t="s">
        <v>74</v>
      </c>
      <c r="H38" s="36" t="s">
        <v>73</v>
      </c>
      <c r="I38" s="36">
        <f>'MERCADO TUSD'!$U$35</f>
        <v>0</v>
      </c>
      <c r="J38" s="16"/>
      <c r="L38" s="17">
        <f>'TR TUSD'!$L$38*'TR TUSD'!$L$60</f>
        <v>0</v>
      </c>
      <c r="M38" s="17">
        <f>'TR TUSD'!$M$38*'TR TUSD'!$M$60</f>
        <v>1.8731892523125935</v>
      </c>
      <c r="N38" s="17">
        <f ca="1">'TR TUSD'!$N$38*'TR TUSD'!$N$60</f>
        <v>0</v>
      </c>
      <c r="O38" s="17">
        <f>'TR TUSD'!$O$38*'TR TUSD'!$O$60</f>
        <v>0</v>
      </c>
      <c r="P38" s="17">
        <f>'TR TUSD'!$P$38*'TR TUSD'!$P$60</f>
        <v>0</v>
      </c>
      <c r="Q38" s="17">
        <f>'TR TUSD'!$Q$38*'TR TUSD'!$Q$60</f>
        <v>85.619496446908528</v>
      </c>
      <c r="R38" s="17">
        <f>'TR TUSD'!$R$38*'TR TUSD'!$R$60</f>
        <v>14.204789845979091</v>
      </c>
      <c r="S38" s="17">
        <f>'TR TUSD'!$S$38*'TR TUSD'!$S$60</f>
        <v>0</v>
      </c>
      <c r="T38" s="17">
        <f ca="1">SUM($L$38:$S$38)</f>
        <v>101.69747554520022</v>
      </c>
      <c r="U38" s="17">
        <f>'TR TUSD'!$U$38*'TR TUSD'!$U$60</f>
        <v>0</v>
      </c>
      <c r="V38" s="17">
        <f>'TR TUSD'!$V$38*'TR TUSD'!$V$60</f>
        <v>0</v>
      </c>
      <c r="W38" s="17">
        <f>'TR TUSD'!$W$38*'TR TUSD'!$W$60</f>
        <v>0</v>
      </c>
      <c r="X38" s="17">
        <f>'TR TUSD'!$X$38*'TR TUSD'!$X$60</f>
        <v>0</v>
      </c>
      <c r="Y38" s="17">
        <f>'TR TUSD'!$Y$38*'TR TUSD'!$Y$60</f>
        <v>312.34501487523954</v>
      </c>
      <c r="Z38" s="17">
        <f>'TR TUSD'!$Z$38</f>
        <v>0</v>
      </c>
      <c r="AA38" s="17">
        <f>'TR TUSD'!$AA$38</f>
        <v>0</v>
      </c>
      <c r="AB38" s="17">
        <f>SUM($U$38:$AA$38)</f>
        <v>312.34501487523954</v>
      </c>
      <c r="AC38" s="17">
        <f>'TR TUSD'!$AC$38*'TR TUSD'!$AC$60</f>
        <v>905.21105936334595</v>
      </c>
      <c r="AD38" s="17">
        <f>SUM($AC$38:$AC$38)</f>
        <v>905.21105936334595</v>
      </c>
      <c r="AE38" s="17">
        <v>0</v>
      </c>
      <c r="AF38" s="17">
        <v>0</v>
      </c>
      <c r="AG38" s="17">
        <f>SUM($AE$38:$AF$38)</f>
        <v>0</v>
      </c>
      <c r="AH38" s="17">
        <f>'TR TUSD'!$AH$38*'TR TUSD'!$AH$60</f>
        <v>33.332397569245252</v>
      </c>
      <c r="AI38" s="17">
        <f>'TR TUSD'!$AI$38*'TR TUSD'!$AI$60</f>
        <v>0</v>
      </c>
      <c r="AJ38" s="17">
        <f ca="1">'TR TUSD'!$AJ$38*'TR TUSD'!$AJ$60</f>
        <v>0</v>
      </c>
      <c r="AK38" s="17">
        <f ca="1">'TR TUSD'!$AK$38*'TR TUSD'!$AK$60</f>
        <v>0</v>
      </c>
      <c r="AL38" s="17">
        <f ca="1">SUM($AH$38:$AK$38)</f>
        <v>33.332397569245252</v>
      </c>
      <c r="AM38" s="17">
        <f ca="1">SUMIF($L$4:$AL$4,"SUBTOTAL",$L$38:$AL$38)</f>
        <v>1352.5859473530311</v>
      </c>
      <c r="AP38" s="17">
        <f>IF((1 - CUSTOS!$M$30)&lt;&gt;0,1/(1 - CUSTOS!$M$30),1)</f>
        <v>1</v>
      </c>
    </row>
    <row r="39" spans="1:42" ht="11.25" customHeight="1" x14ac:dyDescent="0.25">
      <c r="A39" s="130"/>
      <c r="B39" s="130"/>
      <c r="C39" s="130"/>
      <c r="D39" s="130"/>
      <c r="E39" s="130"/>
      <c r="F39" s="130"/>
      <c r="G39" s="36" t="s">
        <v>85</v>
      </c>
      <c r="H39" s="36" t="s">
        <v>73</v>
      </c>
      <c r="I39" s="36">
        <f>'MERCADO TUSD'!$U$36</f>
        <v>0</v>
      </c>
      <c r="J39" s="16"/>
      <c r="L39" s="17">
        <f>'TR TUSD'!$L$39*'TR TUSD'!$L$60</f>
        <v>0</v>
      </c>
      <c r="M39" s="17">
        <f>'TR TUSD'!$M$39*'TR TUSD'!$M$60</f>
        <v>1.8731892523125935</v>
      </c>
      <c r="N39" s="17">
        <f ca="1">'TR TUSD'!$N$39*'TR TUSD'!$N$60</f>
        <v>0</v>
      </c>
      <c r="O39" s="17">
        <f>'TR TUSD'!$O$39*'TR TUSD'!$O$60</f>
        <v>0</v>
      </c>
      <c r="P39" s="17">
        <f>'TR TUSD'!$P$39*'TR TUSD'!$P$60</f>
        <v>0</v>
      </c>
      <c r="Q39" s="17">
        <f>'TR TUSD'!$Q$39*'TR TUSD'!$Q$60</f>
        <v>85.619496446908528</v>
      </c>
      <c r="R39" s="17">
        <f>'TR TUSD'!$R$39*'TR TUSD'!$R$60</f>
        <v>14.204789845979091</v>
      </c>
      <c r="S39" s="17">
        <f>'TR TUSD'!$S$39*'TR TUSD'!$S$60</f>
        <v>0</v>
      </c>
      <c r="T39" s="17">
        <f ca="1">SUM($L$39:$S$39)</f>
        <v>101.69747554520022</v>
      </c>
      <c r="U39" s="17">
        <f>'TR TUSD'!$U$39*'TR TUSD'!$U$60</f>
        <v>0</v>
      </c>
      <c r="V39" s="17">
        <f>'TR TUSD'!$V$39*'TR TUSD'!$V$60</f>
        <v>0</v>
      </c>
      <c r="W39" s="17">
        <f>'TR TUSD'!$W$39*'TR TUSD'!$W$60</f>
        <v>0</v>
      </c>
      <c r="X39" s="17">
        <f>'TR TUSD'!$X$39*'TR TUSD'!$X$60</f>
        <v>0</v>
      </c>
      <c r="Y39" s="17">
        <f>'TR TUSD'!$Y$39*'TR TUSD'!$Y$60</f>
        <v>187.37935987050312</v>
      </c>
      <c r="Z39" s="17">
        <f>'TR TUSD'!$Z$39</f>
        <v>0</v>
      </c>
      <c r="AA39" s="17">
        <f>'TR TUSD'!$AA$39</f>
        <v>0</v>
      </c>
      <c r="AB39" s="17">
        <f>SUM($U$39:$AA$39)</f>
        <v>187.37935987050312</v>
      </c>
      <c r="AC39" s="17">
        <f>'TR TUSD'!$AC$39*'TR TUSD'!$AC$60</f>
        <v>543.126807574184</v>
      </c>
      <c r="AD39" s="17">
        <f>SUM($AC$39:$AC$39)</f>
        <v>543.126807574184</v>
      </c>
      <c r="AE39" s="17">
        <v>0</v>
      </c>
      <c r="AF39" s="17">
        <v>0</v>
      </c>
      <c r="AG39" s="17">
        <f>SUM($AE$39:$AF$39)</f>
        <v>0</v>
      </c>
      <c r="AH39" s="17">
        <f>'TR TUSD'!$AH$39*'TR TUSD'!$AH$60</f>
        <v>33.332397569245252</v>
      </c>
      <c r="AI39" s="17">
        <f>'TR TUSD'!$AI$39*'TR TUSD'!$AI$60</f>
        <v>0</v>
      </c>
      <c r="AJ39" s="17">
        <f ca="1">'TR TUSD'!$AJ$39*'TR TUSD'!$AJ$60</f>
        <v>0</v>
      </c>
      <c r="AK39" s="17">
        <f ca="1">'TR TUSD'!$AK$39*'TR TUSD'!$AK$60</f>
        <v>0</v>
      </c>
      <c r="AL39" s="17">
        <f ca="1">SUM($AH$39:$AK$39)</f>
        <v>33.332397569245252</v>
      </c>
      <c r="AM39" s="17">
        <f ca="1">SUMIF($L$4:$AL$4,"SUBTOTAL",$L$39:$AL$39)</f>
        <v>865.53604055913263</v>
      </c>
      <c r="AP39" s="17">
        <f>IF((1 - CUSTOS!$M$30)&lt;&gt;0,1/(1 - CUSTOS!$M$30),1)</f>
        <v>1</v>
      </c>
    </row>
    <row r="40" spans="1:42" ht="11.25" customHeight="1" x14ac:dyDescent="0.25">
      <c r="A40" s="130"/>
      <c r="B40" s="130"/>
      <c r="C40" s="130"/>
      <c r="D40" s="130"/>
      <c r="E40" s="130"/>
      <c r="F40" s="130"/>
      <c r="G40" s="36" t="s">
        <v>75</v>
      </c>
      <c r="H40" s="36" t="s">
        <v>73</v>
      </c>
      <c r="I40" s="36">
        <f>'MERCADO TUSD'!$U$37</f>
        <v>0</v>
      </c>
      <c r="J40" s="16"/>
      <c r="L40" s="17">
        <f>'TR TUSD'!$L$40*'TR TUSD'!$L$60</f>
        <v>0</v>
      </c>
      <c r="M40" s="17">
        <f>'TR TUSD'!$M$40*'TR TUSD'!$M$60</f>
        <v>1.8731892523125935</v>
      </c>
      <c r="N40" s="17">
        <f ca="1">'TR TUSD'!$N$40*'TR TUSD'!$N$60</f>
        <v>0</v>
      </c>
      <c r="O40" s="17">
        <f>'TR TUSD'!$O$40*'TR TUSD'!$O$60</f>
        <v>0</v>
      </c>
      <c r="P40" s="17">
        <f>'TR TUSD'!$P$40*'TR TUSD'!$P$60</f>
        <v>0</v>
      </c>
      <c r="Q40" s="17">
        <f>'TR TUSD'!$Q$40*'TR TUSD'!$Q$60</f>
        <v>85.619496446908528</v>
      </c>
      <c r="R40" s="17">
        <f>'TR TUSD'!$R$40*'TR TUSD'!$R$60</f>
        <v>14.204789845979091</v>
      </c>
      <c r="S40" s="17">
        <f>'TR TUSD'!$S$40*'TR TUSD'!$S$60</f>
        <v>0</v>
      </c>
      <c r="T40" s="17">
        <f ca="1">SUM($L$40:$S$40)</f>
        <v>101.69747554520022</v>
      </c>
      <c r="U40" s="17">
        <f>'TR TUSD'!$U$40*'TR TUSD'!$U$60</f>
        <v>0</v>
      </c>
      <c r="V40" s="17">
        <f>'TR TUSD'!$V$40*'TR TUSD'!$V$60</f>
        <v>0</v>
      </c>
      <c r="W40" s="17">
        <f>'TR TUSD'!$W$40*'TR TUSD'!$W$60</f>
        <v>0</v>
      </c>
      <c r="X40" s="17">
        <f>'TR TUSD'!$X$40*'TR TUSD'!$X$60</f>
        <v>0</v>
      </c>
      <c r="Y40" s="17">
        <f>'TR TUSD'!$Y$40*'TR TUSD'!$Y$60</f>
        <v>62.448036286163003</v>
      </c>
      <c r="Z40" s="17">
        <f>'TR TUSD'!$Z$40</f>
        <v>0</v>
      </c>
      <c r="AA40" s="17">
        <f>'TR TUSD'!$AA$40</f>
        <v>0</v>
      </c>
      <c r="AB40" s="17">
        <f>SUM($U$40:$AA$40)</f>
        <v>62.448036286163003</v>
      </c>
      <c r="AC40" s="17">
        <f>'TR TUSD'!$AC$40*'TR TUSD'!$AC$60</f>
        <v>181.04223336719124</v>
      </c>
      <c r="AD40" s="17">
        <f>SUM($AC$40:$AC$40)</f>
        <v>181.04223336719124</v>
      </c>
      <c r="AE40" s="17">
        <v>0</v>
      </c>
      <c r="AF40" s="17">
        <v>0</v>
      </c>
      <c r="AG40" s="17">
        <f>SUM($AE$40:$AF$40)</f>
        <v>0</v>
      </c>
      <c r="AH40" s="17">
        <f>'TR TUSD'!$AH$40*'TR TUSD'!$AH$60</f>
        <v>33.332397569245252</v>
      </c>
      <c r="AI40" s="17">
        <f>'TR TUSD'!$AI$40*'TR TUSD'!$AI$60</f>
        <v>0</v>
      </c>
      <c r="AJ40" s="17">
        <f ca="1">'TR TUSD'!$AJ$40*'TR TUSD'!$AJ$60</f>
        <v>0</v>
      </c>
      <c r="AK40" s="17">
        <f ca="1">'TR TUSD'!$AK$40*'TR TUSD'!$AK$60</f>
        <v>0</v>
      </c>
      <c r="AL40" s="17">
        <f ca="1">SUM($AH$40:$AK$40)</f>
        <v>33.332397569245252</v>
      </c>
      <c r="AM40" s="17">
        <f ca="1">SUMIF($L$4:$AL$4,"SUBTOTAL",$L$40:$AL$40)</f>
        <v>378.52014276779971</v>
      </c>
      <c r="AP40" s="17">
        <f>IF((1 - CUSTOS!$M$30)&lt;&gt;0,1/(1 - CUSTOS!$M$30),1)</f>
        <v>1</v>
      </c>
    </row>
    <row r="41" spans="1:42" ht="11.25" customHeight="1" x14ac:dyDescent="0.25">
      <c r="A41" s="130"/>
      <c r="B41" s="37" t="s">
        <v>23</v>
      </c>
      <c r="C41" s="37" t="s">
        <v>41</v>
      </c>
      <c r="D41" s="37" t="s">
        <v>91</v>
      </c>
      <c r="E41" s="37" t="s">
        <v>25</v>
      </c>
      <c r="F41" s="37" t="s">
        <v>25</v>
      </c>
      <c r="G41" s="36" t="s">
        <v>79</v>
      </c>
      <c r="H41" s="36" t="s">
        <v>73</v>
      </c>
      <c r="I41" s="36">
        <f>'MERCADO TUSD'!$U$38</f>
        <v>0</v>
      </c>
      <c r="J41" s="16"/>
      <c r="L41" s="17">
        <f>'TR TUSD'!$L$41*'TR TUSD'!$L$60</f>
        <v>0</v>
      </c>
      <c r="M41" s="17">
        <f>'TR TUSD'!$M$41*'TR TUSD'!$M$60</f>
        <v>1.8731892523125935</v>
      </c>
      <c r="N41" s="17">
        <f ca="1">'TR TUSD'!$N$41*'TR TUSD'!$N$60</f>
        <v>0</v>
      </c>
      <c r="O41" s="17">
        <f>'TR TUSD'!$O$41*'TR TUSD'!$O$60</f>
        <v>0</v>
      </c>
      <c r="P41" s="17">
        <f>'TR TUSD'!$P$41*'TR TUSD'!$P$60</f>
        <v>0</v>
      </c>
      <c r="Q41" s="17">
        <f>'TR TUSD'!$Q$41*'TR TUSD'!$Q$60</f>
        <v>85.619496446908528</v>
      </c>
      <c r="R41" s="17">
        <f>'TR TUSD'!$R$41*'TR TUSD'!$R$60</f>
        <v>14.204789845979091</v>
      </c>
      <c r="S41" s="17">
        <f>'TR TUSD'!$S$41*'TR TUSD'!$S$60</f>
        <v>0</v>
      </c>
      <c r="T41" s="17">
        <f ca="1">SUM($L$41:$S$41)</f>
        <v>101.69747554520022</v>
      </c>
      <c r="U41" s="17">
        <f>'TR TUSD'!$U$41*'TR TUSD'!$U$60</f>
        <v>0</v>
      </c>
      <c r="V41" s="17">
        <f>'TR TUSD'!$V$41*'TR TUSD'!$V$60</f>
        <v>0</v>
      </c>
      <c r="W41" s="17">
        <f>'TR TUSD'!$W$41*'TR TUSD'!$W$60</f>
        <v>0</v>
      </c>
      <c r="X41" s="17">
        <f>'TR TUSD'!$X$41*'TR TUSD'!$X$60</f>
        <v>0</v>
      </c>
      <c r="Y41" s="17">
        <f>'TR TUSD'!$Y$41*'TR TUSD'!$Y$60</f>
        <v>127.11433190805352</v>
      </c>
      <c r="Z41" s="17">
        <f>'TR TUSD'!$Z$41</f>
        <v>0</v>
      </c>
      <c r="AA41" s="17">
        <f>'TR TUSD'!$AA$41</f>
        <v>0</v>
      </c>
      <c r="AB41" s="17">
        <f>SUM($U$41:$AA$41)</f>
        <v>127.11433190805352</v>
      </c>
      <c r="AC41" s="17">
        <f>'TR TUSD'!$AC$41*'TR TUSD'!$AC$60</f>
        <v>368.42137425531229</v>
      </c>
      <c r="AD41" s="17">
        <f>SUM($AC$41:$AC$41)</f>
        <v>368.42137425531229</v>
      </c>
      <c r="AE41" s="17">
        <v>0</v>
      </c>
      <c r="AF41" s="17">
        <v>0</v>
      </c>
      <c r="AG41" s="17">
        <f>SUM($AE$41:$AF$41)</f>
        <v>0</v>
      </c>
      <c r="AH41" s="17">
        <f>'TR TUSD'!$AH$41*'TR TUSD'!$AH$60</f>
        <v>33.332397569245252</v>
      </c>
      <c r="AI41" s="17">
        <f>'TR TUSD'!$AI$41*'TR TUSD'!$AI$60</f>
        <v>0</v>
      </c>
      <c r="AJ41" s="17">
        <f ca="1">'TR TUSD'!$AJ$41*'TR TUSD'!$AJ$60</f>
        <v>0</v>
      </c>
      <c r="AK41" s="17">
        <f ca="1">'TR TUSD'!$AK$41*'TR TUSD'!$AK$60</f>
        <v>0</v>
      </c>
      <c r="AL41" s="17">
        <f ca="1">SUM($AH$41:$AK$41)</f>
        <v>33.332397569245252</v>
      </c>
      <c r="AM41" s="17">
        <f ca="1">SUMIF($L$4:$AL$4,"SUBTOTAL",$L$41:$AL$41)</f>
        <v>630.56557927781125</v>
      </c>
      <c r="AP41" s="17">
        <f>IF((1 - CUSTOS!$M$30)&lt;&gt;0,1/(1 - CUSTOS!$M$30),1)</f>
        <v>1</v>
      </c>
    </row>
    <row r="42" spans="1:42" ht="11.25" customHeight="1" x14ac:dyDescent="0.25">
      <c r="A42" s="130"/>
      <c r="B42" s="130" t="s">
        <v>89</v>
      </c>
      <c r="C42" s="130" t="s">
        <v>41</v>
      </c>
      <c r="D42" s="37" t="s">
        <v>25</v>
      </c>
      <c r="E42" s="37" t="s">
        <v>25</v>
      </c>
      <c r="F42" s="37" t="s">
        <v>25</v>
      </c>
      <c r="G42" s="36" t="s">
        <v>79</v>
      </c>
      <c r="H42" s="36" t="s">
        <v>73</v>
      </c>
      <c r="I42" s="36">
        <f>'MERCADO TUSD'!$U$39</f>
        <v>0</v>
      </c>
      <c r="J42" s="16"/>
      <c r="L42" s="17">
        <f>'TR TUSD'!$L$42*'TR TUSD'!$L$60</f>
        <v>0</v>
      </c>
      <c r="M42" s="17">
        <f>'TR TUSD'!$M$42*'TR TUSD'!$M$60</f>
        <v>1.8731892523125935</v>
      </c>
      <c r="N42" s="17">
        <f ca="1">'TR TUSD'!$N$42*'TR TUSD'!$N$60</f>
        <v>0</v>
      </c>
      <c r="O42" s="17">
        <f>'TR TUSD'!$O$42*'TR TUSD'!$O$60</f>
        <v>0</v>
      </c>
      <c r="P42" s="17">
        <f>'TR TUSD'!$P$42*'TR TUSD'!$P$60</f>
        <v>0</v>
      </c>
      <c r="Q42" s="17">
        <f>'TR TUSD'!$Q$42*'TR TUSD'!$Q$60</f>
        <v>85.619496446908528</v>
      </c>
      <c r="R42" s="17">
        <f>'TR TUSD'!$R$42*'TR TUSD'!$R$60</f>
        <v>14.204789845979091</v>
      </c>
      <c r="S42" s="17">
        <f>'TR TUSD'!$S$42*'TR TUSD'!$S$60</f>
        <v>0</v>
      </c>
      <c r="T42" s="17">
        <f ca="1">SUM($L$42:$S$42)</f>
        <v>101.69747554520022</v>
      </c>
      <c r="U42" s="17">
        <f>'TR TUSD'!$U$42*'TR TUSD'!$U$60</f>
        <v>0</v>
      </c>
      <c r="V42" s="17">
        <f>'TR TUSD'!$V$42*'TR TUSD'!$V$60</f>
        <v>0</v>
      </c>
      <c r="W42" s="17">
        <f>'TR TUSD'!$W$42*'TR TUSD'!$W$60</f>
        <v>0</v>
      </c>
      <c r="X42" s="17">
        <f>'TR TUSD'!$X$42*'TR TUSD'!$X$60</f>
        <v>0</v>
      </c>
      <c r="Y42" s="17">
        <f>'TR TUSD'!$Y$42*'TR TUSD'!$Y$60</f>
        <v>127.11433190805352</v>
      </c>
      <c r="Z42" s="17">
        <f>'TR TUSD'!$Z$42</f>
        <v>0</v>
      </c>
      <c r="AA42" s="17">
        <f>'TR TUSD'!$AA$42</f>
        <v>0</v>
      </c>
      <c r="AB42" s="17">
        <f>SUM($U$42:$AA$42)</f>
        <v>127.11433190805352</v>
      </c>
      <c r="AC42" s="17">
        <f>'TR TUSD'!$AC$42*'TR TUSD'!$AC$60</f>
        <v>368.42137425531229</v>
      </c>
      <c r="AD42" s="17">
        <f>SUM($AC$42:$AC$42)</f>
        <v>368.42137425531229</v>
      </c>
      <c r="AE42" s="17">
        <v>0</v>
      </c>
      <c r="AF42" s="17">
        <v>0</v>
      </c>
      <c r="AG42" s="17">
        <f>SUM($AE$42:$AF$42)</f>
        <v>0</v>
      </c>
      <c r="AH42" s="17">
        <f>'TR TUSD'!$AH$42*'TR TUSD'!$AH$60</f>
        <v>33.332397569245252</v>
      </c>
      <c r="AI42" s="17">
        <f>'TR TUSD'!$AI$42*'TR TUSD'!$AI$60</f>
        <v>0</v>
      </c>
      <c r="AJ42" s="17">
        <f ca="1">'TR TUSD'!$AJ$42*'TR TUSD'!$AJ$60</f>
        <v>0</v>
      </c>
      <c r="AK42" s="17">
        <f ca="1">'TR TUSD'!$AK$42*'TR TUSD'!$AK$60</f>
        <v>0</v>
      </c>
      <c r="AL42" s="17">
        <f ca="1">SUM($AH$42:$AK$42)</f>
        <v>33.332397569245252</v>
      </c>
      <c r="AM42" s="17">
        <f ca="1">SUMIF($L$4:$AL$4,"SUBTOTAL",$L$42:$AL$42)</f>
        <v>630.56557927781125</v>
      </c>
      <c r="AP42" s="17">
        <f>IF((1 - CUSTOS!$M$28)&lt;&gt;0,1/(1 - CUSTOS!$M$28),1)</f>
        <v>1</v>
      </c>
    </row>
    <row r="43" spans="1:42" ht="11.25" customHeight="1" x14ac:dyDescent="0.25">
      <c r="A43" s="130"/>
      <c r="B43" s="130"/>
      <c r="C43" s="130"/>
      <c r="D43" s="37" t="s">
        <v>90</v>
      </c>
      <c r="E43" s="37" t="s">
        <v>25</v>
      </c>
      <c r="F43" s="37" t="s">
        <v>25</v>
      </c>
      <c r="G43" s="36" t="s">
        <v>79</v>
      </c>
      <c r="H43" s="36" t="s">
        <v>73</v>
      </c>
      <c r="I43" s="36">
        <f>'MERCADO TUSD'!$U$40</f>
        <v>0</v>
      </c>
      <c r="J43" s="16"/>
      <c r="L43" s="17">
        <f>'TR TUSD'!$L$43*'TR TUSD'!$L$60</f>
        <v>0</v>
      </c>
      <c r="M43" s="17">
        <f>'TR TUSD'!$M$43*'TR TUSD'!$M$60</f>
        <v>1.8731892523125935</v>
      </c>
      <c r="N43" s="17">
        <f ca="1">'TR TUSD'!$N$43*'TR TUSD'!$N$60</f>
        <v>0</v>
      </c>
      <c r="O43" s="17">
        <f>'TR TUSD'!$O$43*'TR TUSD'!$O$60</f>
        <v>0</v>
      </c>
      <c r="P43" s="17">
        <f>'TR TUSD'!$P$43*'TR TUSD'!$P$60</f>
        <v>0</v>
      </c>
      <c r="Q43" s="17">
        <f>'TR TUSD'!$Q$43*'TR TUSD'!$Q$60</f>
        <v>85.619496446908528</v>
      </c>
      <c r="R43" s="17">
        <f>'TR TUSD'!$R$43*'TR TUSD'!$R$60</f>
        <v>14.204789845979091</v>
      </c>
      <c r="S43" s="17">
        <f>'TR TUSD'!$S$43*'TR TUSD'!$S$60</f>
        <v>0</v>
      </c>
      <c r="T43" s="17">
        <f ca="1">SUM($L$43:$S$43)</f>
        <v>101.69747554520022</v>
      </c>
      <c r="U43" s="17">
        <f>'TR TUSD'!$U$43*'TR TUSD'!$U$60</f>
        <v>0</v>
      </c>
      <c r="V43" s="17">
        <f>'TR TUSD'!$V$43*'TR TUSD'!$V$60</f>
        <v>0</v>
      </c>
      <c r="W43" s="17">
        <f>'TR TUSD'!$W$43*'TR TUSD'!$W$60</f>
        <v>0</v>
      </c>
      <c r="X43" s="17">
        <f>'TR TUSD'!$X$43*'TR TUSD'!$X$60</f>
        <v>0</v>
      </c>
      <c r="Y43" s="17">
        <f>'TR TUSD'!$Y$43*'TR TUSD'!$Y$60</f>
        <v>127.11433190805352</v>
      </c>
      <c r="Z43" s="17">
        <f>'TR TUSD'!$Z$43</f>
        <v>0</v>
      </c>
      <c r="AA43" s="17">
        <f>'TR TUSD'!$AA$43</f>
        <v>0</v>
      </c>
      <c r="AB43" s="17">
        <f>SUM($U$43:$AA$43)</f>
        <v>127.11433190805352</v>
      </c>
      <c r="AC43" s="17">
        <f>'TR TUSD'!$AC$43*'TR TUSD'!$AC$60</f>
        <v>368.42137425531229</v>
      </c>
      <c r="AD43" s="17">
        <f>SUM($AC$43:$AC$43)</f>
        <v>368.42137425531229</v>
      </c>
      <c r="AE43" s="17">
        <v>0</v>
      </c>
      <c r="AF43" s="17">
        <v>0</v>
      </c>
      <c r="AG43" s="17">
        <f>SUM($AE$43:$AF$43)</f>
        <v>0</v>
      </c>
      <c r="AH43" s="17">
        <f>'TR TUSD'!$AH$43*'TR TUSD'!$AH$60</f>
        <v>33.332397569245252</v>
      </c>
      <c r="AI43" s="17">
        <f>'TR TUSD'!$AI$43*'TR TUSD'!$AI$60</f>
        <v>0</v>
      </c>
      <c r="AJ43" s="17">
        <f ca="1">'TR TUSD'!$AJ$43*'TR TUSD'!$AJ$60</f>
        <v>0</v>
      </c>
      <c r="AK43" s="17">
        <f ca="1">'TR TUSD'!$AK$43*'TR TUSD'!$AK$60</f>
        <v>0</v>
      </c>
      <c r="AL43" s="17">
        <f ca="1">SUM($AH$43:$AK$43)</f>
        <v>33.332397569245252</v>
      </c>
      <c r="AM43" s="17">
        <f ca="1">SUMIF($L$4:$AL$4,"SUBTOTAL",$L$43:$AL$43)</f>
        <v>630.56557927781125</v>
      </c>
      <c r="AP43" s="17">
        <f>IF((1 - CUSTOS!$M$29)&lt;&gt;0,1/(1 - CUSTOS!$M$29),1)</f>
        <v>1</v>
      </c>
    </row>
    <row r="44" spans="1:42" ht="11.25" customHeight="1" x14ac:dyDescent="0.25">
      <c r="A44" s="130"/>
      <c r="B44" s="130"/>
      <c r="C44" s="130"/>
      <c r="D44" s="37" t="s">
        <v>91</v>
      </c>
      <c r="E44" s="37" t="s">
        <v>25</v>
      </c>
      <c r="F44" s="37" t="s">
        <v>25</v>
      </c>
      <c r="G44" s="36" t="s">
        <v>79</v>
      </c>
      <c r="H44" s="36" t="s">
        <v>73</v>
      </c>
      <c r="I44" s="36">
        <f>'MERCADO TUSD'!$U$41</f>
        <v>0</v>
      </c>
      <c r="J44" s="16"/>
      <c r="L44" s="17">
        <f>'TR TUSD'!$L$44*'TR TUSD'!$L$60</f>
        <v>0</v>
      </c>
      <c r="M44" s="17">
        <f>'TR TUSD'!$M$44*'TR TUSD'!$M$60</f>
        <v>1.8731892523125935</v>
      </c>
      <c r="N44" s="17">
        <f ca="1">'TR TUSD'!$N$44*'TR TUSD'!$N$60</f>
        <v>0</v>
      </c>
      <c r="O44" s="17">
        <f>'TR TUSD'!$O$44*'TR TUSD'!$O$60</f>
        <v>0</v>
      </c>
      <c r="P44" s="17">
        <f>'TR TUSD'!$P$44*'TR TUSD'!$P$60</f>
        <v>0</v>
      </c>
      <c r="Q44" s="17">
        <f>'TR TUSD'!$Q$44*'TR TUSD'!$Q$60</f>
        <v>85.619496446908528</v>
      </c>
      <c r="R44" s="17">
        <f>'TR TUSD'!$R$44*'TR TUSD'!$R$60</f>
        <v>14.204789845979091</v>
      </c>
      <c r="S44" s="17">
        <f>'TR TUSD'!$S$44*'TR TUSD'!$S$60</f>
        <v>0</v>
      </c>
      <c r="T44" s="17">
        <f ca="1">SUM($L$44:$S$44)</f>
        <v>101.69747554520022</v>
      </c>
      <c r="U44" s="17">
        <f>'TR TUSD'!$U$44*'TR TUSD'!$U$60</f>
        <v>0</v>
      </c>
      <c r="V44" s="17">
        <f>'TR TUSD'!$V$44*'TR TUSD'!$V$60</f>
        <v>0</v>
      </c>
      <c r="W44" s="17">
        <f>'TR TUSD'!$W$44*'TR TUSD'!$W$60</f>
        <v>0</v>
      </c>
      <c r="X44" s="17">
        <f>'TR TUSD'!$X$44*'TR TUSD'!$X$60</f>
        <v>0</v>
      </c>
      <c r="Y44" s="17">
        <f>'TR TUSD'!$Y$44*'TR TUSD'!$Y$60</f>
        <v>127.11433190805352</v>
      </c>
      <c r="Z44" s="17">
        <f>'TR TUSD'!$Z$44</f>
        <v>0</v>
      </c>
      <c r="AA44" s="17">
        <f>'TR TUSD'!$AA$44</f>
        <v>0</v>
      </c>
      <c r="AB44" s="17">
        <f>SUM($U$44:$AA$44)</f>
        <v>127.11433190805352</v>
      </c>
      <c r="AC44" s="17">
        <f>'TR TUSD'!$AC$44*'TR TUSD'!$AC$60</f>
        <v>368.42137425531229</v>
      </c>
      <c r="AD44" s="17">
        <f>SUM($AC$44:$AC$44)</f>
        <v>368.42137425531229</v>
      </c>
      <c r="AE44" s="17">
        <v>0</v>
      </c>
      <c r="AF44" s="17">
        <v>0</v>
      </c>
      <c r="AG44" s="17">
        <f>SUM($AE$44:$AF$44)</f>
        <v>0</v>
      </c>
      <c r="AH44" s="17">
        <f>'TR TUSD'!$AH$44*'TR TUSD'!$AH$60</f>
        <v>33.332397569245252</v>
      </c>
      <c r="AI44" s="17">
        <f>'TR TUSD'!$AI$44*'TR TUSD'!$AI$60</f>
        <v>0</v>
      </c>
      <c r="AJ44" s="17">
        <f ca="1">'TR TUSD'!$AJ$44*'TR TUSD'!$AJ$60</f>
        <v>0</v>
      </c>
      <c r="AK44" s="17">
        <f ca="1">'TR TUSD'!$AK$44*'TR TUSD'!$AK$60</f>
        <v>0</v>
      </c>
      <c r="AL44" s="17">
        <f ca="1">SUM($AH$44:$AK$44)</f>
        <v>33.332397569245252</v>
      </c>
      <c r="AM44" s="17">
        <f ca="1">SUMIF($L$4:$AL$4,"SUBTOTAL",$L$44:$AL$44)</f>
        <v>630.56557927781125</v>
      </c>
      <c r="AP44" s="17">
        <f>IF((1 - CUSTOS!$M$30)&lt;&gt;0,1/(1 - CUSTOS!$M$30),1)</f>
        <v>1</v>
      </c>
    </row>
    <row r="45" spans="1:42" ht="11.25" customHeight="1" x14ac:dyDescent="0.25">
      <c r="A45" s="130" t="s">
        <v>37</v>
      </c>
      <c r="B45" s="130" t="s">
        <v>87</v>
      </c>
      <c r="C45" s="130" t="s">
        <v>25</v>
      </c>
      <c r="D45" s="130" t="s">
        <v>25</v>
      </c>
      <c r="E45" s="130" t="s">
        <v>25</v>
      </c>
      <c r="F45" s="130" t="s">
        <v>25</v>
      </c>
      <c r="G45" s="36" t="s">
        <v>74</v>
      </c>
      <c r="H45" s="36" t="s">
        <v>73</v>
      </c>
      <c r="I45" s="36">
        <f>'MERCADO TUSD'!$U$42</f>
        <v>0</v>
      </c>
      <c r="J45" s="16"/>
      <c r="L45" s="17">
        <f>'TR TUSD'!$L$45*'TR TUSD'!$L$60</f>
        <v>0</v>
      </c>
      <c r="M45" s="17">
        <f>'TR TUSD'!$M$45*'TR TUSD'!$M$60</f>
        <v>1.8731892523125935</v>
      </c>
      <c r="N45" s="17">
        <f ca="1">'TR TUSD'!$N$45*'TR TUSD'!$N$60</f>
        <v>0</v>
      </c>
      <c r="O45" s="17">
        <f>'TR TUSD'!$O$45*'TR TUSD'!$O$60</f>
        <v>0</v>
      </c>
      <c r="P45" s="17">
        <f>'TR TUSD'!$P$45*'TR TUSD'!$P$60</f>
        <v>0</v>
      </c>
      <c r="Q45" s="17">
        <f>'TR TUSD'!$Q$45*'TR TUSD'!$Q$60</f>
        <v>85.619496446908528</v>
      </c>
      <c r="R45" s="17">
        <f>'TR TUSD'!$R$45*'TR TUSD'!$R$60</f>
        <v>14.204789845979091</v>
      </c>
      <c r="S45" s="17">
        <f>'TR TUSD'!$S$45*'TR TUSD'!$S$60</f>
        <v>0</v>
      </c>
      <c r="T45" s="17">
        <f ca="1">SUM($L$45:$S$45)</f>
        <v>101.69747554520022</v>
      </c>
      <c r="U45" s="17">
        <f>'TR TUSD'!$U$45*'TR TUSD'!$U$60</f>
        <v>0</v>
      </c>
      <c r="V45" s="17">
        <f>'TR TUSD'!$V$45*'TR TUSD'!$V$60</f>
        <v>0</v>
      </c>
      <c r="W45" s="17">
        <f>'TR TUSD'!$W$45*'TR TUSD'!$W$60</f>
        <v>0</v>
      </c>
      <c r="X45" s="17">
        <f>'TR TUSD'!$X$45*'TR TUSD'!$X$60</f>
        <v>0</v>
      </c>
      <c r="Y45" s="17">
        <f>'TR TUSD'!$Y$45*'TR TUSD'!$Y$60</f>
        <v>415.26877404021798</v>
      </c>
      <c r="Z45" s="17">
        <f>'TR TUSD'!$Z$45</f>
        <v>0</v>
      </c>
      <c r="AA45" s="17">
        <f>'TR TUSD'!$AA$45</f>
        <v>0</v>
      </c>
      <c r="AB45" s="17">
        <f>SUM($U$45:$AA$45)</f>
        <v>415.26877404021798</v>
      </c>
      <c r="AC45" s="17">
        <f>'TR TUSD'!$AC$45*'TR TUSD'!$AC$60</f>
        <v>1203.6321908814375</v>
      </c>
      <c r="AD45" s="17">
        <f>SUM($AC$45:$AC$45)</f>
        <v>1203.6321908814375</v>
      </c>
      <c r="AE45" s="17">
        <v>0</v>
      </c>
      <c r="AF45" s="17">
        <v>0</v>
      </c>
      <c r="AG45" s="17">
        <f>SUM($AE$45:$AF$45)</f>
        <v>0</v>
      </c>
      <c r="AH45" s="17">
        <f>'TR TUSD'!$AH$45*'TR TUSD'!$AH$60</f>
        <v>33.332397569245252</v>
      </c>
      <c r="AI45" s="17">
        <f>'TR TUSD'!$AI$45*'TR TUSD'!$AI$60</f>
        <v>0</v>
      </c>
      <c r="AJ45" s="17">
        <f ca="1">'TR TUSD'!$AJ$45*'TR TUSD'!$AJ$60</f>
        <v>0</v>
      </c>
      <c r="AK45" s="17">
        <f ca="1">'TR TUSD'!$AK$45*'TR TUSD'!$AK$60</f>
        <v>0</v>
      </c>
      <c r="AL45" s="17">
        <f ca="1">SUM($AH$45:$AK$45)</f>
        <v>33.332397569245252</v>
      </c>
      <c r="AM45" s="17">
        <f ca="1">SUMIF($L$4:$AL$4,"SUBTOTAL",$L$45:$AL$45)</f>
        <v>1753.930838036101</v>
      </c>
      <c r="AP45" s="17">
        <f>IF((1 - CUSTOS!$M$31)&lt;&gt;0,1/(1 - CUSTOS!$M$31),1)</f>
        <v>1</v>
      </c>
    </row>
    <row r="46" spans="1:42" ht="11.25" customHeight="1" x14ac:dyDescent="0.25">
      <c r="A46" s="130"/>
      <c r="B46" s="130"/>
      <c r="C46" s="130"/>
      <c r="D46" s="130"/>
      <c r="E46" s="130"/>
      <c r="F46" s="130"/>
      <c r="G46" s="36" t="s">
        <v>85</v>
      </c>
      <c r="H46" s="36" t="s">
        <v>73</v>
      </c>
      <c r="I46" s="36">
        <f>'MERCADO TUSD'!$U$43</f>
        <v>0</v>
      </c>
      <c r="J46" s="16"/>
      <c r="L46" s="17">
        <f>'TR TUSD'!$L$46*'TR TUSD'!$L$60</f>
        <v>0</v>
      </c>
      <c r="M46" s="17">
        <f>'TR TUSD'!$M$46*'TR TUSD'!$M$60</f>
        <v>1.8731892523125935</v>
      </c>
      <c r="N46" s="17">
        <f ca="1">'TR TUSD'!$N$46*'TR TUSD'!$N$60</f>
        <v>0</v>
      </c>
      <c r="O46" s="17">
        <f>'TR TUSD'!$O$46*'TR TUSD'!$O$60</f>
        <v>0</v>
      </c>
      <c r="P46" s="17">
        <f>'TR TUSD'!$P$46*'TR TUSD'!$P$60</f>
        <v>0</v>
      </c>
      <c r="Q46" s="17">
        <f>'TR TUSD'!$Q$46*'TR TUSD'!$Q$60</f>
        <v>85.619496446908528</v>
      </c>
      <c r="R46" s="17">
        <f>'TR TUSD'!$R$46*'TR TUSD'!$R$60</f>
        <v>14.204789845979091</v>
      </c>
      <c r="S46" s="17">
        <f>'TR TUSD'!$S$46*'TR TUSD'!$S$60</f>
        <v>0</v>
      </c>
      <c r="T46" s="17">
        <f ca="1">SUM($L$46:$S$46)</f>
        <v>101.69747554520022</v>
      </c>
      <c r="U46" s="17">
        <f>'TR TUSD'!$U$46*'TR TUSD'!$U$60</f>
        <v>0</v>
      </c>
      <c r="V46" s="17">
        <f>'TR TUSD'!$V$46*'TR TUSD'!$V$60</f>
        <v>0</v>
      </c>
      <c r="W46" s="17">
        <f>'TR TUSD'!$W$46*'TR TUSD'!$W$60</f>
        <v>0</v>
      </c>
      <c r="X46" s="17">
        <f>'TR TUSD'!$X$46*'TR TUSD'!$X$60</f>
        <v>0</v>
      </c>
      <c r="Y46" s="17">
        <f>'TR TUSD'!$Y$46*'TR TUSD'!$Y$60</f>
        <v>249.14740924375656</v>
      </c>
      <c r="Z46" s="17">
        <f>'TR TUSD'!$Z$46</f>
        <v>0</v>
      </c>
      <c r="AA46" s="17">
        <f>'TR TUSD'!$AA$46</f>
        <v>0</v>
      </c>
      <c r="AB46" s="17">
        <f>SUM($U$46:$AA$46)</f>
        <v>249.14740924375656</v>
      </c>
      <c r="AC46" s="17">
        <f>'TR TUSD'!$AC$46*'TR TUSD'!$AC$60</f>
        <v>722.17918556173015</v>
      </c>
      <c r="AD46" s="17">
        <f>SUM($AC$46:$AC$46)</f>
        <v>722.17918556173015</v>
      </c>
      <c r="AE46" s="17">
        <v>0</v>
      </c>
      <c r="AF46" s="17">
        <v>0</v>
      </c>
      <c r="AG46" s="17">
        <f>SUM($AE$46:$AF$46)</f>
        <v>0</v>
      </c>
      <c r="AH46" s="17">
        <f>'TR TUSD'!$AH$46*'TR TUSD'!$AH$60</f>
        <v>33.332397569245252</v>
      </c>
      <c r="AI46" s="17">
        <f>'TR TUSD'!$AI$46*'TR TUSD'!$AI$60</f>
        <v>0</v>
      </c>
      <c r="AJ46" s="17">
        <f ca="1">'TR TUSD'!$AJ$46*'TR TUSD'!$AJ$60</f>
        <v>0</v>
      </c>
      <c r="AK46" s="17">
        <f ca="1">'TR TUSD'!$AK$46*'TR TUSD'!$AK$60</f>
        <v>0</v>
      </c>
      <c r="AL46" s="17">
        <f ca="1">SUM($AH$46:$AK$46)</f>
        <v>33.332397569245252</v>
      </c>
      <c r="AM46" s="17">
        <f ca="1">SUMIF($L$4:$AL$4,"SUBTOTAL",$L$46:$AL$46)</f>
        <v>1106.3564679199324</v>
      </c>
      <c r="AP46" s="17">
        <f>IF((1 - CUSTOS!$M$31)&lt;&gt;0,1/(1 - CUSTOS!$M$31),1)</f>
        <v>1</v>
      </c>
    </row>
    <row r="47" spans="1:42" ht="11.25" customHeight="1" x14ac:dyDescent="0.25">
      <c r="A47" s="130"/>
      <c r="B47" s="130"/>
      <c r="C47" s="130"/>
      <c r="D47" s="130"/>
      <c r="E47" s="130"/>
      <c r="F47" s="130"/>
      <c r="G47" s="36" t="s">
        <v>75</v>
      </c>
      <c r="H47" s="36" t="s">
        <v>73</v>
      </c>
      <c r="I47" s="36">
        <f>'MERCADO TUSD'!$U$44</f>
        <v>0</v>
      </c>
      <c r="J47" s="16"/>
      <c r="L47" s="17">
        <f>'TR TUSD'!$L$47*'TR TUSD'!$L$60</f>
        <v>0</v>
      </c>
      <c r="M47" s="17">
        <f>'TR TUSD'!$M$47*'TR TUSD'!$M$60</f>
        <v>1.8731892523125935</v>
      </c>
      <c r="N47" s="17">
        <f ca="1">'TR TUSD'!$N$47*'TR TUSD'!$N$60</f>
        <v>0</v>
      </c>
      <c r="O47" s="17">
        <f>'TR TUSD'!$O$47*'TR TUSD'!$O$60</f>
        <v>0</v>
      </c>
      <c r="P47" s="17">
        <f>'TR TUSD'!$P$47*'TR TUSD'!$P$60</f>
        <v>0</v>
      </c>
      <c r="Q47" s="17">
        <f>'TR TUSD'!$Q$47*'TR TUSD'!$Q$60</f>
        <v>85.619496446908528</v>
      </c>
      <c r="R47" s="17">
        <f>'TR TUSD'!$R$47*'TR TUSD'!$R$60</f>
        <v>14.204789845979091</v>
      </c>
      <c r="S47" s="17">
        <f>'TR TUSD'!$S$47*'TR TUSD'!$S$60</f>
        <v>0</v>
      </c>
      <c r="T47" s="17">
        <f ca="1">SUM($L$47:$S$47)</f>
        <v>101.69747554520022</v>
      </c>
      <c r="U47" s="17">
        <f>'TR TUSD'!$U$47*'TR TUSD'!$U$60</f>
        <v>0</v>
      </c>
      <c r="V47" s="17">
        <f>'TR TUSD'!$V$47*'TR TUSD'!$V$60</f>
        <v>0</v>
      </c>
      <c r="W47" s="17">
        <f>'TR TUSD'!$W$47*'TR TUSD'!$W$60</f>
        <v>0</v>
      </c>
      <c r="X47" s="17">
        <f>'TR TUSD'!$X$47*'TR TUSD'!$X$60</f>
        <v>0</v>
      </c>
      <c r="Y47" s="17">
        <f>'TR TUSD'!$Y$47*'TR TUSD'!$Y$60</f>
        <v>83.02645315468078</v>
      </c>
      <c r="Z47" s="17">
        <f>'TR TUSD'!$Z$47</f>
        <v>0</v>
      </c>
      <c r="AA47" s="17">
        <f>'TR TUSD'!$AA$47</f>
        <v>0</v>
      </c>
      <c r="AB47" s="17">
        <f>SUM($U$47:$AA$47)</f>
        <v>83.02645315468078</v>
      </c>
      <c r="AC47" s="17">
        <f>'TR TUSD'!$AC$47*'TR TUSD'!$AC$60</f>
        <v>240.72628771463309</v>
      </c>
      <c r="AD47" s="17">
        <f>SUM($AC$47:$AC$47)</f>
        <v>240.72628771463309</v>
      </c>
      <c r="AE47" s="17">
        <v>0</v>
      </c>
      <c r="AF47" s="17">
        <v>0</v>
      </c>
      <c r="AG47" s="17">
        <f>SUM($AE$47:$AF$47)</f>
        <v>0</v>
      </c>
      <c r="AH47" s="17">
        <f>'TR TUSD'!$AH$47*'TR TUSD'!$AH$60</f>
        <v>33.332397569245252</v>
      </c>
      <c r="AI47" s="17">
        <f>'TR TUSD'!$AI$47*'TR TUSD'!$AI$60</f>
        <v>0</v>
      </c>
      <c r="AJ47" s="17">
        <f ca="1">'TR TUSD'!$AJ$47*'TR TUSD'!$AJ$60</f>
        <v>0</v>
      </c>
      <c r="AK47" s="17">
        <f ca="1">'TR TUSD'!$AK$47*'TR TUSD'!$AK$60</f>
        <v>0</v>
      </c>
      <c r="AL47" s="17">
        <f ca="1">SUM($AH$47:$AK$47)</f>
        <v>33.332397569245252</v>
      </c>
      <c r="AM47" s="17">
        <f ca="1">SUMIF($L$4:$AL$4,"SUBTOTAL",$L$47:$AL$47)</f>
        <v>458.78261398375935</v>
      </c>
      <c r="AP47" s="17">
        <f>IF((1 - CUSTOS!$M$31)&lt;&gt;0,1/(1 - CUSTOS!$M$31),1)</f>
        <v>1</v>
      </c>
    </row>
    <row r="48" spans="1:42" ht="11.25" customHeight="1" x14ac:dyDescent="0.25">
      <c r="A48" s="130"/>
      <c r="B48" s="37" t="s">
        <v>23</v>
      </c>
      <c r="C48" s="37" t="s">
        <v>25</v>
      </c>
      <c r="D48" s="37" t="s">
        <v>25</v>
      </c>
      <c r="E48" s="37" t="s">
        <v>25</v>
      </c>
      <c r="F48" s="37" t="s">
        <v>25</v>
      </c>
      <c r="G48" s="36" t="s">
        <v>79</v>
      </c>
      <c r="H48" s="36" t="s">
        <v>73</v>
      </c>
      <c r="I48" s="36">
        <f>'MERCADO TUSD'!$U$45</f>
        <v>9351.1280000000006</v>
      </c>
      <c r="J48" s="16"/>
      <c r="L48" s="17">
        <f>'TR TUSD'!$L$48*'TR TUSD'!$L$60</f>
        <v>0</v>
      </c>
      <c r="M48" s="17">
        <f>'TR TUSD'!$M$48*'TR TUSD'!$M$60</f>
        <v>1.8731892523125935</v>
      </c>
      <c r="N48" s="17">
        <f ca="1">'TR TUSD'!$N$48*'TR TUSD'!$N$60</f>
        <v>0</v>
      </c>
      <c r="O48" s="17">
        <f>'TR TUSD'!$O$48*'TR TUSD'!$O$60</f>
        <v>0</v>
      </c>
      <c r="P48" s="17">
        <f>'TR TUSD'!$P$48*'TR TUSD'!$P$60</f>
        <v>0</v>
      </c>
      <c r="Q48" s="17">
        <f>'TR TUSD'!$Q$48*'TR TUSD'!$Q$60</f>
        <v>85.619496446908528</v>
      </c>
      <c r="R48" s="17">
        <f>'TR TUSD'!$R$48*'TR TUSD'!$R$60</f>
        <v>14.204789845979091</v>
      </c>
      <c r="S48" s="17">
        <f>'TR TUSD'!$S$48*'TR TUSD'!$S$60</f>
        <v>0</v>
      </c>
      <c r="T48" s="17">
        <f ca="1">SUM($L$48:$S$48)</f>
        <v>101.69747554520022</v>
      </c>
      <c r="U48" s="17">
        <f>'TR TUSD'!$U$48*'TR TUSD'!$U$60</f>
        <v>0</v>
      </c>
      <c r="V48" s="17">
        <f>'TR TUSD'!$V$48*'TR TUSD'!$V$60</f>
        <v>0</v>
      </c>
      <c r="W48" s="17">
        <f>'TR TUSD'!$W$48*'TR TUSD'!$W$60</f>
        <v>0</v>
      </c>
      <c r="X48" s="17">
        <f>'TR TUSD'!$X$48*'TR TUSD'!$X$60</f>
        <v>0</v>
      </c>
      <c r="Y48" s="17">
        <f>'TR TUSD'!$Y$48*'TR TUSD'!$Y$60</f>
        <v>127.11433190805352</v>
      </c>
      <c r="Z48" s="17">
        <f>'TR TUSD'!$Z$48</f>
        <v>0</v>
      </c>
      <c r="AA48" s="17">
        <f>'TR TUSD'!$AA$48</f>
        <v>0</v>
      </c>
      <c r="AB48" s="17">
        <f>SUM($U$48:$AA$48)</f>
        <v>127.11433190805352</v>
      </c>
      <c r="AC48" s="17">
        <f>'TR TUSD'!$AC$48*'TR TUSD'!$AC$60</f>
        <v>368.42137425531229</v>
      </c>
      <c r="AD48" s="17">
        <f>SUM($AC$48:$AC$48)</f>
        <v>368.42137425531229</v>
      </c>
      <c r="AE48" s="17">
        <v>0</v>
      </c>
      <c r="AF48" s="17">
        <v>0</v>
      </c>
      <c r="AG48" s="17">
        <f>SUM($AE$48:$AF$48)</f>
        <v>0</v>
      </c>
      <c r="AH48" s="17">
        <f>'TR TUSD'!$AH$48*'TR TUSD'!$AH$60</f>
        <v>33.332397569245252</v>
      </c>
      <c r="AI48" s="17">
        <f>'TR TUSD'!$AI$48*'TR TUSD'!$AI$60</f>
        <v>0</v>
      </c>
      <c r="AJ48" s="17">
        <f ca="1">'TR TUSD'!$AJ$48*'TR TUSD'!$AJ$60</f>
        <v>0</v>
      </c>
      <c r="AK48" s="17">
        <f ca="1">'TR TUSD'!$AK$48*'TR TUSD'!$AK$60</f>
        <v>0</v>
      </c>
      <c r="AL48" s="17">
        <f ca="1">SUM($AH$48:$AK$48)</f>
        <v>33.332397569245252</v>
      </c>
      <c r="AM48" s="17">
        <f ca="1">SUMIF($L$4:$AL$4,"SUBTOTAL",$L$48:$AL$48)</f>
        <v>630.56557927781125</v>
      </c>
      <c r="AP48" s="17">
        <f>IF((1 - CUSTOS!$M$31)&lt;&gt;0,1/(1 - CUSTOS!$M$31),1)</f>
        <v>1</v>
      </c>
    </row>
    <row r="49" spans="1:42" ht="11.25" customHeight="1" x14ac:dyDescent="0.25">
      <c r="A49" s="130"/>
      <c r="B49" s="37" t="s">
        <v>89</v>
      </c>
      <c r="C49" s="37" t="s">
        <v>25</v>
      </c>
      <c r="D49" s="37" t="s">
        <v>25</v>
      </c>
      <c r="E49" s="37" t="s">
        <v>25</v>
      </c>
      <c r="F49" s="37" t="s">
        <v>25</v>
      </c>
      <c r="G49" s="36" t="s">
        <v>79</v>
      </c>
      <c r="H49" s="36" t="s">
        <v>73</v>
      </c>
      <c r="I49" s="36">
        <f>'MERCADO TUSD'!$U$46</f>
        <v>0</v>
      </c>
      <c r="J49" s="16"/>
      <c r="L49" s="17">
        <f>'TR TUSD'!$L$49*'TR TUSD'!$L$60</f>
        <v>0</v>
      </c>
      <c r="M49" s="17">
        <f>'TR TUSD'!$M$49*'TR TUSD'!$M$60</f>
        <v>1.8731892523125935</v>
      </c>
      <c r="N49" s="17">
        <f ca="1">'TR TUSD'!$N$49*'TR TUSD'!$N$60</f>
        <v>0</v>
      </c>
      <c r="O49" s="17">
        <f>'TR TUSD'!$O$49*'TR TUSD'!$O$60</f>
        <v>0</v>
      </c>
      <c r="P49" s="17">
        <f>'TR TUSD'!$P$49*'TR TUSD'!$P$60</f>
        <v>0</v>
      </c>
      <c r="Q49" s="17">
        <f>'TR TUSD'!$Q$49*'TR TUSD'!$Q$60</f>
        <v>85.619496446908528</v>
      </c>
      <c r="R49" s="17">
        <f>'TR TUSD'!$R$49*'TR TUSD'!$R$60</f>
        <v>14.204789845979091</v>
      </c>
      <c r="S49" s="17">
        <f>'TR TUSD'!$S$49*'TR TUSD'!$S$60</f>
        <v>0</v>
      </c>
      <c r="T49" s="17">
        <f ca="1">SUM($L$49:$S$49)</f>
        <v>101.69747554520022</v>
      </c>
      <c r="U49" s="17">
        <f>'TR TUSD'!$U$49*'TR TUSD'!$U$60</f>
        <v>0</v>
      </c>
      <c r="V49" s="17">
        <f>'TR TUSD'!$V$49*'TR TUSD'!$V$60</f>
        <v>0</v>
      </c>
      <c r="W49" s="17">
        <f>'TR TUSD'!$W$49*'TR TUSD'!$W$60</f>
        <v>0</v>
      </c>
      <c r="X49" s="17">
        <f>'TR TUSD'!$X$49*'TR TUSD'!$X$60</f>
        <v>0</v>
      </c>
      <c r="Y49" s="17">
        <f>'TR TUSD'!$Y$49*'TR TUSD'!$Y$60</f>
        <v>127.11433190805352</v>
      </c>
      <c r="Z49" s="17">
        <f>'TR TUSD'!$Z$49</f>
        <v>0</v>
      </c>
      <c r="AA49" s="17">
        <f>'TR TUSD'!$AA$49</f>
        <v>0</v>
      </c>
      <c r="AB49" s="17">
        <f>SUM($U$49:$AA$49)</f>
        <v>127.11433190805352</v>
      </c>
      <c r="AC49" s="17">
        <f>'TR TUSD'!$AC$49*'TR TUSD'!$AC$60</f>
        <v>368.42137425531229</v>
      </c>
      <c r="AD49" s="17">
        <f>SUM($AC$49:$AC$49)</f>
        <v>368.42137425531229</v>
      </c>
      <c r="AE49" s="17">
        <v>0</v>
      </c>
      <c r="AF49" s="17">
        <v>0</v>
      </c>
      <c r="AG49" s="17">
        <f>SUM($AE$49:$AF$49)</f>
        <v>0</v>
      </c>
      <c r="AH49" s="17">
        <f>'TR TUSD'!$AH$49*'TR TUSD'!$AH$60</f>
        <v>33.332397569245252</v>
      </c>
      <c r="AI49" s="17">
        <f>'TR TUSD'!$AI$49*'TR TUSD'!$AI$60</f>
        <v>0</v>
      </c>
      <c r="AJ49" s="17">
        <f ca="1">'TR TUSD'!$AJ$49*'TR TUSD'!$AJ$60</f>
        <v>0</v>
      </c>
      <c r="AK49" s="17">
        <f ca="1">'TR TUSD'!$AK$49*'TR TUSD'!$AK$60</f>
        <v>0</v>
      </c>
      <c r="AL49" s="17">
        <f ca="1">SUM($AH$49:$AK$49)</f>
        <v>33.332397569245252</v>
      </c>
      <c r="AM49" s="17">
        <f ca="1">SUMIF($L$4:$AL$4,"SUBTOTAL",$L$49:$AL$49)</f>
        <v>630.56557927781125</v>
      </c>
      <c r="AP49" s="17">
        <f>IF((1 - CUSTOS!$M$31)&lt;&gt;0,1/(1 - CUSTOS!$M$31),1)</f>
        <v>1</v>
      </c>
    </row>
    <row r="50" spans="1:42" ht="11.25" customHeight="1" x14ac:dyDescent="0.25">
      <c r="A50" s="130" t="s">
        <v>44</v>
      </c>
      <c r="B50" s="130" t="s">
        <v>23</v>
      </c>
      <c r="C50" s="130" t="s">
        <v>45</v>
      </c>
      <c r="D50" s="37" t="s">
        <v>46</v>
      </c>
      <c r="E50" s="37" t="s">
        <v>25</v>
      </c>
      <c r="F50" s="37" t="s">
        <v>25</v>
      </c>
      <c r="G50" s="36" t="s">
        <v>79</v>
      </c>
      <c r="H50" s="36" t="s">
        <v>73</v>
      </c>
      <c r="I50" s="36">
        <f>'MERCADO TUSD'!$U$47</f>
        <v>121.60999999999999</v>
      </c>
      <c r="J50" s="16"/>
      <c r="L50" s="17">
        <f>'TR TUSD'!$L$50*'TR TUSD'!$L$60</f>
        <v>0</v>
      </c>
      <c r="M50" s="17">
        <f>'TR TUSD'!$M$50*'TR TUSD'!$M$60</f>
        <v>1.0302540887719265</v>
      </c>
      <c r="N50" s="17">
        <f ca="1">'TR TUSD'!$N$50*'TR TUSD'!$N$60</f>
        <v>0</v>
      </c>
      <c r="O50" s="17">
        <f>'TR TUSD'!$O$50*'TR TUSD'!$O$60</f>
        <v>0</v>
      </c>
      <c r="P50" s="17">
        <f>'TR TUSD'!$P$50*'TR TUSD'!$P$60</f>
        <v>0</v>
      </c>
      <c r="Q50" s="17">
        <f>'TR TUSD'!$Q$50*'TR TUSD'!$Q$60</f>
        <v>47.090723045799692</v>
      </c>
      <c r="R50" s="17">
        <f>'TR TUSD'!$R$50*'TR TUSD'!$R$60</f>
        <v>7.8126344152885006</v>
      </c>
      <c r="S50" s="17">
        <f>'TR TUSD'!$S$50*'TR TUSD'!$S$60</f>
        <v>0</v>
      </c>
      <c r="T50" s="17">
        <f ca="1">SUM($L$50:$S$50)</f>
        <v>55.933611549860117</v>
      </c>
      <c r="U50" s="17">
        <f>'TR TUSD'!$U$50*'TR TUSD'!$U$60</f>
        <v>0</v>
      </c>
      <c r="V50" s="17">
        <f>'TR TUSD'!$V$50*'TR TUSD'!$V$60</f>
        <v>0</v>
      </c>
      <c r="W50" s="17">
        <f>'TR TUSD'!$W$50*'TR TUSD'!$W$60</f>
        <v>0</v>
      </c>
      <c r="X50" s="17">
        <f>'TR TUSD'!$X$50*'TR TUSD'!$X$60</f>
        <v>0</v>
      </c>
      <c r="Y50" s="17">
        <f>'TR TUSD'!$Y$50*'TR TUSD'!$Y$60</f>
        <v>69.91288254942944</v>
      </c>
      <c r="Z50" s="17">
        <f>'TR TUSD'!$Z$50</f>
        <v>0</v>
      </c>
      <c r="AA50" s="17">
        <f>'TR TUSD'!$AA$50</f>
        <v>0</v>
      </c>
      <c r="AB50" s="17">
        <f>SUM($U$50:$AA$50)</f>
        <v>69.91288254942944</v>
      </c>
      <c r="AC50" s="17">
        <f>'TR TUSD'!$AC$50*'TR TUSD'!$AC$60</f>
        <v>202.63175584042179</v>
      </c>
      <c r="AD50" s="17">
        <f>SUM($AC$50:$AC$50)</f>
        <v>202.63175584042179</v>
      </c>
      <c r="AE50" s="17">
        <v>0</v>
      </c>
      <c r="AF50" s="17">
        <v>0</v>
      </c>
      <c r="AG50" s="17">
        <f>SUM($AE$50:$AF$50)</f>
        <v>0</v>
      </c>
      <c r="AH50" s="17">
        <f>'TR TUSD'!$AH$50*'TR TUSD'!$AH$60</f>
        <v>18.332818663084886</v>
      </c>
      <c r="AI50" s="17">
        <f>'TR TUSD'!$AI$50*'TR TUSD'!$AI$60</f>
        <v>0</v>
      </c>
      <c r="AJ50" s="17">
        <f ca="1">'TR TUSD'!$AJ$50*'TR TUSD'!$AJ$60</f>
        <v>0</v>
      </c>
      <c r="AK50" s="17">
        <f ca="1">'TR TUSD'!$AK$50*'TR TUSD'!$AK$60</f>
        <v>0</v>
      </c>
      <c r="AL50" s="17">
        <f ca="1">SUM($AH$50:$AK$50)</f>
        <v>18.332818663084886</v>
      </c>
      <c r="AM50" s="17">
        <f ca="1">SUMIF($L$4:$AL$4,"SUBTOTAL",$L$50:$AL$50)</f>
        <v>346.81106860279624</v>
      </c>
      <c r="AP50" s="17">
        <f>IF((1 - CUSTOS!$M$32)&lt;&gt;0,1/(1 - CUSTOS!$M$32),1)</f>
        <v>1.8181818181818181</v>
      </c>
    </row>
    <row r="51" spans="1:42" ht="11.25" customHeight="1" x14ac:dyDescent="0.25">
      <c r="A51" s="130"/>
      <c r="B51" s="130"/>
      <c r="C51" s="130"/>
      <c r="D51" s="36" t="s">
        <v>47</v>
      </c>
      <c r="E51" s="36" t="s">
        <v>25</v>
      </c>
      <c r="F51" s="36" t="s">
        <v>25</v>
      </c>
      <c r="G51" s="36" t="s">
        <v>79</v>
      </c>
      <c r="H51" s="36" t="s">
        <v>73</v>
      </c>
      <c r="I51" s="36">
        <f>'MERCADO TUSD'!$U$48</f>
        <v>2220.8670000000002</v>
      </c>
      <c r="J51" s="16"/>
      <c r="L51" s="17">
        <f>'TR TUSD'!$L$51*'TR TUSD'!$L$60</f>
        <v>0</v>
      </c>
      <c r="M51" s="17">
        <f>'TR TUSD'!$M$51*'TR TUSD'!$M$60</f>
        <v>1.123913551387556</v>
      </c>
      <c r="N51" s="17">
        <f ca="1">'TR TUSD'!$N$51*'TR TUSD'!$N$60</f>
        <v>0</v>
      </c>
      <c r="O51" s="17">
        <f>'TR TUSD'!$O$51*'TR TUSD'!$O$60</f>
        <v>0</v>
      </c>
      <c r="P51" s="17">
        <f>'TR TUSD'!$P$51*'TR TUSD'!$P$60</f>
        <v>0</v>
      </c>
      <c r="Q51" s="17">
        <f>'TR TUSD'!$Q$51*'TR TUSD'!$Q$60</f>
        <v>51.371697868145112</v>
      </c>
      <c r="R51" s="17">
        <f>'TR TUSD'!$R$51*'TR TUSD'!$R$60</f>
        <v>8.5228739075874547</v>
      </c>
      <c r="S51" s="17">
        <f>'TR TUSD'!$S$51*'TR TUSD'!$S$60</f>
        <v>0</v>
      </c>
      <c r="T51" s="17">
        <f ca="1">SUM($L$51:$S$51)</f>
        <v>61.018485327120118</v>
      </c>
      <c r="U51" s="17">
        <f>'TR TUSD'!$U$51*'TR TUSD'!$U$60</f>
        <v>0</v>
      </c>
      <c r="V51" s="17">
        <f>'TR TUSD'!$V$51*'TR TUSD'!$V$60</f>
        <v>0</v>
      </c>
      <c r="W51" s="17">
        <f>'TR TUSD'!$W$51*'TR TUSD'!$W$60</f>
        <v>0</v>
      </c>
      <c r="X51" s="17">
        <f>'TR TUSD'!$X$51*'TR TUSD'!$X$60</f>
        <v>0</v>
      </c>
      <c r="Y51" s="17">
        <f>'TR TUSD'!$Y$51*'TR TUSD'!$Y$60</f>
        <v>76.268599144832109</v>
      </c>
      <c r="Z51" s="17">
        <f>'TR TUSD'!$Z$51</f>
        <v>0</v>
      </c>
      <c r="AA51" s="17">
        <f>'TR TUSD'!$AA$51</f>
        <v>0</v>
      </c>
      <c r="AB51" s="17">
        <f>SUM($U$51:$AA$51)</f>
        <v>76.268599144832109</v>
      </c>
      <c r="AC51" s="17">
        <f>'TR TUSD'!$AC$51*'TR TUSD'!$AC$60</f>
        <v>221.05282455318738</v>
      </c>
      <c r="AD51" s="17">
        <f>SUM($AC$51:$AC$51)</f>
        <v>221.05282455318738</v>
      </c>
      <c r="AE51" s="17">
        <v>0</v>
      </c>
      <c r="AF51" s="17">
        <v>0</v>
      </c>
      <c r="AG51" s="17">
        <f>SUM($AE$51:$AF$51)</f>
        <v>0</v>
      </c>
      <c r="AH51" s="17">
        <f>'TR TUSD'!$AH$51*'TR TUSD'!$AH$60</f>
        <v>19.999438541547146</v>
      </c>
      <c r="AI51" s="17">
        <f>'TR TUSD'!$AI$51*'TR TUSD'!$AI$60</f>
        <v>0</v>
      </c>
      <c r="AJ51" s="17">
        <f ca="1">'TR TUSD'!$AJ$51*'TR TUSD'!$AJ$60</f>
        <v>0</v>
      </c>
      <c r="AK51" s="17">
        <f ca="1">'TR TUSD'!$AK$51*'TR TUSD'!$AK$60</f>
        <v>0</v>
      </c>
      <c r="AL51" s="17">
        <f ca="1">SUM($AH$51:$AK$51)</f>
        <v>19.999438541547146</v>
      </c>
      <c r="AM51" s="17">
        <f ca="1">SUMIF($L$4:$AL$4,"SUBTOTAL",$L$51:$AL$51)</f>
        <v>378.33934756668674</v>
      </c>
      <c r="AP51" s="17">
        <f>IF((1 - CUSTOS!$M$33)&lt;&gt;0,1/(1 - CUSTOS!$M$33),1)</f>
        <v>1.6666666666666667</v>
      </c>
    </row>
    <row r="53" spans="1:42" ht="11.25" customHeight="1" x14ac:dyDescent="0.25">
      <c r="K53" s="38" t="s">
        <v>497</v>
      </c>
      <c r="L53" s="17">
        <f>SUMPRODUCT($I$5:$I51,$L$5:$L51)</f>
        <v>0</v>
      </c>
      <c r="M53" s="17">
        <f>SUMPRODUCT($I$5:$I51,$M$5:$M51)</f>
        <v>268243.44278258207</v>
      </c>
      <c r="N53" s="17">
        <f ca="1">SUMPRODUCT($I$5:$I51,$N$5:$N51)</f>
        <v>0</v>
      </c>
      <c r="O53" s="17">
        <f>SUMPRODUCT($I$5:$I51,$O$5:$O51)</f>
        <v>0</v>
      </c>
      <c r="P53" s="17">
        <f>SUMPRODUCT($I$5:$I51,$P$5:$P51)</f>
        <v>0</v>
      </c>
      <c r="Q53" s="17">
        <f>SUMPRODUCT($I$5:$I51,$Q$5:$Q51)</f>
        <v>14054948.943829998</v>
      </c>
      <c r="R53" s="17">
        <f>SUMPRODUCT($I$5:$I51,$R$5:$R51)</f>
        <v>2530922.6024099994</v>
      </c>
      <c r="S53" s="17">
        <f>SUMPRODUCT($I$5:$I51,$S$5:$S51)</f>
        <v>0</v>
      </c>
      <c r="T53" s="17">
        <f ca="1">SUMPRODUCT($I$5:$I51,$T$5:$T51)</f>
        <v>16854114.989022579</v>
      </c>
      <c r="U53" s="17">
        <f>SUMPRODUCT($I$5:$I51,$U$5:$U51)</f>
        <v>0</v>
      </c>
      <c r="V53" s="17">
        <f>SUMPRODUCT($I$5:$I51,$V$5:$V51)</f>
        <v>0</v>
      </c>
      <c r="W53" s="17">
        <f>SUMPRODUCT($I$5:$I51,$W$5:$W51)</f>
        <v>0</v>
      </c>
      <c r="X53" s="17">
        <f>SUMPRODUCT($I$5:$I51,$X$5:$X51)</f>
        <v>0</v>
      </c>
      <c r="Y53" s="17">
        <f>SUMPRODUCT($I$5:$I51,$Y$5:$Y51)</f>
        <v>21824003.3997114</v>
      </c>
      <c r="Z53" s="17">
        <f>SUMPRODUCT($I$5:$I51,$Z$5:$Z51)</f>
        <v>0</v>
      </c>
      <c r="AA53" s="17">
        <f>SUMPRODUCT($I$5:$I51,$AA$5:$AA51)</f>
        <v>0</v>
      </c>
      <c r="AB53" s="17">
        <f>SUMPRODUCT($I$5:$I51,$AB$5:$AB51)</f>
        <v>21824003.3997114</v>
      </c>
      <c r="AC53" s="17">
        <f>SUMPRODUCT($I$5:$I51,$AC$5:$AC51)</f>
        <v>52758480.064375155</v>
      </c>
      <c r="AD53" s="17">
        <f>SUMPRODUCT($I$5:$I51,$AD$5:$AD51)</f>
        <v>52758480.064375155</v>
      </c>
      <c r="AE53" s="17">
        <f>SUMPRODUCT($I$5:$I51,$AE$5:$AE51)</f>
        <v>0</v>
      </c>
      <c r="AF53" s="17">
        <f>SUMPRODUCT($I$5:$I51,$AF$5:$AF51)</f>
        <v>0</v>
      </c>
      <c r="AG53" s="17">
        <f>SUMPRODUCT($I$5:$I51,$AG$5:$AG51)</f>
        <v>0</v>
      </c>
      <c r="AH53" s="17">
        <f>SUMPRODUCT($I$5:$I51,$AH$5:$AH51)</f>
        <v>4413610.3065110222</v>
      </c>
      <c r="AI53" s="17">
        <f>SUMPRODUCT($I$5:$I51,$AI$5:$AI51)</f>
        <v>0</v>
      </c>
      <c r="AJ53" s="17">
        <f ca="1">SUMPRODUCT($I$5:$I51,$AJ$5:$AJ51)</f>
        <v>0</v>
      </c>
      <c r="AK53" s="17">
        <f ca="1">SUMPRODUCT($I$5:$I51,$AK$5:$AK51)</f>
        <v>0</v>
      </c>
      <c r="AL53" s="17">
        <f ca="1">SUMPRODUCT($I$5:$I51,$AL$5:$AL51)</f>
        <v>4413610.3065110222</v>
      </c>
      <c r="AM53" s="17">
        <f ca="1">SUMPRODUCT($I$5:$I51,$AM$5:$AM51)</f>
        <v>95850208.759620145</v>
      </c>
    </row>
    <row r="54" spans="1:42" ht="11.25" customHeight="1" x14ac:dyDescent="0.25">
      <c r="K54" s="38" t="s">
        <v>440</v>
      </c>
      <c r="L54" s="17">
        <f>'TR TUSD'!$L$56</f>
        <v>0</v>
      </c>
      <c r="M54" s="17">
        <f>'TR TUSD'!$M$56</f>
        <v>268243.44278258207</v>
      </c>
      <c r="N54" s="17">
        <f>'TR TUSD'!$N$56</f>
        <v>0</v>
      </c>
      <c r="O54" s="17">
        <f>'TR TUSD'!$O$56</f>
        <v>0</v>
      </c>
      <c r="P54" s="17">
        <f>'TR TUSD'!$P$56</f>
        <v>0</v>
      </c>
      <c r="Q54" s="17">
        <f>'TR TUSD'!$Q$56</f>
        <v>14054948.943829997</v>
      </c>
      <c r="R54" s="17">
        <f>'TR TUSD'!$R$56</f>
        <v>2530922.6024099994</v>
      </c>
      <c r="S54" s="17">
        <f>'TR TUSD'!$S$56</f>
        <v>0</v>
      </c>
      <c r="T54" s="17">
        <f>'TR TUSD'!$T$56</f>
        <v>16854114.989022579</v>
      </c>
      <c r="U54" s="17">
        <f>'TR TUSD'!$U$56</f>
        <v>0</v>
      </c>
      <c r="V54" s="17">
        <f>'TR TUSD'!$V$56</f>
        <v>0</v>
      </c>
      <c r="W54" s="17">
        <f>'TR TUSD'!$W$56</f>
        <v>0</v>
      </c>
      <c r="X54" s="17">
        <f>'TR TUSD'!$X$56</f>
        <v>0</v>
      </c>
      <c r="Y54" s="17">
        <f>'TR TUSD'!$Y$56</f>
        <v>21824003.3997114</v>
      </c>
      <c r="Z54" s="17">
        <f>'TR TUSD'!$Z$56</f>
        <v>0</v>
      </c>
      <c r="AA54" s="17">
        <f>'TR TUSD'!$AA$56</f>
        <v>0</v>
      </c>
      <c r="AB54" s="17">
        <f>'TR TUSD'!$AB$56</f>
        <v>21824003.3997114</v>
      </c>
      <c r="AC54" s="17">
        <f>'TR TUSD'!$AC$56</f>
        <v>52758480.06437514</v>
      </c>
      <c r="AD54" s="17">
        <f>'TR TUSD'!$AD$56</f>
        <v>52758480.06437514</v>
      </c>
      <c r="AE54" s="17">
        <f>'TR TUSD'!$AE$56</f>
        <v>0</v>
      </c>
      <c r="AF54" s="17">
        <f>'TR TUSD'!$AF$56</f>
        <v>0</v>
      </c>
      <c r="AG54" s="17">
        <f>'TR TUSD'!$AG$56</f>
        <v>0</v>
      </c>
      <c r="AH54" s="17">
        <f>'TR TUSD'!$AH$56</f>
        <v>4413610.3065110203</v>
      </c>
      <c r="AI54" s="17">
        <f>'TR TUSD'!$AI$56</f>
        <v>0</v>
      </c>
      <c r="AJ54" s="17">
        <f>'TR TUSD'!$AJ$56</f>
        <v>0</v>
      </c>
      <c r="AK54" s="17">
        <f>'TR TUSD'!$AK$56</f>
        <v>0</v>
      </c>
      <c r="AL54" s="17">
        <f>'TR TUSD'!$AL$56</f>
        <v>4413610.3065110203</v>
      </c>
      <c r="AM54" s="17">
        <f>CUSTOS!$D$29</f>
        <v>95850208.75962013</v>
      </c>
    </row>
    <row r="55" spans="1:42" ht="11.25" customHeight="1" x14ac:dyDescent="0.25">
      <c r="K55" s="38" t="s">
        <v>441</v>
      </c>
      <c r="L55" s="17">
        <f>CUSTOS!$E$2</f>
        <v>0</v>
      </c>
      <c r="M55" s="17">
        <f>CUSTOS!$E$3</f>
        <v>-13358.584548436307</v>
      </c>
      <c r="N55" s="17">
        <f>CUSTOS!$E$4</f>
        <v>0</v>
      </c>
      <c r="O55" s="17">
        <f>CUSTOS!$E$5</f>
        <v>0</v>
      </c>
      <c r="P55" s="17">
        <f>CUSTOS!$E$6</f>
        <v>0</v>
      </c>
      <c r="Q55" s="17">
        <f>CUSTOS!$E$7</f>
        <v>-520176.23269056814</v>
      </c>
      <c r="R55" s="17">
        <f>CUSTOS!$E$8</f>
        <v>-87124.034373721021</v>
      </c>
      <c r="S55" s="17">
        <f>CUSTOS!$E$9</f>
        <v>0</v>
      </c>
      <c r="T55" s="17">
        <f>CUSTOS!$E$10</f>
        <v>-620658.85161272541</v>
      </c>
      <c r="U55" s="17">
        <f>CUSTOS!$E$11</f>
        <v>0</v>
      </c>
      <c r="V55" s="17">
        <f>CUSTOS!$E$12</f>
        <v>0</v>
      </c>
      <c r="W55" s="17">
        <f>CUSTOS!$E$13</f>
        <v>0</v>
      </c>
      <c r="X55" s="17">
        <f>CUSTOS!$E$14</f>
        <v>0</v>
      </c>
      <c r="Y55" s="17">
        <f>CUSTOS!$E$15</f>
        <v>16131.736745447153</v>
      </c>
      <c r="Z55" s="17">
        <f>CUSTOS!$E$16</f>
        <v>0</v>
      </c>
      <c r="AA55" s="17">
        <f>CUSTOS!$E$17</f>
        <v>0</v>
      </c>
      <c r="AB55" s="17">
        <f>CUSTOS!$E$18</f>
        <v>16131.736745447153</v>
      </c>
      <c r="AC55" s="17">
        <f>CUSTOS!$E$19</f>
        <v>-20920469.666595757</v>
      </c>
      <c r="AD55" s="17">
        <f>CUSTOS!$E$20</f>
        <v>-20920469.666595757</v>
      </c>
      <c r="AE55" s="17">
        <f>CUSTOS!$E$21</f>
        <v>1501347.3773171748</v>
      </c>
      <c r="AF55" s="17">
        <f>CUSTOS!$E$22</f>
        <v>0</v>
      </c>
      <c r="AG55" s="17">
        <f>CUSTOS!$E$23</f>
        <v>1501347.3773171748</v>
      </c>
      <c r="AH55" s="17">
        <f>CUSTOS!$E$24</f>
        <v>489657.37437033339</v>
      </c>
      <c r="AI55" s="17">
        <f>CUSTOS!$E$25</f>
        <v>0</v>
      </c>
      <c r="AJ55" s="17">
        <f>CUSTOS!$E$26</f>
        <v>0</v>
      </c>
      <c r="AK55" s="17">
        <f>CUSTOS!$E$27</f>
        <v>0</v>
      </c>
      <c r="AL55" s="17">
        <f>CUSTOS!$E$28</f>
        <v>489657.37437033339</v>
      </c>
      <c r="AM55" s="17">
        <f>CUSTOS!$E$29</f>
        <v>-19533992.029775526</v>
      </c>
    </row>
    <row r="56" spans="1:42" ht="11.25" customHeight="1" x14ac:dyDescent="0.25">
      <c r="K56" s="38" t="s">
        <v>442</v>
      </c>
      <c r="L56" s="17">
        <f>CUSTOS!$F$2</f>
        <v>0</v>
      </c>
      <c r="M56" s="17">
        <f>CUSTOS!$F$3</f>
        <v>0</v>
      </c>
      <c r="N56" s="17">
        <f>CUSTOS!$F$4</f>
        <v>0</v>
      </c>
      <c r="O56" s="17">
        <f>CUSTOS!$F$5</f>
        <v>0</v>
      </c>
      <c r="P56" s="17">
        <f>CUSTOS!$F$6</f>
        <v>0</v>
      </c>
      <c r="Q56" s="17">
        <f>CUSTOS!$F$7</f>
        <v>0</v>
      </c>
      <c r="R56" s="17">
        <f>CUSTOS!$F$8</f>
        <v>0</v>
      </c>
      <c r="S56" s="17">
        <f>CUSTOS!$F$9</f>
        <v>0</v>
      </c>
      <c r="T56" s="17">
        <f>CUSTOS!$F$10</f>
        <v>0</v>
      </c>
      <c r="U56" s="17">
        <f>CUSTOS!$F$11</f>
        <v>0</v>
      </c>
      <c r="V56" s="17">
        <f>CUSTOS!$F$12</f>
        <v>0</v>
      </c>
      <c r="W56" s="17">
        <f>CUSTOS!$F$13</f>
        <v>0</v>
      </c>
      <c r="X56" s="17">
        <f>CUSTOS!$F$14</f>
        <v>0</v>
      </c>
      <c r="Y56" s="17">
        <f>CUSTOS!$F$15</f>
        <v>0</v>
      </c>
      <c r="Z56" s="17">
        <f>CUSTOS!$F$16</f>
        <v>0</v>
      </c>
      <c r="AA56" s="17">
        <f>CUSTOS!$F$17</f>
        <v>0</v>
      </c>
      <c r="AB56" s="17">
        <f>CUSTOS!$F$18</f>
        <v>0</v>
      </c>
      <c r="AC56" s="17">
        <f>CUSTOS!$F$19</f>
        <v>0</v>
      </c>
      <c r="AD56" s="17">
        <f>CUSTOS!$F$20</f>
        <v>0</v>
      </c>
      <c r="AE56" s="17">
        <f>CUSTOS!$F$21</f>
        <v>0</v>
      </c>
      <c r="AF56" s="17">
        <f>CUSTOS!$F$22</f>
        <v>0</v>
      </c>
      <c r="AG56" s="17">
        <f>CUSTOS!$F$23</f>
        <v>0</v>
      </c>
      <c r="AH56" s="17">
        <f>CUSTOS!$F$24</f>
        <v>0</v>
      </c>
      <c r="AI56" s="17">
        <f>CUSTOS!$F$25</f>
        <v>0</v>
      </c>
      <c r="AJ56" s="17">
        <f>CUSTOS!$F$26</f>
        <v>0</v>
      </c>
      <c r="AK56" s="17">
        <f>CUSTOS!$F$27</f>
        <v>0</v>
      </c>
      <c r="AL56" s="17">
        <f>CUSTOS!$F$28</f>
        <v>0</v>
      </c>
      <c r="AM56" s="17">
        <f>CUSTOS!$F$29</f>
        <v>0</v>
      </c>
    </row>
    <row r="57" spans="1:42" ht="11.25" customHeight="1" x14ac:dyDescent="0.25">
      <c r="K57" s="38" t="s">
        <v>494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f>SUM($L$57:$S$57)</f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f>SUM($U$57:$AA$57)</f>
        <v>0</v>
      </c>
      <c r="AC57" s="17">
        <v>0</v>
      </c>
      <c r="AD57" s="17">
        <f>SUM($AC$57:$AC$57)</f>
        <v>0</v>
      </c>
      <c r="AE57" s="17">
        <v>0</v>
      </c>
      <c r="AF57" s="17">
        <v>0</v>
      </c>
      <c r="AG57" s="17">
        <f>SUM($AE$57:$AF$57)</f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f>SUM($AH$57:$AK$57)</f>
        <v>0</v>
      </c>
      <c r="AM57" s="17">
        <f>SUMIF($L$4:$AL$4,"SUBTOTAL",$L$57:$AL$57)</f>
        <v>0</v>
      </c>
    </row>
    <row r="58" spans="1:42" ht="11.25" customHeight="1" x14ac:dyDescent="0.25">
      <c r="K58" s="38" t="s">
        <v>498</v>
      </c>
      <c r="L58" s="17">
        <f t="shared" ref="L58:R58" si="0">IF((L53-(0))&lt;&gt;0,(L55)/(L53-(0)),0)</f>
        <v>0</v>
      </c>
      <c r="M58" s="17">
        <f t="shared" si="0"/>
        <v>-4.9800227770204132E-2</v>
      </c>
      <c r="N58" s="17">
        <f t="shared" ca="1" si="0"/>
        <v>0</v>
      </c>
      <c r="O58" s="17">
        <f t="shared" si="0"/>
        <v>0</v>
      </c>
      <c r="P58" s="17">
        <f t="shared" si="0"/>
        <v>0</v>
      </c>
      <c r="Q58" s="17">
        <f t="shared" si="0"/>
        <v>-3.70101830159206E-2</v>
      </c>
      <c r="R58" s="17">
        <f t="shared" si="0"/>
        <v>-3.4423824059558211E-2</v>
      </c>
      <c r="S58" s="17">
        <f>IF((R53-(0)&lt;&gt;0),(S55)/(R53-(0)),0)</f>
        <v>0</v>
      </c>
      <c r="T58" s="17"/>
      <c r="U58" s="17">
        <f t="shared" ref="U58:AA58" si="1">IF((U53-(0))&lt;&gt;0,(U55)/(U53-(0)),0)</f>
        <v>0</v>
      </c>
      <c r="V58" s="17">
        <f t="shared" si="1"/>
        <v>0</v>
      </c>
      <c r="W58" s="17">
        <f t="shared" si="1"/>
        <v>0</v>
      </c>
      <c r="X58" s="17">
        <f t="shared" si="1"/>
        <v>0</v>
      </c>
      <c r="Y58" s="17">
        <f t="shared" si="1"/>
        <v>7.3917403924435234E-4</v>
      </c>
      <c r="Z58" s="17">
        <f t="shared" si="1"/>
        <v>0</v>
      </c>
      <c r="AA58" s="17">
        <f t="shared" si="1"/>
        <v>0</v>
      </c>
      <c r="AB58" s="17"/>
      <c r="AC58" s="17">
        <f>IF((AC53-(0))&lt;&gt;0,(AC55)/(AC53-(0)),0)</f>
        <v>-0.39653283493134933</v>
      </c>
      <c r="AD58" s="17"/>
      <c r="AE58" s="17">
        <f ca="1">IF(($AM53-(0))&lt;&gt;0,(AE55)/($AM53-(0)),0)</f>
        <v>1.5663475299071687E-2</v>
      </c>
      <c r="AF58" s="17">
        <f ca="1">IF(($AM53-(0))&lt;&gt;0,(AF55)/($AM53-(0)),0)</f>
        <v>0</v>
      </c>
      <c r="AG58" s="17"/>
      <c r="AH58" s="17">
        <f>IF((AH53-(0))&lt;&gt;0,(AH55)/(AH53-(0)),0)</f>
        <v>0.11094259356064665</v>
      </c>
      <c r="AI58" s="17">
        <f>IF((AI53-(0))&lt;&gt;0,(AI55)/(AI53-(0)),0)</f>
        <v>0</v>
      </c>
      <c r="AJ58" s="17">
        <f ca="1">IF((AJ53-(0))&lt;&gt;0,(AJ55)/(AJ53-(0)),0)</f>
        <v>0</v>
      </c>
      <c r="AK58" s="17">
        <f ca="1">IF((AK53-(0))&lt;&gt;0,(AK55)/(AK53-(0)),0)</f>
        <v>0</v>
      </c>
      <c r="AL58" s="17"/>
      <c r="AM58" s="17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1011" priority="55" operator="notEqual">
      <formula>$L$54-$L$57</formula>
    </cfRule>
    <cfRule type="cellIs" dxfId="1010" priority="56" operator="equal">
      <formula>$L$54-$L$57</formula>
    </cfRule>
  </conditionalFormatting>
  <conditionalFormatting sqref="M53">
    <cfRule type="cellIs" dxfId="1009" priority="53" operator="notEqual">
      <formula>$M$54-$M$57</formula>
    </cfRule>
    <cfRule type="cellIs" dxfId="1008" priority="54" operator="equal">
      <formula>$M$54-$M$57</formula>
    </cfRule>
  </conditionalFormatting>
  <conditionalFormatting sqref="N53">
    <cfRule type="cellIs" dxfId="1007" priority="51" operator="notEqual">
      <formula>$N$54-$N$57</formula>
    </cfRule>
    <cfRule type="cellIs" dxfId="1006" priority="52" operator="equal">
      <formula>$N$54-$N$57</formula>
    </cfRule>
  </conditionalFormatting>
  <conditionalFormatting sqref="O53">
    <cfRule type="cellIs" dxfId="1005" priority="49" operator="notEqual">
      <formula>$O$54-$O$57</formula>
    </cfRule>
    <cfRule type="cellIs" dxfId="1004" priority="50" operator="equal">
      <formula>$O$54-$O$57</formula>
    </cfRule>
  </conditionalFormatting>
  <conditionalFormatting sqref="P53">
    <cfRule type="cellIs" dxfId="1003" priority="47" operator="notEqual">
      <formula>$P$54-$P$57</formula>
    </cfRule>
    <cfRule type="cellIs" dxfId="1002" priority="48" operator="equal">
      <formula>$P$54-$P$57</formula>
    </cfRule>
  </conditionalFormatting>
  <conditionalFormatting sqref="Q53">
    <cfRule type="cellIs" dxfId="1001" priority="45" operator="notEqual">
      <formula>$Q$54-$Q$57</formula>
    </cfRule>
    <cfRule type="cellIs" dxfId="1000" priority="46" operator="equal">
      <formula>$Q$54-$Q$57</formula>
    </cfRule>
  </conditionalFormatting>
  <conditionalFormatting sqref="R53">
    <cfRule type="cellIs" dxfId="999" priority="43" operator="notEqual">
      <formula>$R$54-$R$57</formula>
    </cfRule>
    <cfRule type="cellIs" dxfId="998" priority="44" operator="equal">
      <formula>$R$54-$R$57</formula>
    </cfRule>
  </conditionalFormatting>
  <conditionalFormatting sqref="S53">
    <cfRule type="cellIs" dxfId="997" priority="41" operator="notEqual">
      <formula>$S$54-$S$57</formula>
    </cfRule>
    <cfRule type="cellIs" dxfId="996" priority="42" operator="equal">
      <formula>$S$54-$S$57</formula>
    </cfRule>
  </conditionalFormatting>
  <conditionalFormatting sqref="T53">
    <cfRule type="cellIs" dxfId="995" priority="39" operator="notEqual">
      <formula>$T$54-$T$57</formula>
    </cfRule>
    <cfRule type="cellIs" dxfId="994" priority="40" operator="equal">
      <formula>$T$54-$T$57</formula>
    </cfRule>
  </conditionalFormatting>
  <conditionalFormatting sqref="U53">
    <cfRule type="cellIs" dxfId="993" priority="37" operator="notEqual">
      <formula>$U$54-$U$57</formula>
    </cfRule>
    <cfRule type="cellIs" dxfId="992" priority="38" operator="equal">
      <formula>$U$54-$U$57</formula>
    </cfRule>
  </conditionalFormatting>
  <conditionalFormatting sqref="V53">
    <cfRule type="cellIs" dxfId="991" priority="35" operator="notEqual">
      <formula>$V$54-$V$57</formula>
    </cfRule>
    <cfRule type="cellIs" dxfId="990" priority="36" operator="equal">
      <formula>$V$54-$V$57</formula>
    </cfRule>
  </conditionalFormatting>
  <conditionalFormatting sqref="W53">
    <cfRule type="cellIs" dxfId="989" priority="33" operator="notEqual">
      <formula>$W$54-$W$57</formula>
    </cfRule>
    <cfRule type="cellIs" dxfId="988" priority="34" operator="equal">
      <formula>$W$54-$W$57</formula>
    </cfRule>
  </conditionalFormatting>
  <conditionalFormatting sqref="X53">
    <cfRule type="cellIs" dxfId="987" priority="31" operator="notEqual">
      <formula>$X$54-$X$57</formula>
    </cfRule>
    <cfRule type="cellIs" dxfId="986" priority="32" operator="equal">
      <formula>$X$54-$X$57</formula>
    </cfRule>
  </conditionalFormatting>
  <conditionalFormatting sqref="Y53">
    <cfRule type="cellIs" dxfId="985" priority="29" operator="notEqual">
      <formula>$Y$54-$Y$57</formula>
    </cfRule>
    <cfRule type="cellIs" dxfId="984" priority="30" operator="equal">
      <formula>$Y$54-$Y$57</formula>
    </cfRule>
  </conditionalFormatting>
  <conditionalFormatting sqref="Z53">
    <cfRule type="cellIs" dxfId="983" priority="27" operator="notEqual">
      <formula>$Z$54-$Z$57</formula>
    </cfRule>
    <cfRule type="cellIs" dxfId="982" priority="28" operator="equal">
      <formula>$Z$54-$Z$57</formula>
    </cfRule>
  </conditionalFormatting>
  <conditionalFormatting sqref="AA53">
    <cfRule type="cellIs" dxfId="981" priority="25" operator="notEqual">
      <formula>$AA$54-$AA$57</formula>
    </cfRule>
    <cfRule type="cellIs" dxfId="980" priority="26" operator="equal">
      <formula>$AA$54-$AA$57</formula>
    </cfRule>
  </conditionalFormatting>
  <conditionalFormatting sqref="AB53">
    <cfRule type="cellIs" dxfId="979" priority="23" operator="notEqual">
      <formula>$AB$54-$AB$57</formula>
    </cfRule>
    <cfRule type="cellIs" dxfId="978" priority="24" operator="equal">
      <formula>$AB$54-$AB$57</formula>
    </cfRule>
  </conditionalFormatting>
  <conditionalFormatting sqref="AC53">
    <cfRule type="cellIs" dxfId="977" priority="21" operator="notEqual">
      <formula>$AC$54-$AC$57</formula>
    </cfRule>
    <cfRule type="cellIs" dxfId="976" priority="22" operator="equal">
      <formula>$AC$54-$AC$57</formula>
    </cfRule>
  </conditionalFormatting>
  <conditionalFormatting sqref="AD53">
    <cfRule type="cellIs" dxfId="975" priority="19" operator="notEqual">
      <formula>$AD$54-$AD$57</formula>
    </cfRule>
    <cfRule type="cellIs" dxfId="974" priority="20" operator="equal">
      <formula>$AD$54-$AD$57</formula>
    </cfRule>
  </conditionalFormatting>
  <conditionalFormatting sqref="AE53">
    <cfRule type="cellIs" dxfId="973" priority="17" operator="notEqual">
      <formula>$AE$54-$AE$57</formula>
    </cfRule>
    <cfRule type="cellIs" dxfId="972" priority="18" operator="equal">
      <formula>$AE$54-$AE$57</formula>
    </cfRule>
  </conditionalFormatting>
  <conditionalFormatting sqref="AF53">
    <cfRule type="cellIs" dxfId="971" priority="16" operator="equal">
      <formula>$AF$54-$AF$57</formula>
    </cfRule>
  </conditionalFormatting>
  <conditionalFormatting sqref="AF53">
    <cfRule type="cellIs" dxfId="970" priority="15" operator="notEqual">
      <formula>$AF$54-$AF$57</formula>
    </cfRule>
  </conditionalFormatting>
  <conditionalFormatting sqref="AG53">
    <cfRule type="cellIs" dxfId="969" priority="14" operator="equal">
      <formula>$AG$54-$AG$57</formula>
    </cfRule>
  </conditionalFormatting>
  <conditionalFormatting sqref="AG53">
    <cfRule type="cellIs" dxfId="968" priority="13" operator="notEqual">
      <formula>$AG$54-$AG$57</formula>
    </cfRule>
  </conditionalFormatting>
  <conditionalFormatting sqref="AH53">
    <cfRule type="cellIs" dxfId="967" priority="12" operator="equal">
      <formula>$AH$54-$AH$57</formula>
    </cfRule>
  </conditionalFormatting>
  <conditionalFormatting sqref="AH53">
    <cfRule type="cellIs" dxfId="966" priority="11" operator="notEqual">
      <formula>$AH$54-$AH$57</formula>
    </cfRule>
  </conditionalFormatting>
  <conditionalFormatting sqref="AI53">
    <cfRule type="cellIs" dxfId="965" priority="10" operator="equal">
      <formula>$AI$54-$AI$57</formula>
    </cfRule>
  </conditionalFormatting>
  <conditionalFormatting sqref="AI53">
    <cfRule type="cellIs" dxfId="964" priority="9" operator="notEqual">
      <formula>$AI$54-$AI$57</formula>
    </cfRule>
  </conditionalFormatting>
  <conditionalFormatting sqref="AJ53">
    <cfRule type="cellIs" dxfId="963" priority="8" operator="equal">
      <formula>$AJ$54-$AJ$57</formula>
    </cfRule>
  </conditionalFormatting>
  <conditionalFormatting sqref="AJ53">
    <cfRule type="cellIs" dxfId="962" priority="7" operator="notEqual">
      <formula>$AJ$54-$AJ$57</formula>
    </cfRule>
  </conditionalFormatting>
  <conditionalFormatting sqref="AK53">
    <cfRule type="cellIs" dxfId="961" priority="6" operator="equal">
      <formula>$AK$54-$AK$57</formula>
    </cfRule>
  </conditionalFormatting>
  <conditionalFormatting sqref="AK53">
    <cfRule type="cellIs" dxfId="960" priority="5" operator="notEqual">
      <formula>$AK$54-$AK$57</formula>
    </cfRule>
  </conditionalFormatting>
  <conditionalFormatting sqref="AL53">
    <cfRule type="cellIs" dxfId="959" priority="4" operator="equal">
      <formula>$AL$54-$AL$57</formula>
    </cfRule>
  </conditionalFormatting>
  <conditionalFormatting sqref="AL53">
    <cfRule type="cellIs" dxfId="958" priority="3" operator="notEqual">
      <formula>$AL$54-$AL$57</formula>
    </cfRule>
  </conditionalFormatting>
  <conditionalFormatting sqref="AM53">
    <cfRule type="cellIs" dxfId="957" priority="2" operator="equal">
      <formula>$AM$54-$AM$57</formula>
    </cfRule>
  </conditionalFormatting>
  <conditionalFormatting sqref="AM53">
    <cfRule type="cellIs" dxfId="956" priority="1" operator="notEqual">
      <formula>$AM$54-$AM$57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CB66D-01B8-4D62-BEFA-FE82220481C1}">
  <sheetPr codeName="Planilha10"/>
  <dimension ref="A1:AP58"/>
  <sheetViews>
    <sheetView showGridLines="0" topLeftCell="Z38" workbookViewId="0">
      <selection activeCell="AO53" sqref="AO53:AP55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10" style="9" bestFit="1" customWidth="1"/>
    <col min="32" max="32" width="7.28515625" style="9" bestFit="1" customWidth="1"/>
    <col min="33" max="33" width="10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4257812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31" t="s">
        <v>63</v>
      </c>
      <c r="B1" s="131" t="s">
        <v>64</v>
      </c>
      <c r="C1" s="131" t="s">
        <v>65</v>
      </c>
      <c r="D1" s="131" t="s">
        <v>66</v>
      </c>
      <c r="E1" s="131" t="s">
        <v>67</v>
      </c>
      <c r="F1" s="131" t="s">
        <v>15</v>
      </c>
      <c r="G1" s="131" t="s">
        <v>69</v>
      </c>
      <c r="H1" s="131" t="s">
        <v>70</v>
      </c>
      <c r="I1" s="131" t="s">
        <v>488</v>
      </c>
      <c r="J1" s="124"/>
      <c r="L1" s="132" t="s">
        <v>499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O1" s="43"/>
      <c r="AP1" s="135" t="s">
        <v>490</v>
      </c>
    </row>
    <row r="2" spans="1:42" ht="11.25" customHeight="1" x14ac:dyDescent="0.25">
      <c r="A2" s="131"/>
      <c r="B2" s="131"/>
      <c r="C2" s="131"/>
      <c r="D2" s="131"/>
      <c r="E2" s="131"/>
      <c r="F2" s="131"/>
      <c r="G2" s="131"/>
      <c r="H2" s="131"/>
      <c r="I2" s="131"/>
      <c r="J2" s="124"/>
      <c r="L2" s="132" t="s">
        <v>399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O2" s="43"/>
      <c r="AP2" s="136"/>
    </row>
    <row r="3" spans="1:42" ht="11.25" customHeight="1" x14ac:dyDescent="0.25">
      <c r="A3" s="131"/>
      <c r="B3" s="131"/>
      <c r="C3" s="131"/>
      <c r="D3" s="131"/>
      <c r="E3" s="131"/>
      <c r="F3" s="131"/>
      <c r="G3" s="131"/>
      <c r="H3" s="131"/>
      <c r="I3" s="131"/>
      <c r="J3" s="124"/>
      <c r="L3" s="132" t="s">
        <v>400</v>
      </c>
      <c r="M3" s="132"/>
      <c r="N3" s="132"/>
      <c r="O3" s="132"/>
      <c r="P3" s="132"/>
      <c r="Q3" s="132"/>
      <c r="R3" s="132"/>
      <c r="S3" s="132"/>
      <c r="T3" s="132"/>
      <c r="U3" s="132" t="s">
        <v>409</v>
      </c>
      <c r="V3" s="132"/>
      <c r="W3" s="132"/>
      <c r="X3" s="132"/>
      <c r="Y3" s="132"/>
      <c r="Z3" s="132"/>
      <c r="AA3" s="132"/>
      <c r="AB3" s="132"/>
      <c r="AC3" s="132" t="s">
        <v>417</v>
      </c>
      <c r="AD3" s="132"/>
      <c r="AE3" s="132" t="s">
        <v>419</v>
      </c>
      <c r="AF3" s="132"/>
      <c r="AG3" s="132"/>
      <c r="AH3" s="132" t="s">
        <v>422</v>
      </c>
      <c r="AI3" s="132"/>
      <c r="AJ3" s="132"/>
      <c r="AK3" s="132"/>
      <c r="AL3" s="132"/>
      <c r="AM3" s="132" t="s">
        <v>408</v>
      </c>
      <c r="AO3" s="43"/>
      <c r="AP3" s="136"/>
    </row>
    <row r="4" spans="1:42" ht="11.25" customHeight="1" x14ac:dyDescent="0.25">
      <c r="A4" s="131"/>
      <c r="B4" s="131"/>
      <c r="C4" s="131"/>
      <c r="D4" s="131"/>
      <c r="E4" s="131"/>
      <c r="F4" s="131"/>
      <c r="G4" s="131"/>
      <c r="H4" s="131"/>
      <c r="I4" s="131"/>
      <c r="J4" s="124"/>
      <c r="L4" s="39" t="s">
        <v>484</v>
      </c>
      <c r="M4" s="39" t="s">
        <v>401</v>
      </c>
      <c r="N4" s="39" t="s">
        <v>402</v>
      </c>
      <c r="O4" s="39" t="s">
        <v>403</v>
      </c>
      <c r="P4" s="39" t="s">
        <v>404</v>
      </c>
      <c r="Q4" s="39" t="s">
        <v>405</v>
      </c>
      <c r="R4" s="39" t="s">
        <v>406</v>
      </c>
      <c r="S4" s="39" t="s">
        <v>407</v>
      </c>
      <c r="T4" s="39" t="s">
        <v>408</v>
      </c>
      <c r="U4" s="39" t="s">
        <v>410</v>
      </c>
      <c r="V4" s="39" t="s">
        <v>411</v>
      </c>
      <c r="W4" s="39" t="s">
        <v>412</v>
      </c>
      <c r="X4" s="39" t="s">
        <v>413</v>
      </c>
      <c r="Y4" s="39" t="s">
        <v>414</v>
      </c>
      <c r="Z4" s="39" t="s">
        <v>415</v>
      </c>
      <c r="AA4" s="39" t="s">
        <v>416</v>
      </c>
      <c r="AB4" s="39" t="s">
        <v>408</v>
      </c>
      <c r="AC4" s="39" t="s">
        <v>418</v>
      </c>
      <c r="AD4" s="39" t="s">
        <v>408</v>
      </c>
      <c r="AE4" s="39" t="s">
        <v>420</v>
      </c>
      <c r="AF4" s="39" t="s">
        <v>421</v>
      </c>
      <c r="AG4" s="39" t="s">
        <v>408</v>
      </c>
      <c r="AH4" s="39" t="s">
        <v>423</v>
      </c>
      <c r="AI4" s="39" t="s">
        <v>424</v>
      </c>
      <c r="AJ4" s="39" t="s">
        <v>425</v>
      </c>
      <c r="AK4" s="39" t="s">
        <v>426</v>
      </c>
      <c r="AL4" s="39" t="s">
        <v>408</v>
      </c>
      <c r="AM4" s="134"/>
      <c r="AO4" s="44" t="s">
        <v>501</v>
      </c>
      <c r="AP4" s="137"/>
    </row>
    <row r="5" spans="1:42" ht="11.25" customHeight="1" x14ac:dyDescent="0.25">
      <c r="A5" s="130" t="s">
        <v>33</v>
      </c>
      <c r="B5" s="130" t="s">
        <v>43</v>
      </c>
      <c r="C5" s="130" t="s">
        <v>25</v>
      </c>
      <c r="D5" s="130" t="s">
        <v>25</v>
      </c>
      <c r="E5" s="130" t="s">
        <v>25</v>
      </c>
      <c r="F5" s="130" t="s">
        <v>25</v>
      </c>
      <c r="G5" s="36" t="s">
        <v>77</v>
      </c>
      <c r="H5" s="36" t="s">
        <v>76</v>
      </c>
      <c r="I5" s="36">
        <f>'MERCADO TUSD'!$U$2</f>
        <v>1679</v>
      </c>
      <c r="J5" s="16"/>
      <c r="L5" s="17">
        <f>'TUSD BE'!$L$5*'TUSD BE'!$L$58</f>
        <v>0</v>
      </c>
      <c r="M5" s="17">
        <f>'TUSD BE'!$M$5*'TUSD BE'!$M$58</f>
        <v>0</v>
      </c>
      <c r="N5" s="17">
        <f ca="1">'TUSD BE'!$N$5*'TUSD BE'!$N$58</f>
        <v>0</v>
      </c>
      <c r="O5" s="17">
        <f>'TUSD BE'!$O$5*'TUSD BE'!$O$58</f>
        <v>0</v>
      </c>
      <c r="P5" s="17">
        <f>'TUSD BE'!$P$5*'TUSD BE'!$P$58</f>
        <v>0</v>
      </c>
      <c r="Q5" s="17">
        <f>'TUSD BE'!$Q$5*'TUSD BE'!$Q$58</f>
        <v>0</v>
      </c>
      <c r="R5" s="17">
        <f>'TUSD BE'!$R$5*'TUSD BE'!$R$58</f>
        <v>0</v>
      </c>
      <c r="S5" s="17">
        <f>'TUSD BE'!$R$5*'TUSD BE'!$S$58</f>
        <v>0</v>
      </c>
      <c r="T5" s="17">
        <f ca="1">SUM($L$5:$S$5)</f>
        <v>0</v>
      </c>
      <c r="U5" s="17">
        <f>'TUSD BE'!$U$5*'TUSD BE'!$U$58</f>
        <v>0</v>
      </c>
      <c r="V5" s="17">
        <f>'TUSD BE'!$V$5*'TUSD BE'!$V$58</f>
        <v>0</v>
      </c>
      <c r="W5" s="17">
        <f>'TUSD BE'!$W$5*'TUSD BE'!$W$58</f>
        <v>0</v>
      </c>
      <c r="X5" s="17">
        <f>'TUSD BE'!$X$5*'TUSD BE'!$X$58</f>
        <v>0</v>
      </c>
      <c r="Y5" s="17">
        <f>'TUSD BE'!$Y$5*'TUSD BE'!$Y$58</f>
        <v>3.363027652558389E-2</v>
      </c>
      <c r="Z5" s="17">
        <f>'TUSD BE'!$Z$5*'TUSD BE'!$Z$58</f>
        <v>0</v>
      </c>
      <c r="AA5" s="17">
        <f>'TUSD BE'!$AA$5*'TUSD BE'!$AA$58</f>
        <v>0</v>
      </c>
      <c r="AB5" s="17">
        <f>SUM($U$5:$AA$5)</f>
        <v>3.363027652558389E-2</v>
      </c>
      <c r="AC5" s="17">
        <f>'TUSD BE'!$AC$5*'TUSD BE'!$AC$58</f>
        <v>-30.868308040842617</v>
      </c>
      <c r="AD5" s="17">
        <f>SUM($AC$5:$AC$5)</f>
        <v>-30.868308040842617</v>
      </c>
      <c r="AE5" s="17">
        <f ca="1">$AO$5*$AO$55</f>
        <v>1.9319742408780416</v>
      </c>
      <c r="AF5" s="17">
        <f ca="1">$AP$5*$AP$55</f>
        <v>0</v>
      </c>
      <c r="AG5" s="17">
        <f ca="1">SUM($AE$5:$AF$5)</f>
        <v>1.9319742408780416</v>
      </c>
      <c r="AH5" s="17">
        <f>'TUSD BE'!$AH$5*'TUSD BE'!$AH$58</f>
        <v>0</v>
      </c>
      <c r="AI5" s="17">
        <f>'TUSD BE'!$AI$5*'TUSD BE'!$AI$58</f>
        <v>0</v>
      </c>
      <c r="AJ5" s="17">
        <f ca="1">'TUSD BE'!$AJ$5*'TUSD BE'!$AJ$58</f>
        <v>0</v>
      </c>
      <c r="AK5" s="17">
        <f ca="1">'TUSD BE'!$AK$5*'TUSD BE'!$AK$58</f>
        <v>0</v>
      </c>
      <c r="AL5" s="17">
        <f ca="1">SUM($AH$5:$AK$5)</f>
        <v>0</v>
      </c>
      <c r="AM5" s="17">
        <f ca="1">SUMIF($L$4:$AL$4,"SUBTOTAL",$L$5:$AL$5)</f>
        <v>-28.902703523438991</v>
      </c>
      <c r="AO5" s="43">
        <f ca="1">+'TUSD BE'!$T$5+'TUSD BE'!$AB$5+'TUSD BE'!$AD$5+'TUSD BE'!$AL$5</f>
        <v>123.34263016283124</v>
      </c>
      <c r="AP5" s="43">
        <f ca="1">+'TUSD BE'!$T$5+'TUSD BE'!$AB$5+'TUSD BE'!$AD$5+'TUSD BE'!$AL$5</f>
        <v>123.34263016283124</v>
      </c>
    </row>
    <row r="6" spans="1:42" ht="11.25" customHeight="1" x14ac:dyDescent="0.25">
      <c r="A6" s="130"/>
      <c r="B6" s="130"/>
      <c r="C6" s="130"/>
      <c r="D6" s="130"/>
      <c r="E6" s="130"/>
      <c r="F6" s="130"/>
      <c r="G6" s="36" t="s">
        <v>78</v>
      </c>
      <c r="H6" s="36" t="s">
        <v>76</v>
      </c>
      <c r="I6" s="36">
        <f>'MERCADO TUSD'!$U$3</f>
        <v>1683</v>
      </c>
      <c r="J6" s="16"/>
      <c r="L6" s="17">
        <f>'TUSD BE'!$L$6*'TUSD BE'!$L$58</f>
        <v>0</v>
      </c>
      <c r="M6" s="17">
        <f>'TUSD BE'!$M$6*'TUSD BE'!$M$58</f>
        <v>0</v>
      </c>
      <c r="N6" s="17">
        <f ca="1">'TUSD BE'!$N$6*'TUSD BE'!$N$58</f>
        <v>0</v>
      </c>
      <c r="O6" s="17">
        <f>'TUSD BE'!$O$6*'TUSD BE'!$O$58</f>
        <v>0</v>
      </c>
      <c r="P6" s="17">
        <f>'TUSD BE'!$P$6*'TUSD BE'!$P$58</f>
        <v>0</v>
      </c>
      <c r="Q6" s="17">
        <f>'TUSD BE'!$Q$6*'TUSD BE'!$Q$58</f>
        <v>0</v>
      </c>
      <c r="R6" s="17">
        <f>'TUSD BE'!$R$6*'TUSD BE'!$R$58</f>
        <v>0</v>
      </c>
      <c r="S6" s="17">
        <f>'TUSD BE'!$R$6*'TUSD BE'!$S$58</f>
        <v>0</v>
      </c>
      <c r="T6" s="17">
        <f ca="1">SUM($L$6:$S$6)</f>
        <v>0</v>
      </c>
      <c r="U6" s="17">
        <f>'TUSD BE'!$U$6*'TUSD BE'!$U$58</f>
        <v>0</v>
      </c>
      <c r="V6" s="17">
        <f>'TUSD BE'!$V$6*'TUSD BE'!$V$58</f>
        <v>0</v>
      </c>
      <c r="W6" s="17">
        <f>'TUSD BE'!$W$6*'TUSD BE'!$W$58</f>
        <v>0</v>
      </c>
      <c r="X6" s="17">
        <f>'TUSD BE'!$X$6*'TUSD BE'!$X$58</f>
        <v>0</v>
      </c>
      <c r="Y6" s="17">
        <f>'TUSD BE'!$Y$6*'TUSD BE'!$Y$58</f>
        <v>8.05074431309118E-3</v>
      </c>
      <c r="Z6" s="17">
        <f>'TUSD BE'!$Z$6*'TUSD BE'!$Z$58</f>
        <v>0</v>
      </c>
      <c r="AA6" s="17">
        <f>'TUSD BE'!$AA$6*'TUSD BE'!$AA$58</f>
        <v>0</v>
      </c>
      <c r="AB6" s="17">
        <f>SUM($U$6:$AA$6)</f>
        <v>8.05074431309118E-3</v>
      </c>
      <c r="AC6" s="17">
        <f>'TUSD BE'!$AC$6*'TUSD BE'!$AC$58</f>
        <v>-8.4527109780954319</v>
      </c>
      <c r="AD6" s="17">
        <f>SUM($AC$6:$AC$6)</f>
        <v>-8.4527109780954319</v>
      </c>
      <c r="AE6" s="17">
        <f ca="1">$AO$6*$AO$55</f>
        <v>0.50449059646654848</v>
      </c>
      <c r="AF6" s="17">
        <f ca="1">$AP$6*$AP$55</f>
        <v>0</v>
      </c>
      <c r="AG6" s="17">
        <f ca="1">SUM($AE$6:$AF$6)</f>
        <v>0.50449059646654848</v>
      </c>
      <c r="AH6" s="17">
        <f>'TUSD BE'!$AH$6*'TUSD BE'!$AH$58</f>
        <v>0</v>
      </c>
      <c r="AI6" s="17">
        <f>'TUSD BE'!$AI$6*'TUSD BE'!$AI$58</f>
        <v>0</v>
      </c>
      <c r="AJ6" s="17">
        <f ca="1">'TUSD BE'!$AJ$6*'TUSD BE'!$AJ$58</f>
        <v>0</v>
      </c>
      <c r="AK6" s="17">
        <f ca="1">'TUSD BE'!$AK$6*'TUSD BE'!$AK$58</f>
        <v>0</v>
      </c>
      <c r="AL6" s="17">
        <f ca="1">SUM($AH$6:$AK$6)</f>
        <v>0</v>
      </c>
      <c r="AM6" s="17">
        <f ca="1">SUMIF($L$4:$AL$4,"SUBTOTAL",$L$6:$AL$6)</f>
        <v>-7.9401696373157913</v>
      </c>
      <c r="AO6" s="43">
        <f ca="1">+'TUSD BE'!$T$6+'TUSD BE'!$AB$6+'TUSD BE'!$AD$6+'TUSD BE'!$AL$6</f>
        <v>32.208088360598218</v>
      </c>
      <c r="AP6" s="43">
        <f ca="1">+'TUSD BE'!$T$6+'TUSD BE'!$AB$6+'TUSD BE'!$AD$6+'TUSD BE'!$AL$6</f>
        <v>32.208088360598218</v>
      </c>
    </row>
    <row r="7" spans="1:42" ht="11.25" customHeight="1" x14ac:dyDescent="0.25">
      <c r="A7" s="130"/>
      <c r="B7" s="130"/>
      <c r="C7" s="130"/>
      <c r="D7" s="130"/>
      <c r="E7" s="130"/>
      <c r="F7" s="130"/>
      <c r="G7" s="36" t="s">
        <v>79</v>
      </c>
      <c r="H7" s="36" t="s">
        <v>73</v>
      </c>
      <c r="I7" s="36">
        <f>'MERCADO TUSD'!$U$4</f>
        <v>645.12700000000018</v>
      </c>
      <c r="J7" s="16"/>
      <c r="L7" s="17">
        <f>'TUSD BE'!$L$7*'TUSD BE'!$L$58</f>
        <v>0</v>
      </c>
      <c r="M7" s="17">
        <f>'TUSD BE'!$M$7*'TUSD BE'!$M$58</f>
        <v>-5.5945543169964869E-2</v>
      </c>
      <c r="N7" s="17">
        <f ca="1">'TUSD BE'!$N$7*'TUSD BE'!$N$58</f>
        <v>0</v>
      </c>
      <c r="O7" s="17">
        <f>'TUSD BE'!$O$7*'TUSD BE'!$O$58</f>
        <v>0</v>
      </c>
      <c r="P7" s="17">
        <f>'TUSD BE'!$P$7*'TUSD BE'!$P$58</f>
        <v>0</v>
      </c>
      <c r="Q7" s="17">
        <f>'TUSD BE'!$Q$7*'TUSD BE'!$Q$58</f>
        <v>-2.6617863159140804</v>
      </c>
      <c r="R7" s="17">
        <f>'TUSD BE'!$R$7*'TUSD BE'!$R$58</f>
        <v>-0.48898318646098321</v>
      </c>
      <c r="S7" s="17">
        <f>'TUSD BE'!$R$7*'TUSD BE'!$S$58</f>
        <v>0</v>
      </c>
      <c r="T7" s="17">
        <f ca="1">SUM($L$7:$S$7)</f>
        <v>-3.2067150455450286</v>
      </c>
      <c r="U7" s="17">
        <f>'TUSD BE'!$U$7*'TUSD BE'!$U$58</f>
        <v>0</v>
      </c>
      <c r="V7" s="17">
        <f>'TUSD BE'!$V$7*'TUSD BE'!$V$58</f>
        <v>0</v>
      </c>
      <c r="W7" s="17">
        <f>'TUSD BE'!$W$7*'TUSD BE'!$W$58</f>
        <v>0</v>
      </c>
      <c r="X7" s="17">
        <f>'TUSD BE'!$X$7*'TUSD BE'!$X$58</f>
        <v>0</v>
      </c>
      <c r="Y7" s="17">
        <f>'TUSD BE'!$Y$7*'TUSD BE'!$Y$58</f>
        <v>0</v>
      </c>
      <c r="Z7" s="17">
        <f>'TUSD BE'!$Z$7*'TUSD BE'!$Z$58</f>
        <v>0</v>
      </c>
      <c r="AA7" s="17">
        <f>'TUSD BE'!$AA$7*'TUSD BE'!$AA$58</f>
        <v>0</v>
      </c>
      <c r="AB7" s="17">
        <f>SUM($U$7:$AA$7)</f>
        <v>0</v>
      </c>
      <c r="AC7" s="17">
        <f>'TUSD BE'!$AC$7*'TUSD BE'!$AC$58</f>
        <v>0</v>
      </c>
      <c r="AD7" s="17">
        <f>SUM($AC$7:$AC$7)</f>
        <v>0</v>
      </c>
      <c r="AE7" s="17">
        <f ca="1">$AO$7*$AO$55</f>
        <v>1.6154363906574407</v>
      </c>
      <c r="AF7" s="17">
        <f ca="1">$AP$7*$AP$55</f>
        <v>0</v>
      </c>
      <c r="AG7" s="17">
        <f ca="1">SUM($AE$7:$AF$7)</f>
        <v>1.6154363906574407</v>
      </c>
      <c r="AH7" s="17">
        <f>'TUSD BE'!$AH$7*'TUSD BE'!$AH$58</f>
        <v>1.7623678902113511</v>
      </c>
      <c r="AI7" s="17">
        <f>'TUSD BE'!$AI$7*'TUSD BE'!$AI$58</f>
        <v>0</v>
      </c>
      <c r="AJ7" s="17">
        <f ca="1">'TUSD BE'!$AJ$7*'TUSD BE'!$AJ$58</f>
        <v>0</v>
      </c>
      <c r="AK7" s="17">
        <f ca="1">'TUSD BE'!$AK$7*'TUSD BE'!$AK$58</f>
        <v>0</v>
      </c>
      <c r="AL7" s="17">
        <f ca="1">SUM($AH$7:$AK$7)</f>
        <v>1.7623678902113511</v>
      </c>
      <c r="AM7" s="17">
        <f ca="1">SUMIF($L$4:$AL$4,"SUBTOTAL",$L$7:$AL$7)</f>
        <v>0.17108923532376319</v>
      </c>
      <c r="AO7" s="43">
        <f ca="1">+'TUSD BE'!$T$7+'TUSD BE'!$AB$7+'TUSD BE'!$AD$7+'TUSD BE'!$AL$7</f>
        <v>103.13396994045002</v>
      </c>
      <c r="AP7" s="43">
        <f ca="1">+'TUSD BE'!$T$7+'TUSD BE'!$AB$7+'TUSD BE'!$AD$7+'TUSD BE'!$AL$7</f>
        <v>103.13396994045002</v>
      </c>
    </row>
    <row r="8" spans="1:42" ht="11.25" customHeight="1" x14ac:dyDescent="0.25">
      <c r="A8" s="130"/>
      <c r="B8" s="130"/>
      <c r="C8" s="130"/>
      <c r="D8" s="130"/>
      <c r="E8" s="41" t="s">
        <v>80</v>
      </c>
      <c r="F8" s="41" t="s">
        <v>25</v>
      </c>
      <c r="G8" s="36" t="s">
        <v>79</v>
      </c>
      <c r="H8" s="36" t="s">
        <v>73</v>
      </c>
      <c r="I8" s="36">
        <f>'MERCADO TUSD'!$U$5</f>
        <v>0</v>
      </c>
      <c r="J8" s="16"/>
      <c r="L8" s="17">
        <f>'TUSD BE'!$L$8*'TUSD BE'!$L$58</f>
        <v>0</v>
      </c>
      <c r="M8" s="17">
        <f>'TUSD BE'!$M$8*'TUSD BE'!$M$58</f>
        <v>-5.5945543169964869E-2</v>
      </c>
      <c r="N8" s="17">
        <f ca="1">'TUSD BE'!$N$8*'TUSD BE'!$N$58</f>
        <v>0</v>
      </c>
      <c r="O8" s="17">
        <f>'TUSD BE'!$O$8*'TUSD BE'!$O$58</f>
        <v>0</v>
      </c>
      <c r="P8" s="17">
        <f>'TUSD BE'!$P$8*'TUSD BE'!$P$58</f>
        <v>0</v>
      </c>
      <c r="Q8" s="17">
        <f>'TUSD BE'!$Q$8*'TUSD BE'!$Q$58</f>
        <v>0</v>
      </c>
      <c r="R8" s="17">
        <f>'TUSD BE'!$R$8*'TUSD BE'!$R$58</f>
        <v>0</v>
      </c>
      <c r="S8" s="17">
        <f>'TUSD BE'!$R$8*'TUSD BE'!$S$58</f>
        <v>0</v>
      </c>
      <c r="T8" s="17">
        <f ca="1">SUM($L$8:$S$8)</f>
        <v>-5.5945543169964869E-2</v>
      </c>
      <c r="U8" s="17">
        <f>'TUSD BE'!$U$8*'TUSD BE'!$U$58</f>
        <v>0</v>
      </c>
      <c r="V8" s="17">
        <f>'TUSD BE'!$V$8*'TUSD BE'!$V$58</f>
        <v>0</v>
      </c>
      <c r="W8" s="17">
        <f>'TUSD BE'!$W$8*'TUSD BE'!$W$58</f>
        <v>0</v>
      </c>
      <c r="X8" s="17">
        <f>'TUSD BE'!$X$8*'TUSD BE'!$X$58</f>
        <v>0</v>
      </c>
      <c r="Y8" s="17">
        <f>'TUSD BE'!$Y$8*'TUSD BE'!$Y$58</f>
        <v>0</v>
      </c>
      <c r="Z8" s="17">
        <f>'TUSD BE'!$Z$8*'TUSD BE'!$Z$58</f>
        <v>0</v>
      </c>
      <c r="AA8" s="17">
        <f>'TUSD BE'!$AA$8*'TUSD BE'!$AA$58</f>
        <v>0</v>
      </c>
      <c r="AB8" s="17">
        <f>SUM($U$8:$AA$8)</f>
        <v>0</v>
      </c>
      <c r="AC8" s="17">
        <f>'TUSD BE'!$AC$8*'TUSD BE'!$AC$58</f>
        <v>0</v>
      </c>
      <c r="AD8" s="17">
        <f>SUM($AC$8:$AC$8)</f>
        <v>0</v>
      </c>
      <c r="AE8" s="17">
        <f ca="1">$AO$8*$AO$55</f>
        <v>0.26641696689575228</v>
      </c>
      <c r="AF8" s="17">
        <f ca="1">$AP$8*$AP$55</f>
        <v>0</v>
      </c>
      <c r="AG8" s="17">
        <f ca="1">SUM($AE$8:$AF$8)</f>
        <v>0.26641696689575228</v>
      </c>
      <c r="AH8" s="17">
        <f>'TUSD BE'!$AH$8*'TUSD BE'!$AH$58</f>
        <v>1.7623678902113511</v>
      </c>
      <c r="AI8" s="17">
        <f>'TUSD BE'!$AI$8*'TUSD BE'!$AI$58</f>
        <v>0</v>
      </c>
      <c r="AJ8" s="17">
        <f ca="1">'TUSD BE'!$AJ$8*'TUSD BE'!$AJ$58</f>
        <v>0</v>
      </c>
      <c r="AK8" s="17">
        <f ca="1">'TUSD BE'!$AK$8*'TUSD BE'!$AK$58</f>
        <v>0</v>
      </c>
      <c r="AL8" s="17">
        <f ca="1">SUM($AH$8:$AK$8)</f>
        <v>1.7623678902113511</v>
      </c>
      <c r="AM8" s="17">
        <f ca="1">SUMIF($L$4:$AL$4,"SUBTOTAL",$L$8:$AL$8)</f>
        <v>1.9728393139371385</v>
      </c>
      <c r="AO8" s="43">
        <f ca="1">+'TUSD BE'!$T$8+'TUSD BE'!$AB$8+'TUSD BE'!$AD$8+'TUSD BE'!$AL$8</f>
        <v>17.008803079067757</v>
      </c>
      <c r="AP8" s="43">
        <f ca="1">+'TUSD BE'!$T$8+'TUSD BE'!$AB$8+'TUSD BE'!$AD$8+'TUSD BE'!$AL$8</f>
        <v>17.008803079067757</v>
      </c>
    </row>
    <row r="9" spans="1:42" ht="11.25" customHeight="1" x14ac:dyDescent="0.25">
      <c r="A9" s="130"/>
      <c r="B9" s="41" t="s">
        <v>81</v>
      </c>
      <c r="C9" s="41" t="s">
        <v>25</v>
      </c>
      <c r="D9" s="41" t="s">
        <v>25</v>
      </c>
      <c r="E9" s="41" t="s">
        <v>25</v>
      </c>
      <c r="F9" s="41" t="s">
        <v>25</v>
      </c>
      <c r="G9" s="36" t="s">
        <v>9</v>
      </c>
      <c r="H9" s="36" t="s">
        <v>76</v>
      </c>
      <c r="I9" s="36">
        <f>'MERCADO TUSD'!$U$6</f>
        <v>0</v>
      </c>
      <c r="J9" s="16"/>
      <c r="L9" s="17">
        <f>'TUSD BE'!$L$9*'TUSD BE'!$L$58</f>
        <v>0</v>
      </c>
      <c r="M9" s="17">
        <f>'TUSD BE'!$M$9*'TUSD BE'!$M$58</f>
        <v>-8.7223056604727144E-4</v>
      </c>
      <c r="N9" s="17">
        <f ca="1">'TUSD BE'!$N$9*'TUSD BE'!$N$58</f>
        <v>0</v>
      </c>
      <c r="O9" s="17">
        <f>'TUSD BE'!$O$9*'TUSD BE'!$O$58</f>
        <v>0</v>
      </c>
      <c r="P9" s="17">
        <f>'TUSD BE'!$P$9*'TUSD BE'!$P$58</f>
        <v>0</v>
      </c>
      <c r="Q9" s="17">
        <f>'TUSD BE'!$Q$9*'TUSD BE'!$Q$58</f>
        <v>0</v>
      </c>
      <c r="R9" s="17">
        <f>'TUSD BE'!$R$9*'TUSD BE'!$R$58</f>
        <v>0</v>
      </c>
      <c r="S9" s="17">
        <f>'TUSD BE'!$R$9*'TUSD BE'!$S$58</f>
        <v>0</v>
      </c>
      <c r="T9" s="17">
        <f ca="1">SUM($L$9:$S$9)</f>
        <v>-8.7223056604727144E-4</v>
      </c>
      <c r="U9" s="17">
        <f>'TUSD BE'!$U$9*'TUSD BE'!$U$58</f>
        <v>0</v>
      </c>
      <c r="V9" s="17">
        <f>'TUSD BE'!$V$9*'TUSD BE'!$V$58</f>
        <v>0</v>
      </c>
      <c r="W9" s="17">
        <f>'TUSD BE'!$W$9*'TUSD BE'!$W$58</f>
        <v>0</v>
      </c>
      <c r="X9" s="17">
        <f>'TUSD BE'!$X$9*'TUSD BE'!$X$58</f>
        <v>0</v>
      </c>
      <c r="Y9" s="17">
        <f>'TUSD BE'!$Y$9*'TUSD BE'!$Y$58</f>
        <v>0</v>
      </c>
      <c r="Z9" s="17">
        <f>'TUSD BE'!$Z$9*'TUSD BE'!$Z$58</f>
        <v>0</v>
      </c>
      <c r="AA9" s="17">
        <f>'TUSD BE'!$AA$9*'TUSD BE'!$AA$58</f>
        <v>0</v>
      </c>
      <c r="AB9" s="17">
        <f>SUM($U$9:$AA$9)</f>
        <v>0</v>
      </c>
      <c r="AC9" s="17">
        <f>'TUSD BE'!$AC$9*'TUSD BE'!$AC$58</f>
        <v>-5.464618154818</v>
      </c>
      <c r="AD9" s="17">
        <f>SUM($AC$9:$AC$9)</f>
        <v>-5.464618154818</v>
      </c>
      <c r="AE9" s="17">
        <f ca="1">$AO$9*$AO$55</f>
        <v>0.21613265912863008</v>
      </c>
      <c r="AF9" s="17">
        <f ca="1">$AP$9*$AP$55</f>
        <v>0</v>
      </c>
      <c r="AG9" s="17">
        <f ca="1">SUM($AE$9:$AF$9)</f>
        <v>0.21613265912863008</v>
      </c>
      <c r="AH9" s="17">
        <f>'TUSD BE'!$AH$9*'TUSD BE'!$AH$58</f>
        <v>0</v>
      </c>
      <c r="AI9" s="17">
        <f>'TUSD BE'!$AI$9*'TUSD BE'!$AI$58</f>
        <v>0</v>
      </c>
      <c r="AJ9" s="17">
        <f ca="1">'TUSD BE'!$AJ$9*'TUSD BE'!$AJ$58</f>
        <v>0</v>
      </c>
      <c r="AK9" s="17">
        <f ca="1">'TUSD BE'!$AK$9*'TUSD BE'!$AK$58</f>
        <v>0</v>
      </c>
      <c r="AL9" s="17">
        <f ca="1">SUM($AH$9:$AK$9)</f>
        <v>0</v>
      </c>
      <c r="AM9" s="17">
        <f ca="1">SUMIF($L$4:$AL$4,"SUBTOTAL",$L$9:$AL$9)</f>
        <v>-5.2493577262554174</v>
      </c>
      <c r="AO9" s="43">
        <f ca="1">+'TUSD BE'!$T$9+'TUSD BE'!$AB$9+'TUSD BE'!$AD$9+'TUSD BE'!$AL$9</f>
        <v>13.798512463031715</v>
      </c>
      <c r="AP9" s="43">
        <f ca="1">+'TUSD BE'!$T$9+'TUSD BE'!$AB$9+'TUSD BE'!$AD$9+'TUSD BE'!$AL$9</f>
        <v>13.798512463031715</v>
      </c>
    </row>
    <row r="10" spans="1:42" ht="11.25" customHeight="1" x14ac:dyDescent="0.25">
      <c r="A10" s="130"/>
      <c r="B10" s="130" t="s">
        <v>34</v>
      </c>
      <c r="C10" s="130" t="s">
        <v>25</v>
      </c>
      <c r="D10" s="130" t="s">
        <v>25</v>
      </c>
      <c r="E10" s="130" t="s">
        <v>25</v>
      </c>
      <c r="F10" s="130" t="s">
        <v>25</v>
      </c>
      <c r="G10" s="36" t="s">
        <v>9</v>
      </c>
      <c r="H10" s="36" t="s">
        <v>76</v>
      </c>
      <c r="I10" s="36">
        <f>'MERCADO TUSD'!$U$7</f>
        <v>643658</v>
      </c>
      <c r="J10" s="16"/>
      <c r="L10" s="17">
        <f>'TUSD BE'!$L$10*'TUSD BE'!$L$58</f>
        <v>0</v>
      </c>
      <c r="M10" s="17">
        <f>'TUSD BE'!$M$10*'TUSD BE'!$M$58</f>
        <v>0</v>
      </c>
      <c r="N10" s="17">
        <f ca="1">'TUSD BE'!$N$10*'TUSD BE'!$N$58</f>
        <v>0</v>
      </c>
      <c r="O10" s="17">
        <f>'TUSD BE'!$O$10*'TUSD BE'!$O$58</f>
        <v>0</v>
      </c>
      <c r="P10" s="17">
        <f>'TUSD BE'!$P$10*'TUSD BE'!$P$58</f>
        <v>0</v>
      </c>
      <c r="Q10" s="17">
        <f>'TUSD BE'!$Q$10*'TUSD BE'!$Q$58</f>
        <v>0</v>
      </c>
      <c r="R10" s="17">
        <f>'TUSD BE'!$R$10*'TUSD BE'!$R$58</f>
        <v>0</v>
      </c>
      <c r="S10" s="17">
        <f>'TUSD BE'!$R$10*'TUSD BE'!$S$58</f>
        <v>0</v>
      </c>
      <c r="T10" s="17">
        <f ca="1">SUM($L$10:$S$10)</f>
        <v>0</v>
      </c>
      <c r="U10" s="17">
        <f>'TUSD BE'!$U$10*'TUSD BE'!$U$58</f>
        <v>0</v>
      </c>
      <c r="V10" s="17">
        <f>'TUSD BE'!$V$10*'TUSD BE'!$V$58</f>
        <v>0</v>
      </c>
      <c r="W10" s="17">
        <f>'TUSD BE'!$W$10*'TUSD BE'!$W$58</f>
        <v>0</v>
      </c>
      <c r="X10" s="17">
        <f>'TUSD BE'!$X$10*'TUSD BE'!$X$58</f>
        <v>0</v>
      </c>
      <c r="Y10" s="17">
        <f>'TUSD BE'!$Y$10*'TUSD BE'!$Y$58</f>
        <v>8.05074431309118E-3</v>
      </c>
      <c r="Z10" s="17">
        <f>'TUSD BE'!$Z$10*'TUSD BE'!$Z$58</f>
        <v>0</v>
      </c>
      <c r="AA10" s="17">
        <f>'TUSD BE'!$AA$10*'TUSD BE'!$AA$58</f>
        <v>0</v>
      </c>
      <c r="AB10" s="17">
        <f>SUM($U$10:$AA$10)</f>
        <v>8.05074431309118E-3</v>
      </c>
      <c r="AC10" s="17">
        <f>'TUSD BE'!$AC$10*'TUSD BE'!$AC$58</f>
        <v>-8.4527109780954319</v>
      </c>
      <c r="AD10" s="17">
        <f>SUM($AC$10:$AC$10)</f>
        <v>-8.4527109780954319</v>
      </c>
      <c r="AE10" s="17">
        <f ca="1">$AO$10*$AO$55</f>
        <v>0.50449059646654848</v>
      </c>
      <c r="AF10" s="17">
        <f ca="1">$AP$10*$AP$55</f>
        <v>0</v>
      </c>
      <c r="AG10" s="17">
        <f ca="1">SUM($AE$10:$AF$10)</f>
        <v>0.50449059646654848</v>
      </c>
      <c r="AH10" s="17">
        <f>'TUSD BE'!$AH$10*'TUSD BE'!$AH$58</f>
        <v>0</v>
      </c>
      <c r="AI10" s="17">
        <f>'TUSD BE'!$AI$10*'TUSD BE'!$AI$58</f>
        <v>0</v>
      </c>
      <c r="AJ10" s="17">
        <f ca="1">'TUSD BE'!$AJ$10*'TUSD BE'!$AJ$58</f>
        <v>0</v>
      </c>
      <c r="AK10" s="17">
        <f ca="1">'TUSD BE'!$AK$10*'TUSD BE'!$AK$58</f>
        <v>0</v>
      </c>
      <c r="AL10" s="17">
        <f ca="1">SUM($AH$10:$AK$10)</f>
        <v>0</v>
      </c>
      <c r="AM10" s="17">
        <f ca="1">SUMIF($L$4:$AL$4,"SUBTOTAL",$L$10:$AL$10)</f>
        <v>-7.9401696373157913</v>
      </c>
      <c r="AO10" s="43">
        <f ca="1">+'TUSD BE'!$T$10+'TUSD BE'!$AB$10+'TUSD BE'!$AD$10+'TUSD BE'!$AL$10</f>
        <v>32.208088360598218</v>
      </c>
      <c r="AP10" s="43">
        <f ca="1">+'TUSD BE'!$T$10+'TUSD BE'!$AB$10+'TUSD BE'!$AD$10+'TUSD BE'!$AL$10</f>
        <v>32.208088360598218</v>
      </c>
    </row>
    <row r="11" spans="1:42" ht="11.25" customHeight="1" x14ac:dyDescent="0.25">
      <c r="A11" s="130"/>
      <c r="B11" s="130"/>
      <c r="C11" s="130"/>
      <c r="D11" s="130"/>
      <c r="E11" s="130"/>
      <c r="F11" s="130"/>
      <c r="G11" s="36" t="s">
        <v>74</v>
      </c>
      <c r="H11" s="36" t="s">
        <v>73</v>
      </c>
      <c r="I11" s="36">
        <f>'MERCADO TUSD'!$U$8</f>
        <v>2922.2139999999999</v>
      </c>
      <c r="J11" s="16"/>
      <c r="L11" s="17">
        <f>'TUSD BE'!$L$11*'TUSD BE'!$L$58</f>
        <v>0</v>
      </c>
      <c r="M11" s="17">
        <f>'TUSD BE'!$M$11*'TUSD BE'!$M$58</f>
        <v>-5.5945543169964869E-2</v>
      </c>
      <c r="N11" s="17">
        <f ca="1">'TUSD BE'!$N$11*'TUSD BE'!$N$58</f>
        <v>0</v>
      </c>
      <c r="O11" s="17">
        <f>'TUSD BE'!$O$11*'TUSD BE'!$O$58</f>
        <v>0</v>
      </c>
      <c r="P11" s="17">
        <f>'TUSD BE'!$P$11*'TUSD BE'!$P$58</f>
        <v>0</v>
      </c>
      <c r="Q11" s="17">
        <f>'TUSD BE'!$Q$11*'TUSD BE'!$Q$58</f>
        <v>-2.6617863159140804</v>
      </c>
      <c r="R11" s="17">
        <f>'TUSD BE'!$R$11*'TUSD BE'!$R$58</f>
        <v>-0.48898318646098321</v>
      </c>
      <c r="S11" s="17">
        <f>'TUSD BE'!$R$11*'TUSD BE'!$S$58</f>
        <v>0</v>
      </c>
      <c r="T11" s="17">
        <f ca="1">SUM($L$11:$S$11)</f>
        <v>-3.2067150455450286</v>
      </c>
      <c r="U11" s="17">
        <f>'TUSD BE'!$U$11*'TUSD BE'!$U$58</f>
        <v>0</v>
      </c>
      <c r="V11" s="17">
        <f>'TUSD BE'!$V$11*'TUSD BE'!$V$58</f>
        <v>0</v>
      </c>
      <c r="W11" s="17">
        <f>'TUSD BE'!$W$11*'TUSD BE'!$W$58</f>
        <v>0</v>
      </c>
      <c r="X11" s="17">
        <f>'TUSD BE'!$X$11*'TUSD BE'!$X$58</f>
        <v>0</v>
      </c>
      <c r="Y11" s="17">
        <f>'TUSD BE'!$Y$11*'TUSD BE'!$Y$58</f>
        <v>0.80814918952226344</v>
      </c>
      <c r="Z11" s="17">
        <f>'TUSD BE'!$Z$11*'TUSD BE'!$Z$58</f>
        <v>0</v>
      </c>
      <c r="AA11" s="17">
        <f>'TUSD BE'!$AA$11*'TUSD BE'!$AA$58</f>
        <v>0</v>
      </c>
      <c r="AB11" s="17">
        <f>SUM($U$11:$AA$11)</f>
        <v>0.80814918952226344</v>
      </c>
      <c r="AC11" s="17">
        <f>'TUSD BE'!$AC$11*'TUSD BE'!$AC$58</f>
        <v>-742.38074361677207</v>
      </c>
      <c r="AD11" s="17">
        <f>SUM($AC$11:$AC$11)</f>
        <v>-742.38074361677207</v>
      </c>
      <c r="AE11" s="17">
        <f ca="1">$AO$11*$AO$55</f>
        <v>48.065371605001793</v>
      </c>
      <c r="AF11" s="17">
        <f ca="1">$AP$11*$AP$55</f>
        <v>0</v>
      </c>
      <c r="AG11" s="17">
        <f ca="1">SUM($AE$11:$AF$11)</f>
        <v>48.065371605001793</v>
      </c>
      <c r="AH11" s="17">
        <f>'TUSD BE'!$AH$11*'TUSD BE'!$AH$58</f>
        <v>1.7623678902113511</v>
      </c>
      <c r="AI11" s="17">
        <f>'TUSD BE'!$AI$11*'TUSD BE'!$AI$58</f>
        <v>0</v>
      </c>
      <c r="AJ11" s="17">
        <f ca="1">'TUSD BE'!$AJ$11*'TUSD BE'!$AJ$58</f>
        <v>0</v>
      </c>
      <c r="AK11" s="17">
        <f ca="1">'TUSD BE'!$AK$11*'TUSD BE'!$AK$58</f>
        <v>0</v>
      </c>
      <c r="AL11" s="17">
        <f ca="1">SUM($AH$11:$AK$11)</f>
        <v>1.7623678902113511</v>
      </c>
      <c r="AM11" s="17">
        <f ca="1">SUMIF($L$4:$AL$4,"SUBTOTAL",$L$11:$AL$11)</f>
        <v>-694.95156997758158</v>
      </c>
      <c r="AO11" s="43">
        <f ca="1">+'TUSD BE'!$T$11+'TUSD BE'!$AB$11+'TUSD BE'!$AD$11+'TUSD BE'!$AL$11</f>
        <v>3068.6275355412627</v>
      </c>
      <c r="AP11" s="43">
        <f ca="1">+'TUSD BE'!$T$11+'TUSD BE'!$AB$11+'TUSD BE'!$AD$11+'TUSD BE'!$AL$11</f>
        <v>3068.6275355412627</v>
      </c>
    </row>
    <row r="12" spans="1:42" ht="11.25" customHeight="1" x14ac:dyDescent="0.25">
      <c r="A12" s="130"/>
      <c r="B12" s="130"/>
      <c r="C12" s="130"/>
      <c r="D12" s="130"/>
      <c r="E12" s="130"/>
      <c r="F12" s="130"/>
      <c r="G12" s="36" t="s">
        <v>75</v>
      </c>
      <c r="H12" s="36" t="s">
        <v>73</v>
      </c>
      <c r="I12" s="36">
        <f>'MERCADO TUSD'!$U$9</f>
        <v>84044.817999999999</v>
      </c>
      <c r="J12" s="16"/>
      <c r="L12" s="17">
        <f>'TUSD BE'!$L$12*'TUSD BE'!$L$58</f>
        <v>0</v>
      </c>
      <c r="M12" s="17">
        <f>'TUSD BE'!$M$12*'TUSD BE'!$M$58</f>
        <v>-5.5945543169964869E-2</v>
      </c>
      <c r="N12" s="17">
        <f ca="1">'TUSD BE'!$N$12*'TUSD BE'!$N$58</f>
        <v>0</v>
      </c>
      <c r="O12" s="17">
        <f>'TUSD BE'!$O$12*'TUSD BE'!$O$58</f>
        <v>0</v>
      </c>
      <c r="P12" s="17">
        <f>'TUSD BE'!$P$12*'TUSD BE'!$P$58</f>
        <v>0</v>
      </c>
      <c r="Q12" s="17">
        <f>'TUSD BE'!$Q$12*'TUSD BE'!$Q$58</f>
        <v>-2.6617863159140804</v>
      </c>
      <c r="R12" s="17">
        <f>'TUSD BE'!$R$12*'TUSD BE'!$R$58</f>
        <v>-0.48898318646098321</v>
      </c>
      <c r="S12" s="17">
        <f>'TUSD BE'!$R$12*'TUSD BE'!$S$58</f>
        <v>0</v>
      </c>
      <c r="T12" s="17">
        <f ca="1">SUM($L$12:$S$12)</f>
        <v>-3.2067150455450286</v>
      </c>
      <c r="U12" s="17">
        <f>'TUSD BE'!$U$12*'TUSD BE'!$U$58</f>
        <v>0</v>
      </c>
      <c r="V12" s="17">
        <f>'TUSD BE'!$V$12*'TUSD BE'!$V$58</f>
        <v>0</v>
      </c>
      <c r="W12" s="17">
        <f>'TUSD BE'!$W$12*'TUSD BE'!$W$58</f>
        <v>0</v>
      </c>
      <c r="X12" s="17">
        <f>'TUSD BE'!$X$12*'TUSD BE'!$X$58</f>
        <v>0</v>
      </c>
      <c r="Y12" s="17">
        <f>'TUSD BE'!$Y$12*'TUSD BE'!$Y$58</f>
        <v>0</v>
      </c>
      <c r="Z12" s="17">
        <f>'TUSD BE'!$Z$12*'TUSD BE'!$Z$58</f>
        <v>0</v>
      </c>
      <c r="AA12" s="17">
        <f>'TUSD BE'!$AA$12*'TUSD BE'!$AA$58</f>
        <v>0</v>
      </c>
      <c r="AB12" s="17">
        <f>SUM($U$12:$AA$12)</f>
        <v>0</v>
      </c>
      <c r="AC12" s="17">
        <f>'TUSD BE'!$AC$12*'TUSD BE'!$AC$58</f>
        <v>0</v>
      </c>
      <c r="AD12" s="17">
        <f>SUM($AC$12:$AC$12)</f>
        <v>0</v>
      </c>
      <c r="AE12" s="17">
        <f ca="1">$AO$12*$AO$55</f>
        <v>1.6154363906574407</v>
      </c>
      <c r="AF12" s="17">
        <f ca="1">$AP$12*$AP$55</f>
        <v>0</v>
      </c>
      <c r="AG12" s="17">
        <f ca="1">SUM($AE$12:$AF$12)</f>
        <v>1.6154363906574407</v>
      </c>
      <c r="AH12" s="17">
        <f>'TUSD BE'!$AH$12*'TUSD BE'!$AH$58</f>
        <v>1.7623678902113511</v>
      </c>
      <c r="AI12" s="17">
        <f>'TUSD BE'!$AI$12*'TUSD BE'!$AI$58</f>
        <v>0</v>
      </c>
      <c r="AJ12" s="17">
        <f ca="1">'TUSD BE'!$AJ$12*'TUSD BE'!$AJ$58</f>
        <v>0</v>
      </c>
      <c r="AK12" s="17">
        <f ca="1">'TUSD BE'!$AK$12*'TUSD BE'!$AK$58</f>
        <v>0</v>
      </c>
      <c r="AL12" s="17">
        <f ca="1">SUM($AH$12:$AK$12)</f>
        <v>1.7623678902113511</v>
      </c>
      <c r="AM12" s="17">
        <f ca="1">SUMIF($L$4:$AL$4,"SUBTOTAL",$L$12:$AL$12)</f>
        <v>0.17108923532376319</v>
      </c>
      <c r="AO12" s="43">
        <f ca="1">+'TUSD BE'!$T$12+'TUSD BE'!$AB$12+'TUSD BE'!$AD$12+'TUSD BE'!$AL$12</f>
        <v>103.13396994045002</v>
      </c>
      <c r="AP12" s="43">
        <f ca="1">+'TUSD BE'!$T$12+'TUSD BE'!$AB$12+'TUSD BE'!$AD$12+'TUSD BE'!$AL$12</f>
        <v>103.13396994045002</v>
      </c>
    </row>
    <row r="13" spans="1:42" ht="11.25" customHeight="1" x14ac:dyDescent="0.25">
      <c r="A13" s="130"/>
      <c r="B13" s="130"/>
      <c r="C13" s="130"/>
      <c r="D13" s="130"/>
      <c r="E13" s="130" t="s">
        <v>80</v>
      </c>
      <c r="F13" s="130" t="s">
        <v>25</v>
      </c>
      <c r="G13" s="36" t="s">
        <v>74</v>
      </c>
      <c r="H13" s="36" t="s">
        <v>73</v>
      </c>
      <c r="I13" s="36">
        <f>'MERCADO TUSD'!$U$10</f>
        <v>0</v>
      </c>
      <c r="J13" s="16"/>
      <c r="L13" s="17">
        <f>'TUSD BE'!$L$13*'TUSD BE'!$L$58</f>
        <v>0</v>
      </c>
      <c r="M13" s="17">
        <f>'TUSD BE'!$M$13*'TUSD BE'!$M$58</f>
        <v>-5.5945543169964869E-2</v>
      </c>
      <c r="N13" s="17">
        <f ca="1">'TUSD BE'!$N$13*'TUSD BE'!$N$58</f>
        <v>0</v>
      </c>
      <c r="O13" s="17">
        <f>'TUSD BE'!$O$13*'TUSD BE'!$O$58</f>
        <v>0</v>
      </c>
      <c r="P13" s="17">
        <f>'TUSD BE'!$P$13*'TUSD BE'!$P$58</f>
        <v>0</v>
      </c>
      <c r="Q13" s="17">
        <f>'TUSD BE'!$Q$13*'TUSD BE'!$Q$58</f>
        <v>0</v>
      </c>
      <c r="R13" s="17">
        <f>'TUSD BE'!$R$13*'TUSD BE'!$R$58</f>
        <v>0</v>
      </c>
      <c r="S13" s="17">
        <f>'TUSD BE'!$R$13*'TUSD BE'!$S$58</f>
        <v>0</v>
      </c>
      <c r="T13" s="17">
        <f ca="1">SUM($L$13:$S$13)</f>
        <v>-5.5945543169964869E-2</v>
      </c>
      <c r="U13" s="17">
        <f>'TUSD BE'!$U$13*'TUSD BE'!$U$58</f>
        <v>0</v>
      </c>
      <c r="V13" s="17">
        <f>'TUSD BE'!$V$13*'TUSD BE'!$V$58</f>
        <v>0</v>
      </c>
      <c r="W13" s="17">
        <f>'TUSD BE'!$W$13*'TUSD BE'!$W$58</f>
        <v>0</v>
      </c>
      <c r="X13" s="17">
        <f>'TUSD BE'!$X$13*'TUSD BE'!$X$58</f>
        <v>0</v>
      </c>
      <c r="Y13" s="17">
        <f>'TUSD BE'!$Y$13*'TUSD BE'!$Y$58</f>
        <v>0.80814918952226344</v>
      </c>
      <c r="Z13" s="17">
        <f>'TUSD BE'!$Z$13*'TUSD BE'!$Z$58</f>
        <v>0</v>
      </c>
      <c r="AA13" s="17">
        <f>'TUSD BE'!$AA$13*'TUSD BE'!$AA$58</f>
        <v>0</v>
      </c>
      <c r="AB13" s="17">
        <f>SUM($U$13:$AA$13)</f>
        <v>0.80814918952226344</v>
      </c>
      <c r="AC13" s="17">
        <f>'TUSD BE'!$AC$13*'TUSD BE'!$AC$58</f>
        <v>-742.38074361677207</v>
      </c>
      <c r="AD13" s="17">
        <f>SUM($AC$13:$AC$13)</f>
        <v>-742.38074361677207</v>
      </c>
      <c r="AE13" s="17">
        <f ca="1">$AO$13*$AO$55</f>
        <v>46.716352181240104</v>
      </c>
      <c r="AF13" s="17">
        <f ca="1">$AP$13*$AP$55</f>
        <v>0</v>
      </c>
      <c r="AG13" s="17">
        <f ca="1">SUM($AE$13:$AF$13)</f>
        <v>46.716352181240104</v>
      </c>
      <c r="AH13" s="17">
        <f>'TUSD BE'!$AH$13*'TUSD BE'!$AH$58</f>
        <v>1.7623678902113511</v>
      </c>
      <c r="AI13" s="17">
        <f>'TUSD BE'!$AI$13*'TUSD BE'!$AI$58</f>
        <v>0</v>
      </c>
      <c r="AJ13" s="17">
        <f ca="1">'TUSD BE'!$AJ$13*'TUSD BE'!$AJ$58</f>
        <v>0</v>
      </c>
      <c r="AK13" s="17">
        <f ca="1">'TUSD BE'!$AK$13*'TUSD BE'!$AK$58</f>
        <v>0</v>
      </c>
      <c r="AL13" s="17">
        <f ca="1">SUM($AH$13:$AK$13)</f>
        <v>1.7623678902113511</v>
      </c>
      <c r="AM13" s="17">
        <f ca="1">SUMIF($L$4:$AL$4,"SUBTOTAL",$L$13:$AL$13)</f>
        <v>-693.14981989896819</v>
      </c>
      <c r="AO13" s="43">
        <f ca="1">+'TUSD BE'!$T$13+'TUSD BE'!$AB$13+'TUSD BE'!$AD$13+'TUSD BE'!$AL$13</f>
        <v>2982.5023686798804</v>
      </c>
      <c r="AP13" s="43">
        <f ca="1">+'TUSD BE'!$T$13+'TUSD BE'!$AB$13+'TUSD BE'!$AD$13+'TUSD BE'!$AL$13</f>
        <v>2982.5023686798804</v>
      </c>
    </row>
    <row r="14" spans="1:42" ht="11.25" customHeight="1" x14ac:dyDescent="0.25">
      <c r="A14" s="130"/>
      <c r="B14" s="130"/>
      <c r="C14" s="130"/>
      <c r="D14" s="130"/>
      <c r="E14" s="130"/>
      <c r="F14" s="130"/>
      <c r="G14" s="36" t="s">
        <v>75</v>
      </c>
      <c r="H14" s="36" t="s">
        <v>73</v>
      </c>
      <c r="I14" s="36">
        <f>'MERCADO TUSD'!$U$11</f>
        <v>0</v>
      </c>
      <c r="J14" s="16"/>
      <c r="L14" s="17">
        <f>'TUSD BE'!$L$14*'TUSD BE'!$L$58</f>
        <v>0</v>
      </c>
      <c r="M14" s="17">
        <f>'TUSD BE'!$M$14*'TUSD BE'!$M$58</f>
        <v>-5.5945543169964869E-2</v>
      </c>
      <c r="N14" s="17">
        <f ca="1">'TUSD BE'!$N$14*'TUSD BE'!$N$58</f>
        <v>0</v>
      </c>
      <c r="O14" s="17">
        <f>'TUSD BE'!$O$14*'TUSD BE'!$O$58</f>
        <v>0</v>
      </c>
      <c r="P14" s="17">
        <f>'TUSD BE'!$P$14*'TUSD BE'!$P$58</f>
        <v>0</v>
      </c>
      <c r="Q14" s="17">
        <f>'TUSD BE'!$Q$14*'TUSD BE'!$Q$58</f>
        <v>0</v>
      </c>
      <c r="R14" s="17">
        <f>'TUSD BE'!$R$14*'TUSD BE'!$R$58</f>
        <v>0</v>
      </c>
      <c r="S14" s="17">
        <f>'TUSD BE'!$R$14*'TUSD BE'!$S$58</f>
        <v>0</v>
      </c>
      <c r="T14" s="17">
        <f ca="1">SUM($L$14:$S$14)</f>
        <v>-5.5945543169964869E-2</v>
      </c>
      <c r="U14" s="17">
        <f>'TUSD BE'!$U$14*'TUSD BE'!$U$58</f>
        <v>0</v>
      </c>
      <c r="V14" s="17">
        <f>'TUSD BE'!$V$14*'TUSD BE'!$V$58</f>
        <v>0</v>
      </c>
      <c r="W14" s="17">
        <f>'TUSD BE'!$W$14*'TUSD BE'!$W$58</f>
        <v>0</v>
      </c>
      <c r="X14" s="17">
        <f>'TUSD BE'!$X$14*'TUSD BE'!$X$58</f>
        <v>0</v>
      </c>
      <c r="Y14" s="17">
        <f>'TUSD BE'!$Y$14*'TUSD BE'!$Y$58</f>
        <v>0</v>
      </c>
      <c r="Z14" s="17">
        <f>'TUSD BE'!$Z$14*'TUSD BE'!$Z$58</f>
        <v>0</v>
      </c>
      <c r="AA14" s="17">
        <f>'TUSD BE'!$AA$14*'TUSD BE'!$AA$58</f>
        <v>0</v>
      </c>
      <c r="AB14" s="17">
        <f>SUM($U$14:$AA$14)</f>
        <v>0</v>
      </c>
      <c r="AC14" s="17">
        <f>'TUSD BE'!$AC$14*'TUSD BE'!$AC$58</f>
        <v>0</v>
      </c>
      <c r="AD14" s="17">
        <f>SUM($AC$14:$AC$14)</f>
        <v>0</v>
      </c>
      <c r="AE14" s="17">
        <f ca="1">$AO$14*$AO$55</f>
        <v>0.26641696689575228</v>
      </c>
      <c r="AF14" s="17">
        <f ca="1">$AP$14*$AP$55</f>
        <v>0</v>
      </c>
      <c r="AG14" s="17">
        <f ca="1">SUM($AE$14:$AF$14)</f>
        <v>0.26641696689575228</v>
      </c>
      <c r="AH14" s="17">
        <f>'TUSD BE'!$AH$14*'TUSD BE'!$AH$58</f>
        <v>1.7623678902113511</v>
      </c>
      <c r="AI14" s="17">
        <f>'TUSD BE'!$AI$14*'TUSD BE'!$AI$58</f>
        <v>0</v>
      </c>
      <c r="AJ14" s="17">
        <f ca="1">'TUSD BE'!$AJ$14*'TUSD BE'!$AJ$58</f>
        <v>0</v>
      </c>
      <c r="AK14" s="17">
        <f ca="1">'TUSD BE'!$AK$14*'TUSD BE'!$AK$58</f>
        <v>0</v>
      </c>
      <c r="AL14" s="17">
        <f ca="1">SUM($AH$14:$AK$14)</f>
        <v>1.7623678902113511</v>
      </c>
      <c r="AM14" s="17">
        <f ca="1">SUMIF($L$4:$AL$4,"SUBTOTAL",$L$14:$AL$14)</f>
        <v>1.9728393139371385</v>
      </c>
      <c r="AO14" s="43">
        <f ca="1">+'TUSD BE'!$T$14+'TUSD BE'!$AB$14+'TUSD BE'!$AD$14+'TUSD BE'!$AL$14</f>
        <v>17.008803079067757</v>
      </c>
      <c r="AP14" s="43">
        <f ca="1">+'TUSD BE'!$T$14+'TUSD BE'!$AB$14+'TUSD BE'!$AD$14+'TUSD BE'!$AL$14</f>
        <v>17.008803079067757</v>
      </c>
    </row>
    <row r="15" spans="1:42" ht="11.25" customHeight="1" x14ac:dyDescent="0.25">
      <c r="A15" s="130" t="s">
        <v>82</v>
      </c>
      <c r="B15" s="130" t="s">
        <v>81</v>
      </c>
      <c r="C15" s="130" t="s">
        <v>25</v>
      </c>
      <c r="D15" s="130" t="s">
        <v>25</v>
      </c>
      <c r="E15" s="41" t="s">
        <v>83</v>
      </c>
      <c r="F15" s="41" t="s">
        <v>25</v>
      </c>
      <c r="G15" s="36" t="s">
        <v>9</v>
      </c>
      <c r="H15" s="36" t="s">
        <v>76</v>
      </c>
      <c r="I15" s="36">
        <f>'MERCADO TUSD'!$U$12+0.00000001</f>
        <v>1E-8</v>
      </c>
      <c r="J15" s="16"/>
      <c r="L15" s="17">
        <f>'TUSD BE'!$L$15*'TUSD BE'!$L$58</f>
        <v>0</v>
      </c>
      <c r="M15" s="17">
        <f>'TUSD BE'!$M$15*'TUSD BE'!$M$58</f>
        <v>-4.6117937974913203E-4</v>
      </c>
      <c r="N15" s="17">
        <f ca="1">'TUSD BE'!$N$15*'TUSD BE'!$N$58</f>
        <v>0</v>
      </c>
      <c r="O15" s="17">
        <f>'TUSD BE'!$O$15*'TUSD BE'!$O$58</f>
        <v>0</v>
      </c>
      <c r="P15" s="17">
        <f>'TUSD BE'!$P$15*'TUSD BE'!$P$58</f>
        <v>0</v>
      </c>
      <c r="Q15" s="17">
        <f>'TUSD BE'!$Q$15*'TUSD BE'!$Q$58</f>
        <v>0</v>
      </c>
      <c r="R15" s="17">
        <f>'TUSD BE'!$R$15*'TUSD BE'!$R$58</f>
        <v>0</v>
      </c>
      <c r="S15" s="17">
        <f>'TUSD BE'!$R$15*'TUSD BE'!$S$58</f>
        <v>0</v>
      </c>
      <c r="T15" s="17">
        <f ca="1">SUM($L$15:$S$15)</f>
        <v>-4.6117937974913203E-4</v>
      </c>
      <c r="U15" s="17">
        <f>'TUSD BE'!$U$15*'TUSD BE'!$U$58</f>
        <v>0</v>
      </c>
      <c r="V15" s="17">
        <f>'TUSD BE'!$V$15*'TUSD BE'!$V$58</f>
        <v>0</v>
      </c>
      <c r="W15" s="17">
        <f>'TUSD BE'!$W$15*'TUSD BE'!$W$58</f>
        <v>0</v>
      </c>
      <c r="X15" s="17">
        <f>'TUSD BE'!$X$15*'TUSD BE'!$X$58</f>
        <v>0</v>
      </c>
      <c r="Y15" s="17">
        <f>'TUSD BE'!$Y$15*'TUSD BE'!$Y$58</f>
        <v>0</v>
      </c>
      <c r="Z15" s="17">
        <f>'TUSD BE'!$Z$15*'TUSD BE'!$Z$58</f>
        <v>0</v>
      </c>
      <c r="AA15" s="17">
        <f>'TUSD BE'!$AA$15*'TUSD BE'!$AA$58</f>
        <v>0</v>
      </c>
      <c r="AB15" s="17">
        <f>SUM($U$15:$AA$15)</f>
        <v>0</v>
      </c>
      <c r="AC15" s="17">
        <f>'TUSD BE'!$AC$15*'TUSD BE'!$AC$58</f>
        <v>-3.3824651632085398</v>
      </c>
      <c r="AD15" s="17">
        <f>SUM($AC$15:$AC$15)</f>
        <v>-3.3824651632085398</v>
      </c>
      <c r="AE15" s="17">
        <f ca="1">$AO$15*$AO$55</f>
        <v>0.13375608054115723</v>
      </c>
      <c r="AF15" s="17">
        <f ca="1">$AP$15*$AP$55</f>
        <v>0</v>
      </c>
      <c r="AG15" s="17">
        <f ca="1">SUM($AE$15:$AF$15)</f>
        <v>0.13375608054115723</v>
      </c>
      <c r="AH15" s="17">
        <f>'TUSD BE'!$AH$15*'TUSD BE'!$AH$58</f>
        <v>0</v>
      </c>
      <c r="AI15" s="17">
        <f>'TUSD BE'!$AI$15*'TUSD BE'!$AI$58</f>
        <v>0</v>
      </c>
      <c r="AJ15" s="17">
        <f ca="1">'TUSD BE'!$AJ$15*'TUSD BE'!$AJ$58</f>
        <v>0</v>
      </c>
      <c r="AK15" s="17">
        <f ca="1">'TUSD BE'!$AK$15*'TUSD BE'!$AK$58</f>
        <v>0</v>
      </c>
      <c r="AL15" s="17">
        <f ca="1">SUM($AH$15:$AK$15)</f>
        <v>0</v>
      </c>
      <c r="AM15" s="17">
        <f ca="1">SUMIF($L$4:$AL$4,"SUBTOTAL",$L$15:$AL$15)</f>
        <v>-3.2491702620471319</v>
      </c>
      <c r="AO15" s="43">
        <f ca="1">+'TUSD BE'!$T$15+'TUSD BE'!$AB$15+'TUSD BE'!$AD$15+'TUSD BE'!$AL$15</f>
        <v>8.5393616670167969</v>
      </c>
      <c r="AP15" s="43">
        <f ca="1">+'TUSD BE'!$T$15+'TUSD BE'!$AB$15+'TUSD BE'!$AD$15+'TUSD BE'!$AL$15</f>
        <v>8.5393616670167969</v>
      </c>
    </row>
    <row r="16" spans="1:42" ht="11.25" customHeight="1" x14ac:dyDescent="0.25">
      <c r="A16" s="130"/>
      <c r="B16" s="130"/>
      <c r="C16" s="130"/>
      <c r="D16" s="130"/>
      <c r="E16" s="41" t="s">
        <v>84</v>
      </c>
      <c r="F16" s="41" t="s">
        <v>25</v>
      </c>
      <c r="G16" s="36" t="s">
        <v>9</v>
      </c>
      <c r="H16" s="36" t="s">
        <v>76</v>
      </c>
      <c r="I16" s="36">
        <f>'MERCADO TUSD'!$U$13+0.00000001</f>
        <v>1E-8</v>
      </c>
      <c r="J16" s="16"/>
      <c r="L16" s="17">
        <f>'TUSD BE'!$L$16*'TUSD BE'!$L$58</f>
        <v>0</v>
      </c>
      <c r="M16" s="17">
        <f>'TUSD BE'!$M$16*'TUSD BE'!$M$58</f>
        <v>-4.6117937974913203E-4</v>
      </c>
      <c r="N16" s="17">
        <f ca="1">'TUSD BE'!$N$16*'TUSD BE'!$N$58</f>
        <v>0</v>
      </c>
      <c r="O16" s="17">
        <f>'TUSD BE'!$O$16*'TUSD BE'!$O$58</f>
        <v>0</v>
      </c>
      <c r="P16" s="17">
        <f>'TUSD BE'!$P$16*'TUSD BE'!$P$58</f>
        <v>0</v>
      </c>
      <c r="Q16" s="17">
        <f>'TUSD BE'!$Q$16*'TUSD BE'!$Q$58</f>
        <v>0</v>
      </c>
      <c r="R16" s="17">
        <f>'TUSD BE'!$R$16*'TUSD BE'!$R$58</f>
        <v>0</v>
      </c>
      <c r="S16" s="17">
        <f>'TUSD BE'!$R$16*'TUSD BE'!$S$58</f>
        <v>0</v>
      </c>
      <c r="T16" s="17">
        <f ca="1">SUM($L$16:$S$16)</f>
        <v>-4.6117937974913203E-4</v>
      </c>
      <c r="U16" s="17">
        <f>'TUSD BE'!$U$16*'TUSD BE'!$U$58</f>
        <v>0</v>
      </c>
      <c r="V16" s="17">
        <f>'TUSD BE'!$V$16*'TUSD BE'!$V$58</f>
        <v>0</v>
      </c>
      <c r="W16" s="17">
        <f>'TUSD BE'!$W$16*'TUSD BE'!$W$58</f>
        <v>0</v>
      </c>
      <c r="X16" s="17">
        <f>'TUSD BE'!$X$16*'TUSD BE'!$X$58</f>
        <v>0</v>
      </c>
      <c r="Y16" s="17">
        <f>'TUSD BE'!$Y$16*'TUSD BE'!$Y$58</f>
        <v>0</v>
      </c>
      <c r="Z16" s="17">
        <f>'TUSD BE'!$Z$16*'TUSD BE'!$Z$58</f>
        <v>0</v>
      </c>
      <c r="AA16" s="17">
        <f>'TUSD BE'!$AA$16*'TUSD BE'!$AA$58</f>
        <v>0</v>
      </c>
      <c r="AB16" s="17">
        <f>SUM($U$16:$AA$16)</f>
        <v>0</v>
      </c>
      <c r="AC16" s="17">
        <f>'TUSD BE'!$AC$16*'TUSD BE'!$AC$58</f>
        <v>-11.359832605579793</v>
      </c>
      <c r="AD16" s="17">
        <f>SUM($AC$16:$AC$16)</f>
        <v>-11.359832605579793</v>
      </c>
      <c r="AE16" s="17">
        <f ca="1">$AO$16*$AO$55</f>
        <v>0.44887071135561085</v>
      </c>
      <c r="AF16" s="17">
        <f ca="1">$AP$16*$AP$55</f>
        <v>0</v>
      </c>
      <c r="AG16" s="17">
        <f ca="1">SUM($AE$16:$AF$16)</f>
        <v>0.44887071135561085</v>
      </c>
      <c r="AH16" s="17">
        <f>'TUSD BE'!$AH$16*'TUSD BE'!$AH$58</f>
        <v>0</v>
      </c>
      <c r="AI16" s="17">
        <f>'TUSD BE'!$AI$16*'TUSD BE'!$AI$58</f>
        <v>0</v>
      </c>
      <c r="AJ16" s="17">
        <f ca="1">'TUSD BE'!$AJ$16*'TUSD BE'!$AJ$58</f>
        <v>0</v>
      </c>
      <c r="AK16" s="17">
        <f ca="1">'TUSD BE'!$AK$16*'TUSD BE'!$AK$58</f>
        <v>0</v>
      </c>
      <c r="AL16" s="17">
        <f ca="1">SUM($AH$16:$AK$16)</f>
        <v>0</v>
      </c>
      <c r="AM16" s="17">
        <f ca="1">SUMIF($L$4:$AL$4,"SUBTOTAL",$L$16:$AL$16)</f>
        <v>-10.911423073603933</v>
      </c>
      <c r="AO16" s="43">
        <f ca="1">+'TUSD BE'!$T$16+'TUSD BE'!$AB$16+'TUSD BE'!$AD$16+'TUSD BE'!$AL$16</f>
        <v>28.657159588473554</v>
      </c>
      <c r="AP16" s="43">
        <f ca="1">+'TUSD BE'!$T$16+'TUSD BE'!$AB$16+'TUSD BE'!$AD$16+'TUSD BE'!$AL$16</f>
        <v>28.657159588473554</v>
      </c>
    </row>
    <row r="17" spans="1:42" ht="11.25" customHeight="1" x14ac:dyDescent="0.25">
      <c r="A17" s="130" t="s">
        <v>22</v>
      </c>
      <c r="B17" s="130" t="s">
        <v>87</v>
      </c>
      <c r="C17" s="130" t="s">
        <v>24</v>
      </c>
      <c r="D17" s="130" t="s">
        <v>24</v>
      </c>
      <c r="E17" s="130" t="s">
        <v>25</v>
      </c>
      <c r="F17" s="130" t="s">
        <v>25</v>
      </c>
      <c r="G17" s="36" t="s">
        <v>74</v>
      </c>
      <c r="H17" s="36" t="s">
        <v>73</v>
      </c>
      <c r="I17" s="36">
        <f>'MERCADO TUSD'!$U$14</f>
        <v>0</v>
      </c>
      <c r="J17" s="16"/>
      <c r="L17" s="17">
        <f>'TUSD BE'!$L$17*'TUSD BE'!$L$58</f>
        <v>0</v>
      </c>
      <c r="M17" s="17">
        <f>'TUSD BE'!$M$17*'TUSD BE'!$M$58</f>
        <v>-9.3285251421865528E-2</v>
      </c>
      <c r="N17" s="17">
        <f ca="1">'TUSD BE'!$N$17*'TUSD BE'!$N$58</f>
        <v>0</v>
      </c>
      <c r="O17" s="17">
        <f>'TUSD BE'!$O$17*'TUSD BE'!$O$58</f>
        <v>0</v>
      </c>
      <c r="P17" s="17">
        <f>'TUSD BE'!$P$17*'TUSD BE'!$P$58</f>
        <v>0</v>
      </c>
      <c r="Q17" s="17">
        <f>'TUSD BE'!$Q$17*'TUSD BE'!$Q$58</f>
        <v>-3.1687932332310482</v>
      </c>
      <c r="R17" s="17">
        <f>'TUSD BE'!$R$17*'TUSD BE'!$R$58</f>
        <v>-0.48898318646098321</v>
      </c>
      <c r="S17" s="17">
        <f>'TUSD BE'!$R$17*'TUSD BE'!$S$58</f>
        <v>0</v>
      </c>
      <c r="T17" s="17">
        <f ca="1">SUM($L$17:$S$17)</f>
        <v>-3.7510616711138969</v>
      </c>
      <c r="U17" s="17">
        <f>'TUSD BE'!$U$17*'TUSD BE'!$U$58</f>
        <v>0</v>
      </c>
      <c r="V17" s="17">
        <f>'TUSD BE'!$V$17*'TUSD BE'!$V$58</f>
        <v>0</v>
      </c>
      <c r="W17" s="17">
        <f>'TUSD BE'!$W$17*'TUSD BE'!$W$58</f>
        <v>0</v>
      </c>
      <c r="X17" s="17">
        <f>'TUSD BE'!$X$17*'TUSD BE'!$X$58</f>
        <v>0</v>
      </c>
      <c r="Y17" s="17">
        <f>'TUSD BE'!$Y$17*'TUSD BE'!$Y$58</f>
        <v>0.21140909410199102</v>
      </c>
      <c r="Z17" s="17">
        <f>'TUSD BE'!$Z$17*'TUSD BE'!$Z$58</f>
        <v>0</v>
      </c>
      <c r="AA17" s="17">
        <f>'TUSD BE'!$AA$17*'TUSD BE'!$AA$58</f>
        <v>0</v>
      </c>
      <c r="AB17" s="17">
        <f>SUM($U$17:$AA$17)</f>
        <v>0.21140909410199102</v>
      </c>
      <c r="AC17" s="17">
        <f>'TUSD BE'!$AC$17*'TUSD BE'!$AC$58</f>
        <v>-328.70499845785469</v>
      </c>
      <c r="AD17" s="17">
        <f>SUM($AC$17:$AC$17)</f>
        <v>-328.70499845785469</v>
      </c>
      <c r="AE17" s="17">
        <f ca="1">$AO$17*$AO$55</f>
        <v>19.579106220830607</v>
      </c>
      <c r="AF17" s="17">
        <f ca="1">$AP$17*$AP$55</f>
        <v>0</v>
      </c>
      <c r="AG17" s="17">
        <f ca="1">SUM($AE$17:$AF$17)</f>
        <v>19.579106220830607</v>
      </c>
      <c r="AH17" s="17">
        <f>'TUSD BE'!$AH$17*'TUSD BE'!$AH$58</f>
        <v>3.6979826359266621</v>
      </c>
      <c r="AI17" s="17">
        <f>'TUSD BE'!$AI$17*'TUSD BE'!$AI$58</f>
        <v>0</v>
      </c>
      <c r="AJ17" s="17">
        <f ca="1">'TUSD BE'!$AJ$17*'TUSD BE'!$AJ$58</f>
        <v>0</v>
      </c>
      <c r="AK17" s="17">
        <f ca="1">'TUSD BE'!$AK$17*'TUSD BE'!$AK$58</f>
        <v>0</v>
      </c>
      <c r="AL17" s="17">
        <f ca="1">SUM($AH$17:$AK$17)</f>
        <v>3.6979826359266621</v>
      </c>
      <c r="AM17" s="17">
        <f ca="1">SUMIF($L$4:$AL$4,"SUBTOTAL",$L$17:$AL$17)</f>
        <v>-308.96756217810929</v>
      </c>
      <c r="AO17" s="43">
        <f ca="1">+'TUSD BE'!$T$17+'TUSD BE'!$AB$17+'TUSD BE'!$AD$17+'TUSD BE'!$AL$17</f>
        <v>1249.9848116076121</v>
      </c>
      <c r="AP17" s="43">
        <f ca="1">+'TUSD BE'!$T$17+'TUSD BE'!$AB$17+'TUSD BE'!$AD$17+'TUSD BE'!$AL$17</f>
        <v>1249.9848116076121</v>
      </c>
    </row>
    <row r="18" spans="1:42" ht="11.25" customHeight="1" x14ac:dyDescent="0.25">
      <c r="A18" s="130"/>
      <c r="B18" s="130"/>
      <c r="C18" s="130"/>
      <c r="D18" s="130"/>
      <c r="E18" s="130"/>
      <c r="F18" s="130"/>
      <c r="G18" s="36" t="s">
        <v>85</v>
      </c>
      <c r="H18" s="36" t="s">
        <v>73</v>
      </c>
      <c r="I18" s="36">
        <f>'MERCADO TUSD'!$U$15</f>
        <v>0</v>
      </c>
      <c r="J18" s="16"/>
      <c r="L18" s="17">
        <f>'TUSD BE'!$L$18*'TUSD BE'!$L$58</f>
        <v>0</v>
      </c>
      <c r="M18" s="17">
        <f>'TUSD BE'!$M$18*'TUSD BE'!$M$58</f>
        <v>-9.3285251421865528E-2</v>
      </c>
      <c r="N18" s="17">
        <f ca="1">'TUSD BE'!$N$18*'TUSD BE'!$N$58</f>
        <v>0</v>
      </c>
      <c r="O18" s="17">
        <f>'TUSD BE'!$O$18*'TUSD BE'!$O$58</f>
        <v>0</v>
      </c>
      <c r="P18" s="17">
        <f>'TUSD BE'!$P$18*'TUSD BE'!$P$58</f>
        <v>0</v>
      </c>
      <c r="Q18" s="17">
        <f>'TUSD BE'!$Q$18*'TUSD BE'!$Q$58</f>
        <v>-3.1687932332310482</v>
      </c>
      <c r="R18" s="17">
        <f>'TUSD BE'!$R$18*'TUSD BE'!$R$58</f>
        <v>-0.48898318646098321</v>
      </c>
      <c r="S18" s="17">
        <f>'TUSD BE'!$R$18*'TUSD BE'!$S$58</f>
        <v>0</v>
      </c>
      <c r="T18" s="17">
        <f ca="1">SUM($L$18:$S$18)</f>
        <v>-3.7510616711138969</v>
      </c>
      <c r="U18" s="17">
        <f>'TUSD BE'!$U$18*'TUSD BE'!$U$58</f>
        <v>0</v>
      </c>
      <c r="V18" s="17">
        <f>'TUSD BE'!$V$18*'TUSD BE'!$V$58</f>
        <v>0</v>
      </c>
      <c r="W18" s="17">
        <f>'TUSD BE'!$W$18*'TUSD BE'!$W$58</f>
        <v>0</v>
      </c>
      <c r="X18" s="17">
        <f>'TUSD BE'!$X$18*'TUSD BE'!$X$58</f>
        <v>0</v>
      </c>
      <c r="Y18" s="17">
        <f>'TUSD BE'!$Y$18*'TUSD BE'!$Y$58</f>
        <v>3.2890947888397817E-2</v>
      </c>
      <c r="Z18" s="17">
        <f>'TUSD BE'!$Z$18*'TUSD BE'!$Z$58</f>
        <v>0</v>
      </c>
      <c r="AA18" s="17">
        <f>'TUSD BE'!$AA$18*'TUSD BE'!$AA$58</f>
        <v>0</v>
      </c>
      <c r="AB18" s="17">
        <f>SUM($U$18:$AA$18)</f>
        <v>3.2890947888397817E-2</v>
      </c>
      <c r="AC18" s="17">
        <f>'TUSD BE'!$AC$18*'TUSD BE'!$AC$58</f>
        <v>-51.131903801504095</v>
      </c>
      <c r="AD18" s="17">
        <f>SUM($AC$18:$AC$18)</f>
        <v>-51.131903801504095</v>
      </c>
      <c r="AE18" s="17">
        <f ca="1">$AO$18*$AO$55</f>
        <v>4.8317784922255109</v>
      </c>
      <c r="AF18" s="17">
        <f ca="1">$AP$18*$AP$55</f>
        <v>0</v>
      </c>
      <c r="AG18" s="17">
        <f ca="1">SUM($AE$18:$AF$18)</f>
        <v>4.8317784922255109</v>
      </c>
      <c r="AH18" s="17">
        <f>'TUSD BE'!$AH$18*'TUSD BE'!$AH$58</f>
        <v>3.6979826359266621</v>
      </c>
      <c r="AI18" s="17">
        <f>'TUSD BE'!$AI$18*'TUSD BE'!$AI$58</f>
        <v>0</v>
      </c>
      <c r="AJ18" s="17">
        <f ca="1">'TUSD BE'!$AJ$18*'TUSD BE'!$AJ$58</f>
        <v>0</v>
      </c>
      <c r="AK18" s="17">
        <f ca="1">'TUSD BE'!$AK$18*'TUSD BE'!$AK$58</f>
        <v>0</v>
      </c>
      <c r="AL18" s="17">
        <f ca="1">SUM($AH$18:$AK$18)</f>
        <v>3.6979826359266621</v>
      </c>
      <c r="AM18" s="17">
        <f ca="1">SUMIF($L$4:$AL$4,"SUBTOTAL",$L$18:$AL$18)</f>
        <v>-46.320313396577419</v>
      </c>
      <c r="AO18" s="43">
        <f ca="1">+'TUSD BE'!$T$18+'TUSD BE'!$AB$18+'TUSD BE'!$AD$18+'TUSD BE'!$AL$18</f>
        <v>308.47423065249586</v>
      </c>
      <c r="AP18" s="43">
        <f ca="1">+'TUSD BE'!$T$18+'TUSD BE'!$AB$18+'TUSD BE'!$AD$18+'TUSD BE'!$AL$18</f>
        <v>308.47423065249586</v>
      </c>
    </row>
    <row r="19" spans="1:42" ht="11.25" customHeight="1" x14ac:dyDescent="0.25">
      <c r="A19" s="130"/>
      <c r="B19" s="130"/>
      <c r="C19" s="130"/>
      <c r="D19" s="130"/>
      <c r="E19" s="130"/>
      <c r="F19" s="130"/>
      <c r="G19" s="36" t="s">
        <v>75</v>
      </c>
      <c r="H19" s="36" t="s">
        <v>73</v>
      </c>
      <c r="I19" s="36">
        <f>'MERCADO TUSD'!$U$16</f>
        <v>0</v>
      </c>
      <c r="J19" s="16"/>
      <c r="L19" s="17">
        <f>'TUSD BE'!$L$19*'TUSD BE'!$L$58</f>
        <v>0</v>
      </c>
      <c r="M19" s="17">
        <f>'TUSD BE'!$M$19*'TUSD BE'!$M$58</f>
        <v>-9.3285251421865528E-2</v>
      </c>
      <c r="N19" s="17">
        <f ca="1">'TUSD BE'!$N$19*'TUSD BE'!$N$58</f>
        <v>0</v>
      </c>
      <c r="O19" s="17">
        <f>'TUSD BE'!$O$19*'TUSD BE'!$O$58</f>
        <v>0</v>
      </c>
      <c r="P19" s="17">
        <f>'TUSD BE'!$P$19*'TUSD BE'!$P$58</f>
        <v>0</v>
      </c>
      <c r="Q19" s="17">
        <f>'TUSD BE'!$Q$19*'TUSD BE'!$Q$58</f>
        <v>-3.1687932332310482</v>
      </c>
      <c r="R19" s="17">
        <f>'TUSD BE'!$R$19*'TUSD BE'!$R$58</f>
        <v>-0.48898318646098321</v>
      </c>
      <c r="S19" s="17">
        <f>'TUSD BE'!$R$19*'TUSD BE'!$S$58</f>
        <v>0</v>
      </c>
      <c r="T19" s="17">
        <f ca="1">SUM($L$19:$S$19)</f>
        <v>-3.7510616711138969</v>
      </c>
      <c r="U19" s="17">
        <f>'TUSD BE'!$U$19*'TUSD BE'!$U$58</f>
        <v>0</v>
      </c>
      <c r="V19" s="17">
        <f>'TUSD BE'!$V$19*'TUSD BE'!$V$58</f>
        <v>0</v>
      </c>
      <c r="W19" s="17">
        <f>'TUSD BE'!$W$19*'TUSD BE'!$W$58</f>
        <v>0</v>
      </c>
      <c r="X19" s="17">
        <f>'TUSD BE'!$X$19*'TUSD BE'!$X$58</f>
        <v>0</v>
      </c>
      <c r="Y19" s="17">
        <f>'TUSD BE'!$Y$19*'TUSD BE'!$Y$58</f>
        <v>5.638081366574247E-2</v>
      </c>
      <c r="Z19" s="17">
        <f>'TUSD BE'!$Z$19*'TUSD BE'!$Z$58</f>
        <v>0</v>
      </c>
      <c r="AA19" s="17">
        <f>'TUSD BE'!$AA$19*'TUSD BE'!$AA$58</f>
        <v>0</v>
      </c>
      <c r="AB19" s="17">
        <f>SUM($U$19:$AA$19)</f>
        <v>5.638081366574247E-2</v>
      </c>
      <c r="AC19" s="17">
        <f>'TUSD BE'!$AC$19*'TUSD BE'!$AC$58</f>
        <v>-87.654728759508885</v>
      </c>
      <c r="AD19" s="17">
        <f>SUM($AC$19:$AC$19)</f>
        <v>-87.654728759508885</v>
      </c>
      <c r="AE19" s="17">
        <f ca="1">$AO$19*$AO$55</f>
        <v>6.77223177787367</v>
      </c>
      <c r="AF19" s="17">
        <f ca="1">$AP$19*$AP$55</f>
        <v>0</v>
      </c>
      <c r="AG19" s="17">
        <f ca="1">SUM($AE$19:$AF$19)</f>
        <v>6.77223177787367</v>
      </c>
      <c r="AH19" s="17">
        <f>'TUSD BE'!$AH$19*'TUSD BE'!$AH$58</f>
        <v>3.6979826359266621</v>
      </c>
      <c r="AI19" s="17">
        <f>'TUSD BE'!$AI$19*'TUSD BE'!$AI$58</f>
        <v>0</v>
      </c>
      <c r="AJ19" s="17">
        <f ca="1">'TUSD BE'!$AJ$19*'TUSD BE'!$AJ$58</f>
        <v>0</v>
      </c>
      <c r="AK19" s="17">
        <f ca="1">'TUSD BE'!$AK$19*'TUSD BE'!$AK$58</f>
        <v>0</v>
      </c>
      <c r="AL19" s="17">
        <f ca="1">SUM($AH$19:$AK$19)</f>
        <v>3.6979826359266621</v>
      </c>
      <c r="AM19" s="17">
        <f ca="1">SUMIF($L$4:$AL$4,"SUBTOTAL",$L$19:$AL$19)</f>
        <v>-80.879195203156698</v>
      </c>
      <c r="AO19" s="43">
        <f ca="1">+'TUSD BE'!$T$19+'TUSD BE'!$AB$19+'TUSD BE'!$AD$19+'TUSD BE'!$AL$19</f>
        <v>432.35818670937181</v>
      </c>
      <c r="AP19" s="43">
        <f ca="1">+'TUSD BE'!$T$19+'TUSD BE'!$AB$19+'TUSD BE'!$AD$19+'TUSD BE'!$AL$19</f>
        <v>432.35818670937181</v>
      </c>
    </row>
    <row r="20" spans="1:42" ht="11.25" customHeight="1" x14ac:dyDescent="0.25">
      <c r="A20" s="130"/>
      <c r="B20" s="130" t="s">
        <v>23</v>
      </c>
      <c r="C20" s="130" t="s">
        <v>24</v>
      </c>
      <c r="D20" s="41" t="s">
        <v>24</v>
      </c>
      <c r="E20" s="41" t="s">
        <v>25</v>
      </c>
      <c r="F20" s="41" t="s">
        <v>25</v>
      </c>
      <c r="G20" s="36" t="s">
        <v>79</v>
      </c>
      <c r="H20" s="36" t="s">
        <v>73</v>
      </c>
      <c r="I20" s="36">
        <f>'MERCADO TUSD'!$U$17</f>
        <v>23903.932000000001</v>
      </c>
      <c r="J20" s="16"/>
      <c r="L20" s="17">
        <f>'TUSD BE'!$L$20*'TUSD BE'!$L$58</f>
        <v>0</v>
      </c>
      <c r="M20" s="17">
        <f>'TUSD BE'!$M$20*'TUSD BE'!$M$58</f>
        <v>-9.3285251421865528E-2</v>
      </c>
      <c r="N20" s="17">
        <f ca="1">'TUSD BE'!$N$20*'TUSD BE'!$N$58</f>
        <v>0</v>
      </c>
      <c r="O20" s="17">
        <f>'TUSD BE'!$O$20*'TUSD BE'!$O$58</f>
        <v>0</v>
      </c>
      <c r="P20" s="17">
        <f>'TUSD BE'!$P$20*'TUSD BE'!$P$58</f>
        <v>0</v>
      </c>
      <c r="Q20" s="17">
        <f>'TUSD BE'!$Q$20*'TUSD BE'!$Q$58</f>
        <v>-3.1687932332310482</v>
      </c>
      <c r="R20" s="17">
        <f>'TUSD BE'!$R$20*'TUSD BE'!$R$58</f>
        <v>-0.48898318646098321</v>
      </c>
      <c r="S20" s="17">
        <f>'TUSD BE'!$R$20*'TUSD BE'!$S$58</f>
        <v>0</v>
      </c>
      <c r="T20" s="17">
        <f ca="1">SUM($L$20:$S$20)</f>
        <v>-3.7510616711138969</v>
      </c>
      <c r="U20" s="17">
        <f>'TUSD BE'!$U$20*'TUSD BE'!$U$58</f>
        <v>0</v>
      </c>
      <c r="V20" s="17">
        <f>'TUSD BE'!$V$20*'TUSD BE'!$V$58</f>
        <v>0</v>
      </c>
      <c r="W20" s="17">
        <f>'TUSD BE'!$W$20*'TUSD BE'!$W$58</f>
        <v>0</v>
      </c>
      <c r="X20" s="17">
        <f>'TUSD BE'!$X$20*'TUSD BE'!$X$58</f>
        <v>0</v>
      </c>
      <c r="Y20" s="17">
        <f>'TUSD BE'!$Y$20*'TUSD BE'!$Y$58</f>
        <v>9.395961416232318E-2</v>
      </c>
      <c r="Z20" s="17">
        <f>'TUSD BE'!$Z$20*'TUSD BE'!$Z$58</f>
        <v>0</v>
      </c>
      <c r="AA20" s="17">
        <f>'TUSD BE'!$AA$20*'TUSD BE'!$AA$58</f>
        <v>0</v>
      </c>
      <c r="AB20" s="17">
        <f>SUM($U$20:$AA$20)</f>
        <v>9.395961416232318E-2</v>
      </c>
      <c r="AC20" s="17">
        <f>'TUSD BE'!$AC$20*'TUSD BE'!$AC$58</f>
        <v>-146.09117198276263</v>
      </c>
      <c r="AD20" s="17">
        <f>SUM($AC$20:$AC$20)</f>
        <v>-146.09117198276263</v>
      </c>
      <c r="AE20" s="17">
        <f ca="1">$AO$20*$AO$55</f>
        <v>9.876848375462826</v>
      </c>
      <c r="AF20" s="17">
        <f ca="1">$AP$20*$AP$55</f>
        <v>0</v>
      </c>
      <c r="AG20" s="17">
        <f ca="1">SUM($AE$20:$AF$20)</f>
        <v>9.876848375462826</v>
      </c>
      <c r="AH20" s="17">
        <f>'TUSD BE'!$AH$20*'TUSD BE'!$AH$58</f>
        <v>3.6979826359266621</v>
      </c>
      <c r="AI20" s="17">
        <f>'TUSD BE'!$AI$20*'TUSD BE'!$AI$58</f>
        <v>0</v>
      </c>
      <c r="AJ20" s="17">
        <f ca="1">'TUSD BE'!$AJ$20*'TUSD BE'!$AJ$58</f>
        <v>0</v>
      </c>
      <c r="AK20" s="17">
        <f ca="1">'TUSD BE'!$AK$20*'TUSD BE'!$AK$58</f>
        <v>0</v>
      </c>
      <c r="AL20" s="17">
        <f ca="1">SUM($AH$20:$AK$20)</f>
        <v>3.6979826359266621</v>
      </c>
      <c r="AM20" s="17">
        <f ca="1">SUMIF($L$4:$AL$4,"SUBTOTAL",$L$20:$AL$20)</f>
        <v>-136.17344302832473</v>
      </c>
      <c r="AO20" s="43">
        <f ca="1">+'TUSD BE'!$T$20+'TUSD BE'!$AB$20+'TUSD BE'!$AD$20+'TUSD BE'!$AL$20</f>
        <v>630.56557927781125</v>
      </c>
      <c r="AP20" s="43">
        <f ca="1">+'TUSD BE'!$T$20+'TUSD BE'!$AB$20+'TUSD BE'!$AD$20+'TUSD BE'!$AL$20</f>
        <v>630.56557927781125</v>
      </c>
    </row>
    <row r="21" spans="1:42" ht="11.25" customHeight="1" x14ac:dyDescent="0.25">
      <c r="A21" s="130"/>
      <c r="B21" s="130"/>
      <c r="C21" s="130"/>
      <c r="D21" s="41" t="s">
        <v>29</v>
      </c>
      <c r="E21" s="41" t="s">
        <v>25</v>
      </c>
      <c r="F21" s="41" t="s">
        <v>25</v>
      </c>
      <c r="G21" s="36" t="s">
        <v>79</v>
      </c>
      <c r="H21" s="36" t="s">
        <v>73</v>
      </c>
      <c r="I21" s="36">
        <f>'MERCADO TUSD'!$U$18</f>
        <v>17.04</v>
      </c>
      <c r="J21" s="16"/>
      <c r="L21" s="17">
        <f>'TUSD BE'!$L$21*'TUSD BE'!$L$58</f>
        <v>0</v>
      </c>
      <c r="M21" s="17">
        <f>'TUSD BE'!$M$21*'TUSD BE'!$M$58</f>
        <v>-9.3285251421865528E-2</v>
      </c>
      <c r="N21" s="17">
        <f ca="1">'TUSD BE'!$N$21*'TUSD BE'!$N$58</f>
        <v>0</v>
      </c>
      <c r="O21" s="17">
        <f>'TUSD BE'!$O$21*'TUSD BE'!$O$58</f>
        <v>0</v>
      </c>
      <c r="P21" s="17">
        <f>'TUSD BE'!$P$21*'TUSD BE'!$P$58</f>
        <v>0</v>
      </c>
      <c r="Q21" s="17">
        <f>'TUSD BE'!$Q$21*'TUSD BE'!$Q$58</f>
        <v>0</v>
      </c>
      <c r="R21" s="17">
        <f>'TUSD BE'!$R$21*'TUSD BE'!$R$58</f>
        <v>0</v>
      </c>
      <c r="S21" s="17">
        <f>'TUSD BE'!$R$21*'TUSD BE'!$S$58</f>
        <v>0</v>
      </c>
      <c r="T21" s="17">
        <f ca="1">SUM($L$21:$S$21)</f>
        <v>-9.3285251421865528E-2</v>
      </c>
      <c r="U21" s="17">
        <f>'TUSD BE'!$U$21*'TUSD BE'!$U$58</f>
        <v>0</v>
      </c>
      <c r="V21" s="17">
        <f>'TUSD BE'!$V$21*'TUSD BE'!$V$58</f>
        <v>0</v>
      </c>
      <c r="W21" s="17">
        <f>'TUSD BE'!$W$21*'TUSD BE'!$W$58</f>
        <v>0</v>
      </c>
      <c r="X21" s="17">
        <f>'TUSD BE'!$X$21*'TUSD BE'!$X$58</f>
        <v>0</v>
      </c>
      <c r="Y21" s="17">
        <f>'TUSD BE'!$Y$21*'TUSD BE'!$Y$58</f>
        <v>9.395961416232318E-2</v>
      </c>
      <c r="Z21" s="17">
        <f>'TUSD BE'!$Z$21*'TUSD BE'!$Z$58</f>
        <v>0</v>
      </c>
      <c r="AA21" s="17">
        <f>'TUSD BE'!$AA$21*'TUSD BE'!$AA$58</f>
        <v>0</v>
      </c>
      <c r="AB21" s="17">
        <f>SUM($U$21:$AA$21)</f>
        <v>9.395961416232318E-2</v>
      </c>
      <c r="AC21" s="17">
        <f>'TUSD BE'!$AC$21*'TUSD BE'!$AC$58</f>
        <v>-146.09117198276263</v>
      </c>
      <c r="AD21" s="17">
        <f>SUM($AC$21:$AC$21)</f>
        <v>-146.09117198276263</v>
      </c>
      <c r="AE21" s="17">
        <f ca="1">$AO$21*$AO$55</f>
        <v>8.3132531328667216</v>
      </c>
      <c r="AF21" s="17">
        <f ca="1">$AP$21*$AP$55</f>
        <v>0</v>
      </c>
      <c r="AG21" s="17">
        <f ca="1">SUM($AE$21:$AF$21)</f>
        <v>8.3132531328667216</v>
      </c>
      <c r="AH21" s="17">
        <f>'TUSD BE'!$AH$21*'TUSD BE'!$AH$58</f>
        <v>3.6979826359266621</v>
      </c>
      <c r="AI21" s="17">
        <f>'TUSD BE'!$AI$21*'TUSD BE'!$AI$58</f>
        <v>0</v>
      </c>
      <c r="AJ21" s="17">
        <f ca="1">'TUSD BE'!$AJ$21*'TUSD BE'!$AJ$58</f>
        <v>0</v>
      </c>
      <c r="AK21" s="17">
        <f ca="1">'TUSD BE'!$AK$21*'TUSD BE'!$AK$58</f>
        <v>0</v>
      </c>
      <c r="AL21" s="17">
        <f ca="1">SUM($AH$21:$AK$21)</f>
        <v>3.6979826359266621</v>
      </c>
      <c r="AM21" s="17">
        <f ca="1">SUMIF($L$4:$AL$4,"SUBTOTAL",$L$21:$AL$21)</f>
        <v>-134.07926185122881</v>
      </c>
      <c r="AO21" s="43">
        <f ca="1">+'TUSD BE'!$T$21+'TUSD BE'!$AB$21+'TUSD BE'!$AD$21+'TUSD BE'!$AL$21</f>
        <v>530.74129298492369</v>
      </c>
      <c r="AP21" s="43">
        <f ca="1">+'TUSD BE'!$T$21+'TUSD BE'!$AB$21+'TUSD BE'!$AD$21+'TUSD BE'!$AL$21</f>
        <v>530.74129298492369</v>
      </c>
    </row>
    <row r="22" spans="1:42" ht="11.25" customHeight="1" x14ac:dyDescent="0.25">
      <c r="A22" s="130"/>
      <c r="B22" s="130"/>
      <c r="C22" s="130"/>
      <c r="D22" s="41" t="s">
        <v>30</v>
      </c>
      <c r="E22" s="41" t="s">
        <v>25</v>
      </c>
      <c r="F22" s="41" t="s">
        <v>25</v>
      </c>
      <c r="G22" s="36" t="s">
        <v>79</v>
      </c>
      <c r="H22" s="36" t="s">
        <v>73</v>
      </c>
      <c r="I22" s="36">
        <f>'MERCADO TUSD'!$U$19</f>
        <v>36.048999999999999</v>
      </c>
      <c r="J22" s="16"/>
      <c r="L22" s="17">
        <f>'TUSD BE'!$L$22*'TUSD BE'!$L$58</f>
        <v>0</v>
      </c>
      <c r="M22" s="17">
        <f>'TUSD BE'!$M$22*'TUSD BE'!$M$58</f>
        <v>-9.3285251421865528E-2</v>
      </c>
      <c r="N22" s="17">
        <f ca="1">'TUSD BE'!$N$22*'TUSD BE'!$N$58</f>
        <v>0</v>
      </c>
      <c r="O22" s="17">
        <f>'TUSD BE'!$O$22*'TUSD BE'!$O$58</f>
        <v>0</v>
      </c>
      <c r="P22" s="17">
        <f>'TUSD BE'!$P$22*'TUSD BE'!$P$58</f>
        <v>0</v>
      </c>
      <c r="Q22" s="17">
        <f>'TUSD BE'!$Q$22*'TUSD BE'!$Q$58</f>
        <v>0</v>
      </c>
      <c r="R22" s="17">
        <f>'TUSD BE'!$R$22*'TUSD BE'!$R$58</f>
        <v>0</v>
      </c>
      <c r="S22" s="17">
        <f>'TUSD BE'!$R$22*'TUSD BE'!$S$58</f>
        <v>0</v>
      </c>
      <c r="T22" s="17">
        <f ca="1">SUM($L$22:$S$22)</f>
        <v>-9.3285251421865528E-2</v>
      </c>
      <c r="U22" s="17">
        <f>'TUSD BE'!$U$22*'TUSD BE'!$U$58</f>
        <v>0</v>
      </c>
      <c r="V22" s="17">
        <f>'TUSD BE'!$V$22*'TUSD BE'!$V$58</f>
        <v>0</v>
      </c>
      <c r="W22" s="17">
        <f>'TUSD BE'!$W$22*'TUSD BE'!$W$58</f>
        <v>0</v>
      </c>
      <c r="X22" s="17">
        <f>'TUSD BE'!$X$22*'TUSD BE'!$X$58</f>
        <v>0</v>
      </c>
      <c r="Y22" s="17">
        <f>'TUSD BE'!$Y$22*'TUSD BE'!$Y$58</f>
        <v>9.395961416232318E-2</v>
      </c>
      <c r="Z22" s="17">
        <f>'TUSD BE'!$Z$22*'TUSD BE'!$Z$58</f>
        <v>0</v>
      </c>
      <c r="AA22" s="17">
        <f>'TUSD BE'!$AA$22*'TUSD BE'!$AA$58</f>
        <v>0</v>
      </c>
      <c r="AB22" s="17">
        <f>SUM($U$22:$AA$22)</f>
        <v>9.395961416232318E-2</v>
      </c>
      <c r="AC22" s="17">
        <f>'TUSD BE'!$AC$22*'TUSD BE'!$AC$58</f>
        <v>-146.09117198276263</v>
      </c>
      <c r="AD22" s="17">
        <f>SUM($AC$22:$AC$22)</f>
        <v>-146.09117198276263</v>
      </c>
      <c r="AE22" s="17">
        <f ca="1">$AO$22*$AO$55</f>
        <v>8.3132531328667216</v>
      </c>
      <c r="AF22" s="17">
        <f ca="1">$AP$22*$AP$55</f>
        <v>0</v>
      </c>
      <c r="AG22" s="17">
        <f ca="1">SUM($AE$22:$AF$22)</f>
        <v>8.3132531328667216</v>
      </c>
      <c r="AH22" s="17">
        <f>'TUSD BE'!$AH$22*'TUSD BE'!$AH$58</f>
        <v>3.6979826359266621</v>
      </c>
      <c r="AI22" s="17">
        <f>'TUSD BE'!$AI$22*'TUSD BE'!$AI$58</f>
        <v>0</v>
      </c>
      <c r="AJ22" s="17">
        <f ca="1">'TUSD BE'!$AJ$22*'TUSD BE'!$AJ$58</f>
        <v>0</v>
      </c>
      <c r="AK22" s="17">
        <f ca="1">'TUSD BE'!$AK$22*'TUSD BE'!$AK$58</f>
        <v>0</v>
      </c>
      <c r="AL22" s="17">
        <f ca="1">SUM($AH$22:$AK$22)</f>
        <v>3.6979826359266621</v>
      </c>
      <c r="AM22" s="17">
        <f ca="1">SUMIF($L$4:$AL$4,"SUBTOTAL",$L$22:$AL$22)</f>
        <v>-134.07926185122881</v>
      </c>
      <c r="AO22" s="43">
        <f ca="1">+'TUSD BE'!$T$22+'TUSD BE'!$AB$22+'TUSD BE'!$AD$22+'TUSD BE'!$AL$22</f>
        <v>530.74129298492369</v>
      </c>
      <c r="AP22" s="43">
        <f ca="1">+'TUSD BE'!$T$22+'TUSD BE'!$AB$22+'TUSD BE'!$AD$22+'TUSD BE'!$AL$22</f>
        <v>530.74129298492369</v>
      </c>
    </row>
    <row r="23" spans="1:42" ht="11.25" customHeight="1" x14ac:dyDescent="0.25">
      <c r="A23" s="130"/>
      <c r="B23" s="130"/>
      <c r="C23" s="130"/>
      <c r="D23" s="41" t="s">
        <v>31</v>
      </c>
      <c r="E23" s="41" t="s">
        <v>25</v>
      </c>
      <c r="F23" s="41" t="s">
        <v>25</v>
      </c>
      <c r="G23" s="36" t="s">
        <v>79</v>
      </c>
      <c r="H23" s="36" t="s">
        <v>73</v>
      </c>
      <c r="I23" s="36">
        <f>'MERCADO TUSD'!$U$20</f>
        <v>32.835000000000001</v>
      </c>
      <c r="J23" s="16"/>
      <c r="L23" s="17">
        <f>'TUSD BE'!$L$23*'TUSD BE'!$L$58</f>
        <v>0</v>
      </c>
      <c r="M23" s="17">
        <f>'TUSD BE'!$M$23*'TUSD BE'!$M$58</f>
        <v>-9.3285251421865528E-2</v>
      </c>
      <c r="N23" s="17">
        <f ca="1">'TUSD BE'!$N$23*'TUSD BE'!$N$58</f>
        <v>0</v>
      </c>
      <c r="O23" s="17">
        <f>'TUSD BE'!$O$23*'TUSD BE'!$O$58</f>
        <v>0</v>
      </c>
      <c r="P23" s="17">
        <f>'TUSD BE'!$P$23*'TUSD BE'!$P$58</f>
        <v>0</v>
      </c>
      <c r="Q23" s="17">
        <f>'TUSD BE'!$Q$23*'TUSD BE'!$Q$58</f>
        <v>0</v>
      </c>
      <c r="R23" s="17">
        <f>'TUSD BE'!$R$23*'TUSD BE'!$R$58</f>
        <v>0</v>
      </c>
      <c r="S23" s="17">
        <f>'TUSD BE'!$R$23*'TUSD BE'!$S$58</f>
        <v>0</v>
      </c>
      <c r="T23" s="17">
        <f ca="1">SUM($L$23:$S$23)</f>
        <v>-9.3285251421865528E-2</v>
      </c>
      <c r="U23" s="17">
        <f>'TUSD BE'!$U$23*'TUSD BE'!$U$58</f>
        <v>0</v>
      </c>
      <c r="V23" s="17">
        <f>'TUSD BE'!$V$23*'TUSD BE'!$V$58</f>
        <v>0</v>
      </c>
      <c r="W23" s="17">
        <f>'TUSD BE'!$W$23*'TUSD BE'!$W$58</f>
        <v>0</v>
      </c>
      <c r="X23" s="17">
        <f>'TUSD BE'!$X$23*'TUSD BE'!$X$58</f>
        <v>0</v>
      </c>
      <c r="Y23" s="17">
        <f>'TUSD BE'!$Y$23*'TUSD BE'!$Y$58</f>
        <v>9.395961416232318E-2</v>
      </c>
      <c r="Z23" s="17">
        <f>'TUSD BE'!$Z$23*'TUSD BE'!$Z$58</f>
        <v>0</v>
      </c>
      <c r="AA23" s="17">
        <f>'TUSD BE'!$AA$23*'TUSD BE'!$AA$58</f>
        <v>0</v>
      </c>
      <c r="AB23" s="17">
        <f>SUM($U$23:$AA$23)</f>
        <v>9.395961416232318E-2</v>
      </c>
      <c r="AC23" s="17">
        <f>'TUSD BE'!$AC$23*'TUSD BE'!$AC$58</f>
        <v>-146.09117198276263</v>
      </c>
      <c r="AD23" s="17">
        <f>SUM($AC$23:$AC$23)</f>
        <v>-146.09117198276263</v>
      </c>
      <c r="AE23" s="17">
        <f ca="1">$AO$23*$AO$55</f>
        <v>8.3132531328667216</v>
      </c>
      <c r="AF23" s="17">
        <f ca="1">$AP$23*$AP$55</f>
        <v>0</v>
      </c>
      <c r="AG23" s="17">
        <f ca="1">SUM($AE$23:$AF$23)</f>
        <v>8.3132531328667216</v>
      </c>
      <c r="AH23" s="17">
        <f>'TUSD BE'!$AH$23*'TUSD BE'!$AH$58</f>
        <v>3.6979826359266621</v>
      </c>
      <c r="AI23" s="17">
        <f>'TUSD BE'!$AI$23*'TUSD BE'!$AI$58</f>
        <v>0</v>
      </c>
      <c r="AJ23" s="17">
        <f ca="1">'TUSD BE'!$AJ$23*'TUSD BE'!$AJ$58</f>
        <v>0</v>
      </c>
      <c r="AK23" s="17">
        <f ca="1">'TUSD BE'!$AK$23*'TUSD BE'!$AK$58</f>
        <v>0</v>
      </c>
      <c r="AL23" s="17">
        <f ca="1">SUM($AH$23:$AK$23)</f>
        <v>3.6979826359266621</v>
      </c>
      <c r="AM23" s="17">
        <f ca="1">SUMIF($L$4:$AL$4,"SUBTOTAL",$L$23:$AL$23)</f>
        <v>-134.07926185122881</v>
      </c>
      <c r="AO23" s="43">
        <f ca="1">+'TUSD BE'!$T$23+'TUSD BE'!$AB$23+'TUSD BE'!$AD$23+'TUSD BE'!$AL$23</f>
        <v>530.74129298492369</v>
      </c>
      <c r="AP23" s="43">
        <f ca="1">+'TUSD BE'!$T$23+'TUSD BE'!$AB$23+'TUSD BE'!$AD$23+'TUSD BE'!$AL$23</f>
        <v>530.74129298492369</v>
      </c>
    </row>
    <row r="24" spans="1:42" ht="11.25" customHeight="1" x14ac:dyDescent="0.25">
      <c r="A24" s="130"/>
      <c r="B24" s="130"/>
      <c r="C24" s="130"/>
      <c r="D24" s="41" t="s">
        <v>32</v>
      </c>
      <c r="E24" s="41" t="s">
        <v>25</v>
      </c>
      <c r="F24" s="41" t="s">
        <v>25</v>
      </c>
      <c r="G24" s="36" t="s">
        <v>79</v>
      </c>
      <c r="H24" s="36" t="s">
        <v>73</v>
      </c>
      <c r="I24" s="36">
        <f>'MERCADO TUSD'!$U$21</f>
        <v>10.568</v>
      </c>
      <c r="J24" s="16"/>
      <c r="L24" s="17">
        <f>'TUSD BE'!$L$24*'TUSD BE'!$L$58</f>
        <v>0</v>
      </c>
      <c r="M24" s="17">
        <f>'TUSD BE'!$M$24*'TUSD BE'!$M$58</f>
        <v>-9.3285251421865528E-2</v>
      </c>
      <c r="N24" s="17">
        <f ca="1">'TUSD BE'!$N$24*'TUSD BE'!$N$58</f>
        <v>0</v>
      </c>
      <c r="O24" s="17">
        <f>'TUSD BE'!$O$24*'TUSD BE'!$O$58</f>
        <v>0</v>
      </c>
      <c r="P24" s="17">
        <f>'TUSD BE'!$P$24*'TUSD BE'!$P$58</f>
        <v>0</v>
      </c>
      <c r="Q24" s="17">
        <f>'TUSD BE'!$Q$24*'TUSD BE'!$Q$58</f>
        <v>0</v>
      </c>
      <c r="R24" s="17">
        <f>'TUSD BE'!$R$24*'TUSD BE'!$R$58</f>
        <v>0</v>
      </c>
      <c r="S24" s="17">
        <f>'TUSD BE'!$R$24*'TUSD BE'!$S$58</f>
        <v>0</v>
      </c>
      <c r="T24" s="17">
        <f ca="1">SUM($L$24:$S$24)</f>
        <v>-9.3285251421865528E-2</v>
      </c>
      <c r="U24" s="17">
        <f>'TUSD BE'!$U$24*'TUSD BE'!$U$58</f>
        <v>0</v>
      </c>
      <c r="V24" s="17">
        <f>'TUSD BE'!$V$24*'TUSD BE'!$V$58</f>
        <v>0</v>
      </c>
      <c r="W24" s="17">
        <f>'TUSD BE'!$W$24*'TUSD BE'!$W$58</f>
        <v>0</v>
      </c>
      <c r="X24" s="17">
        <f>'TUSD BE'!$X$24*'TUSD BE'!$X$58</f>
        <v>0</v>
      </c>
      <c r="Y24" s="17">
        <f>'TUSD BE'!$Y$24*'TUSD BE'!$Y$58</f>
        <v>9.395961416232318E-2</v>
      </c>
      <c r="Z24" s="17">
        <f>'TUSD BE'!$Z$24*'TUSD BE'!$Z$58</f>
        <v>0</v>
      </c>
      <c r="AA24" s="17">
        <f>'TUSD BE'!$AA$24*'TUSD BE'!$AA$58</f>
        <v>0</v>
      </c>
      <c r="AB24" s="17">
        <f>SUM($U$24:$AA$24)</f>
        <v>9.395961416232318E-2</v>
      </c>
      <c r="AC24" s="17">
        <f>'TUSD BE'!$AC$24*'TUSD BE'!$AC$58</f>
        <v>-146.09117198276263</v>
      </c>
      <c r="AD24" s="17">
        <f>SUM($AC$24:$AC$24)</f>
        <v>-146.09117198276263</v>
      </c>
      <c r="AE24" s="17">
        <f ca="1">$AO$24*$AO$55</f>
        <v>8.3132531328667216</v>
      </c>
      <c r="AF24" s="17">
        <f ca="1">$AP$24*$AP$55</f>
        <v>0</v>
      </c>
      <c r="AG24" s="17">
        <f ca="1">SUM($AE$24:$AF$24)</f>
        <v>8.3132531328667216</v>
      </c>
      <c r="AH24" s="17">
        <f>'TUSD BE'!$AH$24*'TUSD BE'!$AH$58</f>
        <v>3.6979826359266621</v>
      </c>
      <c r="AI24" s="17">
        <f>'TUSD BE'!$AI$24*'TUSD BE'!$AI$58</f>
        <v>0</v>
      </c>
      <c r="AJ24" s="17">
        <f ca="1">'TUSD BE'!$AJ$24*'TUSD BE'!$AJ$58</f>
        <v>0</v>
      </c>
      <c r="AK24" s="17">
        <f ca="1">'TUSD BE'!$AK$24*'TUSD BE'!$AK$58</f>
        <v>0</v>
      </c>
      <c r="AL24" s="17">
        <f ca="1">SUM($AH$24:$AK$24)</f>
        <v>3.6979826359266621</v>
      </c>
      <c r="AM24" s="17">
        <f ca="1">SUMIF($L$4:$AL$4,"SUBTOTAL",$L$24:$AL$24)</f>
        <v>-134.07926185122881</v>
      </c>
      <c r="AO24" s="43">
        <f ca="1">+'TUSD BE'!$T$24+'TUSD BE'!$AB$24+'TUSD BE'!$AD$24+'TUSD BE'!$AL$24</f>
        <v>530.74129298492369</v>
      </c>
      <c r="AP24" s="43">
        <f ca="1">+'TUSD BE'!$T$24+'TUSD BE'!$AB$24+'TUSD BE'!$AD$24+'TUSD BE'!$AL$24</f>
        <v>530.74129298492369</v>
      </c>
    </row>
    <row r="25" spans="1:42" ht="11.25" customHeight="1" x14ac:dyDescent="0.25">
      <c r="A25" s="130"/>
      <c r="B25" s="130" t="s">
        <v>89</v>
      </c>
      <c r="C25" s="130" t="s">
        <v>24</v>
      </c>
      <c r="D25" s="41" t="s">
        <v>24</v>
      </c>
      <c r="E25" s="41" t="s">
        <v>25</v>
      </c>
      <c r="F25" s="41" t="s">
        <v>25</v>
      </c>
      <c r="G25" s="36" t="s">
        <v>79</v>
      </c>
      <c r="H25" s="36" t="s">
        <v>73</v>
      </c>
      <c r="I25" s="36">
        <f>'MERCADO TUSD'!$U$22</f>
        <v>0</v>
      </c>
      <c r="J25" s="16"/>
      <c r="L25" s="17">
        <f>'TUSD BE'!$L$25*'TUSD BE'!$L$58</f>
        <v>0</v>
      </c>
      <c r="M25" s="17">
        <f>'TUSD BE'!$M$25*'TUSD BE'!$M$58</f>
        <v>-9.3285251421865528E-2</v>
      </c>
      <c r="N25" s="17">
        <f ca="1">'TUSD BE'!$N$25*'TUSD BE'!$N$58</f>
        <v>0</v>
      </c>
      <c r="O25" s="17">
        <f>'TUSD BE'!$O$25*'TUSD BE'!$O$58</f>
        <v>0</v>
      </c>
      <c r="P25" s="17">
        <f>'TUSD BE'!$P$25*'TUSD BE'!$P$58</f>
        <v>0</v>
      </c>
      <c r="Q25" s="17">
        <f>'TUSD BE'!$Q$25*'TUSD BE'!$Q$58</f>
        <v>-3.1687932332310482</v>
      </c>
      <c r="R25" s="17">
        <f>'TUSD BE'!$R$25*'TUSD BE'!$R$58</f>
        <v>-0.48898318646098321</v>
      </c>
      <c r="S25" s="17">
        <f>'TUSD BE'!$R$25*'TUSD BE'!$S$58</f>
        <v>0</v>
      </c>
      <c r="T25" s="17">
        <f ca="1">SUM($L$25:$S$25)</f>
        <v>-3.7510616711138969</v>
      </c>
      <c r="U25" s="17">
        <f>'TUSD BE'!$U$25*'TUSD BE'!$U$58</f>
        <v>0</v>
      </c>
      <c r="V25" s="17">
        <f>'TUSD BE'!$V$25*'TUSD BE'!$V$58</f>
        <v>0</v>
      </c>
      <c r="W25" s="17">
        <f>'TUSD BE'!$W$25*'TUSD BE'!$W$58</f>
        <v>0</v>
      </c>
      <c r="X25" s="17">
        <f>'TUSD BE'!$X$25*'TUSD BE'!$X$58</f>
        <v>0</v>
      </c>
      <c r="Y25" s="17">
        <f>'TUSD BE'!$Y$25*'TUSD BE'!$Y$58</f>
        <v>9.395961416232318E-2</v>
      </c>
      <c r="Z25" s="17">
        <f>'TUSD BE'!$Z$25*'TUSD BE'!$Z$58</f>
        <v>0</v>
      </c>
      <c r="AA25" s="17">
        <f>'TUSD BE'!$AA$25*'TUSD BE'!$AA$58</f>
        <v>0</v>
      </c>
      <c r="AB25" s="17">
        <f>SUM($U$25:$AA$25)</f>
        <v>9.395961416232318E-2</v>
      </c>
      <c r="AC25" s="17">
        <f>'TUSD BE'!$AC$25*'TUSD BE'!$AC$58</f>
        <v>-146.09117198276263</v>
      </c>
      <c r="AD25" s="17">
        <f>SUM($AC$25:$AC$25)</f>
        <v>-146.09117198276263</v>
      </c>
      <c r="AE25" s="17">
        <f ca="1">$AO$25*$AO$55</f>
        <v>9.876848375462826</v>
      </c>
      <c r="AF25" s="17">
        <f ca="1">$AP$25*$AP$55</f>
        <v>0</v>
      </c>
      <c r="AG25" s="17">
        <f ca="1">SUM($AE$25:$AF$25)</f>
        <v>9.876848375462826</v>
      </c>
      <c r="AH25" s="17">
        <f>'TUSD BE'!$AH$25*'TUSD BE'!$AH$58</f>
        <v>3.6979826359266621</v>
      </c>
      <c r="AI25" s="17">
        <f>'TUSD BE'!$AI$25*'TUSD BE'!$AI$58</f>
        <v>0</v>
      </c>
      <c r="AJ25" s="17">
        <f ca="1">'TUSD BE'!$AJ$25*'TUSD BE'!$AJ$58</f>
        <v>0</v>
      </c>
      <c r="AK25" s="17">
        <f ca="1">'TUSD BE'!$AK$25*'TUSD BE'!$AK$58</f>
        <v>0</v>
      </c>
      <c r="AL25" s="17">
        <f ca="1">SUM($AH$25:$AK$25)</f>
        <v>3.6979826359266621</v>
      </c>
      <c r="AM25" s="17">
        <f ca="1">SUMIF($L$4:$AL$4,"SUBTOTAL",$L$25:$AL$25)</f>
        <v>-136.17344302832473</v>
      </c>
      <c r="AO25" s="43">
        <f ca="1">+'TUSD BE'!$T$25+'TUSD BE'!$AB$25+'TUSD BE'!$AD$25+'TUSD BE'!$AL$25</f>
        <v>630.56557927781125</v>
      </c>
      <c r="AP25" s="43">
        <f ca="1">+'TUSD BE'!$T$25+'TUSD BE'!$AB$25+'TUSD BE'!$AD$25+'TUSD BE'!$AL$25</f>
        <v>630.56557927781125</v>
      </c>
    </row>
    <row r="26" spans="1:42" ht="11.25" customHeight="1" x14ac:dyDescent="0.25">
      <c r="A26" s="130"/>
      <c r="B26" s="130"/>
      <c r="C26" s="130"/>
      <c r="D26" s="41" t="s">
        <v>29</v>
      </c>
      <c r="E26" s="41" t="s">
        <v>25</v>
      </c>
      <c r="F26" s="41" t="s">
        <v>25</v>
      </c>
      <c r="G26" s="36" t="s">
        <v>79</v>
      </c>
      <c r="H26" s="36" t="s">
        <v>73</v>
      </c>
      <c r="I26" s="36">
        <f>'MERCADO TUSD'!$U$23</f>
        <v>0</v>
      </c>
      <c r="J26" s="16"/>
      <c r="L26" s="17">
        <f>'TUSD BE'!$L$26*'TUSD BE'!$L$58</f>
        <v>0</v>
      </c>
      <c r="M26" s="17">
        <f>'TUSD BE'!$M$26*'TUSD BE'!$M$58</f>
        <v>-9.3285251421865528E-2</v>
      </c>
      <c r="N26" s="17">
        <f ca="1">'TUSD BE'!$N$26*'TUSD BE'!$N$58</f>
        <v>0</v>
      </c>
      <c r="O26" s="17">
        <f>'TUSD BE'!$O$26*'TUSD BE'!$O$58</f>
        <v>0</v>
      </c>
      <c r="P26" s="17">
        <f>'TUSD BE'!$P$26*'TUSD BE'!$P$58</f>
        <v>0</v>
      </c>
      <c r="Q26" s="17">
        <f>'TUSD BE'!$Q$26*'TUSD BE'!$Q$58</f>
        <v>0</v>
      </c>
      <c r="R26" s="17">
        <f>'TUSD BE'!$R$26*'TUSD BE'!$R$58</f>
        <v>0</v>
      </c>
      <c r="S26" s="17">
        <f>'TUSD BE'!$R$26*'TUSD BE'!$S$58</f>
        <v>0</v>
      </c>
      <c r="T26" s="17">
        <f ca="1">SUM($L$26:$S$26)</f>
        <v>-9.3285251421865528E-2</v>
      </c>
      <c r="U26" s="17">
        <f>'TUSD BE'!$U$26*'TUSD BE'!$U$58</f>
        <v>0</v>
      </c>
      <c r="V26" s="17">
        <f>'TUSD BE'!$V$26*'TUSD BE'!$V$58</f>
        <v>0</v>
      </c>
      <c r="W26" s="17">
        <f>'TUSD BE'!$W$26*'TUSD BE'!$W$58</f>
        <v>0</v>
      </c>
      <c r="X26" s="17">
        <f>'TUSD BE'!$X$26*'TUSD BE'!$X$58</f>
        <v>0</v>
      </c>
      <c r="Y26" s="17">
        <f>'TUSD BE'!$Y$26*'TUSD BE'!$Y$58</f>
        <v>9.395961416232318E-2</v>
      </c>
      <c r="Z26" s="17">
        <f>'TUSD BE'!$Z$26*'TUSD BE'!$Z$58</f>
        <v>0</v>
      </c>
      <c r="AA26" s="17">
        <f>'TUSD BE'!$AA$26*'TUSD BE'!$AA$58</f>
        <v>0</v>
      </c>
      <c r="AB26" s="17">
        <f>SUM($U$26:$AA$26)</f>
        <v>9.395961416232318E-2</v>
      </c>
      <c r="AC26" s="17">
        <f>'TUSD BE'!$AC$26*'TUSD BE'!$AC$58</f>
        <v>-146.09117198276263</v>
      </c>
      <c r="AD26" s="17">
        <f>SUM($AC$26:$AC$26)</f>
        <v>-146.09117198276263</v>
      </c>
      <c r="AE26" s="17">
        <f ca="1">$AO$26*$AO$55</f>
        <v>8.3132531328667216</v>
      </c>
      <c r="AF26" s="17">
        <f ca="1">$AP$26*$AP$55</f>
        <v>0</v>
      </c>
      <c r="AG26" s="17">
        <f ca="1">SUM($AE$26:$AF$26)</f>
        <v>8.3132531328667216</v>
      </c>
      <c r="AH26" s="17">
        <f>'TUSD BE'!$AH$26*'TUSD BE'!$AH$58</f>
        <v>3.6979826359266621</v>
      </c>
      <c r="AI26" s="17">
        <f>'TUSD BE'!$AI$26*'TUSD BE'!$AI$58</f>
        <v>0</v>
      </c>
      <c r="AJ26" s="17">
        <f ca="1">'TUSD BE'!$AJ$26*'TUSD BE'!$AJ$58</f>
        <v>0</v>
      </c>
      <c r="AK26" s="17">
        <f ca="1">'TUSD BE'!$AK$26*'TUSD BE'!$AK$58</f>
        <v>0</v>
      </c>
      <c r="AL26" s="17">
        <f ca="1">SUM($AH$26:$AK$26)</f>
        <v>3.6979826359266621</v>
      </c>
      <c r="AM26" s="17">
        <f ca="1">SUMIF($L$4:$AL$4,"SUBTOTAL",$L$26:$AL$26)</f>
        <v>-134.07926185122881</v>
      </c>
      <c r="AO26" s="43">
        <f ca="1">+'TUSD BE'!$T$26+'TUSD BE'!$AB$26+'TUSD BE'!$AD$26+'TUSD BE'!$AL$26</f>
        <v>530.74129298492369</v>
      </c>
      <c r="AP26" s="43">
        <f ca="1">+'TUSD BE'!$T$26+'TUSD BE'!$AB$26+'TUSD BE'!$AD$26+'TUSD BE'!$AL$26</f>
        <v>530.74129298492369</v>
      </c>
    </row>
    <row r="27" spans="1:42" ht="11.25" customHeight="1" x14ac:dyDescent="0.25">
      <c r="A27" s="130"/>
      <c r="B27" s="130"/>
      <c r="C27" s="130"/>
      <c r="D27" s="41" t="s">
        <v>30</v>
      </c>
      <c r="E27" s="41" t="s">
        <v>25</v>
      </c>
      <c r="F27" s="41" t="s">
        <v>25</v>
      </c>
      <c r="G27" s="36" t="s">
        <v>79</v>
      </c>
      <c r="H27" s="36" t="s">
        <v>73</v>
      </c>
      <c r="I27" s="36">
        <f>'MERCADO TUSD'!$U$24</f>
        <v>0</v>
      </c>
      <c r="J27" s="16"/>
      <c r="L27" s="17">
        <f>'TUSD BE'!$L$27*'TUSD BE'!$L$58</f>
        <v>0</v>
      </c>
      <c r="M27" s="17">
        <f>'TUSD BE'!$M$27*'TUSD BE'!$M$58</f>
        <v>-9.3285251421865528E-2</v>
      </c>
      <c r="N27" s="17">
        <f ca="1">'TUSD BE'!$N$27*'TUSD BE'!$N$58</f>
        <v>0</v>
      </c>
      <c r="O27" s="17">
        <f>'TUSD BE'!$O$27*'TUSD BE'!$O$58</f>
        <v>0</v>
      </c>
      <c r="P27" s="17">
        <f>'TUSD BE'!$P$27*'TUSD BE'!$P$58</f>
        <v>0</v>
      </c>
      <c r="Q27" s="17">
        <f>'TUSD BE'!$Q$27*'TUSD BE'!$Q$58</f>
        <v>0</v>
      </c>
      <c r="R27" s="17">
        <f>'TUSD BE'!$R$27*'TUSD BE'!$R$58</f>
        <v>0</v>
      </c>
      <c r="S27" s="17">
        <f>'TUSD BE'!$R$27*'TUSD BE'!$S$58</f>
        <v>0</v>
      </c>
      <c r="T27" s="17">
        <f ca="1">SUM($L$27:$S$27)</f>
        <v>-9.3285251421865528E-2</v>
      </c>
      <c r="U27" s="17">
        <f>'TUSD BE'!$U$27*'TUSD BE'!$U$58</f>
        <v>0</v>
      </c>
      <c r="V27" s="17">
        <f>'TUSD BE'!$V$27*'TUSD BE'!$V$58</f>
        <v>0</v>
      </c>
      <c r="W27" s="17">
        <f>'TUSD BE'!$W$27*'TUSD BE'!$W$58</f>
        <v>0</v>
      </c>
      <c r="X27" s="17">
        <f>'TUSD BE'!$X$27*'TUSD BE'!$X$58</f>
        <v>0</v>
      </c>
      <c r="Y27" s="17">
        <f>'TUSD BE'!$Y$27*'TUSD BE'!$Y$58</f>
        <v>9.395961416232318E-2</v>
      </c>
      <c r="Z27" s="17">
        <f>'TUSD BE'!$Z$27*'TUSD BE'!$Z$58</f>
        <v>0</v>
      </c>
      <c r="AA27" s="17">
        <f>'TUSD BE'!$AA$27*'TUSD BE'!$AA$58</f>
        <v>0</v>
      </c>
      <c r="AB27" s="17">
        <f>SUM($U$27:$AA$27)</f>
        <v>9.395961416232318E-2</v>
      </c>
      <c r="AC27" s="17">
        <f>'TUSD BE'!$AC$27*'TUSD BE'!$AC$58</f>
        <v>-146.09117198276263</v>
      </c>
      <c r="AD27" s="17">
        <f>SUM($AC$27:$AC$27)</f>
        <v>-146.09117198276263</v>
      </c>
      <c r="AE27" s="17">
        <f ca="1">$AO$27*$AO$55</f>
        <v>8.3132531328667216</v>
      </c>
      <c r="AF27" s="17">
        <f ca="1">$AP$27*$AP$55</f>
        <v>0</v>
      </c>
      <c r="AG27" s="17">
        <f ca="1">SUM($AE$27:$AF$27)</f>
        <v>8.3132531328667216</v>
      </c>
      <c r="AH27" s="17">
        <f>'TUSD BE'!$AH$27*'TUSD BE'!$AH$58</f>
        <v>3.6979826359266621</v>
      </c>
      <c r="AI27" s="17">
        <f>'TUSD BE'!$AI$27*'TUSD BE'!$AI$58</f>
        <v>0</v>
      </c>
      <c r="AJ27" s="17">
        <f ca="1">'TUSD BE'!$AJ$27*'TUSD BE'!$AJ$58</f>
        <v>0</v>
      </c>
      <c r="AK27" s="17">
        <f ca="1">'TUSD BE'!$AK$27*'TUSD BE'!$AK$58</f>
        <v>0</v>
      </c>
      <c r="AL27" s="17">
        <f ca="1">SUM($AH$27:$AK$27)</f>
        <v>3.6979826359266621</v>
      </c>
      <c r="AM27" s="17">
        <f ca="1">SUMIF($L$4:$AL$4,"SUBTOTAL",$L$27:$AL$27)</f>
        <v>-134.07926185122881</v>
      </c>
      <c r="AO27" s="43">
        <f ca="1">+'TUSD BE'!$T$27+'TUSD BE'!$AB$27+'TUSD BE'!$AD$27+'TUSD BE'!$AL$27</f>
        <v>530.74129298492369</v>
      </c>
      <c r="AP27" s="43">
        <f ca="1">+'TUSD BE'!$T$27+'TUSD BE'!$AB$27+'TUSD BE'!$AD$27+'TUSD BE'!$AL$27</f>
        <v>530.74129298492369</v>
      </c>
    </row>
    <row r="28" spans="1:42" ht="11.25" customHeight="1" x14ac:dyDescent="0.25">
      <c r="A28" s="130"/>
      <c r="B28" s="130"/>
      <c r="C28" s="130"/>
      <c r="D28" s="41" t="s">
        <v>31</v>
      </c>
      <c r="E28" s="41" t="s">
        <v>25</v>
      </c>
      <c r="F28" s="41" t="s">
        <v>25</v>
      </c>
      <c r="G28" s="36" t="s">
        <v>79</v>
      </c>
      <c r="H28" s="36" t="s">
        <v>73</v>
      </c>
      <c r="I28" s="36">
        <f>'MERCADO TUSD'!$U$25</f>
        <v>0</v>
      </c>
      <c r="J28" s="16"/>
      <c r="L28" s="17">
        <f>'TUSD BE'!$L$28*'TUSD BE'!$L$58</f>
        <v>0</v>
      </c>
      <c r="M28" s="17">
        <f>'TUSD BE'!$M$28*'TUSD BE'!$M$58</f>
        <v>-9.3285251421865528E-2</v>
      </c>
      <c r="N28" s="17">
        <f ca="1">'TUSD BE'!$N$28*'TUSD BE'!$N$58</f>
        <v>0</v>
      </c>
      <c r="O28" s="17">
        <f>'TUSD BE'!$O$28*'TUSD BE'!$O$58</f>
        <v>0</v>
      </c>
      <c r="P28" s="17">
        <f>'TUSD BE'!$P$28*'TUSD BE'!$P$58</f>
        <v>0</v>
      </c>
      <c r="Q28" s="17">
        <f>'TUSD BE'!$Q$28*'TUSD BE'!$Q$58</f>
        <v>0</v>
      </c>
      <c r="R28" s="17">
        <f>'TUSD BE'!$R$28*'TUSD BE'!$R$58</f>
        <v>0</v>
      </c>
      <c r="S28" s="17">
        <f>'TUSD BE'!$R$28*'TUSD BE'!$S$58</f>
        <v>0</v>
      </c>
      <c r="T28" s="17">
        <f ca="1">SUM($L$28:$S$28)</f>
        <v>-9.3285251421865528E-2</v>
      </c>
      <c r="U28" s="17">
        <f>'TUSD BE'!$U$28*'TUSD BE'!$U$58</f>
        <v>0</v>
      </c>
      <c r="V28" s="17">
        <f>'TUSD BE'!$V$28*'TUSD BE'!$V$58</f>
        <v>0</v>
      </c>
      <c r="W28" s="17">
        <f>'TUSD BE'!$W$28*'TUSD BE'!$W$58</f>
        <v>0</v>
      </c>
      <c r="X28" s="17">
        <f>'TUSD BE'!$X$28*'TUSD BE'!$X$58</f>
        <v>0</v>
      </c>
      <c r="Y28" s="17">
        <f>'TUSD BE'!$Y$28*'TUSD BE'!$Y$58</f>
        <v>9.395961416232318E-2</v>
      </c>
      <c r="Z28" s="17">
        <f>'TUSD BE'!$Z$28*'TUSD BE'!$Z$58</f>
        <v>0</v>
      </c>
      <c r="AA28" s="17">
        <f>'TUSD BE'!$AA$28*'TUSD BE'!$AA$58</f>
        <v>0</v>
      </c>
      <c r="AB28" s="17">
        <f>SUM($U$28:$AA$28)</f>
        <v>9.395961416232318E-2</v>
      </c>
      <c r="AC28" s="17">
        <f>'TUSD BE'!$AC$28*'TUSD BE'!$AC$58</f>
        <v>-146.09117198276263</v>
      </c>
      <c r="AD28" s="17">
        <f>SUM($AC$28:$AC$28)</f>
        <v>-146.09117198276263</v>
      </c>
      <c r="AE28" s="17">
        <f ca="1">$AO$28*$AO$55</f>
        <v>8.3132531328667216</v>
      </c>
      <c r="AF28" s="17">
        <f ca="1">$AP$28*$AP$55</f>
        <v>0</v>
      </c>
      <c r="AG28" s="17">
        <f ca="1">SUM($AE$28:$AF$28)</f>
        <v>8.3132531328667216</v>
      </c>
      <c r="AH28" s="17">
        <f>'TUSD BE'!$AH$28*'TUSD BE'!$AH$58</f>
        <v>3.6979826359266621</v>
      </c>
      <c r="AI28" s="17">
        <f>'TUSD BE'!$AI$28*'TUSD BE'!$AI$58</f>
        <v>0</v>
      </c>
      <c r="AJ28" s="17">
        <f ca="1">'TUSD BE'!$AJ$28*'TUSD BE'!$AJ$58</f>
        <v>0</v>
      </c>
      <c r="AK28" s="17">
        <f ca="1">'TUSD BE'!$AK$28*'TUSD BE'!$AK$58</f>
        <v>0</v>
      </c>
      <c r="AL28" s="17">
        <f ca="1">SUM($AH$28:$AK$28)</f>
        <v>3.6979826359266621</v>
      </c>
      <c r="AM28" s="17">
        <f ca="1">SUMIF($L$4:$AL$4,"SUBTOTAL",$L$28:$AL$28)</f>
        <v>-134.07926185122881</v>
      </c>
      <c r="AO28" s="43">
        <f ca="1">+'TUSD BE'!$T$28+'TUSD BE'!$AB$28+'TUSD BE'!$AD$28+'TUSD BE'!$AL$28</f>
        <v>530.74129298492369</v>
      </c>
      <c r="AP28" s="43">
        <f ca="1">+'TUSD BE'!$T$28+'TUSD BE'!$AB$28+'TUSD BE'!$AD$28+'TUSD BE'!$AL$28</f>
        <v>530.74129298492369</v>
      </c>
    </row>
    <row r="29" spans="1:42" ht="11.25" customHeight="1" x14ac:dyDescent="0.25">
      <c r="A29" s="130"/>
      <c r="B29" s="130"/>
      <c r="C29" s="130"/>
      <c r="D29" s="41" t="s">
        <v>32</v>
      </c>
      <c r="E29" s="41" t="s">
        <v>25</v>
      </c>
      <c r="F29" s="41" t="s">
        <v>25</v>
      </c>
      <c r="G29" s="36" t="s">
        <v>79</v>
      </c>
      <c r="H29" s="36" t="s">
        <v>73</v>
      </c>
      <c r="I29" s="36">
        <f>'MERCADO TUSD'!$U$26</f>
        <v>0</v>
      </c>
      <c r="J29" s="16"/>
      <c r="L29" s="17">
        <f>'TUSD BE'!$L$29*'TUSD BE'!$L$58</f>
        <v>0</v>
      </c>
      <c r="M29" s="17">
        <f>'TUSD BE'!$M$29*'TUSD BE'!$M$58</f>
        <v>-9.3285251421865528E-2</v>
      </c>
      <c r="N29" s="17">
        <f ca="1">'TUSD BE'!$N$29*'TUSD BE'!$N$58</f>
        <v>0</v>
      </c>
      <c r="O29" s="17">
        <f>'TUSD BE'!$O$29*'TUSD BE'!$O$58</f>
        <v>0</v>
      </c>
      <c r="P29" s="17">
        <f>'TUSD BE'!$P$29*'TUSD BE'!$P$58</f>
        <v>0</v>
      </c>
      <c r="Q29" s="17">
        <f>'TUSD BE'!$Q$29*'TUSD BE'!$Q$58</f>
        <v>0</v>
      </c>
      <c r="R29" s="17">
        <f>'TUSD BE'!$R$29*'TUSD BE'!$R$58</f>
        <v>0</v>
      </c>
      <c r="S29" s="17">
        <f>'TUSD BE'!$R$29*'TUSD BE'!$S$58</f>
        <v>0</v>
      </c>
      <c r="T29" s="17">
        <f ca="1">SUM($L$29:$S$29)</f>
        <v>-9.3285251421865528E-2</v>
      </c>
      <c r="U29" s="17">
        <f>'TUSD BE'!$U$29*'TUSD BE'!$U$58</f>
        <v>0</v>
      </c>
      <c r="V29" s="17">
        <f>'TUSD BE'!$V$29*'TUSD BE'!$V$58</f>
        <v>0</v>
      </c>
      <c r="W29" s="17">
        <f>'TUSD BE'!$W$29*'TUSD BE'!$W$58</f>
        <v>0</v>
      </c>
      <c r="X29" s="17">
        <f>'TUSD BE'!$X$29*'TUSD BE'!$X$58</f>
        <v>0</v>
      </c>
      <c r="Y29" s="17">
        <f>'TUSD BE'!$Y$29*'TUSD BE'!$Y$58</f>
        <v>9.395961416232318E-2</v>
      </c>
      <c r="Z29" s="17">
        <f>'TUSD BE'!$Z$29*'TUSD BE'!$Z$58</f>
        <v>0</v>
      </c>
      <c r="AA29" s="17">
        <f>'TUSD BE'!$AA$29*'TUSD BE'!$AA$58</f>
        <v>0</v>
      </c>
      <c r="AB29" s="17">
        <f>SUM($U$29:$AA$29)</f>
        <v>9.395961416232318E-2</v>
      </c>
      <c r="AC29" s="17">
        <f>'TUSD BE'!$AC$29*'TUSD BE'!$AC$58</f>
        <v>-146.09117198276263</v>
      </c>
      <c r="AD29" s="17">
        <f>SUM($AC$29:$AC$29)</f>
        <v>-146.09117198276263</v>
      </c>
      <c r="AE29" s="17">
        <f ca="1">$AO$29*$AO$55</f>
        <v>8.3132531328667216</v>
      </c>
      <c r="AF29" s="17">
        <f ca="1">$AP$29*$AP$55</f>
        <v>0</v>
      </c>
      <c r="AG29" s="17">
        <f ca="1">SUM($AE$29:$AF$29)</f>
        <v>8.3132531328667216</v>
      </c>
      <c r="AH29" s="17">
        <f>'TUSD BE'!$AH$29*'TUSD BE'!$AH$58</f>
        <v>3.6979826359266621</v>
      </c>
      <c r="AI29" s="17">
        <f>'TUSD BE'!$AI$29*'TUSD BE'!$AI$58</f>
        <v>0</v>
      </c>
      <c r="AJ29" s="17">
        <f ca="1">'TUSD BE'!$AJ$29*'TUSD BE'!$AJ$58</f>
        <v>0</v>
      </c>
      <c r="AK29" s="17">
        <f ca="1">'TUSD BE'!$AK$29*'TUSD BE'!$AK$58</f>
        <v>0</v>
      </c>
      <c r="AL29" s="17">
        <f ca="1">SUM($AH$29:$AK$29)</f>
        <v>3.6979826359266621</v>
      </c>
      <c r="AM29" s="17">
        <f ca="1">SUMIF($L$4:$AL$4,"SUBTOTAL",$L$29:$AL$29)</f>
        <v>-134.07926185122881</v>
      </c>
      <c r="AO29" s="43">
        <f ca="1">+'TUSD BE'!$T$29+'TUSD BE'!$AB$29+'TUSD BE'!$AD$29+'TUSD BE'!$AL$29</f>
        <v>530.74129298492369</v>
      </c>
      <c r="AP29" s="43">
        <f ca="1">+'TUSD BE'!$T$29+'TUSD BE'!$AB$29+'TUSD BE'!$AD$29+'TUSD BE'!$AL$29</f>
        <v>530.74129298492369</v>
      </c>
    </row>
    <row r="30" spans="1:42" ht="11.25" customHeight="1" x14ac:dyDescent="0.25">
      <c r="A30" s="130" t="s">
        <v>40</v>
      </c>
      <c r="B30" s="130" t="s">
        <v>87</v>
      </c>
      <c r="C30" s="130" t="s">
        <v>41</v>
      </c>
      <c r="D30" s="130" t="s">
        <v>25</v>
      </c>
      <c r="E30" s="130" t="s">
        <v>25</v>
      </c>
      <c r="F30" s="130" t="s">
        <v>25</v>
      </c>
      <c r="G30" s="36" t="s">
        <v>74</v>
      </c>
      <c r="H30" s="36" t="s">
        <v>73</v>
      </c>
      <c r="I30" s="36">
        <f>'MERCADO TUSD'!$U$27</f>
        <v>0</v>
      </c>
      <c r="J30" s="16"/>
      <c r="L30" s="17">
        <f>'TUSD BE'!$L$30*'TUSD BE'!$L$58</f>
        <v>0</v>
      </c>
      <c r="M30" s="17">
        <f>'TUSD BE'!$M$30*'TUSD BE'!$M$58</f>
        <v>-9.3285251421865528E-2</v>
      </c>
      <c r="N30" s="17">
        <f ca="1">'TUSD BE'!$N$30*'TUSD BE'!$N$58</f>
        <v>0</v>
      </c>
      <c r="O30" s="17">
        <f>'TUSD BE'!$O$30*'TUSD BE'!$O$58</f>
        <v>0</v>
      </c>
      <c r="P30" s="17">
        <f>'TUSD BE'!$P$30*'TUSD BE'!$P$58</f>
        <v>0</v>
      </c>
      <c r="Q30" s="17">
        <f>'TUSD BE'!$Q$30*'TUSD BE'!$Q$58</f>
        <v>-3.1687932332310482</v>
      </c>
      <c r="R30" s="17">
        <f>'TUSD BE'!$R$30*'TUSD BE'!$R$58</f>
        <v>-0.48898318646098321</v>
      </c>
      <c r="S30" s="17">
        <f>'TUSD BE'!$R$30*'TUSD BE'!$S$58</f>
        <v>0</v>
      </c>
      <c r="T30" s="17">
        <f ca="1">SUM($L$30:$S$30)</f>
        <v>-3.7510616711138969</v>
      </c>
      <c r="U30" s="17">
        <f>'TUSD BE'!$U$30*'TUSD BE'!$U$58</f>
        <v>0</v>
      </c>
      <c r="V30" s="17">
        <f>'TUSD BE'!$V$30*'TUSD BE'!$V$58</f>
        <v>0</v>
      </c>
      <c r="W30" s="17">
        <f>'TUSD BE'!$W$30*'TUSD BE'!$W$58</f>
        <v>0</v>
      </c>
      <c r="X30" s="17">
        <f>'TUSD BE'!$X$30*'TUSD BE'!$X$58</f>
        <v>0</v>
      </c>
      <c r="Y30" s="17">
        <f>'TUSD BE'!$Y$30*'TUSD BE'!$Y$58</f>
        <v>0.23087732628316812</v>
      </c>
      <c r="Z30" s="17">
        <f>'TUSD BE'!$Z$30*'TUSD BE'!$Z$58</f>
        <v>0</v>
      </c>
      <c r="AA30" s="17">
        <f>'TUSD BE'!$AA$30*'TUSD BE'!$AA$58</f>
        <v>0</v>
      </c>
      <c r="AB30" s="17">
        <f>SUM($U$30:$AA$30)</f>
        <v>0.23087732628316812</v>
      </c>
      <c r="AC30" s="17">
        <f>'TUSD BE'!$AC$30*'TUSD BE'!$AC$58</f>
        <v>-358.9459075805575</v>
      </c>
      <c r="AD30" s="17">
        <f>SUM($AC$30:$AC$30)</f>
        <v>-358.9459075805575</v>
      </c>
      <c r="AE30" s="17">
        <f ca="1">$AO$30*$AO$55</f>
        <v>21.18619657623568</v>
      </c>
      <c r="AF30" s="17">
        <f ca="1">$AP$30*$AP$55</f>
        <v>0</v>
      </c>
      <c r="AG30" s="17">
        <f ca="1">SUM($AE$30:$AF$30)</f>
        <v>21.18619657623568</v>
      </c>
      <c r="AH30" s="17">
        <f>'TUSD BE'!$AH$30*'TUSD BE'!$AH$58</f>
        <v>3.6979826359266621</v>
      </c>
      <c r="AI30" s="17">
        <f>'TUSD BE'!$AI$30*'TUSD BE'!$AI$58</f>
        <v>0</v>
      </c>
      <c r="AJ30" s="17">
        <f ca="1">'TUSD BE'!$AJ$30*'TUSD BE'!$AJ$58</f>
        <v>0</v>
      </c>
      <c r="AK30" s="17">
        <f ca="1">'TUSD BE'!$AK$30*'TUSD BE'!$AK$58</f>
        <v>0</v>
      </c>
      <c r="AL30" s="17">
        <f ca="1">SUM($AH$30:$AK$30)</f>
        <v>3.6979826359266621</v>
      </c>
      <c r="AM30" s="17">
        <f ca="1">SUMIF($L$4:$AL$4,"SUBTOTAL",$L$30:$AL$30)</f>
        <v>-337.5819127132259</v>
      </c>
      <c r="AO30" s="43">
        <f ca="1">+'TUSD BE'!$T$30+'TUSD BE'!$AB$30+'TUSD BE'!$AD$30+'TUSD BE'!$AL$30</f>
        <v>1352.5859473530311</v>
      </c>
      <c r="AP30" s="43">
        <f ca="1">+'TUSD BE'!$T$30+'TUSD BE'!$AB$30+'TUSD BE'!$AD$30+'TUSD BE'!$AL$30</f>
        <v>1352.5859473530311</v>
      </c>
    </row>
    <row r="31" spans="1:42" ht="11.25" customHeight="1" x14ac:dyDescent="0.25">
      <c r="A31" s="130"/>
      <c r="B31" s="130"/>
      <c r="C31" s="130"/>
      <c r="D31" s="130"/>
      <c r="E31" s="130"/>
      <c r="F31" s="130"/>
      <c r="G31" s="36" t="s">
        <v>85</v>
      </c>
      <c r="H31" s="36" t="s">
        <v>73</v>
      </c>
      <c r="I31" s="36">
        <f>'MERCADO TUSD'!$U$28</f>
        <v>0</v>
      </c>
      <c r="J31" s="16"/>
      <c r="L31" s="17">
        <f>'TUSD BE'!$L$31*'TUSD BE'!$L$58</f>
        <v>0</v>
      </c>
      <c r="M31" s="17">
        <f>'TUSD BE'!$M$31*'TUSD BE'!$M$58</f>
        <v>-9.3285251421865528E-2</v>
      </c>
      <c r="N31" s="17">
        <f ca="1">'TUSD BE'!$N$31*'TUSD BE'!$N$58</f>
        <v>0</v>
      </c>
      <c r="O31" s="17">
        <f>'TUSD BE'!$O$31*'TUSD BE'!$O$58</f>
        <v>0</v>
      </c>
      <c r="P31" s="17">
        <f>'TUSD BE'!$P$31*'TUSD BE'!$P$58</f>
        <v>0</v>
      </c>
      <c r="Q31" s="17">
        <f>'TUSD BE'!$Q$31*'TUSD BE'!$Q$58</f>
        <v>-3.1687932332310482</v>
      </c>
      <c r="R31" s="17">
        <f>'TUSD BE'!$R$31*'TUSD BE'!$R$58</f>
        <v>-0.48898318646098321</v>
      </c>
      <c r="S31" s="17">
        <f>'TUSD BE'!$R$31*'TUSD BE'!$S$58</f>
        <v>0</v>
      </c>
      <c r="T31" s="17">
        <f ca="1">SUM($L$31:$S$31)</f>
        <v>-3.7510616711138969</v>
      </c>
      <c r="U31" s="17">
        <f>'TUSD BE'!$U$31*'TUSD BE'!$U$58</f>
        <v>0</v>
      </c>
      <c r="V31" s="17">
        <f>'TUSD BE'!$V$31*'TUSD BE'!$V$58</f>
        <v>0</v>
      </c>
      <c r="W31" s="17">
        <f>'TUSD BE'!$W$31*'TUSD BE'!$W$58</f>
        <v>0</v>
      </c>
      <c r="X31" s="17">
        <f>'TUSD BE'!$X$31*'TUSD BE'!$X$58</f>
        <v>0</v>
      </c>
      <c r="Y31" s="17">
        <f>'TUSD BE'!$Y$31*'TUSD BE'!$Y$58</f>
        <v>0.13850595830650089</v>
      </c>
      <c r="Z31" s="17">
        <f>'TUSD BE'!$Z$31*'TUSD BE'!$Z$58</f>
        <v>0</v>
      </c>
      <c r="AA31" s="17">
        <f>'TUSD BE'!$AA$31*'TUSD BE'!$AA$58</f>
        <v>0</v>
      </c>
      <c r="AB31" s="17">
        <f>SUM($U$31:$AA$31)</f>
        <v>0.13850595830650089</v>
      </c>
      <c r="AC31" s="17">
        <f>'TUSD BE'!$AC$31*'TUSD BE'!$AC$58</f>
        <v>-215.36761273460465</v>
      </c>
      <c r="AD31" s="17">
        <f>SUM($AC$31:$AC$31)</f>
        <v>-215.36761273460465</v>
      </c>
      <c r="AE31" s="17">
        <f ca="1">$AO$31*$AO$55</f>
        <v>13.557302391754284</v>
      </c>
      <c r="AF31" s="17">
        <f ca="1">$AP$31*$AP$55</f>
        <v>0</v>
      </c>
      <c r="AG31" s="17">
        <f ca="1">SUM($AE$31:$AF$31)</f>
        <v>13.557302391754284</v>
      </c>
      <c r="AH31" s="17">
        <f>'TUSD BE'!$AH$31*'TUSD BE'!$AH$58</f>
        <v>3.6979826359266621</v>
      </c>
      <c r="AI31" s="17">
        <f>'TUSD BE'!$AI$31*'TUSD BE'!$AI$58</f>
        <v>0</v>
      </c>
      <c r="AJ31" s="17">
        <f ca="1">'TUSD BE'!$AJ$31*'TUSD BE'!$AJ$58</f>
        <v>0</v>
      </c>
      <c r="AK31" s="17">
        <f ca="1">'TUSD BE'!$AK$31*'TUSD BE'!$AK$58</f>
        <v>0</v>
      </c>
      <c r="AL31" s="17">
        <f ca="1">SUM($AH$31:$AK$31)</f>
        <v>3.6979826359266621</v>
      </c>
      <c r="AM31" s="17">
        <f ca="1">SUMIF($L$4:$AL$4,"SUBTOTAL",$L$31:$AL$31)</f>
        <v>-201.7248834197311</v>
      </c>
      <c r="AO31" s="43">
        <f ca="1">+'TUSD BE'!$T$31+'TUSD BE'!$AB$31+'TUSD BE'!$AD$31+'TUSD BE'!$AL$31</f>
        <v>865.53604055913263</v>
      </c>
      <c r="AP31" s="43">
        <f ca="1">+'TUSD BE'!$T$31+'TUSD BE'!$AB$31+'TUSD BE'!$AD$31+'TUSD BE'!$AL$31</f>
        <v>865.53604055913263</v>
      </c>
    </row>
    <row r="32" spans="1:42" ht="11.25" customHeight="1" x14ac:dyDescent="0.25">
      <c r="A32" s="130"/>
      <c r="B32" s="130"/>
      <c r="C32" s="130"/>
      <c r="D32" s="130"/>
      <c r="E32" s="130"/>
      <c r="F32" s="130"/>
      <c r="G32" s="36" t="s">
        <v>75</v>
      </c>
      <c r="H32" s="36" t="s">
        <v>73</v>
      </c>
      <c r="I32" s="36">
        <f>'MERCADO TUSD'!$U$29</f>
        <v>0</v>
      </c>
      <c r="J32" s="16"/>
      <c r="L32" s="17">
        <f>'TUSD BE'!$L$32*'TUSD BE'!$L$58</f>
        <v>0</v>
      </c>
      <c r="M32" s="17">
        <f>'TUSD BE'!$M$32*'TUSD BE'!$M$58</f>
        <v>-9.3285251421865528E-2</v>
      </c>
      <c r="N32" s="17">
        <f ca="1">'TUSD BE'!$N$32*'TUSD BE'!$N$58</f>
        <v>0</v>
      </c>
      <c r="O32" s="17">
        <f>'TUSD BE'!$O$32*'TUSD BE'!$O$58</f>
        <v>0</v>
      </c>
      <c r="P32" s="17">
        <f>'TUSD BE'!$P$32*'TUSD BE'!$P$58</f>
        <v>0</v>
      </c>
      <c r="Q32" s="17">
        <f>'TUSD BE'!$Q$32*'TUSD BE'!$Q$58</f>
        <v>-3.1687932332310482</v>
      </c>
      <c r="R32" s="17">
        <f>'TUSD BE'!$R$32*'TUSD BE'!$R$58</f>
        <v>-0.48898318646098321</v>
      </c>
      <c r="S32" s="17">
        <f>'TUSD BE'!$R$32*'TUSD BE'!$S$58</f>
        <v>0</v>
      </c>
      <c r="T32" s="17">
        <f ca="1">SUM($L$32:$S$32)</f>
        <v>-3.7510616711138969</v>
      </c>
      <c r="U32" s="17">
        <f>'TUSD BE'!$U$32*'TUSD BE'!$U$58</f>
        <v>0</v>
      </c>
      <c r="V32" s="17">
        <f>'TUSD BE'!$V$32*'TUSD BE'!$V$58</f>
        <v>0</v>
      </c>
      <c r="W32" s="17">
        <f>'TUSD BE'!$W$32*'TUSD BE'!$W$58</f>
        <v>0</v>
      </c>
      <c r="X32" s="17">
        <f>'TUSD BE'!$X$32*'TUSD BE'!$X$58</f>
        <v>0</v>
      </c>
      <c r="Y32" s="17">
        <f>'TUSD BE'!$Y$32*'TUSD BE'!$Y$58</f>
        <v>4.6159967224520988E-2</v>
      </c>
      <c r="Z32" s="17">
        <f>'TUSD BE'!$Z$32*'TUSD BE'!$Z$58</f>
        <v>0</v>
      </c>
      <c r="AA32" s="17">
        <f>'TUSD BE'!$AA$32*'TUSD BE'!$AA$58</f>
        <v>0</v>
      </c>
      <c r="AB32" s="17">
        <f>SUM($U$32:$AA$32)</f>
        <v>4.6159967224520988E-2</v>
      </c>
      <c r="AC32" s="17">
        <f>'TUSD BE'!$AC$32*'TUSD BE'!$AC$58</f>
        <v>-71.789190039395265</v>
      </c>
      <c r="AD32" s="17">
        <f>SUM($AC$32:$AC$32)</f>
        <v>-71.789190039395265</v>
      </c>
      <c r="AE32" s="17">
        <f ca="1">$AO$32*$AO$55</f>
        <v>5.9289409064445193</v>
      </c>
      <c r="AF32" s="17">
        <f ca="1">$AP$32*$AP$55</f>
        <v>0</v>
      </c>
      <c r="AG32" s="17">
        <f ca="1">SUM($AE$32:$AF$32)</f>
        <v>5.9289409064445193</v>
      </c>
      <c r="AH32" s="17">
        <f>'TUSD BE'!$AH$32*'TUSD BE'!$AH$58</f>
        <v>3.6979826359266621</v>
      </c>
      <c r="AI32" s="17">
        <f>'TUSD BE'!$AI$32*'TUSD BE'!$AI$58</f>
        <v>0</v>
      </c>
      <c r="AJ32" s="17">
        <f ca="1">'TUSD BE'!$AJ$32*'TUSD BE'!$AJ$58</f>
        <v>0</v>
      </c>
      <c r="AK32" s="17">
        <f ca="1">'TUSD BE'!$AK$32*'TUSD BE'!$AK$58</f>
        <v>0</v>
      </c>
      <c r="AL32" s="17">
        <f ca="1">SUM($AH$32:$AK$32)</f>
        <v>3.6979826359266621</v>
      </c>
      <c r="AM32" s="17">
        <f ca="1">SUMIF($L$4:$AL$4,"SUBTOTAL",$L$32:$AL$32)</f>
        <v>-65.867168200913454</v>
      </c>
      <c r="AO32" s="43">
        <f ca="1">+'TUSD BE'!$T$32+'TUSD BE'!$AB$32+'TUSD BE'!$AD$32+'TUSD BE'!$AL$32</f>
        <v>378.52014276779971</v>
      </c>
      <c r="AP32" s="43">
        <f ca="1">+'TUSD BE'!$T$32+'TUSD BE'!$AB$32+'TUSD BE'!$AD$32+'TUSD BE'!$AL$32</f>
        <v>378.52014276779971</v>
      </c>
    </row>
    <row r="33" spans="1:42" ht="11.25" customHeight="1" x14ac:dyDescent="0.25">
      <c r="A33" s="130"/>
      <c r="B33" s="41" t="s">
        <v>23</v>
      </c>
      <c r="C33" s="41" t="s">
        <v>41</v>
      </c>
      <c r="D33" s="41" t="s">
        <v>25</v>
      </c>
      <c r="E33" s="41" t="s">
        <v>25</v>
      </c>
      <c r="F33" s="41" t="s">
        <v>25</v>
      </c>
      <c r="G33" s="36" t="s">
        <v>79</v>
      </c>
      <c r="H33" s="36" t="s">
        <v>73</v>
      </c>
      <c r="I33" s="36">
        <f>'MERCADO TUSD'!$U$30</f>
        <v>55907.260999999999</v>
      </c>
      <c r="J33" s="16"/>
      <c r="L33" s="17">
        <f>'TUSD BE'!$L$33*'TUSD BE'!$L$58</f>
        <v>0</v>
      </c>
      <c r="M33" s="17">
        <f>'TUSD BE'!$M$33*'TUSD BE'!$M$58</f>
        <v>-9.3285251421865528E-2</v>
      </c>
      <c r="N33" s="17">
        <f ca="1">'TUSD BE'!$N$33*'TUSD BE'!$N$58</f>
        <v>0</v>
      </c>
      <c r="O33" s="17">
        <f>'TUSD BE'!$O$33*'TUSD BE'!$O$58</f>
        <v>0</v>
      </c>
      <c r="P33" s="17">
        <f>'TUSD BE'!$P$33*'TUSD BE'!$P$58</f>
        <v>0</v>
      </c>
      <c r="Q33" s="17">
        <f>'TUSD BE'!$Q$33*'TUSD BE'!$Q$58</f>
        <v>-3.1687932332310482</v>
      </c>
      <c r="R33" s="17">
        <f>'TUSD BE'!$R$33*'TUSD BE'!$R$58</f>
        <v>-0.48898318646098321</v>
      </c>
      <c r="S33" s="17">
        <f>'TUSD BE'!$R$33*'TUSD BE'!$S$58</f>
        <v>0</v>
      </c>
      <c r="T33" s="17">
        <f ca="1">SUM($L$33:$S$33)</f>
        <v>-3.7510616711138969</v>
      </c>
      <c r="U33" s="17">
        <f>'TUSD BE'!$U$33*'TUSD BE'!$U$58</f>
        <v>0</v>
      </c>
      <c r="V33" s="17">
        <f>'TUSD BE'!$V$33*'TUSD BE'!$V$58</f>
        <v>0</v>
      </c>
      <c r="W33" s="17">
        <f>'TUSD BE'!$W$33*'TUSD BE'!$W$58</f>
        <v>0</v>
      </c>
      <c r="X33" s="17">
        <f>'TUSD BE'!$X$33*'TUSD BE'!$X$58</f>
        <v>0</v>
      </c>
      <c r="Y33" s="17">
        <f>'TUSD BE'!$Y$33*'TUSD BE'!$Y$58</f>
        <v>9.395961416232318E-2</v>
      </c>
      <c r="Z33" s="17">
        <f>'TUSD BE'!$Z$33*'TUSD BE'!$Z$58</f>
        <v>0</v>
      </c>
      <c r="AA33" s="17">
        <f>'TUSD BE'!$AA$33*'TUSD BE'!$AA$58</f>
        <v>0</v>
      </c>
      <c r="AB33" s="17">
        <f>SUM($U$33:$AA$33)</f>
        <v>9.395961416232318E-2</v>
      </c>
      <c r="AC33" s="17">
        <f>'TUSD BE'!$AC$33*'TUSD BE'!$AC$58</f>
        <v>-146.09117198276263</v>
      </c>
      <c r="AD33" s="17">
        <f>SUM($AC$33:$AC$33)</f>
        <v>-146.09117198276263</v>
      </c>
      <c r="AE33" s="17">
        <f ca="1">$AO$33*$AO$55</f>
        <v>9.876848375462826</v>
      </c>
      <c r="AF33" s="17">
        <f ca="1">$AP$33*$AP$55</f>
        <v>0</v>
      </c>
      <c r="AG33" s="17">
        <f ca="1">SUM($AE$33:$AF$33)</f>
        <v>9.876848375462826</v>
      </c>
      <c r="AH33" s="17">
        <f>'TUSD BE'!$AH$33*'TUSD BE'!$AH$58</f>
        <v>3.6979826359266621</v>
      </c>
      <c r="AI33" s="17">
        <f>'TUSD BE'!$AI$33*'TUSD BE'!$AI$58</f>
        <v>0</v>
      </c>
      <c r="AJ33" s="17">
        <f ca="1">'TUSD BE'!$AJ$33*'TUSD BE'!$AJ$58</f>
        <v>0</v>
      </c>
      <c r="AK33" s="17">
        <f ca="1">'TUSD BE'!$AK$33*'TUSD BE'!$AK$58</f>
        <v>0</v>
      </c>
      <c r="AL33" s="17">
        <f ca="1">SUM($AH$33:$AK$33)</f>
        <v>3.6979826359266621</v>
      </c>
      <c r="AM33" s="17">
        <f ca="1">SUMIF($L$4:$AL$4,"SUBTOTAL",$L$33:$AL$33)</f>
        <v>-136.17344302832473</v>
      </c>
      <c r="AO33" s="43">
        <f ca="1">+'TUSD BE'!$T$33+'TUSD BE'!$AB$33+'TUSD BE'!$AD$33+'TUSD BE'!$AL$33</f>
        <v>630.56557927781125</v>
      </c>
      <c r="AP33" s="43">
        <f ca="1">+'TUSD BE'!$T$33+'TUSD BE'!$AB$33+'TUSD BE'!$AD$33+'TUSD BE'!$AL$33</f>
        <v>630.56557927781125</v>
      </c>
    </row>
    <row r="34" spans="1:42" ht="11.25" customHeight="1" x14ac:dyDescent="0.25">
      <c r="A34" s="130"/>
      <c r="B34" s="130" t="s">
        <v>87</v>
      </c>
      <c r="C34" s="130" t="s">
        <v>41</v>
      </c>
      <c r="D34" s="130" t="s">
        <v>90</v>
      </c>
      <c r="E34" s="130" t="s">
        <v>25</v>
      </c>
      <c r="F34" s="130" t="s">
        <v>25</v>
      </c>
      <c r="G34" s="36" t="s">
        <v>74</v>
      </c>
      <c r="H34" s="36" t="s">
        <v>73</v>
      </c>
      <c r="I34" s="36">
        <f>'MERCADO TUSD'!$U$31</f>
        <v>0</v>
      </c>
      <c r="J34" s="16"/>
      <c r="L34" s="17">
        <f>'TUSD BE'!$L$34*'TUSD BE'!$L$58</f>
        <v>0</v>
      </c>
      <c r="M34" s="17">
        <f>'TUSD BE'!$M$34*'TUSD BE'!$M$58</f>
        <v>-9.3285251421865528E-2</v>
      </c>
      <c r="N34" s="17">
        <f ca="1">'TUSD BE'!$N$34*'TUSD BE'!$N$58</f>
        <v>0</v>
      </c>
      <c r="O34" s="17">
        <f>'TUSD BE'!$O$34*'TUSD BE'!$O$58</f>
        <v>0</v>
      </c>
      <c r="P34" s="17">
        <f>'TUSD BE'!$P$34*'TUSD BE'!$P$58</f>
        <v>0</v>
      </c>
      <c r="Q34" s="17">
        <f>'TUSD BE'!$Q$34*'TUSD BE'!$Q$58</f>
        <v>-3.1687932332310482</v>
      </c>
      <c r="R34" s="17">
        <f>'TUSD BE'!$R$34*'TUSD BE'!$R$58</f>
        <v>-0.48898318646098321</v>
      </c>
      <c r="S34" s="17">
        <f>'TUSD BE'!$R$34*'TUSD BE'!$S$58</f>
        <v>0</v>
      </c>
      <c r="T34" s="17">
        <f ca="1">SUM($L$34:$S$34)</f>
        <v>-3.7510616711138969</v>
      </c>
      <c r="U34" s="17">
        <f>'TUSD BE'!$U$34*'TUSD BE'!$U$58</f>
        <v>0</v>
      </c>
      <c r="V34" s="17">
        <f>'TUSD BE'!$V$34*'TUSD BE'!$V$58</f>
        <v>0</v>
      </c>
      <c r="W34" s="17">
        <f>'TUSD BE'!$W$34*'TUSD BE'!$W$58</f>
        <v>0</v>
      </c>
      <c r="X34" s="17">
        <f>'TUSD BE'!$X$34*'TUSD BE'!$X$58</f>
        <v>0</v>
      </c>
      <c r="Y34" s="17">
        <f>'TUSD BE'!$Y$34*'TUSD BE'!$Y$58</f>
        <v>0.23087732628316812</v>
      </c>
      <c r="Z34" s="17">
        <f>'TUSD BE'!$Z$34*'TUSD BE'!$Z$58</f>
        <v>0</v>
      </c>
      <c r="AA34" s="17">
        <f>'TUSD BE'!$AA$34*'TUSD BE'!$AA$58</f>
        <v>0</v>
      </c>
      <c r="AB34" s="17">
        <f>SUM($U$34:$AA$34)</f>
        <v>0.23087732628316812</v>
      </c>
      <c r="AC34" s="17">
        <f>'TUSD BE'!$AC$34*'TUSD BE'!$AC$58</f>
        <v>-358.9459075805575</v>
      </c>
      <c r="AD34" s="17">
        <f>SUM($AC$34:$AC$34)</f>
        <v>-358.9459075805575</v>
      </c>
      <c r="AE34" s="17">
        <f ca="1">$AO$34*$AO$55</f>
        <v>21.18619657623568</v>
      </c>
      <c r="AF34" s="17">
        <f ca="1">$AP$34*$AP$55</f>
        <v>0</v>
      </c>
      <c r="AG34" s="17">
        <f ca="1">SUM($AE$34:$AF$34)</f>
        <v>21.18619657623568</v>
      </c>
      <c r="AH34" s="17">
        <f>'TUSD BE'!$AH$34*'TUSD BE'!$AH$58</f>
        <v>3.6979826359266621</v>
      </c>
      <c r="AI34" s="17">
        <f>'TUSD BE'!$AI$34*'TUSD BE'!$AI$58</f>
        <v>0</v>
      </c>
      <c r="AJ34" s="17">
        <f ca="1">'TUSD BE'!$AJ$34*'TUSD BE'!$AJ$58</f>
        <v>0</v>
      </c>
      <c r="AK34" s="17">
        <f ca="1">'TUSD BE'!$AK$34*'TUSD BE'!$AK$58</f>
        <v>0</v>
      </c>
      <c r="AL34" s="17">
        <f ca="1">SUM($AH$34:$AK$34)</f>
        <v>3.6979826359266621</v>
      </c>
      <c r="AM34" s="17">
        <f ca="1">SUMIF($L$4:$AL$4,"SUBTOTAL",$L$34:$AL$34)</f>
        <v>-337.5819127132259</v>
      </c>
      <c r="AO34" s="43">
        <f ca="1">+'TUSD BE'!$T$34+'TUSD BE'!$AB$34+'TUSD BE'!$AD$34+'TUSD BE'!$AL$34</f>
        <v>1352.5859473530311</v>
      </c>
      <c r="AP34" s="43">
        <f ca="1">+'TUSD BE'!$T$34+'TUSD BE'!$AB$34+'TUSD BE'!$AD$34+'TUSD BE'!$AL$34</f>
        <v>1352.5859473530311</v>
      </c>
    </row>
    <row r="35" spans="1:42" ht="11.25" customHeight="1" x14ac:dyDescent="0.25">
      <c r="A35" s="130"/>
      <c r="B35" s="130"/>
      <c r="C35" s="130"/>
      <c r="D35" s="130"/>
      <c r="E35" s="130"/>
      <c r="F35" s="130"/>
      <c r="G35" s="36" t="s">
        <v>85</v>
      </c>
      <c r="H35" s="36" t="s">
        <v>73</v>
      </c>
      <c r="I35" s="36">
        <f>'MERCADO TUSD'!$U$32</f>
        <v>0</v>
      </c>
      <c r="J35" s="16"/>
      <c r="L35" s="17">
        <f>'TUSD BE'!$L$35*'TUSD BE'!$L$58</f>
        <v>0</v>
      </c>
      <c r="M35" s="17">
        <f>'TUSD BE'!$M$35*'TUSD BE'!$M$58</f>
        <v>-9.3285251421865528E-2</v>
      </c>
      <c r="N35" s="17">
        <f ca="1">'TUSD BE'!$N$35*'TUSD BE'!$N$58</f>
        <v>0</v>
      </c>
      <c r="O35" s="17">
        <f>'TUSD BE'!$O$35*'TUSD BE'!$O$58</f>
        <v>0</v>
      </c>
      <c r="P35" s="17">
        <f>'TUSD BE'!$P$35*'TUSD BE'!$P$58</f>
        <v>0</v>
      </c>
      <c r="Q35" s="17">
        <f>'TUSD BE'!$Q$35*'TUSD BE'!$Q$58</f>
        <v>-3.1687932332310482</v>
      </c>
      <c r="R35" s="17">
        <f>'TUSD BE'!$R$35*'TUSD BE'!$R$58</f>
        <v>-0.48898318646098321</v>
      </c>
      <c r="S35" s="17">
        <f>'TUSD BE'!$R$35*'TUSD BE'!$S$58</f>
        <v>0</v>
      </c>
      <c r="T35" s="17">
        <f ca="1">SUM($L$35:$S$35)</f>
        <v>-3.7510616711138969</v>
      </c>
      <c r="U35" s="17">
        <f>'TUSD BE'!$U$35*'TUSD BE'!$U$58</f>
        <v>0</v>
      </c>
      <c r="V35" s="17">
        <f>'TUSD BE'!$V$35*'TUSD BE'!$V$58</f>
        <v>0</v>
      </c>
      <c r="W35" s="17">
        <f>'TUSD BE'!$W$35*'TUSD BE'!$W$58</f>
        <v>0</v>
      </c>
      <c r="X35" s="17">
        <f>'TUSD BE'!$X$35*'TUSD BE'!$X$58</f>
        <v>0</v>
      </c>
      <c r="Y35" s="17">
        <f>'TUSD BE'!$Y$35*'TUSD BE'!$Y$58</f>
        <v>0.13850595830650089</v>
      </c>
      <c r="Z35" s="17">
        <f>'TUSD BE'!$Z$35*'TUSD BE'!$Z$58</f>
        <v>0</v>
      </c>
      <c r="AA35" s="17">
        <f>'TUSD BE'!$AA$35*'TUSD BE'!$AA$58</f>
        <v>0</v>
      </c>
      <c r="AB35" s="17">
        <f>SUM($U$35:$AA$35)</f>
        <v>0.13850595830650089</v>
      </c>
      <c r="AC35" s="17">
        <f>'TUSD BE'!$AC$35*'TUSD BE'!$AC$58</f>
        <v>-215.36761273460465</v>
      </c>
      <c r="AD35" s="17">
        <f>SUM($AC$35:$AC$35)</f>
        <v>-215.36761273460465</v>
      </c>
      <c r="AE35" s="17">
        <f ca="1">$AO$35*$AO$55</f>
        <v>13.557302391754284</v>
      </c>
      <c r="AF35" s="17">
        <f ca="1">$AP$35*$AP$55</f>
        <v>0</v>
      </c>
      <c r="AG35" s="17">
        <f ca="1">SUM($AE$35:$AF$35)</f>
        <v>13.557302391754284</v>
      </c>
      <c r="AH35" s="17">
        <f>'TUSD BE'!$AH$35*'TUSD BE'!$AH$58</f>
        <v>3.6979826359266621</v>
      </c>
      <c r="AI35" s="17">
        <f>'TUSD BE'!$AI$35*'TUSD BE'!$AI$58</f>
        <v>0</v>
      </c>
      <c r="AJ35" s="17">
        <f ca="1">'TUSD BE'!$AJ$35*'TUSD BE'!$AJ$58</f>
        <v>0</v>
      </c>
      <c r="AK35" s="17">
        <f ca="1">'TUSD BE'!$AK$35*'TUSD BE'!$AK$58</f>
        <v>0</v>
      </c>
      <c r="AL35" s="17">
        <f ca="1">SUM($AH$35:$AK$35)</f>
        <v>3.6979826359266621</v>
      </c>
      <c r="AM35" s="17">
        <f ca="1">SUMIF($L$4:$AL$4,"SUBTOTAL",$L$35:$AL$35)</f>
        <v>-201.7248834197311</v>
      </c>
      <c r="AO35" s="43">
        <f ca="1">+'TUSD BE'!$T$35+'TUSD BE'!$AB$35+'TUSD BE'!$AD$35+'TUSD BE'!$AL$35</f>
        <v>865.53604055913263</v>
      </c>
      <c r="AP35" s="43">
        <f ca="1">+'TUSD BE'!$T$35+'TUSD BE'!$AB$35+'TUSD BE'!$AD$35+'TUSD BE'!$AL$35</f>
        <v>865.53604055913263</v>
      </c>
    </row>
    <row r="36" spans="1:42" ht="11.25" customHeight="1" x14ac:dyDescent="0.25">
      <c r="A36" s="130"/>
      <c r="B36" s="130"/>
      <c r="C36" s="130"/>
      <c r="D36" s="130"/>
      <c r="E36" s="130"/>
      <c r="F36" s="130"/>
      <c r="G36" s="36" t="s">
        <v>75</v>
      </c>
      <c r="H36" s="36" t="s">
        <v>73</v>
      </c>
      <c r="I36" s="36">
        <f>'MERCADO TUSD'!$U$33</f>
        <v>0</v>
      </c>
      <c r="J36" s="16"/>
      <c r="L36" s="17">
        <f>'TUSD BE'!$L$36*'TUSD BE'!$L$58</f>
        <v>0</v>
      </c>
      <c r="M36" s="17">
        <f>'TUSD BE'!$M$36*'TUSD BE'!$M$58</f>
        <v>-9.3285251421865528E-2</v>
      </c>
      <c r="N36" s="17">
        <f ca="1">'TUSD BE'!$N$36*'TUSD BE'!$N$58</f>
        <v>0</v>
      </c>
      <c r="O36" s="17">
        <f>'TUSD BE'!$O$36*'TUSD BE'!$O$58</f>
        <v>0</v>
      </c>
      <c r="P36" s="17">
        <f>'TUSD BE'!$P$36*'TUSD BE'!$P$58</f>
        <v>0</v>
      </c>
      <c r="Q36" s="17">
        <f>'TUSD BE'!$Q$36*'TUSD BE'!$Q$58</f>
        <v>-3.1687932332310482</v>
      </c>
      <c r="R36" s="17">
        <f>'TUSD BE'!$R$36*'TUSD BE'!$R$58</f>
        <v>-0.48898318646098321</v>
      </c>
      <c r="S36" s="17">
        <f>'TUSD BE'!$R$36*'TUSD BE'!$S$58</f>
        <v>0</v>
      </c>
      <c r="T36" s="17">
        <f ca="1">SUM($L$36:$S$36)</f>
        <v>-3.7510616711138969</v>
      </c>
      <c r="U36" s="17">
        <f>'TUSD BE'!$U$36*'TUSD BE'!$U$58</f>
        <v>0</v>
      </c>
      <c r="V36" s="17">
        <f>'TUSD BE'!$V$36*'TUSD BE'!$V$58</f>
        <v>0</v>
      </c>
      <c r="W36" s="17">
        <f>'TUSD BE'!$W$36*'TUSD BE'!$W$58</f>
        <v>0</v>
      </c>
      <c r="X36" s="17">
        <f>'TUSD BE'!$X$36*'TUSD BE'!$X$58</f>
        <v>0</v>
      </c>
      <c r="Y36" s="17">
        <f>'TUSD BE'!$Y$36*'TUSD BE'!$Y$58</f>
        <v>4.6159967224520988E-2</v>
      </c>
      <c r="Z36" s="17">
        <f>'TUSD BE'!$Z$36*'TUSD BE'!$Z$58</f>
        <v>0</v>
      </c>
      <c r="AA36" s="17">
        <f>'TUSD BE'!$AA$36*'TUSD BE'!$AA$58</f>
        <v>0</v>
      </c>
      <c r="AB36" s="17">
        <f>SUM($U$36:$AA$36)</f>
        <v>4.6159967224520988E-2</v>
      </c>
      <c r="AC36" s="17">
        <f>'TUSD BE'!$AC$36*'TUSD BE'!$AC$58</f>
        <v>-71.789190039395265</v>
      </c>
      <c r="AD36" s="17">
        <f>SUM($AC$36:$AC$36)</f>
        <v>-71.789190039395265</v>
      </c>
      <c r="AE36" s="17">
        <f ca="1">$AO$36*$AO$55</f>
        <v>5.9289409064445193</v>
      </c>
      <c r="AF36" s="17">
        <f ca="1">$AP$36*$AP$55</f>
        <v>0</v>
      </c>
      <c r="AG36" s="17">
        <f ca="1">SUM($AE$36:$AF$36)</f>
        <v>5.9289409064445193</v>
      </c>
      <c r="AH36" s="17">
        <f>'TUSD BE'!$AH$36*'TUSD BE'!$AH$58</f>
        <v>3.6979826359266621</v>
      </c>
      <c r="AI36" s="17">
        <f>'TUSD BE'!$AI$36*'TUSD BE'!$AI$58</f>
        <v>0</v>
      </c>
      <c r="AJ36" s="17">
        <f ca="1">'TUSD BE'!$AJ$36*'TUSD BE'!$AJ$58</f>
        <v>0</v>
      </c>
      <c r="AK36" s="17">
        <f ca="1">'TUSD BE'!$AK$36*'TUSD BE'!$AK$58</f>
        <v>0</v>
      </c>
      <c r="AL36" s="17">
        <f ca="1">SUM($AH$36:$AK$36)</f>
        <v>3.6979826359266621</v>
      </c>
      <c r="AM36" s="17">
        <f ca="1">SUMIF($L$4:$AL$4,"SUBTOTAL",$L$36:$AL$36)</f>
        <v>-65.867168200913454</v>
      </c>
      <c r="AO36" s="43">
        <f ca="1">+'TUSD BE'!$T$36+'TUSD BE'!$AB$36+'TUSD BE'!$AD$36+'TUSD BE'!$AL$36</f>
        <v>378.52014276779971</v>
      </c>
      <c r="AP36" s="43">
        <f ca="1">+'TUSD BE'!$T$36+'TUSD BE'!$AB$36+'TUSD BE'!$AD$36+'TUSD BE'!$AL$36</f>
        <v>378.52014276779971</v>
      </c>
    </row>
    <row r="37" spans="1:42" ht="11.25" customHeight="1" x14ac:dyDescent="0.25">
      <c r="A37" s="130"/>
      <c r="B37" s="41" t="s">
        <v>23</v>
      </c>
      <c r="C37" s="41" t="s">
        <v>41</v>
      </c>
      <c r="D37" s="41" t="s">
        <v>90</v>
      </c>
      <c r="E37" s="41" t="s">
        <v>25</v>
      </c>
      <c r="F37" s="41" t="s">
        <v>25</v>
      </c>
      <c r="G37" s="36" t="s">
        <v>79</v>
      </c>
      <c r="H37" s="36" t="s">
        <v>73</v>
      </c>
      <c r="I37" s="36">
        <f>'MERCADO TUSD'!$U$34</f>
        <v>0</v>
      </c>
      <c r="J37" s="16"/>
      <c r="L37" s="17">
        <f>'TUSD BE'!$L$37*'TUSD BE'!$L$58</f>
        <v>0</v>
      </c>
      <c r="M37" s="17">
        <f>'TUSD BE'!$M$37*'TUSD BE'!$M$58</f>
        <v>-9.3285251421865528E-2</v>
      </c>
      <c r="N37" s="17">
        <f ca="1">'TUSD BE'!$N$37*'TUSD BE'!$N$58</f>
        <v>0</v>
      </c>
      <c r="O37" s="17">
        <f>'TUSD BE'!$O$37*'TUSD BE'!$O$58</f>
        <v>0</v>
      </c>
      <c r="P37" s="17">
        <f>'TUSD BE'!$P$37*'TUSD BE'!$P$58</f>
        <v>0</v>
      </c>
      <c r="Q37" s="17">
        <f>'TUSD BE'!$Q$37*'TUSD BE'!$Q$58</f>
        <v>-3.1687932332310482</v>
      </c>
      <c r="R37" s="17">
        <f>'TUSD BE'!$R$37*'TUSD BE'!$R$58</f>
        <v>-0.48898318646098321</v>
      </c>
      <c r="S37" s="17">
        <f>'TUSD BE'!$R$37*'TUSD BE'!$S$58</f>
        <v>0</v>
      </c>
      <c r="T37" s="17">
        <f ca="1">SUM($L$37:$S$37)</f>
        <v>-3.7510616711138969</v>
      </c>
      <c r="U37" s="17">
        <f>'TUSD BE'!$U$37*'TUSD BE'!$U$58</f>
        <v>0</v>
      </c>
      <c r="V37" s="17">
        <f>'TUSD BE'!$V$37*'TUSD BE'!$V$58</f>
        <v>0</v>
      </c>
      <c r="W37" s="17">
        <f>'TUSD BE'!$W$37*'TUSD BE'!$W$58</f>
        <v>0</v>
      </c>
      <c r="X37" s="17">
        <f>'TUSD BE'!$X$37*'TUSD BE'!$X$58</f>
        <v>0</v>
      </c>
      <c r="Y37" s="17">
        <f>'TUSD BE'!$Y$37*'TUSD BE'!$Y$58</f>
        <v>9.395961416232318E-2</v>
      </c>
      <c r="Z37" s="17">
        <f>'TUSD BE'!$Z$37*'TUSD BE'!$Z$58</f>
        <v>0</v>
      </c>
      <c r="AA37" s="17">
        <f>'TUSD BE'!$AA$37*'TUSD BE'!$AA$58</f>
        <v>0</v>
      </c>
      <c r="AB37" s="17">
        <f>SUM($U$37:$AA$37)</f>
        <v>9.395961416232318E-2</v>
      </c>
      <c r="AC37" s="17">
        <f>'TUSD BE'!$AC$37*'TUSD BE'!$AC$58</f>
        <v>-146.09117198276263</v>
      </c>
      <c r="AD37" s="17">
        <f>SUM($AC$37:$AC$37)</f>
        <v>-146.09117198276263</v>
      </c>
      <c r="AE37" s="17">
        <f ca="1">$AO$37*$AO$55</f>
        <v>9.876848375462826</v>
      </c>
      <c r="AF37" s="17">
        <f ca="1">$AP$37*$AP$55</f>
        <v>0</v>
      </c>
      <c r="AG37" s="17">
        <f ca="1">SUM($AE$37:$AF$37)</f>
        <v>9.876848375462826</v>
      </c>
      <c r="AH37" s="17">
        <f>'TUSD BE'!$AH$37*'TUSD BE'!$AH$58</f>
        <v>3.6979826359266621</v>
      </c>
      <c r="AI37" s="17">
        <f>'TUSD BE'!$AI$37*'TUSD BE'!$AI$58</f>
        <v>0</v>
      </c>
      <c r="AJ37" s="17">
        <f ca="1">'TUSD BE'!$AJ$37*'TUSD BE'!$AJ$58</f>
        <v>0</v>
      </c>
      <c r="AK37" s="17">
        <f ca="1">'TUSD BE'!$AK$37*'TUSD BE'!$AK$58</f>
        <v>0</v>
      </c>
      <c r="AL37" s="17">
        <f ca="1">SUM($AH$37:$AK$37)</f>
        <v>3.6979826359266621</v>
      </c>
      <c r="AM37" s="17">
        <f ca="1">SUMIF($L$4:$AL$4,"SUBTOTAL",$L$37:$AL$37)</f>
        <v>-136.17344302832473</v>
      </c>
      <c r="AO37" s="43">
        <f ca="1">+'TUSD BE'!$T$37+'TUSD BE'!$AB$37+'TUSD BE'!$AD$37+'TUSD BE'!$AL$37</f>
        <v>630.56557927781125</v>
      </c>
      <c r="AP37" s="43">
        <f ca="1">+'TUSD BE'!$T$37+'TUSD BE'!$AB$37+'TUSD BE'!$AD$37+'TUSD BE'!$AL$37</f>
        <v>630.56557927781125</v>
      </c>
    </row>
    <row r="38" spans="1:42" ht="11.25" customHeight="1" x14ac:dyDescent="0.25">
      <c r="A38" s="130"/>
      <c r="B38" s="130" t="s">
        <v>87</v>
      </c>
      <c r="C38" s="130" t="s">
        <v>41</v>
      </c>
      <c r="D38" s="130" t="s">
        <v>91</v>
      </c>
      <c r="E38" s="130" t="s">
        <v>25</v>
      </c>
      <c r="F38" s="130" t="s">
        <v>25</v>
      </c>
      <c r="G38" s="36" t="s">
        <v>74</v>
      </c>
      <c r="H38" s="36" t="s">
        <v>73</v>
      </c>
      <c r="I38" s="36">
        <f>'MERCADO TUSD'!$U$35</f>
        <v>0</v>
      </c>
      <c r="J38" s="16"/>
      <c r="L38" s="17">
        <f>'TUSD BE'!$L$38*'TUSD BE'!$L$58</f>
        <v>0</v>
      </c>
      <c r="M38" s="17">
        <f>'TUSD BE'!$M$38*'TUSD BE'!$M$58</f>
        <v>-9.3285251421865528E-2</v>
      </c>
      <c r="N38" s="17">
        <f ca="1">'TUSD BE'!$N$38*'TUSD BE'!$N$58</f>
        <v>0</v>
      </c>
      <c r="O38" s="17">
        <f>'TUSD BE'!$O$38*'TUSD BE'!$O$58</f>
        <v>0</v>
      </c>
      <c r="P38" s="17">
        <f>'TUSD BE'!$P$38*'TUSD BE'!$P$58</f>
        <v>0</v>
      </c>
      <c r="Q38" s="17">
        <f>'TUSD BE'!$Q$38*'TUSD BE'!$Q$58</f>
        <v>-3.1687932332310482</v>
      </c>
      <c r="R38" s="17">
        <f>'TUSD BE'!$R$38*'TUSD BE'!$R$58</f>
        <v>-0.48898318646098321</v>
      </c>
      <c r="S38" s="17">
        <f>'TUSD BE'!$R$38*'TUSD BE'!$S$58</f>
        <v>0</v>
      </c>
      <c r="T38" s="17">
        <f ca="1">SUM($L$38:$S$38)</f>
        <v>-3.7510616711138969</v>
      </c>
      <c r="U38" s="17">
        <f>'TUSD BE'!$U$38*'TUSD BE'!$U$58</f>
        <v>0</v>
      </c>
      <c r="V38" s="17">
        <f>'TUSD BE'!$V$38*'TUSD BE'!$V$58</f>
        <v>0</v>
      </c>
      <c r="W38" s="17">
        <f>'TUSD BE'!$W$38*'TUSD BE'!$W$58</f>
        <v>0</v>
      </c>
      <c r="X38" s="17">
        <f>'TUSD BE'!$X$38*'TUSD BE'!$X$58</f>
        <v>0</v>
      </c>
      <c r="Y38" s="17">
        <f>'TUSD BE'!$Y$38*'TUSD BE'!$Y$58</f>
        <v>0.23087732628316812</v>
      </c>
      <c r="Z38" s="17">
        <f>'TUSD BE'!$Z$38*'TUSD BE'!$Z$58</f>
        <v>0</v>
      </c>
      <c r="AA38" s="17">
        <f>'TUSD BE'!$AA$38*'TUSD BE'!$AA$58</f>
        <v>0</v>
      </c>
      <c r="AB38" s="17">
        <f>SUM($U$38:$AA$38)</f>
        <v>0.23087732628316812</v>
      </c>
      <c r="AC38" s="17">
        <f>'TUSD BE'!$AC$38*'TUSD BE'!$AC$58</f>
        <v>-358.9459075805575</v>
      </c>
      <c r="AD38" s="17">
        <f>SUM($AC$38:$AC$38)</f>
        <v>-358.9459075805575</v>
      </c>
      <c r="AE38" s="17">
        <f ca="1">$AO$38*$AO$55</f>
        <v>21.18619657623568</v>
      </c>
      <c r="AF38" s="17">
        <f ca="1">$AP$38*$AP$55</f>
        <v>0</v>
      </c>
      <c r="AG38" s="17">
        <f ca="1">SUM($AE$38:$AF$38)</f>
        <v>21.18619657623568</v>
      </c>
      <c r="AH38" s="17">
        <f>'TUSD BE'!$AH$38*'TUSD BE'!$AH$58</f>
        <v>3.6979826359266621</v>
      </c>
      <c r="AI38" s="17">
        <f>'TUSD BE'!$AI$38*'TUSD BE'!$AI$58</f>
        <v>0</v>
      </c>
      <c r="AJ38" s="17">
        <f ca="1">'TUSD BE'!$AJ$38*'TUSD BE'!$AJ$58</f>
        <v>0</v>
      </c>
      <c r="AK38" s="17">
        <f ca="1">'TUSD BE'!$AK$38*'TUSD BE'!$AK$58</f>
        <v>0</v>
      </c>
      <c r="AL38" s="17">
        <f ca="1">SUM($AH$38:$AK$38)</f>
        <v>3.6979826359266621</v>
      </c>
      <c r="AM38" s="17">
        <f ca="1">SUMIF($L$4:$AL$4,"SUBTOTAL",$L$38:$AL$38)</f>
        <v>-337.5819127132259</v>
      </c>
      <c r="AO38" s="43">
        <f ca="1">+'TUSD BE'!$T$38+'TUSD BE'!$AB$38+'TUSD BE'!$AD$38+'TUSD BE'!$AL$38</f>
        <v>1352.5859473530311</v>
      </c>
      <c r="AP38" s="43">
        <f ca="1">+'TUSD BE'!$T$38+'TUSD BE'!$AB$38+'TUSD BE'!$AD$38+'TUSD BE'!$AL$38</f>
        <v>1352.5859473530311</v>
      </c>
    </row>
    <row r="39" spans="1:42" ht="11.25" customHeight="1" x14ac:dyDescent="0.25">
      <c r="A39" s="130"/>
      <c r="B39" s="130"/>
      <c r="C39" s="130"/>
      <c r="D39" s="130"/>
      <c r="E39" s="130"/>
      <c r="F39" s="130"/>
      <c r="G39" s="36" t="s">
        <v>85</v>
      </c>
      <c r="H39" s="36" t="s">
        <v>73</v>
      </c>
      <c r="I39" s="36">
        <f>'MERCADO TUSD'!$U$36</f>
        <v>0</v>
      </c>
      <c r="J39" s="16"/>
      <c r="L39" s="17">
        <f>'TUSD BE'!$L$39*'TUSD BE'!$L$58</f>
        <v>0</v>
      </c>
      <c r="M39" s="17">
        <f>'TUSD BE'!$M$39*'TUSD BE'!$M$58</f>
        <v>-9.3285251421865528E-2</v>
      </c>
      <c r="N39" s="17">
        <f ca="1">'TUSD BE'!$N$39*'TUSD BE'!$N$58</f>
        <v>0</v>
      </c>
      <c r="O39" s="17">
        <f>'TUSD BE'!$O$39*'TUSD BE'!$O$58</f>
        <v>0</v>
      </c>
      <c r="P39" s="17">
        <f>'TUSD BE'!$P$39*'TUSD BE'!$P$58</f>
        <v>0</v>
      </c>
      <c r="Q39" s="17">
        <f>'TUSD BE'!$Q$39*'TUSD BE'!$Q$58</f>
        <v>-3.1687932332310482</v>
      </c>
      <c r="R39" s="17">
        <f>'TUSD BE'!$R$39*'TUSD BE'!$R$58</f>
        <v>-0.48898318646098321</v>
      </c>
      <c r="S39" s="17">
        <f>'TUSD BE'!$R$39*'TUSD BE'!$S$58</f>
        <v>0</v>
      </c>
      <c r="T39" s="17">
        <f ca="1">SUM($L$39:$S$39)</f>
        <v>-3.7510616711138969</v>
      </c>
      <c r="U39" s="17">
        <f>'TUSD BE'!$U$39*'TUSD BE'!$U$58</f>
        <v>0</v>
      </c>
      <c r="V39" s="17">
        <f>'TUSD BE'!$V$39*'TUSD BE'!$V$58</f>
        <v>0</v>
      </c>
      <c r="W39" s="17">
        <f>'TUSD BE'!$W$39*'TUSD BE'!$W$58</f>
        <v>0</v>
      </c>
      <c r="X39" s="17">
        <f>'TUSD BE'!$X$39*'TUSD BE'!$X$58</f>
        <v>0</v>
      </c>
      <c r="Y39" s="17">
        <f>'TUSD BE'!$Y$39*'TUSD BE'!$Y$58</f>
        <v>0.13850595830650089</v>
      </c>
      <c r="Z39" s="17">
        <f>'TUSD BE'!$Z$39*'TUSD BE'!$Z$58</f>
        <v>0</v>
      </c>
      <c r="AA39" s="17">
        <f>'TUSD BE'!$AA$39*'TUSD BE'!$AA$58</f>
        <v>0</v>
      </c>
      <c r="AB39" s="17">
        <f>SUM($U$39:$AA$39)</f>
        <v>0.13850595830650089</v>
      </c>
      <c r="AC39" s="17">
        <f>'TUSD BE'!$AC$39*'TUSD BE'!$AC$58</f>
        <v>-215.36761273460465</v>
      </c>
      <c r="AD39" s="17">
        <f>SUM($AC$39:$AC$39)</f>
        <v>-215.36761273460465</v>
      </c>
      <c r="AE39" s="17">
        <f ca="1">$AO$39*$AO$55</f>
        <v>13.557302391754284</v>
      </c>
      <c r="AF39" s="17">
        <f ca="1">$AP$39*$AP$55</f>
        <v>0</v>
      </c>
      <c r="AG39" s="17">
        <f ca="1">SUM($AE$39:$AF$39)</f>
        <v>13.557302391754284</v>
      </c>
      <c r="AH39" s="17">
        <f>'TUSD BE'!$AH$39*'TUSD BE'!$AH$58</f>
        <v>3.6979826359266621</v>
      </c>
      <c r="AI39" s="17">
        <f>'TUSD BE'!$AI$39*'TUSD BE'!$AI$58</f>
        <v>0</v>
      </c>
      <c r="AJ39" s="17">
        <f ca="1">'TUSD BE'!$AJ$39*'TUSD BE'!$AJ$58</f>
        <v>0</v>
      </c>
      <c r="AK39" s="17">
        <f ca="1">'TUSD BE'!$AK$39*'TUSD BE'!$AK$58</f>
        <v>0</v>
      </c>
      <c r="AL39" s="17">
        <f ca="1">SUM($AH$39:$AK$39)</f>
        <v>3.6979826359266621</v>
      </c>
      <c r="AM39" s="17">
        <f ca="1">SUMIF($L$4:$AL$4,"SUBTOTAL",$L$39:$AL$39)</f>
        <v>-201.7248834197311</v>
      </c>
      <c r="AO39" s="43">
        <f ca="1">+'TUSD BE'!$T$39+'TUSD BE'!$AB$39+'TUSD BE'!$AD$39+'TUSD BE'!$AL$39</f>
        <v>865.53604055913263</v>
      </c>
      <c r="AP39" s="43">
        <f ca="1">+'TUSD BE'!$T$39+'TUSD BE'!$AB$39+'TUSD BE'!$AD$39+'TUSD BE'!$AL$39</f>
        <v>865.53604055913263</v>
      </c>
    </row>
    <row r="40" spans="1:42" ht="11.25" customHeight="1" x14ac:dyDescent="0.25">
      <c r="A40" s="130"/>
      <c r="B40" s="130"/>
      <c r="C40" s="130"/>
      <c r="D40" s="130"/>
      <c r="E40" s="130"/>
      <c r="F40" s="130"/>
      <c r="G40" s="36" t="s">
        <v>75</v>
      </c>
      <c r="H40" s="36" t="s">
        <v>73</v>
      </c>
      <c r="I40" s="36">
        <f>'MERCADO TUSD'!$U$37</f>
        <v>0</v>
      </c>
      <c r="J40" s="16"/>
      <c r="L40" s="17">
        <f>'TUSD BE'!$L$40*'TUSD BE'!$L$58</f>
        <v>0</v>
      </c>
      <c r="M40" s="17">
        <f>'TUSD BE'!$M$40*'TUSD BE'!$M$58</f>
        <v>-9.3285251421865528E-2</v>
      </c>
      <c r="N40" s="17">
        <f ca="1">'TUSD BE'!$N$40*'TUSD BE'!$N$58</f>
        <v>0</v>
      </c>
      <c r="O40" s="17">
        <f>'TUSD BE'!$O$40*'TUSD BE'!$O$58</f>
        <v>0</v>
      </c>
      <c r="P40" s="17">
        <f>'TUSD BE'!$P$40*'TUSD BE'!$P$58</f>
        <v>0</v>
      </c>
      <c r="Q40" s="17">
        <f>'TUSD BE'!$Q$40*'TUSD BE'!$Q$58</f>
        <v>-3.1687932332310482</v>
      </c>
      <c r="R40" s="17">
        <f>'TUSD BE'!$R$40*'TUSD BE'!$R$58</f>
        <v>-0.48898318646098321</v>
      </c>
      <c r="S40" s="17">
        <f>'TUSD BE'!$R$40*'TUSD BE'!$S$58</f>
        <v>0</v>
      </c>
      <c r="T40" s="17">
        <f ca="1">SUM($L$40:$S$40)</f>
        <v>-3.7510616711138969</v>
      </c>
      <c r="U40" s="17">
        <f>'TUSD BE'!$U$40*'TUSD BE'!$U$58</f>
        <v>0</v>
      </c>
      <c r="V40" s="17">
        <f>'TUSD BE'!$V$40*'TUSD BE'!$V$58</f>
        <v>0</v>
      </c>
      <c r="W40" s="17">
        <f>'TUSD BE'!$W$40*'TUSD BE'!$W$58</f>
        <v>0</v>
      </c>
      <c r="X40" s="17">
        <f>'TUSD BE'!$X$40*'TUSD BE'!$X$58</f>
        <v>0</v>
      </c>
      <c r="Y40" s="17">
        <f>'TUSD BE'!$Y$40*'TUSD BE'!$Y$58</f>
        <v>4.6159967224520988E-2</v>
      </c>
      <c r="Z40" s="17">
        <f>'TUSD BE'!$Z$40*'TUSD BE'!$Z$58</f>
        <v>0</v>
      </c>
      <c r="AA40" s="17">
        <f>'TUSD BE'!$AA$40*'TUSD BE'!$AA$58</f>
        <v>0</v>
      </c>
      <c r="AB40" s="17">
        <f>SUM($U$40:$AA$40)</f>
        <v>4.6159967224520988E-2</v>
      </c>
      <c r="AC40" s="17">
        <f>'TUSD BE'!$AC$40*'TUSD BE'!$AC$58</f>
        <v>-71.789190039395265</v>
      </c>
      <c r="AD40" s="17">
        <f>SUM($AC$40:$AC$40)</f>
        <v>-71.789190039395265</v>
      </c>
      <c r="AE40" s="17">
        <f ca="1">$AO$40*$AO$55</f>
        <v>5.9289409064445193</v>
      </c>
      <c r="AF40" s="17">
        <f ca="1">$AP$40*$AP$55</f>
        <v>0</v>
      </c>
      <c r="AG40" s="17">
        <f ca="1">SUM($AE$40:$AF$40)</f>
        <v>5.9289409064445193</v>
      </c>
      <c r="AH40" s="17">
        <f>'TUSD BE'!$AH$40*'TUSD BE'!$AH$58</f>
        <v>3.6979826359266621</v>
      </c>
      <c r="AI40" s="17">
        <f>'TUSD BE'!$AI$40*'TUSD BE'!$AI$58</f>
        <v>0</v>
      </c>
      <c r="AJ40" s="17">
        <f ca="1">'TUSD BE'!$AJ$40*'TUSD BE'!$AJ$58</f>
        <v>0</v>
      </c>
      <c r="AK40" s="17">
        <f ca="1">'TUSD BE'!$AK$40*'TUSD BE'!$AK$58</f>
        <v>0</v>
      </c>
      <c r="AL40" s="17">
        <f ca="1">SUM($AH$40:$AK$40)</f>
        <v>3.6979826359266621</v>
      </c>
      <c r="AM40" s="17">
        <f ca="1">SUMIF($L$4:$AL$4,"SUBTOTAL",$L$40:$AL$40)</f>
        <v>-65.867168200913454</v>
      </c>
      <c r="AO40" s="43">
        <f ca="1">+'TUSD BE'!$T$40+'TUSD BE'!$AB$40+'TUSD BE'!$AD$40+'TUSD BE'!$AL$40</f>
        <v>378.52014276779971</v>
      </c>
      <c r="AP40" s="43">
        <f ca="1">+'TUSD BE'!$T$40+'TUSD BE'!$AB$40+'TUSD BE'!$AD$40+'TUSD BE'!$AL$40</f>
        <v>378.52014276779971</v>
      </c>
    </row>
    <row r="41" spans="1:42" ht="11.25" customHeight="1" x14ac:dyDescent="0.25">
      <c r="A41" s="130"/>
      <c r="B41" s="41" t="s">
        <v>23</v>
      </c>
      <c r="C41" s="41" t="s">
        <v>41</v>
      </c>
      <c r="D41" s="41" t="s">
        <v>91</v>
      </c>
      <c r="E41" s="41" t="s">
        <v>25</v>
      </c>
      <c r="F41" s="41" t="s">
        <v>25</v>
      </c>
      <c r="G41" s="36" t="s">
        <v>79</v>
      </c>
      <c r="H41" s="36" t="s">
        <v>73</v>
      </c>
      <c r="I41" s="36">
        <f>'MERCADO TUSD'!$U$38</f>
        <v>0</v>
      </c>
      <c r="J41" s="16"/>
      <c r="L41" s="17">
        <f>'TUSD BE'!$L$41*'TUSD BE'!$L$58</f>
        <v>0</v>
      </c>
      <c r="M41" s="17">
        <f>'TUSD BE'!$M$41*'TUSD BE'!$M$58</f>
        <v>-9.3285251421865528E-2</v>
      </c>
      <c r="N41" s="17">
        <f ca="1">'TUSD BE'!$N$41*'TUSD BE'!$N$58</f>
        <v>0</v>
      </c>
      <c r="O41" s="17">
        <f>'TUSD BE'!$O$41*'TUSD BE'!$O$58</f>
        <v>0</v>
      </c>
      <c r="P41" s="17">
        <f>'TUSD BE'!$P$41*'TUSD BE'!$P$58</f>
        <v>0</v>
      </c>
      <c r="Q41" s="17">
        <f>'TUSD BE'!$Q$41*'TUSD BE'!$Q$58</f>
        <v>-3.1687932332310482</v>
      </c>
      <c r="R41" s="17">
        <f>'TUSD BE'!$R$41*'TUSD BE'!$R$58</f>
        <v>-0.48898318646098321</v>
      </c>
      <c r="S41" s="17">
        <f>'TUSD BE'!$R$41*'TUSD BE'!$S$58</f>
        <v>0</v>
      </c>
      <c r="T41" s="17">
        <f ca="1">SUM($L$41:$S$41)</f>
        <v>-3.7510616711138969</v>
      </c>
      <c r="U41" s="17">
        <f>'TUSD BE'!$U$41*'TUSD BE'!$U$58</f>
        <v>0</v>
      </c>
      <c r="V41" s="17">
        <f>'TUSD BE'!$V$41*'TUSD BE'!$V$58</f>
        <v>0</v>
      </c>
      <c r="W41" s="17">
        <f>'TUSD BE'!$W$41*'TUSD BE'!$W$58</f>
        <v>0</v>
      </c>
      <c r="X41" s="17">
        <f>'TUSD BE'!$X$41*'TUSD BE'!$X$58</f>
        <v>0</v>
      </c>
      <c r="Y41" s="17">
        <f>'TUSD BE'!$Y$41*'TUSD BE'!$Y$58</f>
        <v>9.395961416232318E-2</v>
      </c>
      <c r="Z41" s="17">
        <f>'TUSD BE'!$Z$41*'TUSD BE'!$Z$58</f>
        <v>0</v>
      </c>
      <c r="AA41" s="17">
        <f>'TUSD BE'!$AA$41*'TUSD BE'!$AA$58</f>
        <v>0</v>
      </c>
      <c r="AB41" s="17">
        <f>SUM($U$41:$AA$41)</f>
        <v>9.395961416232318E-2</v>
      </c>
      <c r="AC41" s="17">
        <f>'TUSD BE'!$AC$41*'TUSD BE'!$AC$58</f>
        <v>-146.09117198276263</v>
      </c>
      <c r="AD41" s="17">
        <f>SUM($AC$41:$AC$41)</f>
        <v>-146.09117198276263</v>
      </c>
      <c r="AE41" s="17">
        <f ca="1">$AO$41*$AO$55</f>
        <v>9.876848375462826</v>
      </c>
      <c r="AF41" s="17">
        <f ca="1">$AP$41*$AP$55</f>
        <v>0</v>
      </c>
      <c r="AG41" s="17">
        <f ca="1">SUM($AE$41:$AF$41)</f>
        <v>9.876848375462826</v>
      </c>
      <c r="AH41" s="17">
        <f>'TUSD BE'!$AH$41*'TUSD BE'!$AH$58</f>
        <v>3.6979826359266621</v>
      </c>
      <c r="AI41" s="17">
        <f>'TUSD BE'!$AI$41*'TUSD BE'!$AI$58</f>
        <v>0</v>
      </c>
      <c r="AJ41" s="17">
        <f ca="1">'TUSD BE'!$AJ$41*'TUSD BE'!$AJ$58</f>
        <v>0</v>
      </c>
      <c r="AK41" s="17">
        <f ca="1">'TUSD BE'!$AK$41*'TUSD BE'!$AK$58</f>
        <v>0</v>
      </c>
      <c r="AL41" s="17">
        <f ca="1">SUM($AH$41:$AK$41)</f>
        <v>3.6979826359266621</v>
      </c>
      <c r="AM41" s="17">
        <f ca="1">SUMIF($L$4:$AL$4,"SUBTOTAL",$L$41:$AL$41)</f>
        <v>-136.17344302832473</v>
      </c>
      <c r="AO41" s="43">
        <f ca="1">+'TUSD BE'!$T$41+'TUSD BE'!$AB$41+'TUSD BE'!$AD$41+'TUSD BE'!$AL$41</f>
        <v>630.56557927781125</v>
      </c>
      <c r="AP41" s="43">
        <f ca="1">+'TUSD BE'!$T$41+'TUSD BE'!$AB$41+'TUSD BE'!$AD$41+'TUSD BE'!$AL$41</f>
        <v>630.56557927781125</v>
      </c>
    </row>
    <row r="42" spans="1:42" ht="11.25" customHeight="1" x14ac:dyDescent="0.25">
      <c r="A42" s="130"/>
      <c r="B42" s="130" t="s">
        <v>89</v>
      </c>
      <c r="C42" s="130" t="s">
        <v>41</v>
      </c>
      <c r="D42" s="41" t="s">
        <v>25</v>
      </c>
      <c r="E42" s="41" t="s">
        <v>25</v>
      </c>
      <c r="F42" s="41" t="s">
        <v>25</v>
      </c>
      <c r="G42" s="36" t="s">
        <v>79</v>
      </c>
      <c r="H42" s="36" t="s">
        <v>73</v>
      </c>
      <c r="I42" s="36">
        <f>'MERCADO TUSD'!$U$39</f>
        <v>0</v>
      </c>
      <c r="J42" s="16"/>
      <c r="L42" s="17">
        <f>'TUSD BE'!$L$42*'TUSD BE'!$L$58</f>
        <v>0</v>
      </c>
      <c r="M42" s="17">
        <f>'TUSD BE'!$M$42*'TUSD BE'!$M$58</f>
        <v>-9.3285251421865528E-2</v>
      </c>
      <c r="N42" s="17">
        <f ca="1">'TUSD BE'!$N$42*'TUSD BE'!$N$58</f>
        <v>0</v>
      </c>
      <c r="O42" s="17">
        <f>'TUSD BE'!$O$42*'TUSD BE'!$O$58</f>
        <v>0</v>
      </c>
      <c r="P42" s="17">
        <f>'TUSD BE'!$P$42*'TUSD BE'!$P$58</f>
        <v>0</v>
      </c>
      <c r="Q42" s="17">
        <f>'TUSD BE'!$Q$42*'TUSD BE'!$Q$58</f>
        <v>-3.1687932332310482</v>
      </c>
      <c r="R42" s="17">
        <f>'TUSD BE'!$R$42*'TUSD BE'!$R$58</f>
        <v>-0.48898318646098321</v>
      </c>
      <c r="S42" s="17">
        <f>'TUSD BE'!$R$42*'TUSD BE'!$S$58</f>
        <v>0</v>
      </c>
      <c r="T42" s="17">
        <f ca="1">SUM($L$42:$S$42)</f>
        <v>-3.7510616711138969</v>
      </c>
      <c r="U42" s="17">
        <f>'TUSD BE'!$U$42*'TUSD BE'!$U$58</f>
        <v>0</v>
      </c>
      <c r="V42" s="17">
        <f>'TUSD BE'!$V$42*'TUSD BE'!$V$58</f>
        <v>0</v>
      </c>
      <c r="W42" s="17">
        <f>'TUSD BE'!$W$42*'TUSD BE'!$W$58</f>
        <v>0</v>
      </c>
      <c r="X42" s="17">
        <f>'TUSD BE'!$X$42*'TUSD BE'!$X$58</f>
        <v>0</v>
      </c>
      <c r="Y42" s="17">
        <f>'TUSD BE'!$Y$42*'TUSD BE'!$Y$58</f>
        <v>9.395961416232318E-2</v>
      </c>
      <c r="Z42" s="17">
        <f>'TUSD BE'!$Z$42*'TUSD BE'!$Z$58</f>
        <v>0</v>
      </c>
      <c r="AA42" s="17">
        <f>'TUSD BE'!$AA$42*'TUSD BE'!$AA$58</f>
        <v>0</v>
      </c>
      <c r="AB42" s="17">
        <f>SUM($U$42:$AA$42)</f>
        <v>9.395961416232318E-2</v>
      </c>
      <c r="AC42" s="17">
        <f>'TUSD BE'!$AC$42*'TUSD BE'!$AC$58</f>
        <v>-146.09117198276263</v>
      </c>
      <c r="AD42" s="17">
        <f>SUM($AC$42:$AC$42)</f>
        <v>-146.09117198276263</v>
      </c>
      <c r="AE42" s="17">
        <f ca="1">$AO$42*$AO$55</f>
        <v>9.876848375462826</v>
      </c>
      <c r="AF42" s="17">
        <f ca="1">$AP$42*$AP$55</f>
        <v>0</v>
      </c>
      <c r="AG42" s="17">
        <f ca="1">SUM($AE$42:$AF$42)</f>
        <v>9.876848375462826</v>
      </c>
      <c r="AH42" s="17">
        <f>'TUSD BE'!$AH$42*'TUSD BE'!$AH$58</f>
        <v>3.6979826359266621</v>
      </c>
      <c r="AI42" s="17">
        <f>'TUSD BE'!$AI$42*'TUSD BE'!$AI$58</f>
        <v>0</v>
      </c>
      <c r="AJ42" s="17">
        <f ca="1">'TUSD BE'!$AJ$42*'TUSD BE'!$AJ$58</f>
        <v>0</v>
      </c>
      <c r="AK42" s="17">
        <f ca="1">'TUSD BE'!$AK$42*'TUSD BE'!$AK$58</f>
        <v>0</v>
      </c>
      <c r="AL42" s="17">
        <f ca="1">SUM($AH$42:$AK$42)</f>
        <v>3.6979826359266621</v>
      </c>
      <c r="AM42" s="17">
        <f ca="1">SUMIF($L$4:$AL$4,"SUBTOTAL",$L$42:$AL$42)</f>
        <v>-136.17344302832473</v>
      </c>
      <c r="AO42" s="43">
        <f ca="1">+'TUSD BE'!$T$42+'TUSD BE'!$AB$42+'TUSD BE'!$AD$42+'TUSD BE'!$AL$42</f>
        <v>630.56557927781125</v>
      </c>
      <c r="AP42" s="43">
        <f ca="1">+'TUSD BE'!$T$42+'TUSD BE'!$AB$42+'TUSD BE'!$AD$42+'TUSD BE'!$AL$42</f>
        <v>630.56557927781125</v>
      </c>
    </row>
    <row r="43" spans="1:42" ht="11.25" customHeight="1" x14ac:dyDescent="0.25">
      <c r="A43" s="130"/>
      <c r="B43" s="130"/>
      <c r="C43" s="130"/>
      <c r="D43" s="41" t="s">
        <v>90</v>
      </c>
      <c r="E43" s="41" t="s">
        <v>25</v>
      </c>
      <c r="F43" s="41" t="s">
        <v>25</v>
      </c>
      <c r="G43" s="36" t="s">
        <v>79</v>
      </c>
      <c r="H43" s="36" t="s">
        <v>73</v>
      </c>
      <c r="I43" s="36">
        <f>'MERCADO TUSD'!$U$40</f>
        <v>0</v>
      </c>
      <c r="J43" s="16"/>
      <c r="L43" s="17">
        <f>'TUSD BE'!$L$43*'TUSD BE'!$L$58</f>
        <v>0</v>
      </c>
      <c r="M43" s="17">
        <f>'TUSD BE'!$M$43*'TUSD BE'!$M$58</f>
        <v>-9.3285251421865528E-2</v>
      </c>
      <c r="N43" s="17">
        <f ca="1">'TUSD BE'!$N$43*'TUSD BE'!$N$58</f>
        <v>0</v>
      </c>
      <c r="O43" s="17">
        <f>'TUSD BE'!$O$43*'TUSD BE'!$O$58</f>
        <v>0</v>
      </c>
      <c r="P43" s="17">
        <f>'TUSD BE'!$P$43*'TUSD BE'!$P$58</f>
        <v>0</v>
      </c>
      <c r="Q43" s="17">
        <f>'TUSD BE'!$Q$43*'TUSD BE'!$Q$58</f>
        <v>-3.1687932332310482</v>
      </c>
      <c r="R43" s="17">
        <f>'TUSD BE'!$R$43*'TUSD BE'!$R$58</f>
        <v>-0.48898318646098321</v>
      </c>
      <c r="S43" s="17">
        <f>'TUSD BE'!$R$43*'TUSD BE'!$S$58</f>
        <v>0</v>
      </c>
      <c r="T43" s="17">
        <f ca="1">SUM($L$43:$S$43)</f>
        <v>-3.7510616711138969</v>
      </c>
      <c r="U43" s="17">
        <f>'TUSD BE'!$U$43*'TUSD BE'!$U$58</f>
        <v>0</v>
      </c>
      <c r="V43" s="17">
        <f>'TUSD BE'!$V$43*'TUSD BE'!$V$58</f>
        <v>0</v>
      </c>
      <c r="W43" s="17">
        <f>'TUSD BE'!$W$43*'TUSD BE'!$W$58</f>
        <v>0</v>
      </c>
      <c r="X43" s="17">
        <f>'TUSD BE'!$X$43*'TUSD BE'!$X$58</f>
        <v>0</v>
      </c>
      <c r="Y43" s="17">
        <f>'TUSD BE'!$Y$43*'TUSD BE'!$Y$58</f>
        <v>9.395961416232318E-2</v>
      </c>
      <c r="Z43" s="17">
        <f>'TUSD BE'!$Z$43*'TUSD BE'!$Z$58</f>
        <v>0</v>
      </c>
      <c r="AA43" s="17">
        <f>'TUSD BE'!$AA$43*'TUSD BE'!$AA$58</f>
        <v>0</v>
      </c>
      <c r="AB43" s="17">
        <f>SUM($U$43:$AA$43)</f>
        <v>9.395961416232318E-2</v>
      </c>
      <c r="AC43" s="17">
        <f>'TUSD BE'!$AC$43*'TUSD BE'!$AC$58</f>
        <v>-146.09117198276263</v>
      </c>
      <c r="AD43" s="17">
        <f>SUM($AC$43:$AC$43)</f>
        <v>-146.09117198276263</v>
      </c>
      <c r="AE43" s="17">
        <f ca="1">$AO$43*$AO$55</f>
        <v>9.876848375462826</v>
      </c>
      <c r="AF43" s="17">
        <f ca="1">$AP$43*$AP$55</f>
        <v>0</v>
      </c>
      <c r="AG43" s="17">
        <f ca="1">SUM($AE$43:$AF$43)</f>
        <v>9.876848375462826</v>
      </c>
      <c r="AH43" s="17">
        <f>'TUSD BE'!$AH$43*'TUSD BE'!$AH$58</f>
        <v>3.6979826359266621</v>
      </c>
      <c r="AI43" s="17">
        <f>'TUSD BE'!$AI$43*'TUSD BE'!$AI$58</f>
        <v>0</v>
      </c>
      <c r="AJ43" s="17">
        <f ca="1">'TUSD BE'!$AJ$43*'TUSD BE'!$AJ$58</f>
        <v>0</v>
      </c>
      <c r="AK43" s="17">
        <f ca="1">'TUSD BE'!$AK$43*'TUSD BE'!$AK$58</f>
        <v>0</v>
      </c>
      <c r="AL43" s="17">
        <f ca="1">SUM($AH$43:$AK$43)</f>
        <v>3.6979826359266621</v>
      </c>
      <c r="AM43" s="17">
        <f ca="1">SUMIF($L$4:$AL$4,"SUBTOTAL",$L$43:$AL$43)</f>
        <v>-136.17344302832473</v>
      </c>
      <c r="AO43" s="43">
        <f ca="1">+'TUSD BE'!$T$43+'TUSD BE'!$AB$43+'TUSD BE'!$AD$43+'TUSD BE'!$AL$43</f>
        <v>630.56557927781125</v>
      </c>
      <c r="AP43" s="43">
        <f ca="1">+'TUSD BE'!$T$43+'TUSD BE'!$AB$43+'TUSD BE'!$AD$43+'TUSD BE'!$AL$43</f>
        <v>630.56557927781125</v>
      </c>
    </row>
    <row r="44" spans="1:42" ht="11.25" customHeight="1" x14ac:dyDescent="0.25">
      <c r="A44" s="130"/>
      <c r="B44" s="130"/>
      <c r="C44" s="130"/>
      <c r="D44" s="41" t="s">
        <v>91</v>
      </c>
      <c r="E44" s="41" t="s">
        <v>25</v>
      </c>
      <c r="F44" s="41" t="s">
        <v>25</v>
      </c>
      <c r="G44" s="36" t="s">
        <v>79</v>
      </c>
      <c r="H44" s="36" t="s">
        <v>73</v>
      </c>
      <c r="I44" s="36">
        <f>'MERCADO TUSD'!$U$41</f>
        <v>0</v>
      </c>
      <c r="J44" s="16"/>
      <c r="L44" s="17">
        <f>'TUSD BE'!$L$44*'TUSD BE'!$L$58</f>
        <v>0</v>
      </c>
      <c r="M44" s="17">
        <f>'TUSD BE'!$M$44*'TUSD BE'!$M$58</f>
        <v>-9.3285251421865528E-2</v>
      </c>
      <c r="N44" s="17">
        <f ca="1">'TUSD BE'!$N$44*'TUSD BE'!$N$58</f>
        <v>0</v>
      </c>
      <c r="O44" s="17">
        <f>'TUSD BE'!$O$44*'TUSD BE'!$O$58</f>
        <v>0</v>
      </c>
      <c r="P44" s="17">
        <f>'TUSD BE'!$P$44*'TUSD BE'!$P$58</f>
        <v>0</v>
      </c>
      <c r="Q44" s="17">
        <f>'TUSD BE'!$Q$44*'TUSD BE'!$Q$58</f>
        <v>-3.1687932332310482</v>
      </c>
      <c r="R44" s="17">
        <f>'TUSD BE'!$R$44*'TUSD BE'!$R$58</f>
        <v>-0.48898318646098321</v>
      </c>
      <c r="S44" s="17">
        <f>'TUSD BE'!$R$44*'TUSD BE'!$S$58</f>
        <v>0</v>
      </c>
      <c r="T44" s="17">
        <f ca="1">SUM($L$44:$S$44)</f>
        <v>-3.7510616711138969</v>
      </c>
      <c r="U44" s="17">
        <f>'TUSD BE'!$U$44*'TUSD BE'!$U$58</f>
        <v>0</v>
      </c>
      <c r="V44" s="17">
        <f>'TUSD BE'!$V$44*'TUSD BE'!$V$58</f>
        <v>0</v>
      </c>
      <c r="W44" s="17">
        <f>'TUSD BE'!$W$44*'TUSD BE'!$W$58</f>
        <v>0</v>
      </c>
      <c r="X44" s="17">
        <f>'TUSD BE'!$X$44*'TUSD BE'!$X$58</f>
        <v>0</v>
      </c>
      <c r="Y44" s="17">
        <f>'TUSD BE'!$Y$44*'TUSD BE'!$Y$58</f>
        <v>9.395961416232318E-2</v>
      </c>
      <c r="Z44" s="17">
        <f>'TUSD BE'!$Z$44*'TUSD BE'!$Z$58</f>
        <v>0</v>
      </c>
      <c r="AA44" s="17">
        <f>'TUSD BE'!$AA$44*'TUSD BE'!$AA$58</f>
        <v>0</v>
      </c>
      <c r="AB44" s="17">
        <f>SUM($U$44:$AA$44)</f>
        <v>9.395961416232318E-2</v>
      </c>
      <c r="AC44" s="17">
        <f>'TUSD BE'!$AC$44*'TUSD BE'!$AC$58</f>
        <v>-146.09117198276263</v>
      </c>
      <c r="AD44" s="17">
        <f>SUM($AC$44:$AC$44)</f>
        <v>-146.09117198276263</v>
      </c>
      <c r="AE44" s="17">
        <f ca="1">$AO$44*$AO$55</f>
        <v>9.876848375462826</v>
      </c>
      <c r="AF44" s="17">
        <f ca="1">$AP$44*$AP$55</f>
        <v>0</v>
      </c>
      <c r="AG44" s="17">
        <f ca="1">SUM($AE$44:$AF$44)</f>
        <v>9.876848375462826</v>
      </c>
      <c r="AH44" s="17">
        <f>'TUSD BE'!$AH$44*'TUSD BE'!$AH$58</f>
        <v>3.6979826359266621</v>
      </c>
      <c r="AI44" s="17">
        <f>'TUSD BE'!$AI$44*'TUSD BE'!$AI$58</f>
        <v>0</v>
      </c>
      <c r="AJ44" s="17">
        <f ca="1">'TUSD BE'!$AJ$44*'TUSD BE'!$AJ$58</f>
        <v>0</v>
      </c>
      <c r="AK44" s="17">
        <f ca="1">'TUSD BE'!$AK$44*'TUSD BE'!$AK$58</f>
        <v>0</v>
      </c>
      <c r="AL44" s="17">
        <f ca="1">SUM($AH$44:$AK$44)</f>
        <v>3.6979826359266621</v>
      </c>
      <c r="AM44" s="17">
        <f ca="1">SUMIF($L$4:$AL$4,"SUBTOTAL",$L$44:$AL$44)</f>
        <v>-136.17344302832473</v>
      </c>
      <c r="AO44" s="43">
        <f ca="1">+'TUSD BE'!$T$44+'TUSD BE'!$AB$44+'TUSD BE'!$AD$44+'TUSD BE'!$AL$44</f>
        <v>630.56557927781125</v>
      </c>
      <c r="AP44" s="43">
        <f ca="1">+'TUSD BE'!$T$44+'TUSD BE'!$AB$44+'TUSD BE'!$AD$44+'TUSD BE'!$AL$44</f>
        <v>630.56557927781125</v>
      </c>
    </row>
    <row r="45" spans="1:42" ht="11.25" customHeight="1" x14ac:dyDescent="0.25">
      <c r="A45" s="130" t="s">
        <v>37</v>
      </c>
      <c r="B45" s="130" t="s">
        <v>87</v>
      </c>
      <c r="C45" s="130" t="s">
        <v>25</v>
      </c>
      <c r="D45" s="130" t="s">
        <v>25</v>
      </c>
      <c r="E45" s="130" t="s">
        <v>25</v>
      </c>
      <c r="F45" s="130" t="s">
        <v>25</v>
      </c>
      <c r="G45" s="36" t="s">
        <v>74</v>
      </c>
      <c r="H45" s="36" t="s">
        <v>73</v>
      </c>
      <c r="I45" s="36">
        <f>'MERCADO TUSD'!$U$42</f>
        <v>0</v>
      </c>
      <c r="J45" s="16"/>
      <c r="L45" s="17">
        <f>'TUSD BE'!$L$45*'TUSD BE'!$L$58</f>
        <v>0</v>
      </c>
      <c r="M45" s="17">
        <f>'TUSD BE'!$M$45*'TUSD BE'!$M$58</f>
        <v>-9.3285251421865528E-2</v>
      </c>
      <c r="N45" s="17">
        <f ca="1">'TUSD BE'!$N$45*'TUSD BE'!$N$58</f>
        <v>0</v>
      </c>
      <c r="O45" s="17">
        <f>'TUSD BE'!$O$45*'TUSD BE'!$O$58</f>
        <v>0</v>
      </c>
      <c r="P45" s="17">
        <f>'TUSD BE'!$P$45*'TUSD BE'!$P$58</f>
        <v>0</v>
      </c>
      <c r="Q45" s="17">
        <f>'TUSD BE'!$Q$45*'TUSD BE'!$Q$58</f>
        <v>-3.1687932332310482</v>
      </c>
      <c r="R45" s="17">
        <f>'TUSD BE'!$R$45*'TUSD BE'!$R$58</f>
        <v>-0.48898318646098321</v>
      </c>
      <c r="S45" s="17">
        <f>'TUSD BE'!$R$45*'TUSD BE'!$S$58</f>
        <v>0</v>
      </c>
      <c r="T45" s="17">
        <f ca="1">SUM($L$45:$S$45)</f>
        <v>-3.7510616711138969</v>
      </c>
      <c r="U45" s="17">
        <f>'TUSD BE'!$U$45*'TUSD BE'!$U$58</f>
        <v>0</v>
      </c>
      <c r="V45" s="17">
        <f>'TUSD BE'!$V$45*'TUSD BE'!$V$58</f>
        <v>0</v>
      </c>
      <c r="W45" s="17">
        <f>'TUSD BE'!$W$45*'TUSD BE'!$W$58</f>
        <v>0</v>
      </c>
      <c r="X45" s="17">
        <f>'TUSD BE'!$X$45*'TUSD BE'!$X$58</f>
        <v>0</v>
      </c>
      <c r="Y45" s="17">
        <f>'TUSD BE'!$Y$45*'TUSD BE'!$Y$58</f>
        <v>0.30695589707935816</v>
      </c>
      <c r="Z45" s="17">
        <f>'TUSD BE'!$Z$45*'TUSD BE'!$Z$58</f>
        <v>0</v>
      </c>
      <c r="AA45" s="17">
        <f>'TUSD BE'!$AA$45*'TUSD BE'!$AA$58</f>
        <v>0</v>
      </c>
      <c r="AB45" s="17">
        <f>SUM($U$45:$AA$45)</f>
        <v>0.30695589707935816</v>
      </c>
      <c r="AC45" s="17">
        <f>'TUSD BE'!$AC$45*'TUSD BE'!$AC$58</f>
        <v>-477.27968486484741</v>
      </c>
      <c r="AD45" s="17">
        <f>SUM($AC$45:$AC$45)</f>
        <v>-477.27968486484741</v>
      </c>
      <c r="AE45" s="17">
        <f ca="1">$AO$45*$AO$55</f>
        <v>27.472652357858571</v>
      </c>
      <c r="AF45" s="17">
        <f ca="1">$AP$45*$AP$55</f>
        <v>0</v>
      </c>
      <c r="AG45" s="17">
        <f ca="1">SUM($AE$45:$AF$45)</f>
        <v>27.472652357858571</v>
      </c>
      <c r="AH45" s="17">
        <f>'TUSD BE'!$AH$45*'TUSD BE'!$AH$58</f>
        <v>3.6979826359266621</v>
      </c>
      <c r="AI45" s="17">
        <f>'TUSD BE'!$AI$45*'TUSD BE'!$AI$58</f>
        <v>0</v>
      </c>
      <c r="AJ45" s="17">
        <f ca="1">'TUSD BE'!$AJ$45*'TUSD BE'!$AJ$58</f>
        <v>0</v>
      </c>
      <c r="AK45" s="17">
        <f ca="1">'TUSD BE'!$AK$45*'TUSD BE'!$AK$58</f>
        <v>0</v>
      </c>
      <c r="AL45" s="17">
        <f ca="1">SUM($AH$45:$AK$45)</f>
        <v>3.6979826359266621</v>
      </c>
      <c r="AM45" s="17">
        <f ca="1">SUMIF($L$4:$AL$4,"SUBTOTAL",$L$45:$AL$45)</f>
        <v>-449.55315564509669</v>
      </c>
      <c r="AO45" s="43">
        <f ca="1">+'TUSD BE'!$T$45+'TUSD BE'!$AB$45+'TUSD BE'!$AD$45+'TUSD BE'!$AL$45</f>
        <v>1753.930838036101</v>
      </c>
      <c r="AP45" s="43">
        <f ca="1">+'TUSD BE'!$T$45+'TUSD BE'!$AB$45+'TUSD BE'!$AD$45+'TUSD BE'!$AL$45</f>
        <v>1753.930838036101</v>
      </c>
    </row>
    <row r="46" spans="1:42" ht="11.25" customHeight="1" x14ac:dyDescent="0.25">
      <c r="A46" s="130"/>
      <c r="B46" s="130"/>
      <c r="C46" s="130"/>
      <c r="D46" s="130"/>
      <c r="E46" s="130"/>
      <c r="F46" s="130"/>
      <c r="G46" s="36" t="s">
        <v>85</v>
      </c>
      <c r="H46" s="36" t="s">
        <v>73</v>
      </c>
      <c r="I46" s="36">
        <f>'MERCADO TUSD'!$U$43</f>
        <v>0</v>
      </c>
      <c r="J46" s="16"/>
      <c r="L46" s="17">
        <f>'TUSD BE'!$L$46*'TUSD BE'!$L$58</f>
        <v>0</v>
      </c>
      <c r="M46" s="17">
        <f>'TUSD BE'!$M$46*'TUSD BE'!$M$58</f>
        <v>-9.3285251421865528E-2</v>
      </c>
      <c r="N46" s="17">
        <f ca="1">'TUSD BE'!$N$46*'TUSD BE'!$N$58</f>
        <v>0</v>
      </c>
      <c r="O46" s="17">
        <f>'TUSD BE'!$O$46*'TUSD BE'!$O$58</f>
        <v>0</v>
      </c>
      <c r="P46" s="17">
        <f>'TUSD BE'!$P$46*'TUSD BE'!$P$58</f>
        <v>0</v>
      </c>
      <c r="Q46" s="17">
        <f>'TUSD BE'!$Q$46*'TUSD BE'!$Q$58</f>
        <v>-3.1687932332310482</v>
      </c>
      <c r="R46" s="17">
        <f>'TUSD BE'!$R$46*'TUSD BE'!$R$58</f>
        <v>-0.48898318646098321</v>
      </c>
      <c r="S46" s="17">
        <f>'TUSD BE'!$R$46*'TUSD BE'!$S$58</f>
        <v>0</v>
      </c>
      <c r="T46" s="17">
        <f ca="1">SUM($L$46:$S$46)</f>
        <v>-3.7510616711138969</v>
      </c>
      <c r="U46" s="17">
        <f>'TUSD BE'!$U$46*'TUSD BE'!$U$58</f>
        <v>0</v>
      </c>
      <c r="V46" s="17">
        <f>'TUSD BE'!$V$46*'TUSD BE'!$V$58</f>
        <v>0</v>
      </c>
      <c r="W46" s="17">
        <f>'TUSD BE'!$W$46*'TUSD BE'!$W$58</f>
        <v>0</v>
      </c>
      <c r="X46" s="17">
        <f>'TUSD BE'!$X$46*'TUSD BE'!$X$58</f>
        <v>0</v>
      </c>
      <c r="Y46" s="17">
        <f>'TUSD BE'!$Y$46*'TUSD BE'!$Y$58</f>
        <v>0.18416329685797322</v>
      </c>
      <c r="Z46" s="17">
        <f>'TUSD BE'!$Z$46*'TUSD BE'!$Z$58</f>
        <v>0</v>
      </c>
      <c r="AA46" s="17">
        <f>'TUSD BE'!$AA$46*'TUSD BE'!$AA$58</f>
        <v>0</v>
      </c>
      <c r="AB46" s="17">
        <f>SUM($U$46:$AA$46)</f>
        <v>0.18416329685797322</v>
      </c>
      <c r="AC46" s="17">
        <f>'TUSD BE'!$AC$46*'TUSD BE'!$AC$58</f>
        <v>-286.36775977920581</v>
      </c>
      <c r="AD46" s="17">
        <f>SUM($AC$46:$AC$46)</f>
        <v>-286.36775977920581</v>
      </c>
      <c r="AE46" s="17">
        <f ca="1">$AO$46*$AO$55</f>
        <v>17.32938720723206</v>
      </c>
      <c r="AF46" s="17">
        <f ca="1">$AP$46*$AP$55</f>
        <v>0</v>
      </c>
      <c r="AG46" s="17">
        <f ca="1">SUM($AE$46:$AF$46)</f>
        <v>17.32938720723206</v>
      </c>
      <c r="AH46" s="17">
        <f>'TUSD BE'!$AH$46*'TUSD BE'!$AH$58</f>
        <v>3.6979826359266621</v>
      </c>
      <c r="AI46" s="17">
        <f>'TUSD BE'!$AI$46*'TUSD BE'!$AI$58</f>
        <v>0</v>
      </c>
      <c r="AJ46" s="17">
        <f ca="1">'TUSD BE'!$AJ$46*'TUSD BE'!$AJ$58</f>
        <v>0</v>
      </c>
      <c r="AK46" s="17">
        <f ca="1">'TUSD BE'!$AK$46*'TUSD BE'!$AK$58</f>
        <v>0</v>
      </c>
      <c r="AL46" s="17">
        <f ca="1">SUM($AH$46:$AK$46)</f>
        <v>3.6979826359266621</v>
      </c>
      <c r="AM46" s="17">
        <f ca="1">SUMIF($L$4:$AL$4,"SUBTOTAL",$L$46:$AL$46)</f>
        <v>-268.90728831030299</v>
      </c>
      <c r="AO46" s="43">
        <f ca="1">+'TUSD BE'!$T$46+'TUSD BE'!$AB$46+'TUSD BE'!$AD$46+'TUSD BE'!$AL$46</f>
        <v>1106.3564679199324</v>
      </c>
      <c r="AP46" s="43">
        <f ca="1">+'TUSD BE'!$T$46+'TUSD BE'!$AB$46+'TUSD BE'!$AD$46+'TUSD BE'!$AL$46</f>
        <v>1106.3564679199324</v>
      </c>
    </row>
    <row r="47" spans="1:42" ht="11.25" customHeight="1" x14ac:dyDescent="0.25">
      <c r="A47" s="130"/>
      <c r="B47" s="130"/>
      <c r="C47" s="130"/>
      <c r="D47" s="130"/>
      <c r="E47" s="130"/>
      <c r="F47" s="130"/>
      <c r="G47" s="36" t="s">
        <v>75</v>
      </c>
      <c r="H47" s="36" t="s">
        <v>73</v>
      </c>
      <c r="I47" s="36">
        <f>'MERCADO TUSD'!$U$44</f>
        <v>0</v>
      </c>
      <c r="J47" s="16"/>
      <c r="L47" s="17">
        <f>'TUSD BE'!$L$47*'TUSD BE'!$L$58</f>
        <v>0</v>
      </c>
      <c r="M47" s="17">
        <f>'TUSD BE'!$M$47*'TUSD BE'!$M$58</f>
        <v>-9.3285251421865528E-2</v>
      </c>
      <c r="N47" s="17">
        <f ca="1">'TUSD BE'!$N$47*'TUSD BE'!$N$58</f>
        <v>0</v>
      </c>
      <c r="O47" s="17">
        <f>'TUSD BE'!$O$47*'TUSD BE'!$O$58</f>
        <v>0</v>
      </c>
      <c r="P47" s="17">
        <f>'TUSD BE'!$P$47*'TUSD BE'!$P$58</f>
        <v>0</v>
      </c>
      <c r="Q47" s="17">
        <f>'TUSD BE'!$Q$47*'TUSD BE'!$Q$58</f>
        <v>-3.1687932332310482</v>
      </c>
      <c r="R47" s="17">
        <f>'TUSD BE'!$R$47*'TUSD BE'!$R$58</f>
        <v>-0.48898318646098321</v>
      </c>
      <c r="S47" s="17">
        <f>'TUSD BE'!$R$47*'TUSD BE'!$S$58</f>
        <v>0</v>
      </c>
      <c r="T47" s="17">
        <f ca="1">SUM($L$47:$S$47)</f>
        <v>-3.7510616711138969</v>
      </c>
      <c r="U47" s="17">
        <f>'TUSD BE'!$U$47*'TUSD BE'!$U$58</f>
        <v>0</v>
      </c>
      <c r="V47" s="17">
        <f>'TUSD BE'!$V$47*'TUSD BE'!$V$58</f>
        <v>0</v>
      </c>
      <c r="W47" s="17">
        <f>'TUSD BE'!$W$47*'TUSD BE'!$W$58</f>
        <v>0</v>
      </c>
      <c r="X47" s="17">
        <f>'TUSD BE'!$X$47*'TUSD BE'!$X$58</f>
        <v>0</v>
      </c>
      <c r="Y47" s="17">
        <f>'TUSD BE'!$Y$47*'TUSD BE'!$Y$58</f>
        <v>6.1370998742477395E-2</v>
      </c>
      <c r="Z47" s="17">
        <f>'TUSD BE'!$Z$47*'TUSD BE'!$Z$58</f>
        <v>0</v>
      </c>
      <c r="AA47" s="17">
        <f>'TUSD BE'!$AA$47*'TUSD BE'!$AA$58</f>
        <v>0</v>
      </c>
      <c r="AB47" s="17">
        <f>SUM($U$47:$AA$47)</f>
        <v>6.1370998742477395E-2</v>
      </c>
      <c r="AC47" s="17">
        <f>'TUSD BE'!$AC$47*'TUSD BE'!$AC$58</f>
        <v>-95.455877309983109</v>
      </c>
      <c r="AD47" s="17">
        <f>SUM($AC$47:$AC$47)</f>
        <v>-95.455877309983109</v>
      </c>
      <c r="AE47" s="17">
        <f ca="1">$AO$47*$AO$55</f>
        <v>7.1861301417781558</v>
      </c>
      <c r="AF47" s="17">
        <f ca="1">$AP$47*$AP$55</f>
        <v>0</v>
      </c>
      <c r="AG47" s="17">
        <f ca="1">SUM($AE$47:$AF$47)</f>
        <v>7.1861301417781558</v>
      </c>
      <c r="AH47" s="17">
        <f>'TUSD BE'!$AH$47*'TUSD BE'!$AH$58</f>
        <v>3.6979826359266621</v>
      </c>
      <c r="AI47" s="17">
        <f>'TUSD BE'!$AI$47*'TUSD BE'!$AI$58</f>
        <v>0</v>
      </c>
      <c r="AJ47" s="17">
        <f ca="1">'TUSD BE'!$AJ$47*'TUSD BE'!$AJ$58</f>
        <v>0</v>
      </c>
      <c r="AK47" s="17">
        <f ca="1">'TUSD BE'!$AK$47*'TUSD BE'!$AK$58</f>
        <v>0</v>
      </c>
      <c r="AL47" s="17">
        <f ca="1">SUM($AH$47:$AK$47)</f>
        <v>3.6979826359266621</v>
      </c>
      <c r="AM47" s="17">
        <f ca="1">SUMIF($L$4:$AL$4,"SUBTOTAL",$L$47:$AL$47)</f>
        <v>-88.261455204649707</v>
      </c>
      <c r="AO47" s="43">
        <f ca="1">+'TUSD BE'!$T$47+'TUSD BE'!$AB$47+'TUSD BE'!$AD$47+'TUSD BE'!$AL$47</f>
        <v>458.78261398375935</v>
      </c>
      <c r="AP47" s="43">
        <f ca="1">+'TUSD BE'!$T$47+'TUSD BE'!$AB$47+'TUSD BE'!$AD$47+'TUSD BE'!$AL$47</f>
        <v>458.78261398375935</v>
      </c>
    </row>
    <row r="48" spans="1:42" ht="11.25" customHeight="1" x14ac:dyDescent="0.25">
      <c r="A48" s="130"/>
      <c r="B48" s="41" t="s">
        <v>23</v>
      </c>
      <c r="C48" s="41" t="s">
        <v>25</v>
      </c>
      <c r="D48" s="41" t="s">
        <v>25</v>
      </c>
      <c r="E48" s="41" t="s">
        <v>25</v>
      </c>
      <c r="F48" s="41" t="s">
        <v>25</v>
      </c>
      <c r="G48" s="36" t="s">
        <v>79</v>
      </c>
      <c r="H48" s="36" t="s">
        <v>73</v>
      </c>
      <c r="I48" s="36">
        <f>'MERCADO TUSD'!$U$45</f>
        <v>9351.1280000000006</v>
      </c>
      <c r="J48" s="16"/>
      <c r="L48" s="17">
        <f>'TUSD BE'!$L$48*'TUSD BE'!$L$58</f>
        <v>0</v>
      </c>
      <c r="M48" s="17">
        <f>'TUSD BE'!$M$48*'TUSD BE'!$M$58</f>
        <v>-9.3285251421865528E-2</v>
      </c>
      <c r="N48" s="17">
        <f ca="1">'TUSD BE'!$N$48*'TUSD BE'!$N$58</f>
        <v>0</v>
      </c>
      <c r="O48" s="17">
        <f>'TUSD BE'!$O$48*'TUSD BE'!$O$58</f>
        <v>0</v>
      </c>
      <c r="P48" s="17">
        <f>'TUSD BE'!$P$48*'TUSD BE'!$P$58</f>
        <v>0</v>
      </c>
      <c r="Q48" s="17">
        <f>'TUSD BE'!$Q$48*'TUSD BE'!$Q$58</f>
        <v>-3.1687932332310482</v>
      </c>
      <c r="R48" s="17">
        <f>'TUSD BE'!$R$48*'TUSD BE'!$R$58</f>
        <v>-0.48898318646098321</v>
      </c>
      <c r="S48" s="17">
        <f>'TUSD BE'!$R$48*'TUSD BE'!$S$58</f>
        <v>0</v>
      </c>
      <c r="T48" s="17">
        <f ca="1">SUM($L$48:$S$48)</f>
        <v>-3.7510616711138969</v>
      </c>
      <c r="U48" s="17">
        <f>'TUSD BE'!$U$48*'TUSD BE'!$U$58</f>
        <v>0</v>
      </c>
      <c r="V48" s="17">
        <f>'TUSD BE'!$V$48*'TUSD BE'!$V$58</f>
        <v>0</v>
      </c>
      <c r="W48" s="17">
        <f>'TUSD BE'!$W$48*'TUSD BE'!$W$58</f>
        <v>0</v>
      </c>
      <c r="X48" s="17">
        <f>'TUSD BE'!$X$48*'TUSD BE'!$X$58</f>
        <v>0</v>
      </c>
      <c r="Y48" s="17">
        <f>'TUSD BE'!$Y$48*'TUSD BE'!$Y$58</f>
        <v>9.395961416232318E-2</v>
      </c>
      <c r="Z48" s="17">
        <f>'TUSD BE'!$Z$48*'TUSD BE'!$Z$58</f>
        <v>0</v>
      </c>
      <c r="AA48" s="17">
        <f>'TUSD BE'!$AA$48*'TUSD BE'!$AA$58</f>
        <v>0</v>
      </c>
      <c r="AB48" s="17">
        <f>SUM($U$48:$AA$48)</f>
        <v>9.395961416232318E-2</v>
      </c>
      <c r="AC48" s="17">
        <f>'TUSD BE'!$AC$48*'TUSD BE'!$AC$58</f>
        <v>-146.09117198276263</v>
      </c>
      <c r="AD48" s="17">
        <f>SUM($AC$48:$AC$48)</f>
        <v>-146.09117198276263</v>
      </c>
      <c r="AE48" s="17">
        <f ca="1">$AO$48*$AO$55</f>
        <v>9.876848375462826</v>
      </c>
      <c r="AF48" s="17">
        <f ca="1">$AP$48*$AP$55</f>
        <v>0</v>
      </c>
      <c r="AG48" s="17">
        <f ca="1">SUM($AE$48:$AF$48)</f>
        <v>9.876848375462826</v>
      </c>
      <c r="AH48" s="17">
        <f>'TUSD BE'!$AH$48*'TUSD BE'!$AH$58</f>
        <v>3.6979826359266621</v>
      </c>
      <c r="AI48" s="17">
        <f>'TUSD BE'!$AI$48*'TUSD BE'!$AI$58</f>
        <v>0</v>
      </c>
      <c r="AJ48" s="17">
        <f ca="1">'TUSD BE'!$AJ$48*'TUSD BE'!$AJ$58</f>
        <v>0</v>
      </c>
      <c r="AK48" s="17">
        <f ca="1">'TUSD BE'!$AK$48*'TUSD BE'!$AK$58</f>
        <v>0</v>
      </c>
      <c r="AL48" s="17">
        <f ca="1">SUM($AH$48:$AK$48)</f>
        <v>3.6979826359266621</v>
      </c>
      <c r="AM48" s="17">
        <f ca="1">SUMIF($L$4:$AL$4,"SUBTOTAL",$L$48:$AL$48)</f>
        <v>-136.17344302832473</v>
      </c>
      <c r="AO48" s="43">
        <f ca="1">+'TUSD BE'!$T$48+'TUSD BE'!$AB$48+'TUSD BE'!$AD$48+'TUSD BE'!$AL$48</f>
        <v>630.56557927781125</v>
      </c>
      <c r="AP48" s="43">
        <f ca="1">+'TUSD BE'!$T$48+'TUSD BE'!$AB$48+'TUSD BE'!$AD$48+'TUSD BE'!$AL$48</f>
        <v>630.56557927781125</v>
      </c>
    </row>
    <row r="49" spans="1:42" ht="11.25" customHeight="1" x14ac:dyDescent="0.25">
      <c r="A49" s="130"/>
      <c r="B49" s="41" t="s">
        <v>89</v>
      </c>
      <c r="C49" s="41" t="s">
        <v>25</v>
      </c>
      <c r="D49" s="41" t="s">
        <v>25</v>
      </c>
      <c r="E49" s="41" t="s">
        <v>25</v>
      </c>
      <c r="F49" s="41" t="s">
        <v>25</v>
      </c>
      <c r="G49" s="36" t="s">
        <v>79</v>
      </c>
      <c r="H49" s="36" t="s">
        <v>73</v>
      </c>
      <c r="I49" s="36">
        <f>'MERCADO TUSD'!$U$46</f>
        <v>0</v>
      </c>
      <c r="J49" s="16"/>
      <c r="L49" s="17">
        <f>'TUSD BE'!$L$49*'TUSD BE'!$L$58</f>
        <v>0</v>
      </c>
      <c r="M49" s="17">
        <f>'TUSD BE'!$M$49*'TUSD BE'!$M$58</f>
        <v>-9.3285251421865528E-2</v>
      </c>
      <c r="N49" s="17">
        <f ca="1">'TUSD BE'!$N$49*'TUSD BE'!$N$58</f>
        <v>0</v>
      </c>
      <c r="O49" s="17">
        <f>'TUSD BE'!$O$49*'TUSD BE'!$O$58</f>
        <v>0</v>
      </c>
      <c r="P49" s="17">
        <f>'TUSD BE'!$P$49*'TUSD BE'!$P$58</f>
        <v>0</v>
      </c>
      <c r="Q49" s="17">
        <f>'TUSD BE'!$Q$49*'TUSD BE'!$Q$58</f>
        <v>-3.1687932332310482</v>
      </c>
      <c r="R49" s="17">
        <f>'TUSD BE'!$R$49*'TUSD BE'!$R$58</f>
        <v>-0.48898318646098321</v>
      </c>
      <c r="S49" s="17">
        <f>'TUSD BE'!$R$49*'TUSD BE'!$S$58</f>
        <v>0</v>
      </c>
      <c r="T49" s="17">
        <f ca="1">SUM($L$49:$S$49)</f>
        <v>-3.7510616711138969</v>
      </c>
      <c r="U49" s="17">
        <f>'TUSD BE'!$U$49*'TUSD BE'!$U$58</f>
        <v>0</v>
      </c>
      <c r="V49" s="17">
        <f>'TUSD BE'!$V$49*'TUSD BE'!$V$58</f>
        <v>0</v>
      </c>
      <c r="W49" s="17">
        <f>'TUSD BE'!$W$49*'TUSD BE'!$W$58</f>
        <v>0</v>
      </c>
      <c r="X49" s="17">
        <f>'TUSD BE'!$X$49*'TUSD BE'!$X$58</f>
        <v>0</v>
      </c>
      <c r="Y49" s="17">
        <f>'TUSD BE'!$Y$49*'TUSD BE'!$Y$58</f>
        <v>9.395961416232318E-2</v>
      </c>
      <c r="Z49" s="17">
        <f>'TUSD BE'!$Z$49*'TUSD BE'!$Z$58</f>
        <v>0</v>
      </c>
      <c r="AA49" s="17">
        <f>'TUSD BE'!$AA$49*'TUSD BE'!$AA$58</f>
        <v>0</v>
      </c>
      <c r="AB49" s="17">
        <f>SUM($U$49:$AA$49)</f>
        <v>9.395961416232318E-2</v>
      </c>
      <c r="AC49" s="17">
        <f>'TUSD BE'!$AC$49*'TUSD BE'!$AC$58</f>
        <v>-146.09117198276263</v>
      </c>
      <c r="AD49" s="17">
        <f>SUM($AC$49:$AC$49)</f>
        <v>-146.09117198276263</v>
      </c>
      <c r="AE49" s="17">
        <f ca="1">$AO$49*$AO$55</f>
        <v>9.876848375462826</v>
      </c>
      <c r="AF49" s="17">
        <f ca="1">$AP$49*$AP$55</f>
        <v>0</v>
      </c>
      <c r="AG49" s="17">
        <f ca="1">SUM($AE$49:$AF$49)</f>
        <v>9.876848375462826</v>
      </c>
      <c r="AH49" s="17">
        <f>'TUSD BE'!$AH$49*'TUSD BE'!$AH$58</f>
        <v>3.6979826359266621</v>
      </c>
      <c r="AI49" s="17">
        <f>'TUSD BE'!$AI$49*'TUSD BE'!$AI$58</f>
        <v>0</v>
      </c>
      <c r="AJ49" s="17">
        <f ca="1">'TUSD BE'!$AJ$49*'TUSD BE'!$AJ$58</f>
        <v>0</v>
      </c>
      <c r="AK49" s="17">
        <f ca="1">'TUSD BE'!$AK$49*'TUSD BE'!$AK$58</f>
        <v>0</v>
      </c>
      <c r="AL49" s="17">
        <f ca="1">SUM($AH$49:$AK$49)</f>
        <v>3.6979826359266621</v>
      </c>
      <c r="AM49" s="17">
        <f ca="1">SUMIF($L$4:$AL$4,"SUBTOTAL",$L$49:$AL$49)</f>
        <v>-136.17344302832473</v>
      </c>
      <c r="AO49" s="43">
        <f ca="1">+'TUSD BE'!$T$49+'TUSD BE'!$AB$49+'TUSD BE'!$AD$49+'TUSD BE'!$AL$49</f>
        <v>630.56557927781125</v>
      </c>
      <c r="AP49" s="43">
        <f ca="1">+'TUSD BE'!$T$49+'TUSD BE'!$AB$49+'TUSD BE'!$AD$49+'TUSD BE'!$AL$49</f>
        <v>630.56557927781125</v>
      </c>
    </row>
    <row r="50" spans="1:42" ht="11.25" customHeight="1" x14ac:dyDescent="0.25">
      <c r="A50" s="130" t="s">
        <v>44</v>
      </c>
      <c r="B50" s="130" t="s">
        <v>23</v>
      </c>
      <c r="C50" s="130" t="s">
        <v>45</v>
      </c>
      <c r="D50" s="41" t="s">
        <v>46</v>
      </c>
      <c r="E50" s="41" t="s">
        <v>25</v>
      </c>
      <c r="F50" s="41" t="s">
        <v>25</v>
      </c>
      <c r="G50" s="36" t="s">
        <v>79</v>
      </c>
      <c r="H50" s="36" t="s">
        <v>73</v>
      </c>
      <c r="I50" s="36">
        <f>'MERCADO TUSD'!$U$47</f>
        <v>121.60999999999999</v>
      </c>
      <c r="J50" s="16"/>
      <c r="L50" s="17">
        <f>'TUSD BE'!$L$50*'TUSD BE'!$L$58</f>
        <v>0</v>
      </c>
      <c r="M50" s="17">
        <f>'TUSD BE'!$M$50*'TUSD BE'!$M$58</f>
        <v>-5.1306888282026043E-2</v>
      </c>
      <c r="N50" s="17">
        <f ca="1">'TUSD BE'!$N$50*'TUSD BE'!$N$58</f>
        <v>0</v>
      </c>
      <c r="O50" s="17">
        <f>'TUSD BE'!$O$50*'TUSD BE'!$O$58</f>
        <v>0</v>
      </c>
      <c r="P50" s="17">
        <f>'TUSD BE'!$P$50*'TUSD BE'!$P$58</f>
        <v>0</v>
      </c>
      <c r="Q50" s="17">
        <f>'TUSD BE'!$Q$50*'TUSD BE'!$Q$58</f>
        <v>-1.7428362782770765</v>
      </c>
      <c r="R50" s="17">
        <f>'TUSD BE'!$R$50*'TUSD BE'!$R$58</f>
        <v>-0.26894075255354077</v>
      </c>
      <c r="S50" s="17">
        <f>'TUSD BE'!$R$50*'TUSD BE'!$S$58</f>
        <v>0</v>
      </c>
      <c r="T50" s="17">
        <f ca="1">SUM($L$50:$S$50)</f>
        <v>-2.0630839191126435</v>
      </c>
      <c r="U50" s="17">
        <f>'TUSD BE'!$U$50*'TUSD BE'!$U$58</f>
        <v>0</v>
      </c>
      <c r="V50" s="17">
        <f>'TUSD BE'!$V$50*'TUSD BE'!$V$58</f>
        <v>0</v>
      </c>
      <c r="W50" s="17">
        <f>'TUSD BE'!$W$50*'TUSD BE'!$W$58</f>
        <v>0</v>
      </c>
      <c r="X50" s="17">
        <f>'TUSD BE'!$X$50*'TUSD BE'!$X$58</f>
        <v>0</v>
      </c>
      <c r="Y50" s="17">
        <f>'TUSD BE'!$Y$50*'TUSD BE'!$Y$58</f>
        <v>5.167778778927775E-2</v>
      </c>
      <c r="Z50" s="17">
        <f>'TUSD BE'!$Z$50*'TUSD BE'!$Z$58</f>
        <v>0</v>
      </c>
      <c r="AA50" s="17">
        <f>'TUSD BE'!$AA$50*'TUSD BE'!$AA$58</f>
        <v>0</v>
      </c>
      <c r="AB50" s="17">
        <f>SUM($U$50:$AA$50)</f>
        <v>5.167778778927775E-2</v>
      </c>
      <c r="AC50" s="17">
        <f>'TUSD BE'!$AC$50*'TUSD BE'!$AC$58</f>
        <v>-80.350144590519449</v>
      </c>
      <c r="AD50" s="17">
        <f>SUM($AC$50:$AC$50)</f>
        <v>-80.350144590519449</v>
      </c>
      <c r="AE50" s="17">
        <f ca="1">$AO$50*$AO$55</f>
        <v>5.4322666065045553</v>
      </c>
      <c r="AF50" s="17">
        <f ca="1">$AP$50*$AP$55</f>
        <v>0</v>
      </c>
      <c r="AG50" s="17">
        <f ca="1">SUM($AE$50:$AF$50)</f>
        <v>5.4322666065045553</v>
      </c>
      <c r="AH50" s="17">
        <f>'TUSD BE'!$AH$50*'TUSD BE'!$AH$58</f>
        <v>2.0338904497596642</v>
      </c>
      <c r="AI50" s="17">
        <f>'TUSD BE'!$AI$50*'TUSD BE'!$AI$58</f>
        <v>0</v>
      </c>
      <c r="AJ50" s="17">
        <f ca="1">'TUSD BE'!$AJ$50*'TUSD BE'!$AJ$58</f>
        <v>0</v>
      </c>
      <c r="AK50" s="17">
        <f ca="1">'TUSD BE'!$AK$50*'TUSD BE'!$AK$58</f>
        <v>0</v>
      </c>
      <c r="AL50" s="17">
        <f ca="1">SUM($AH$50:$AK$50)</f>
        <v>2.0338904497596642</v>
      </c>
      <c r="AM50" s="17">
        <f ca="1">SUMIF($L$4:$AL$4,"SUBTOTAL",$L$50:$AL$50)</f>
        <v>-74.895393665578595</v>
      </c>
      <c r="AO50" s="43">
        <f ca="1">+'TUSD BE'!$T$50+'TUSD BE'!$AB$50+'TUSD BE'!$AD$50+'TUSD BE'!$AL$50</f>
        <v>346.81106860279624</v>
      </c>
      <c r="AP50" s="43">
        <f ca="1">+'TUSD BE'!$T$50+'TUSD BE'!$AB$50+'TUSD BE'!$AD$50+'TUSD BE'!$AL$50</f>
        <v>346.81106860279624</v>
      </c>
    </row>
    <row r="51" spans="1:42" ht="11.25" customHeight="1" x14ac:dyDescent="0.25">
      <c r="A51" s="130"/>
      <c r="B51" s="130"/>
      <c r="C51" s="130"/>
      <c r="D51" s="36" t="s">
        <v>47</v>
      </c>
      <c r="E51" s="36" t="s">
        <v>25</v>
      </c>
      <c r="F51" s="36" t="s">
        <v>25</v>
      </c>
      <c r="G51" s="36" t="s">
        <v>79</v>
      </c>
      <c r="H51" s="36" t="s">
        <v>73</v>
      </c>
      <c r="I51" s="36">
        <f>'MERCADO TUSD'!$U$48</f>
        <v>2220.8670000000002</v>
      </c>
      <c r="J51" s="16"/>
      <c r="L51" s="17">
        <f>'TUSD BE'!$L$51*'TUSD BE'!$L$58</f>
        <v>0</v>
      </c>
      <c r="M51" s="17">
        <f>'TUSD BE'!$M$51*'TUSD BE'!$M$58</f>
        <v>-5.5971150853119316E-2</v>
      </c>
      <c r="N51" s="17">
        <f ca="1">'TUSD BE'!$N$51*'TUSD BE'!$N$58</f>
        <v>0</v>
      </c>
      <c r="O51" s="17">
        <f>'TUSD BE'!$O$51*'TUSD BE'!$O$58</f>
        <v>0</v>
      </c>
      <c r="P51" s="17">
        <f>'TUSD BE'!$P$51*'TUSD BE'!$P$58</f>
        <v>0</v>
      </c>
      <c r="Q51" s="17">
        <f>'TUSD BE'!$Q$51*'TUSD BE'!$Q$58</f>
        <v>-1.9012759399386288</v>
      </c>
      <c r="R51" s="17">
        <f>'TUSD BE'!$R$51*'TUSD BE'!$R$58</f>
        <v>-0.29338991187658991</v>
      </c>
      <c r="S51" s="17">
        <f>'TUSD BE'!$R$51*'TUSD BE'!$S$58</f>
        <v>0</v>
      </c>
      <c r="T51" s="17">
        <f ca="1">SUM($L$51:$S$51)</f>
        <v>-2.2506370026683378</v>
      </c>
      <c r="U51" s="17">
        <f>'TUSD BE'!$U$51*'TUSD BE'!$U$58</f>
        <v>0</v>
      </c>
      <c r="V51" s="17">
        <f>'TUSD BE'!$V$51*'TUSD BE'!$V$58</f>
        <v>0</v>
      </c>
      <c r="W51" s="17">
        <f>'TUSD BE'!$W$51*'TUSD BE'!$W$58</f>
        <v>0</v>
      </c>
      <c r="X51" s="17">
        <f>'TUSD BE'!$X$51*'TUSD BE'!$X$58</f>
        <v>0</v>
      </c>
      <c r="Y51" s="17">
        <f>'TUSD BE'!$Y$51*'TUSD BE'!$Y$58</f>
        <v>5.6375768497393904E-2</v>
      </c>
      <c r="Z51" s="17">
        <f>'TUSD BE'!$Z$51*'TUSD BE'!$Z$58</f>
        <v>0</v>
      </c>
      <c r="AA51" s="17">
        <f>'TUSD BE'!$AA$51*'TUSD BE'!$AA$58</f>
        <v>0</v>
      </c>
      <c r="AB51" s="17">
        <f>SUM($U$51:$AA$51)</f>
        <v>5.6375768497393904E-2</v>
      </c>
      <c r="AC51" s="17">
        <f>'TUSD BE'!$AC$51*'TUSD BE'!$AC$58</f>
        <v>-87.654703189657582</v>
      </c>
      <c r="AD51" s="17">
        <f>SUM($AC$51:$AC$51)</f>
        <v>-87.654703189657582</v>
      </c>
      <c r="AE51" s="17">
        <f ca="1">$AO$51*$AO$55</f>
        <v>5.9261090252776958</v>
      </c>
      <c r="AF51" s="17">
        <f ca="1">$AP$51*$AP$55</f>
        <v>0</v>
      </c>
      <c r="AG51" s="17">
        <f ca="1">SUM($AE$51:$AF$51)</f>
        <v>5.9261090252776958</v>
      </c>
      <c r="AH51" s="17">
        <f>'TUSD BE'!$AH$51*'TUSD BE'!$AH$58</f>
        <v>2.2187895815559968</v>
      </c>
      <c r="AI51" s="17">
        <f>'TUSD BE'!$AI$51*'TUSD BE'!$AI$58</f>
        <v>0</v>
      </c>
      <c r="AJ51" s="17">
        <f ca="1">'TUSD BE'!$AJ$51*'TUSD BE'!$AJ$58</f>
        <v>0</v>
      </c>
      <c r="AK51" s="17">
        <f ca="1">'TUSD BE'!$AK$51*'TUSD BE'!$AK$58</f>
        <v>0</v>
      </c>
      <c r="AL51" s="17">
        <f ca="1">SUM($AH$51:$AK$51)</f>
        <v>2.2187895815559968</v>
      </c>
      <c r="AM51" s="17">
        <f ca="1">SUMIF($L$4:$AL$4,"SUBTOTAL",$L$51:$AL$51)</f>
        <v>-81.704065816994827</v>
      </c>
      <c r="AO51" s="43">
        <f ca="1">+'TUSD BE'!$T$51+'TUSD BE'!$AB$51+'TUSD BE'!$AD$51+'TUSD BE'!$AL$51</f>
        <v>378.33934756668674</v>
      </c>
      <c r="AP51" s="43">
        <f ca="1">+'TUSD BE'!$T$51+'TUSD BE'!$AB$51+'TUSD BE'!$AD$51+'TUSD BE'!$AL$51</f>
        <v>378.33934756668674</v>
      </c>
    </row>
    <row r="53" spans="1:42" ht="11.25" customHeight="1" x14ac:dyDescent="0.25">
      <c r="K53" s="40" t="s">
        <v>497</v>
      </c>
      <c r="L53" s="17">
        <f>SUMPRODUCT($I$5:$I51,$L$5:$L51)</f>
        <v>0</v>
      </c>
      <c r="M53" s="17">
        <f>SUMPRODUCT($I$5:$I51,$M$5:$M51)</f>
        <v>-13358.584548436307</v>
      </c>
      <c r="N53" s="17">
        <f ca="1">SUMPRODUCT($I$5:$I51,$N$5:$N51)</f>
        <v>0</v>
      </c>
      <c r="O53" s="17">
        <f>SUMPRODUCT($I$5:$I51,$O$5:$O51)</f>
        <v>0</v>
      </c>
      <c r="P53" s="17">
        <f>SUMPRODUCT($I$5:$I51,$P$5:$P51)</f>
        <v>0</v>
      </c>
      <c r="Q53" s="17">
        <f>SUMPRODUCT($I$5:$I51,$Q$5:$Q51)</f>
        <v>-520176.23269056814</v>
      </c>
      <c r="R53" s="17">
        <f>SUMPRODUCT($I$5:$I51,$R$5:$R51)</f>
        <v>-87124.034373721006</v>
      </c>
      <c r="S53" s="17">
        <f>SUMPRODUCT($I$5:$I51,$S$5:$S51)</f>
        <v>0</v>
      </c>
      <c r="T53" s="17">
        <f ca="1">SUMPRODUCT($I$5:$I51,$T$5:$T51)</f>
        <v>-620658.85161272553</v>
      </c>
      <c r="U53" s="17">
        <f>SUMPRODUCT($I$5:$I51,$U$5:$U51)</f>
        <v>0</v>
      </c>
      <c r="V53" s="17">
        <f>SUMPRODUCT($I$5:$I51,$V$5:$V51)</f>
        <v>0</v>
      </c>
      <c r="W53" s="17">
        <f>SUMPRODUCT($I$5:$I51,$W$5:$W51)</f>
        <v>0</v>
      </c>
      <c r="X53" s="17">
        <f>SUMPRODUCT($I$5:$I51,$X$5:$X51)</f>
        <v>0</v>
      </c>
      <c r="Y53" s="17">
        <f>SUMPRODUCT($I$5:$I51,$Y$5:$Y51)</f>
        <v>16131.736745447155</v>
      </c>
      <c r="Z53" s="17">
        <f>SUMPRODUCT($I$5:$I51,$Z$5:$Z51)</f>
        <v>0</v>
      </c>
      <c r="AA53" s="17">
        <f>SUMPRODUCT($I$5:$I51,$AA$5:$AA51)</f>
        <v>0</v>
      </c>
      <c r="AB53" s="17">
        <f>SUMPRODUCT($I$5:$I51,$AB$5:$AB51)</f>
        <v>16131.736745447155</v>
      </c>
      <c r="AC53" s="17">
        <f>SUMPRODUCT($I$5:$I51,$AC$5:$AC51)</f>
        <v>-20920469.666595753</v>
      </c>
      <c r="AD53" s="17">
        <f>SUMPRODUCT($I$5:$I51,$AD$5:$AD51)</f>
        <v>-20920469.666595753</v>
      </c>
      <c r="AE53" s="17">
        <f ca="1">SUMPRODUCT($I$5:$I51,$AE$5:$AE51)</f>
        <v>1501347.3773171748</v>
      </c>
      <c r="AF53" s="17">
        <f ca="1">SUMPRODUCT($I$5:$I51,$AF$5:$AF51)</f>
        <v>0</v>
      </c>
      <c r="AG53" s="17">
        <f ca="1">SUMPRODUCT($I$5:$I51,$AG$5:$AG51)</f>
        <v>1501347.3773171748</v>
      </c>
      <c r="AH53" s="17">
        <f>SUMPRODUCT($I$5:$I51,$AH$5:$AH51)</f>
        <v>489657.37437033321</v>
      </c>
      <c r="AI53" s="17">
        <f>SUMPRODUCT($I$5:$I51,$AI$5:$AI51)</f>
        <v>0</v>
      </c>
      <c r="AJ53" s="17">
        <f ca="1">SUMPRODUCT($I$5:$I51,$AJ$5:$AJ51)</f>
        <v>0</v>
      </c>
      <c r="AK53" s="17">
        <f ca="1">SUMPRODUCT($I$5:$I51,$AK$5:$AK51)</f>
        <v>0</v>
      </c>
      <c r="AL53" s="17">
        <f ca="1">SUMPRODUCT($I$5:$I51,$AL$5:$AL51)</f>
        <v>489657.37437033321</v>
      </c>
      <c r="AM53" s="17">
        <f ca="1">SUMPRODUCT($I$5:$I51,$AM$5:$AM51)</f>
        <v>-19533992.029775523</v>
      </c>
      <c r="AO53" s="36">
        <f ca="1">SUMPRODUCT($I$5:$I51,$AO$5:$AO51)</f>
        <v>95850208.759620145</v>
      </c>
      <c r="AP53" s="36">
        <f ca="1">SUMPRODUCT($I$5:$I51,$AP$5:$AP51)</f>
        <v>95850208.759620145</v>
      </c>
    </row>
    <row r="54" spans="1:42" ht="11.25" customHeight="1" x14ac:dyDescent="0.25">
      <c r="K54" s="40" t="s">
        <v>440</v>
      </c>
      <c r="L54" s="17">
        <f>'TR TUSD'!$L$56</f>
        <v>0</v>
      </c>
      <c r="M54" s="17">
        <f>'TR TUSD'!$M$56</f>
        <v>268243.44278258207</v>
      </c>
      <c r="N54" s="17">
        <f>'TR TUSD'!$N$56</f>
        <v>0</v>
      </c>
      <c r="O54" s="17">
        <f>'TR TUSD'!$O$56</f>
        <v>0</v>
      </c>
      <c r="P54" s="17">
        <f>'TR TUSD'!$P$56</f>
        <v>0</v>
      </c>
      <c r="Q54" s="17">
        <f>'TR TUSD'!$Q$56</f>
        <v>14054948.943829997</v>
      </c>
      <c r="R54" s="17">
        <f>'TR TUSD'!$R$56</f>
        <v>2530922.6024099994</v>
      </c>
      <c r="S54" s="17">
        <f>'TR TUSD'!$S$56</f>
        <v>0</v>
      </c>
      <c r="T54" s="17">
        <f>'TR TUSD'!$T$56</f>
        <v>16854114.989022579</v>
      </c>
      <c r="U54" s="17">
        <f>'TR TUSD'!$U$56</f>
        <v>0</v>
      </c>
      <c r="V54" s="17">
        <f>'TR TUSD'!$V$56</f>
        <v>0</v>
      </c>
      <c r="W54" s="17">
        <f>'TR TUSD'!$W$56</f>
        <v>0</v>
      </c>
      <c r="X54" s="17">
        <f>'TR TUSD'!$X$56</f>
        <v>0</v>
      </c>
      <c r="Y54" s="17">
        <f>'TR TUSD'!$Y$56</f>
        <v>21824003.3997114</v>
      </c>
      <c r="Z54" s="17">
        <f>'TR TUSD'!$Z$56</f>
        <v>0</v>
      </c>
      <c r="AA54" s="17">
        <f>'TR TUSD'!$AA$56</f>
        <v>0</v>
      </c>
      <c r="AB54" s="17">
        <f>'TR TUSD'!$AB$56</f>
        <v>21824003.3997114</v>
      </c>
      <c r="AC54" s="17">
        <f>'TR TUSD'!$AC$56</f>
        <v>52758480.06437514</v>
      </c>
      <c r="AD54" s="17">
        <f>'TR TUSD'!$AD$56</f>
        <v>52758480.06437514</v>
      </c>
      <c r="AE54" s="17">
        <f>'TR TUSD'!$AE$56</f>
        <v>0</v>
      </c>
      <c r="AF54" s="17">
        <f>'TR TUSD'!$AF$56</f>
        <v>0</v>
      </c>
      <c r="AG54" s="17">
        <f>'TR TUSD'!$AG$56</f>
        <v>0</v>
      </c>
      <c r="AH54" s="17">
        <f>'TR TUSD'!$AH$56</f>
        <v>4413610.3065110203</v>
      </c>
      <c r="AI54" s="17">
        <f>'TR TUSD'!$AI$56</f>
        <v>0</v>
      </c>
      <c r="AJ54" s="17">
        <f>'TR TUSD'!$AJ$56</f>
        <v>0</v>
      </c>
      <c r="AK54" s="17">
        <f>'TR TUSD'!$AK$56</f>
        <v>0</v>
      </c>
      <c r="AL54" s="17">
        <f>'TR TUSD'!$AL$56</f>
        <v>4413610.3065110203</v>
      </c>
      <c r="AM54" s="17">
        <f>'TUSD BE'!$AM$54</f>
        <v>95850208.75962013</v>
      </c>
      <c r="AO54" s="36">
        <f>$AE$55</f>
        <v>1501347.3773171748</v>
      </c>
      <c r="AP54" s="36">
        <f>$AF$55</f>
        <v>0</v>
      </c>
    </row>
    <row r="55" spans="1:42" ht="11.25" customHeight="1" x14ac:dyDescent="0.25">
      <c r="K55" s="40" t="s">
        <v>441</v>
      </c>
      <c r="L55" s="17">
        <f>CUSTOS!$E$2</f>
        <v>0</v>
      </c>
      <c r="M55" s="17">
        <f>CUSTOS!$E$3</f>
        <v>-13358.584548436307</v>
      </c>
      <c r="N55" s="17">
        <f>CUSTOS!$E$4</f>
        <v>0</v>
      </c>
      <c r="O55" s="17">
        <f>CUSTOS!$E$5</f>
        <v>0</v>
      </c>
      <c r="P55" s="17">
        <f>CUSTOS!$E$6</f>
        <v>0</v>
      </c>
      <c r="Q55" s="17">
        <f>CUSTOS!$E$7</f>
        <v>-520176.23269056814</v>
      </c>
      <c r="R55" s="17">
        <f>CUSTOS!$E$8</f>
        <v>-87124.034373721021</v>
      </c>
      <c r="S55" s="17">
        <f>CUSTOS!$E$9</f>
        <v>0</v>
      </c>
      <c r="T55" s="17">
        <f>CUSTOS!$E$10</f>
        <v>-620658.85161272541</v>
      </c>
      <c r="U55" s="17">
        <f>CUSTOS!$E$11</f>
        <v>0</v>
      </c>
      <c r="V55" s="17">
        <f>CUSTOS!$E$12</f>
        <v>0</v>
      </c>
      <c r="W55" s="17">
        <f>CUSTOS!$E$13</f>
        <v>0</v>
      </c>
      <c r="X55" s="17">
        <f>CUSTOS!$E$14</f>
        <v>0</v>
      </c>
      <c r="Y55" s="17">
        <f>CUSTOS!$E$15</f>
        <v>16131.736745447153</v>
      </c>
      <c r="Z55" s="17">
        <f>CUSTOS!$E$16</f>
        <v>0</v>
      </c>
      <c r="AA55" s="17">
        <f>CUSTOS!$E$17</f>
        <v>0</v>
      </c>
      <c r="AB55" s="17">
        <f>CUSTOS!$E$18</f>
        <v>16131.736745447153</v>
      </c>
      <c r="AC55" s="17">
        <f>CUSTOS!$E$19</f>
        <v>-20920469.666595757</v>
      </c>
      <c r="AD55" s="17">
        <f>CUSTOS!$E$20</f>
        <v>-20920469.666595757</v>
      </c>
      <c r="AE55" s="17">
        <f>CUSTOS!$E$21</f>
        <v>1501347.3773171748</v>
      </c>
      <c r="AF55" s="17">
        <f>CUSTOS!$E$22</f>
        <v>0</v>
      </c>
      <c r="AG55" s="17">
        <f>CUSTOS!$E$23</f>
        <v>1501347.3773171748</v>
      </c>
      <c r="AH55" s="17">
        <f>CUSTOS!$E$24</f>
        <v>489657.37437033339</v>
      </c>
      <c r="AI55" s="17">
        <f>CUSTOS!$E$25</f>
        <v>0</v>
      </c>
      <c r="AJ55" s="17">
        <f>CUSTOS!$E$26</f>
        <v>0</v>
      </c>
      <c r="AK55" s="17">
        <f>CUSTOS!$E$27</f>
        <v>0</v>
      </c>
      <c r="AL55" s="17">
        <f>CUSTOS!$E$28</f>
        <v>489657.37437033339</v>
      </c>
      <c r="AM55" s="17">
        <f>CUSTOS!$E$29</f>
        <v>-19533992.029775526</v>
      </c>
      <c r="AO55" s="36">
        <f ca="1">IF(AO53&lt;&gt;0,AO54/AO53,0)</f>
        <v>1.5663475299071687E-2</v>
      </c>
      <c r="AP55" s="36">
        <f ca="1">IF(AP53&lt;&gt;0,AP54/AP53,0)</f>
        <v>0</v>
      </c>
    </row>
    <row r="56" spans="1:42" ht="11.25" customHeight="1" x14ac:dyDescent="0.25">
      <c r="K56" s="40" t="s">
        <v>442</v>
      </c>
      <c r="L56" s="17">
        <f>CUSTOS!$F$2</f>
        <v>0</v>
      </c>
      <c r="M56" s="17">
        <f>CUSTOS!$F$3</f>
        <v>0</v>
      </c>
      <c r="N56" s="17">
        <f>CUSTOS!$F$4</f>
        <v>0</v>
      </c>
      <c r="O56" s="17">
        <f>CUSTOS!$F$5</f>
        <v>0</v>
      </c>
      <c r="P56" s="17">
        <f>CUSTOS!$F$6</f>
        <v>0</v>
      </c>
      <c r="Q56" s="17">
        <f>CUSTOS!$F$7</f>
        <v>0</v>
      </c>
      <c r="R56" s="17">
        <f>CUSTOS!$F$8</f>
        <v>0</v>
      </c>
      <c r="S56" s="17">
        <f>CUSTOS!$F$9</f>
        <v>0</v>
      </c>
      <c r="T56" s="17">
        <f>CUSTOS!$F$10</f>
        <v>0</v>
      </c>
      <c r="U56" s="17">
        <f>CUSTOS!$F$11</f>
        <v>0</v>
      </c>
      <c r="V56" s="17">
        <f>CUSTOS!$F$12</f>
        <v>0</v>
      </c>
      <c r="W56" s="17">
        <f>CUSTOS!$F$13</f>
        <v>0</v>
      </c>
      <c r="X56" s="17">
        <f>CUSTOS!$F$14</f>
        <v>0</v>
      </c>
      <c r="Y56" s="17">
        <f>CUSTOS!$F$15</f>
        <v>0</v>
      </c>
      <c r="Z56" s="17">
        <f>CUSTOS!$F$16</f>
        <v>0</v>
      </c>
      <c r="AA56" s="17">
        <f>CUSTOS!$F$17</f>
        <v>0</v>
      </c>
      <c r="AB56" s="17">
        <f>CUSTOS!$F$18</f>
        <v>0</v>
      </c>
      <c r="AC56" s="17">
        <f>CUSTOS!$F$19</f>
        <v>0</v>
      </c>
      <c r="AD56" s="17">
        <f>CUSTOS!$F$20</f>
        <v>0</v>
      </c>
      <c r="AE56" s="17">
        <f>CUSTOS!$F$21</f>
        <v>0</v>
      </c>
      <c r="AF56" s="17">
        <f>CUSTOS!$F$22</f>
        <v>0</v>
      </c>
      <c r="AG56" s="17">
        <f>CUSTOS!$F$23</f>
        <v>0</v>
      </c>
      <c r="AH56" s="17">
        <f>CUSTOS!$F$24</f>
        <v>0</v>
      </c>
      <c r="AI56" s="17">
        <f>CUSTOS!$F$25</f>
        <v>0</v>
      </c>
      <c r="AJ56" s="17">
        <f>CUSTOS!$F$26</f>
        <v>0</v>
      </c>
      <c r="AK56" s="17">
        <f>CUSTOS!$F$27</f>
        <v>0</v>
      </c>
      <c r="AL56" s="17">
        <f>CUSTOS!$F$28</f>
        <v>0</v>
      </c>
      <c r="AM56" s="17">
        <f>CUSTOS!$F$29</f>
        <v>0</v>
      </c>
    </row>
    <row r="57" spans="1:42" ht="11.25" customHeight="1" x14ac:dyDescent="0.25">
      <c r="K57" s="40" t="s">
        <v>494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f>SUM($L$57:$S$57)</f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f>SUM($U$57:$AA$57)</f>
        <v>0</v>
      </c>
      <c r="AC57" s="17">
        <v>0</v>
      </c>
      <c r="AD57" s="17">
        <f>SUM($AC$57:$AC$57)</f>
        <v>0</v>
      </c>
      <c r="AE57" s="17">
        <v>0</v>
      </c>
      <c r="AF57" s="17">
        <v>0</v>
      </c>
      <c r="AG57" s="17">
        <f>SUM($AE$57:$AF$57)</f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f>SUM($AH$57:$AK$57)</f>
        <v>0</v>
      </c>
      <c r="AM57" s="17"/>
    </row>
    <row r="58" spans="1:42" ht="11.25" customHeight="1" x14ac:dyDescent="0.25">
      <c r="K58" s="40" t="s">
        <v>500</v>
      </c>
      <c r="L58" s="17">
        <f t="shared" ref="L58:R58" si="0">IF((L54-(0))&lt;&gt;0,(L56)/(L54-(0)),0)</f>
        <v>0</v>
      </c>
      <c r="M58" s="17">
        <f t="shared" si="0"/>
        <v>0</v>
      </c>
      <c r="N58" s="17">
        <f t="shared" si="0"/>
        <v>0</v>
      </c>
      <c r="O58" s="17">
        <f t="shared" si="0"/>
        <v>0</v>
      </c>
      <c r="P58" s="17">
        <f t="shared" si="0"/>
        <v>0</v>
      </c>
      <c r="Q58" s="17">
        <f t="shared" si="0"/>
        <v>0</v>
      </c>
      <c r="R58" s="17">
        <f t="shared" si="0"/>
        <v>0</v>
      </c>
      <c r="S58" s="17">
        <f>IF((R53-(0)&lt;&gt;0),(S55)/(R53-(0)),0)</f>
        <v>0</v>
      </c>
      <c r="T58" s="17"/>
      <c r="U58" s="17">
        <f t="shared" ref="U58:AA58" si="1">IF((U54-(0))&lt;&gt;0,(U56)/(U54-(0)),0)</f>
        <v>0</v>
      </c>
      <c r="V58" s="17">
        <f t="shared" si="1"/>
        <v>0</v>
      </c>
      <c r="W58" s="17">
        <f t="shared" si="1"/>
        <v>0</v>
      </c>
      <c r="X58" s="17">
        <f t="shared" si="1"/>
        <v>0</v>
      </c>
      <c r="Y58" s="17">
        <f t="shared" si="1"/>
        <v>0</v>
      </c>
      <c r="Z58" s="17">
        <f t="shared" si="1"/>
        <v>0</v>
      </c>
      <c r="AA58" s="17">
        <f t="shared" si="1"/>
        <v>0</v>
      </c>
      <c r="AB58" s="17"/>
      <c r="AC58" s="17">
        <f>IF((AC54-(0))&lt;&gt;0,(AC56)/(AC54-(0)),0)</f>
        <v>0</v>
      </c>
      <c r="AD58" s="17"/>
      <c r="AE58" s="17">
        <f ca="1">IF(($AM53-(0))&lt;&gt;0,(AE55)/($AM53-(0)),0)</f>
        <v>-7.6858195448666192E-2</v>
      </c>
      <c r="AF58" s="17">
        <f ca="1">IF(($AM53-(0))&lt;&gt;0,(AF55)/($AM53-(0)),0)</f>
        <v>0</v>
      </c>
      <c r="AG58" s="17"/>
      <c r="AH58" s="17">
        <f>IF((AH54-(0))&lt;&gt;0,(AH56)/(AH54-(0)),0)</f>
        <v>0</v>
      </c>
      <c r="AI58" s="17">
        <f>IF((AI54-(0))&lt;&gt;0,(AI56)/(AI54-(0)),0)</f>
        <v>0</v>
      </c>
      <c r="AJ58" s="17">
        <f>IF((AJ54-(0))&lt;&gt;0,(AJ56)/(AJ54-(0)),0)</f>
        <v>0</v>
      </c>
      <c r="AK58" s="17">
        <f>IF((AK54-(0))&lt;&gt;0,(AK56)/(AK54-(0)),0)</f>
        <v>0</v>
      </c>
      <c r="AL58" s="17"/>
      <c r="AM58" s="17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955" priority="55" operator="notEqual">
      <formula>$L$55</formula>
    </cfRule>
    <cfRule type="cellIs" dxfId="954" priority="56" operator="equal">
      <formula>$L$55</formula>
    </cfRule>
  </conditionalFormatting>
  <conditionalFormatting sqref="M53">
    <cfRule type="cellIs" dxfId="953" priority="53" operator="notEqual">
      <formula>$M$55</formula>
    </cfRule>
    <cfRule type="cellIs" dxfId="952" priority="54" operator="equal">
      <formula>$M$55</formula>
    </cfRule>
  </conditionalFormatting>
  <conditionalFormatting sqref="N53">
    <cfRule type="cellIs" dxfId="951" priority="51" operator="notEqual">
      <formula>$N$55</formula>
    </cfRule>
    <cfRule type="cellIs" dxfId="950" priority="52" operator="equal">
      <formula>$N$55</formula>
    </cfRule>
  </conditionalFormatting>
  <conditionalFormatting sqref="O53">
    <cfRule type="cellIs" dxfId="949" priority="49" operator="notEqual">
      <formula>$O$55</formula>
    </cfRule>
    <cfRule type="cellIs" dxfId="948" priority="50" operator="equal">
      <formula>$O$55</formula>
    </cfRule>
  </conditionalFormatting>
  <conditionalFormatting sqref="P53">
    <cfRule type="cellIs" dxfId="947" priority="47" operator="notEqual">
      <formula>$P$55</formula>
    </cfRule>
    <cfRule type="cellIs" dxfId="946" priority="48" operator="equal">
      <formula>$P$55</formula>
    </cfRule>
  </conditionalFormatting>
  <conditionalFormatting sqref="Q53">
    <cfRule type="cellIs" dxfId="945" priority="45" operator="notEqual">
      <formula>$Q$55</formula>
    </cfRule>
    <cfRule type="cellIs" dxfId="944" priority="46" operator="equal">
      <formula>$Q$55</formula>
    </cfRule>
  </conditionalFormatting>
  <conditionalFormatting sqref="R53">
    <cfRule type="cellIs" dxfId="943" priority="43" operator="notEqual">
      <formula>$R$55</formula>
    </cfRule>
    <cfRule type="cellIs" dxfId="942" priority="44" operator="equal">
      <formula>$R$55</formula>
    </cfRule>
  </conditionalFormatting>
  <conditionalFormatting sqref="S53">
    <cfRule type="cellIs" dxfId="941" priority="41" operator="notEqual">
      <formula>$S$55</formula>
    </cfRule>
    <cfRule type="cellIs" dxfId="940" priority="42" operator="equal">
      <formula>$S$55</formula>
    </cfRule>
  </conditionalFormatting>
  <conditionalFormatting sqref="T53">
    <cfRule type="cellIs" dxfId="939" priority="39" operator="notEqual">
      <formula>$T$55</formula>
    </cfRule>
    <cfRule type="cellIs" dxfId="938" priority="40" operator="equal">
      <formula>$T$55</formula>
    </cfRule>
  </conditionalFormatting>
  <conditionalFormatting sqref="U53">
    <cfRule type="cellIs" dxfId="937" priority="37" operator="notEqual">
      <formula>$U$55</formula>
    </cfRule>
    <cfRule type="cellIs" dxfId="936" priority="38" operator="equal">
      <formula>$U$55</formula>
    </cfRule>
  </conditionalFormatting>
  <conditionalFormatting sqref="V53">
    <cfRule type="cellIs" dxfId="935" priority="35" operator="notEqual">
      <formula>$V$55</formula>
    </cfRule>
    <cfRule type="cellIs" dxfId="934" priority="36" operator="equal">
      <formula>$V$55</formula>
    </cfRule>
  </conditionalFormatting>
  <conditionalFormatting sqref="W53">
    <cfRule type="cellIs" dxfId="933" priority="33" operator="notEqual">
      <formula>$W$55</formula>
    </cfRule>
    <cfRule type="cellIs" dxfId="932" priority="34" operator="equal">
      <formula>$W$55</formula>
    </cfRule>
  </conditionalFormatting>
  <conditionalFormatting sqref="X53">
    <cfRule type="cellIs" dxfId="931" priority="31" operator="notEqual">
      <formula>$X$55</formula>
    </cfRule>
    <cfRule type="cellIs" dxfId="930" priority="32" operator="equal">
      <formula>$X$55</formula>
    </cfRule>
  </conditionalFormatting>
  <conditionalFormatting sqref="Y53">
    <cfRule type="cellIs" dxfId="929" priority="29" operator="notEqual">
      <formula>$Y$55</formula>
    </cfRule>
    <cfRule type="cellIs" dxfId="928" priority="30" operator="equal">
      <formula>$Y$55</formula>
    </cfRule>
  </conditionalFormatting>
  <conditionalFormatting sqref="Z53">
    <cfRule type="cellIs" dxfId="927" priority="27" operator="notEqual">
      <formula>$Z$55</formula>
    </cfRule>
    <cfRule type="cellIs" dxfId="926" priority="28" operator="equal">
      <formula>$Z$55</formula>
    </cfRule>
  </conditionalFormatting>
  <conditionalFormatting sqref="AA53">
    <cfRule type="cellIs" dxfId="925" priority="25" operator="notEqual">
      <formula>$AA$55</formula>
    </cfRule>
    <cfRule type="cellIs" dxfId="924" priority="26" operator="equal">
      <formula>$AA$55</formula>
    </cfRule>
  </conditionalFormatting>
  <conditionalFormatting sqref="AB53">
    <cfRule type="cellIs" dxfId="923" priority="23" operator="notEqual">
      <formula>$AB$55</formula>
    </cfRule>
    <cfRule type="cellIs" dxfId="922" priority="24" operator="equal">
      <formula>$AB$55</formula>
    </cfRule>
  </conditionalFormatting>
  <conditionalFormatting sqref="AC53">
    <cfRule type="cellIs" dxfId="921" priority="21" operator="notEqual">
      <formula>$AC$55</formula>
    </cfRule>
    <cfRule type="cellIs" dxfId="920" priority="22" operator="equal">
      <formula>$AC$55</formula>
    </cfRule>
  </conditionalFormatting>
  <conditionalFormatting sqref="AD53">
    <cfRule type="cellIs" dxfId="919" priority="19" operator="notEqual">
      <formula>$AD$55</formula>
    </cfRule>
    <cfRule type="cellIs" dxfId="918" priority="20" operator="equal">
      <formula>$AD$55</formula>
    </cfRule>
  </conditionalFormatting>
  <conditionalFormatting sqref="AE53">
    <cfRule type="cellIs" dxfId="917" priority="17" operator="notEqual">
      <formula>$AE$55</formula>
    </cfRule>
    <cfRule type="cellIs" dxfId="916" priority="18" operator="equal">
      <formula>$AE$55</formula>
    </cfRule>
  </conditionalFormatting>
  <conditionalFormatting sqref="AF53">
    <cfRule type="cellIs" dxfId="915" priority="16" operator="equal">
      <formula>$AF$55</formula>
    </cfRule>
  </conditionalFormatting>
  <conditionalFormatting sqref="AF53">
    <cfRule type="cellIs" dxfId="914" priority="15" operator="notEqual">
      <formula>$AF$55</formula>
    </cfRule>
  </conditionalFormatting>
  <conditionalFormatting sqref="AG53">
    <cfRule type="cellIs" dxfId="913" priority="14" operator="equal">
      <formula>$AG$55</formula>
    </cfRule>
  </conditionalFormatting>
  <conditionalFormatting sqref="AG53">
    <cfRule type="cellIs" dxfId="912" priority="13" operator="notEqual">
      <formula>$AG$55</formula>
    </cfRule>
  </conditionalFormatting>
  <conditionalFormatting sqref="AH53">
    <cfRule type="cellIs" dxfId="911" priority="12" operator="equal">
      <formula>$AH$55</formula>
    </cfRule>
  </conditionalFormatting>
  <conditionalFormatting sqref="AH53">
    <cfRule type="cellIs" dxfId="910" priority="11" operator="notEqual">
      <formula>$AH$55</formula>
    </cfRule>
  </conditionalFormatting>
  <conditionalFormatting sqref="AI53">
    <cfRule type="cellIs" dxfId="909" priority="10" operator="equal">
      <formula>$AI$55</formula>
    </cfRule>
  </conditionalFormatting>
  <conditionalFormatting sqref="AI53">
    <cfRule type="cellIs" dxfId="908" priority="9" operator="notEqual">
      <formula>$AI$55</formula>
    </cfRule>
  </conditionalFormatting>
  <conditionalFormatting sqref="AJ53">
    <cfRule type="cellIs" dxfId="907" priority="8" operator="equal">
      <formula>$AJ$55</formula>
    </cfRule>
  </conditionalFormatting>
  <conditionalFormatting sqref="AJ53">
    <cfRule type="cellIs" dxfId="906" priority="7" operator="notEqual">
      <formula>$AJ$55</formula>
    </cfRule>
  </conditionalFormatting>
  <conditionalFormatting sqref="AK53">
    <cfRule type="cellIs" dxfId="905" priority="6" operator="equal">
      <formula>$AK$55</formula>
    </cfRule>
  </conditionalFormatting>
  <conditionalFormatting sqref="AK53">
    <cfRule type="cellIs" dxfId="904" priority="5" operator="notEqual">
      <formula>$AK$55</formula>
    </cfRule>
  </conditionalFormatting>
  <conditionalFormatting sqref="AL53">
    <cfRule type="cellIs" dxfId="903" priority="4" operator="equal">
      <formula>$AL$55</formula>
    </cfRule>
  </conditionalFormatting>
  <conditionalFormatting sqref="AL53">
    <cfRule type="cellIs" dxfId="902" priority="3" operator="notEqual">
      <formula>$AL$55</formula>
    </cfRule>
  </conditionalFormatting>
  <conditionalFormatting sqref="AM53">
    <cfRule type="cellIs" dxfId="901" priority="2" operator="equal">
      <formula>$AM$55</formula>
    </cfRule>
  </conditionalFormatting>
  <conditionalFormatting sqref="AM53">
    <cfRule type="cellIs" dxfId="900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7A32B-AD8E-48B0-9F59-182C37446731}">
  <sheetPr codeName="Planilha11"/>
  <dimension ref="A1:AP57"/>
  <sheetViews>
    <sheetView showGridLines="0" topLeftCell="Z38" workbookViewId="0">
      <selection activeCell="AO53" sqref="AO53:AP55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4.140625" style="9" bestFit="1" customWidth="1"/>
    <col min="15" max="16" width="4.8554687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7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10" style="9" bestFit="1" customWidth="1"/>
    <col min="32" max="32" width="7.28515625" style="9" bestFit="1" customWidth="1"/>
    <col min="33" max="33" width="10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4257812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31" t="s">
        <v>63</v>
      </c>
      <c r="B1" s="131" t="s">
        <v>64</v>
      </c>
      <c r="C1" s="131" t="s">
        <v>65</v>
      </c>
      <c r="D1" s="131" t="s">
        <v>66</v>
      </c>
      <c r="E1" s="131" t="s">
        <v>67</v>
      </c>
      <c r="F1" s="131" t="s">
        <v>15</v>
      </c>
      <c r="G1" s="131" t="s">
        <v>69</v>
      </c>
      <c r="H1" s="131" t="s">
        <v>70</v>
      </c>
      <c r="I1" s="131" t="s">
        <v>488</v>
      </c>
      <c r="J1" s="124"/>
      <c r="L1" s="132" t="s">
        <v>502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O1" s="43"/>
      <c r="AP1" s="135" t="s">
        <v>490</v>
      </c>
    </row>
    <row r="2" spans="1:42" ht="11.25" customHeight="1" x14ac:dyDescent="0.25">
      <c r="A2" s="131"/>
      <c r="B2" s="131"/>
      <c r="C2" s="131"/>
      <c r="D2" s="131"/>
      <c r="E2" s="131"/>
      <c r="F2" s="131"/>
      <c r="G2" s="131"/>
      <c r="H2" s="131"/>
      <c r="I2" s="131"/>
      <c r="J2" s="124"/>
      <c r="L2" s="132" t="s">
        <v>399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O2" s="43"/>
      <c r="AP2" s="136"/>
    </row>
    <row r="3" spans="1:42" ht="11.25" customHeight="1" x14ac:dyDescent="0.25">
      <c r="A3" s="131"/>
      <c r="B3" s="131"/>
      <c r="C3" s="131"/>
      <c r="D3" s="131"/>
      <c r="E3" s="131"/>
      <c r="F3" s="131"/>
      <c r="G3" s="131"/>
      <c r="H3" s="131"/>
      <c r="I3" s="131"/>
      <c r="J3" s="124"/>
      <c r="L3" s="132" t="s">
        <v>400</v>
      </c>
      <c r="M3" s="132"/>
      <c r="N3" s="132"/>
      <c r="O3" s="132"/>
      <c r="P3" s="132"/>
      <c r="Q3" s="132"/>
      <c r="R3" s="132"/>
      <c r="S3" s="132"/>
      <c r="T3" s="132"/>
      <c r="U3" s="132" t="s">
        <v>409</v>
      </c>
      <c r="V3" s="132"/>
      <c r="W3" s="132"/>
      <c r="X3" s="132"/>
      <c r="Y3" s="132"/>
      <c r="Z3" s="132"/>
      <c r="AA3" s="132"/>
      <c r="AB3" s="132"/>
      <c r="AC3" s="132" t="s">
        <v>417</v>
      </c>
      <c r="AD3" s="132"/>
      <c r="AE3" s="132" t="s">
        <v>419</v>
      </c>
      <c r="AF3" s="132"/>
      <c r="AG3" s="132"/>
      <c r="AH3" s="132" t="s">
        <v>422</v>
      </c>
      <c r="AI3" s="132"/>
      <c r="AJ3" s="132"/>
      <c r="AK3" s="132"/>
      <c r="AL3" s="132"/>
      <c r="AM3" s="132" t="s">
        <v>408</v>
      </c>
      <c r="AO3" s="43"/>
      <c r="AP3" s="136"/>
    </row>
    <row r="4" spans="1:42" ht="11.25" customHeight="1" x14ac:dyDescent="0.25">
      <c r="A4" s="131"/>
      <c r="B4" s="131"/>
      <c r="C4" s="131"/>
      <c r="D4" s="131"/>
      <c r="E4" s="131"/>
      <c r="F4" s="131"/>
      <c r="G4" s="131"/>
      <c r="H4" s="131"/>
      <c r="I4" s="131"/>
      <c r="J4" s="124"/>
      <c r="L4" s="39" t="s">
        <v>484</v>
      </c>
      <c r="M4" s="39" t="s">
        <v>401</v>
      </c>
      <c r="N4" s="39" t="s">
        <v>402</v>
      </c>
      <c r="O4" s="39" t="s">
        <v>403</v>
      </c>
      <c r="P4" s="39" t="s">
        <v>404</v>
      </c>
      <c r="Q4" s="39" t="s">
        <v>405</v>
      </c>
      <c r="R4" s="39" t="s">
        <v>406</v>
      </c>
      <c r="S4" s="39" t="s">
        <v>407</v>
      </c>
      <c r="T4" s="39" t="s">
        <v>408</v>
      </c>
      <c r="U4" s="39" t="s">
        <v>410</v>
      </c>
      <c r="V4" s="39" t="s">
        <v>411</v>
      </c>
      <c r="W4" s="39" t="s">
        <v>412</v>
      </c>
      <c r="X4" s="39" t="s">
        <v>413</v>
      </c>
      <c r="Y4" s="39" t="s">
        <v>414</v>
      </c>
      <c r="Z4" s="39" t="s">
        <v>415</v>
      </c>
      <c r="AA4" s="39" t="s">
        <v>416</v>
      </c>
      <c r="AB4" s="39" t="s">
        <v>408</v>
      </c>
      <c r="AC4" s="39" t="s">
        <v>418</v>
      </c>
      <c r="AD4" s="39" t="s">
        <v>408</v>
      </c>
      <c r="AE4" s="39" t="s">
        <v>420</v>
      </c>
      <c r="AF4" s="39" t="s">
        <v>421</v>
      </c>
      <c r="AG4" s="39" t="s">
        <v>408</v>
      </c>
      <c r="AH4" s="39" t="s">
        <v>423</v>
      </c>
      <c r="AI4" s="39" t="s">
        <v>424</v>
      </c>
      <c r="AJ4" s="39" t="s">
        <v>425</v>
      </c>
      <c r="AK4" s="39" t="s">
        <v>426</v>
      </c>
      <c r="AL4" s="39" t="s">
        <v>408</v>
      </c>
      <c r="AM4" s="134"/>
      <c r="AO4" s="44" t="s">
        <v>501</v>
      </c>
      <c r="AP4" s="137"/>
    </row>
    <row r="5" spans="1:42" ht="11.25" customHeight="1" x14ac:dyDescent="0.25">
      <c r="A5" s="130" t="s">
        <v>33</v>
      </c>
      <c r="B5" s="130" t="s">
        <v>43</v>
      </c>
      <c r="C5" s="130" t="s">
        <v>25</v>
      </c>
      <c r="D5" s="130" t="s">
        <v>25</v>
      </c>
      <c r="E5" s="130" t="s">
        <v>25</v>
      </c>
      <c r="F5" s="130" t="s">
        <v>25</v>
      </c>
      <c r="G5" s="36" t="s">
        <v>77</v>
      </c>
      <c r="H5" s="36" t="s">
        <v>76</v>
      </c>
      <c r="I5" s="36">
        <f>'MERCADO TUSD'!$U$2</f>
        <v>1679</v>
      </c>
      <c r="J5" s="16"/>
      <c r="L5" s="17">
        <f>'TUSD BE'!$L$5*'TUSD BF'!$L$58</f>
        <v>0</v>
      </c>
      <c r="M5" s="17">
        <f>'TUSD BE'!$M$5*'TUSD BF'!$M$58</f>
        <v>0</v>
      </c>
      <c r="N5" s="17">
        <f ca="1">'TUSD BE'!$N$5*'TUSD BF'!$N$58</f>
        <v>0</v>
      </c>
      <c r="O5" s="17">
        <f>'TUSD BE'!$O$5*'TUSD BF'!$O$58</f>
        <v>0</v>
      </c>
      <c r="P5" s="17">
        <f>'TUSD BE'!$P$5*'TUSD BF'!$P$58</f>
        <v>0</v>
      </c>
      <c r="Q5" s="17">
        <f>'TUSD BE'!$Q$5*'TUSD BF'!$Q$58</f>
        <v>0</v>
      </c>
      <c r="R5" s="17">
        <f>'TUSD BE'!$R$5*'TUSD BF'!$R$58</f>
        <v>0</v>
      </c>
      <c r="S5" s="17">
        <f>'TUSD BE'!$R$5*'TUSD BF'!$S$58</f>
        <v>0</v>
      </c>
      <c r="T5" s="17">
        <f ca="1">SUM($L$5:$S$5)</f>
        <v>0</v>
      </c>
      <c r="U5" s="17">
        <f>'TUSD BE'!$U$5*'TUSD BF'!$U$58</f>
        <v>0</v>
      </c>
      <c r="V5" s="17">
        <f>'TUSD BE'!$V$5*'TUSD BF'!$V$58</f>
        <v>0</v>
      </c>
      <c r="W5" s="17">
        <f>'TUSD BE'!$W$5*'TUSD BF'!$W$58</f>
        <v>0</v>
      </c>
      <c r="X5" s="17">
        <f>'TUSD BE'!$X$5*'TUSD BF'!$X$58</f>
        <v>0</v>
      </c>
      <c r="Y5" s="17">
        <f>'TUSD BE'!$Y$5*'TUSD BF'!$Y$58</f>
        <v>0</v>
      </c>
      <c r="Z5" s="17">
        <f>'TUSD BE'!$Z$5*'TUSD BF'!$Z$58</f>
        <v>0</v>
      </c>
      <c r="AA5" s="17">
        <f>'TUSD BE'!$AA$5*'TUSD BF'!$AA$58</f>
        <v>0</v>
      </c>
      <c r="AB5" s="17">
        <f>SUM($U$5:$AA$5)</f>
        <v>0</v>
      </c>
      <c r="AC5" s="17">
        <f>'TUSD BE'!$AC$5*'TUSD BF'!$AC$58</f>
        <v>0</v>
      </c>
      <c r="AD5" s="17">
        <f>SUM($AC$5:$AC$5)</f>
        <v>0</v>
      </c>
      <c r="AE5" s="17">
        <f ca="1">$AO$5*$AO$55</f>
        <v>0</v>
      </c>
      <c r="AF5" s="17">
        <f ca="1">$AP$5*$AP$55</f>
        <v>0</v>
      </c>
      <c r="AG5" s="17">
        <f ca="1">SUM($AE$5:$AF$5)</f>
        <v>0</v>
      </c>
      <c r="AH5" s="17">
        <f>'TUSD BE'!$AH$5*'TUSD BF'!$AH$58</f>
        <v>0</v>
      </c>
      <c r="AI5" s="17">
        <f>'TUSD BE'!$AI$5*'TUSD BF'!$AI$58</f>
        <v>0</v>
      </c>
      <c r="AJ5" s="17">
        <f ca="1">'TUSD BE'!$AJ$5*'TUSD BF'!$AJ$58</f>
        <v>0</v>
      </c>
      <c r="AK5" s="17">
        <f ca="1">'TUSD BE'!$AK$5*'TUSD BF'!$AK$58</f>
        <v>0</v>
      </c>
      <c r="AL5" s="17">
        <f ca="1">SUM($AH$5:$AK$5)</f>
        <v>0</v>
      </c>
      <c r="AM5" s="17">
        <f ca="1">SUMIF($L$4:$AL$4,"SUBTOTAL",$L$5:$AL$5)</f>
        <v>0</v>
      </c>
      <c r="AO5" s="43">
        <f ca="1">+'TUSD BE'!$T$5+'TUSD BE'!$AB$5+'TUSD BE'!$AD$5+'TUSD BE'!$AL$5</f>
        <v>123.34263016283124</v>
      </c>
      <c r="AP5" s="43">
        <f ca="1">+'TUSD BE'!$T$5+'TUSD BE'!$AB$5+'TUSD BE'!$AD$5+'TUSD BE'!$AL$5</f>
        <v>123.34263016283124</v>
      </c>
    </row>
    <row r="6" spans="1:42" ht="11.25" customHeight="1" x14ac:dyDescent="0.25">
      <c r="A6" s="130"/>
      <c r="B6" s="130"/>
      <c r="C6" s="130"/>
      <c r="D6" s="130"/>
      <c r="E6" s="130"/>
      <c r="F6" s="130"/>
      <c r="G6" s="36" t="s">
        <v>78</v>
      </c>
      <c r="H6" s="36" t="s">
        <v>76</v>
      </c>
      <c r="I6" s="36">
        <f>'MERCADO TUSD'!$U$3</f>
        <v>1683</v>
      </c>
      <c r="J6" s="16"/>
      <c r="L6" s="17">
        <f>'TUSD BE'!$L$6*'TUSD BF'!$L$58</f>
        <v>0</v>
      </c>
      <c r="M6" s="17">
        <f>'TUSD BE'!$M$6*'TUSD BF'!$M$58</f>
        <v>0</v>
      </c>
      <c r="N6" s="17">
        <f ca="1">'TUSD BE'!$N$6*'TUSD BF'!$N$58</f>
        <v>0</v>
      </c>
      <c r="O6" s="17">
        <f>'TUSD BE'!$O$6*'TUSD BF'!$O$58</f>
        <v>0</v>
      </c>
      <c r="P6" s="17">
        <f>'TUSD BE'!$P$6*'TUSD BF'!$P$58</f>
        <v>0</v>
      </c>
      <c r="Q6" s="17">
        <f>'TUSD BE'!$Q$6*'TUSD BF'!$Q$58</f>
        <v>0</v>
      </c>
      <c r="R6" s="17">
        <f>'TUSD BE'!$R$6*'TUSD BF'!$R$58</f>
        <v>0</v>
      </c>
      <c r="S6" s="17">
        <f>'TUSD BE'!$R$6*'TUSD BF'!$S$58</f>
        <v>0</v>
      </c>
      <c r="T6" s="17">
        <f ca="1">SUM($L$6:$S$6)</f>
        <v>0</v>
      </c>
      <c r="U6" s="17">
        <f>'TUSD BE'!$U$6*'TUSD BF'!$U$58</f>
        <v>0</v>
      </c>
      <c r="V6" s="17">
        <f>'TUSD BE'!$V$6*'TUSD BF'!$V$58</f>
        <v>0</v>
      </c>
      <c r="W6" s="17">
        <f>'TUSD BE'!$W$6*'TUSD BF'!$W$58</f>
        <v>0</v>
      </c>
      <c r="X6" s="17">
        <f>'TUSD BE'!$X$6*'TUSD BF'!$X$58</f>
        <v>0</v>
      </c>
      <c r="Y6" s="17">
        <f>'TUSD BE'!$Y$6*'TUSD BF'!$Y$58</f>
        <v>0</v>
      </c>
      <c r="Z6" s="17">
        <f>'TUSD BE'!$Z$6*'TUSD BF'!$Z$58</f>
        <v>0</v>
      </c>
      <c r="AA6" s="17">
        <f>'TUSD BE'!$AA$6*'TUSD BF'!$AA$58</f>
        <v>0</v>
      </c>
      <c r="AB6" s="17">
        <f>SUM($U$6:$AA$6)</f>
        <v>0</v>
      </c>
      <c r="AC6" s="17">
        <f>'TUSD BE'!$AC$6*'TUSD BF'!$AC$58</f>
        <v>0</v>
      </c>
      <c r="AD6" s="17">
        <f>SUM($AC$6:$AC$6)</f>
        <v>0</v>
      </c>
      <c r="AE6" s="17">
        <f ca="1">$AO$6*$AO$55</f>
        <v>0</v>
      </c>
      <c r="AF6" s="17">
        <f ca="1">$AP$6*$AP$55</f>
        <v>0</v>
      </c>
      <c r="AG6" s="17">
        <f ca="1">SUM($AE$6:$AF$6)</f>
        <v>0</v>
      </c>
      <c r="AH6" s="17">
        <f>'TUSD BE'!$AH$6*'TUSD BF'!$AH$58</f>
        <v>0</v>
      </c>
      <c r="AI6" s="17">
        <f>'TUSD BE'!$AI$6*'TUSD BF'!$AI$58</f>
        <v>0</v>
      </c>
      <c r="AJ6" s="17">
        <f ca="1">'TUSD BE'!$AJ$6*'TUSD BF'!$AJ$58</f>
        <v>0</v>
      </c>
      <c r="AK6" s="17">
        <f ca="1">'TUSD BE'!$AK$6*'TUSD BF'!$AK$58</f>
        <v>0</v>
      </c>
      <c r="AL6" s="17">
        <f ca="1">SUM($AH$6:$AK$6)</f>
        <v>0</v>
      </c>
      <c r="AM6" s="17">
        <f ca="1">SUMIF($L$4:$AL$4,"SUBTOTAL",$L$6:$AL$6)</f>
        <v>0</v>
      </c>
      <c r="AO6" s="43">
        <f ca="1">+'TUSD BE'!$T$6+'TUSD BE'!$AB$6+'TUSD BE'!$AD$6+'TUSD BE'!$AL$6</f>
        <v>32.208088360598218</v>
      </c>
      <c r="AP6" s="43">
        <f ca="1">+'TUSD BE'!$T$6+'TUSD BE'!$AB$6+'TUSD BE'!$AD$6+'TUSD BE'!$AL$6</f>
        <v>32.208088360598218</v>
      </c>
    </row>
    <row r="7" spans="1:42" ht="11.25" customHeight="1" x14ac:dyDescent="0.25">
      <c r="A7" s="130"/>
      <c r="B7" s="130"/>
      <c r="C7" s="130"/>
      <c r="D7" s="130"/>
      <c r="E7" s="130"/>
      <c r="F7" s="130"/>
      <c r="G7" s="36" t="s">
        <v>79</v>
      </c>
      <c r="H7" s="36" t="s">
        <v>73</v>
      </c>
      <c r="I7" s="36">
        <f>'MERCADO TUSD'!$U$4</f>
        <v>645.12700000000018</v>
      </c>
      <c r="J7" s="16"/>
      <c r="L7" s="17">
        <f>'TUSD BE'!$L$7*'TUSD BF'!$L$58</f>
        <v>0</v>
      </c>
      <c r="M7" s="17">
        <f>'TUSD BE'!$M$7*'TUSD BF'!$M$58</f>
        <v>0</v>
      </c>
      <c r="N7" s="17">
        <f ca="1">'TUSD BE'!$N$7*'TUSD BF'!$N$58</f>
        <v>0</v>
      </c>
      <c r="O7" s="17">
        <f>'TUSD BE'!$O$7*'TUSD BF'!$O$58</f>
        <v>0</v>
      </c>
      <c r="P7" s="17">
        <f>'TUSD BE'!$P$7*'TUSD BF'!$P$58</f>
        <v>0</v>
      </c>
      <c r="Q7" s="17">
        <f>'TUSD BE'!$Q$7*'TUSD BF'!$Q$58</f>
        <v>0</v>
      </c>
      <c r="R7" s="17">
        <f>'TUSD BE'!$R$7*'TUSD BF'!$R$58</f>
        <v>0</v>
      </c>
      <c r="S7" s="17">
        <f>'TUSD BE'!$R$7*'TUSD BF'!$S$58</f>
        <v>0</v>
      </c>
      <c r="T7" s="17">
        <f ca="1">SUM($L$7:$S$7)</f>
        <v>0</v>
      </c>
      <c r="U7" s="17">
        <f>'TUSD BE'!$U$7*'TUSD BF'!$U$58</f>
        <v>0</v>
      </c>
      <c r="V7" s="17">
        <f>'TUSD BE'!$V$7*'TUSD BF'!$V$58</f>
        <v>0</v>
      </c>
      <c r="W7" s="17">
        <f>'TUSD BE'!$W$7*'TUSD BF'!$W$58</f>
        <v>0</v>
      </c>
      <c r="X7" s="17">
        <f>'TUSD BE'!$X$7*'TUSD BF'!$X$58</f>
        <v>0</v>
      </c>
      <c r="Y7" s="17">
        <f>'TUSD BE'!$Y$7*'TUSD BF'!$Y$58</f>
        <v>0</v>
      </c>
      <c r="Z7" s="17">
        <f>'TUSD BE'!$Z$7*'TUSD BF'!$Z$58</f>
        <v>0</v>
      </c>
      <c r="AA7" s="17">
        <f>'TUSD BE'!$AA$7*'TUSD BF'!$AA$58</f>
        <v>0</v>
      </c>
      <c r="AB7" s="17">
        <f>SUM($U$7:$AA$7)</f>
        <v>0</v>
      </c>
      <c r="AC7" s="17">
        <f>'TUSD BE'!$AC$7*'TUSD BF'!$AC$58</f>
        <v>0</v>
      </c>
      <c r="AD7" s="17">
        <f>SUM($AC$7:$AC$7)</f>
        <v>0</v>
      </c>
      <c r="AE7" s="17">
        <f ca="1">$AO$7*$AO$55</f>
        <v>0</v>
      </c>
      <c r="AF7" s="17">
        <f ca="1">$AP$7*$AP$55</f>
        <v>0</v>
      </c>
      <c r="AG7" s="17">
        <f ca="1">SUM($AE$7:$AF$7)</f>
        <v>0</v>
      </c>
      <c r="AH7" s="17">
        <f>'TUSD BE'!$AH$7*'TUSD BF'!$AH$58</f>
        <v>0</v>
      </c>
      <c r="AI7" s="17">
        <f>'TUSD BE'!$AI$7*'TUSD BF'!$AI$58</f>
        <v>0</v>
      </c>
      <c r="AJ7" s="17">
        <f ca="1">'TUSD BE'!$AJ$7*'TUSD BF'!$AJ$58</f>
        <v>0</v>
      </c>
      <c r="AK7" s="17">
        <f ca="1">'TUSD BE'!$AK$7*'TUSD BF'!$AK$58</f>
        <v>0</v>
      </c>
      <c r="AL7" s="17">
        <f ca="1">SUM($AH$7:$AK$7)</f>
        <v>0</v>
      </c>
      <c r="AM7" s="17">
        <f ca="1">SUMIF($L$4:$AL$4,"SUBTOTAL",$L$7:$AL$7)</f>
        <v>0</v>
      </c>
      <c r="AO7" s="43">
        <f ca="1">+'TUSD BE'!$T$7+'TUSD BE'!$AB$7+'TUSD BE'!$AD$7+'TUSD BE'!$AL$7</f>
        <v>103.13396994045002</v>
      </c>
      <c r="AP7" s="43">
        <f ca="1">+'TUSD BE'!$T$7+'TUSD BE'!$AB$7+'TUSD BE'!$AD$7+'TUSD BE'!$AL$7</f>
        <v>103.13396994045002</v>
      </c>
    </row>
    <row r="8" spans="1:42" ht="11.25" customHeight="1" x14ac:dyDescent="0.25">
      <c r="A8" s="130"/>
      <c r="B8" s="130"/>
      <c r="C8" s="130"/>
      <c r="D8" s="130"/>
      <c r="E8" s="41" t="s">
        <v>80</v>
      </c>
      <c r="F8" s="41" t="s">
        <v>25</v>
      </c>
      <c r="G8" s="36" t="s">
        <v>79</v>
      </c>
      <c r="H8" s="36" t="s">
        <v>73</v>
      </c>
      <c r="I8" s="36">
        <f>'MERCADO TUSD'!$U$5</f>
        <v>0</v>
      </c>
      <c r="J8" s="16"/>
      <c r="L8" s="17">
        <f>'TUSD BE'!$L$8*'TUSD BF'!$L$58</f>
        <v>0</v>
      </c>
      <c r="M8" s="17">
        <f>'TUSD BE'!$M$8*'TUSD BF'!$M$58</f>
        <v>0</v>
      </c>
      <c r="N8" s="17">
        <f ca="1">'TUSD BE'!$N$8*'TUSD BF'!$N$58</f>
        <v>0</v>
      </c>
      <c r="O8" s="17">
        <f>'TUSD BE'!$O$8*'TUSD BF'!$O$58</f>
        <v>0</v>
      </c>
      <c r="P8" s="17">
        <f>'TUSD BE'!$P$8*'TUSD BF'!$P$58</f>
        <v>0</v>
      </c>
      <c r="Q8" s="17">
        <f>'TUSD BE'!$Q$8*'TUSD BF'!$Q$58</f>
        <v>0</v>
      </c>
      <c r="R8" s="17">
        <f>'TUSD BE'!$R$8*'TUSD BF'!$R$58</f>
        <v>0</v>
      </c>
      <c r="S8" s="17">
        <f>'TUSD BE'!$R$8*'TUSD BF'!$S$58</f>
        <v>0</v>
      </c>
      <c r="T8" s="17">
        <f ca="1">SUM($L$8:$S$8)</f>
        <v>0</v>
      </c>
      <c r="U8" s="17">
        <f>'TUSD BE'!$U$8*'TUSD BF'!$U$58</f>
        <v>0</v>
      </c>
      <c r="V8" s="17">
        <f>'TUSD BE'!$V$8*'TUSD BF'!$V$58</f>
        <v>0</v>
      </c>
      <c r="W8" s="17">
        <f>'TUSD BE'!$W$8*'TUSD BF'!$W$58</f>
        <v>0</v>
      </c>
      <c r="X8" s="17">
        <f>'TUSD BE'!$X$8*'TUSD BF'!$X$58</f>
        <v>0</v>
      </c>
      <c r="Y8" s="17">
        <f>'TUSD BE'!$Y$8*'TUSD BF'!$Y$58</f>
        <v>0</v>
      </c>
      <c r="Z8" s="17">
        <f>'TUSD BE'!$Z$8*'TUSD BF'!$Z$58</f>
        <v>0</v>
      </c>
      <c r="AA8" s="17">
        <f>'TUSD BE'!$AA$8*'TUSD BF'!$AA$58</f>
        <v>0</v>
      </c>
      <c r="AB8" s="17">
        <f>SUM($U$8:$AA$8)</f>
        <v>0</v>
      </c>
      <c r="AC8" s="17">
        <f>'TUSD BE'!$AC$8*'TUSD BF'!$AC$58</f>
        <v>0</v>
      </c>
      <c r="AD8" s="17">
        <f>SUM($AC$8:$AC$8)</f>
        <v>0</v>
      </c>
      <c r="AE8" s="17">
        <f ca="1">$AO$8*$AO$55</f>
        <v>0</v>
      </c>
      <c r="AF8" s="17">
        <f ca="1">$AP$8*$AP$55</f>
        <v>0</v>
      </c>
      <c r="AG8" s="17">
        <f ca="1">SUM($AE$8:$AF$8)</f>
        <v>0</v>
      </c>
      <c r="AH8" s="17">
        <f>'TUSD BE'!$AH$8*'TUSD BF'!$AH$58</f>
        <v>0</v>
      </c>
      <c r="AI8" s="17">
        <f>'TUSD BE'!$AI$8*'TUSD BF'!$AI$58</f>
        <v>0</v>
      </c>
      <c r="AJ8" s="17">
        <f ca="1">'TUSD BE'!$AJ$8*'TUSD BF'!$AJ$58</f>
        <v>0</v>
      </c>
      <c r="AK8" s="17">
        <f ca="1">'TUSD BE'!$AK$8*'TUSD BF'!$AK$58</f>
        <v>0</v>
      </c>
      <c r="AL8" s="17">
        <f ca="1">SUM($AH$8:$AK$8)</f>
        <v>0</v>
      </c>
      <c r="AM8" s="17">
        <f ca="1">SUMIF($L$4:$AL$4,"SUBTOTAL",$L$8:$AL$8)</f>
        <v>0</v>
      </c>
      <c r="AO8" s="43">
        <f ca="1">+'TUSD BE'!$T$8+'TUSD BE'!$AB$8+'TUSD BE'!$AD$8+'TUSD BE'!$AL$8</f>
        <v>17.008803079067757</v>
      </c>
      <c r="AP8" s="43">
        <f ca="1">+'TUSD BE'!$T$8+'TUSD BE'!$AB$8+'TUSD BE'!$AD$8+'TUSD BE'!$AL$8</f>
        <v>17.008803079067757</v>
      </c>
    </row>
    <row r="9" spans="1:42" ht="11.25" customHeight="1" x14ac:dyDescent="0.25">
      <c r="A9" s="130"/>
      <c r="B9" s="41" t="s">
        <v>81</v>
      </c>
      <c r="C9" s="41" t="s">
        <v>25</v>
      </c>
      <c r="D9" s="41" t="s">
        <v>25</v>
      </c>
      <c r="E9" s="41" t="s">
        <v>25</v>
      </c>
      <c r="F9" s="41" t="s">
        <v>25</v>
      </c>
      <c r="G9" s="36" t="s">
        <v>9</v>
      </c>
      <c r="H9" s="36" t="s">
        <v>76</v>
      </c>
      <c r="I9" s="36">
        <f>'MERCADO TUSD'!$U$6</f>
        <v>0</v>
      </c>
      <c r="J9" s="16"/>
      <c r="L9" s="17">
        <f>'TUSD BE'!$L$9*'TUSD BF'!$L$58</f>
        <v>0</v>
      </c>
      <c r="M9" s="17">
        <f>'TUSD BE'!$M$9*'TUSD BF'!$M$58</f>
        <v>0</v>
      </c>
      <c r="N9" s="17">
        <f ca="1">'TUSD BE'!$N$9*'TUSD BF'!$N$58</f>
        <v>0</v>
      </c>
      <c r="O9" s="17">
        <f>'TUSD BE'!$O$9*'TUSD BF'!$O$58</f>
        <v>0</v>
      </c>
      <c r="P9" s="17">
        <f>'TUSD BE'!$P$9*'TUSD BF'!$P$58</f>
        <v>0</v>
      </c>
      <c r="Q9" s="17">
        <f>'TUSD BE'!$Q$9*'TUSD BF'!$Q$58</f>
        <v>0</v>
      </c>
      <c r="R9" s="17">
        <f>'TUSD BE'!$R$9*'TUSD BF'!$R$58</f>
        <v>0</v>
      </c>
      <c r="S9" s="17">
        <f>'TUSD BE'!$R$9*'TUSD BF'!$S$58</f>
        <v>0</v>
      </c>
      <c r="T9" s="17">
        <f ca="1">SUM($L$9:$S$9)</f>
        <v>0</v>
      </c>
      <c r="U9" s="17">
        <f>'TUSD BE'!$U$9*'TUSD BF'!$U$58</f>
        <v>0</v>
      </c>
      <c r="V9" s="17">
        <f>'TUSD BE'!$V$9*'TUSD BF'!$V$58</f>
        <v>0</v>
      </c>
      <c r="W9" s="17">
        <f>'TUSD BE'!$W$9*'TUSD BF'!$W$58</f>
        <v>0</v>
      </c>
      <c r="X9" s="17">
        <f>'TUSD BE'!$X$9*'TUSD BF'!$X$58</f>
        <v>0</v>
      </c>
      <c r="Y9" s="17">
        <f>'TUSD BE'!$Y$9*'TUSD BF'!$Y$58</f>
        <v>0</v>
      </c>
      <c r="Z9" s="17">
        <f>'TUSD BE'!$Z$9*'TUSD BF'!$Z$58</f>
        <v>0</v>
      </c>
      <c r="AA9" s="17">
        <f>'TUSD BE'!$AA$9*'TUSD BF'!$AA$58</f>
        <v>0</v>
      </c>
      <c r="AB9" s="17">
        <f>SUM($U$9:$AA$9)</f>
        <v>0</v>
      </c>
      <c r="AC9" s="17">
        <f>'TUSD BE'!$AC$9*'TUSD BF'!$AC$58</f>
        <v>0</v>
      </c>
      <c r="AD9" s="17">
        <f>SUM($AC$9:$AC$9)</f>
        <v>0</v>
      </c>
      <c r="AE9" s="17">
        <f ca="1">$AO$9*$AO$55</f>
        <v>0</v>
      </c>
      <c r="AF9" s="17">
        <f ca="1">$AP$9*$AP$55</f>
        <v>0</v>
      </c>
      <c r="AG9" s="17">
        <f ca="1">SUM($AE$9:$AF$9)</f>
        <v>0</v>
      </c>
      <c r="AH9" s="17">
        <f>'TUSD BE'!$AH$9*'TUSD BF'!$AH$58</f>
        <v>0</v>
      </c>
      <c r="AI9" s="17">
        <f>'TUSD BE'!$AI$9*'TUSD BF'!$AI$58</f>
        <v>0</v>
      </c>
      <c r="AJ9" s="17">
        <f ca="1">'TUSD BE'!$AJ$9*'TUSD BF'!$AJ$58</f>
        <v>0</v>
      </c>
      <c r="AK9" s="17">
        <f ca="1">'TUSD BE'!$AK$9*'TUSD BF'!$AK$58</f>
        <v>0</v>
      </c>
      <c r="AL9" s="17">
        <f ca="1">SUM($AH$9:$AK$9)</f>
        <v>0</v>
      </c>
      <c r="AM9" s="17">
        <f ca="1">SUMIF($L$4:$AL$4,"SUBTOTAL",$L$9:$AL$9)</f>
        <v>0</v>
      </c>
      <c r="AO9" s="43">
        <f ca="1">+'TUSD BE'!$T$9+'TUSD BE'!$AB$9+'TUSD BE'!$AD$9+'TUSD BE'!$AL$9</f>
        <v>13.798512463031715</v>
      </c>
      <c r="AP9" s="43">
        <f ca="1">+'TUSD BE'!$T$9+'TUSD BE'!$AB$9+'TUSD BE'!$AD$9+'TUSD BE'!$AL$9</f>
        <v>13.798512463031715</v>
      </c>
    </row>
    <row r="10" spans="1:42" ht="11.25" customHeight="1" x14ac:dyDescent="0.25">
      <c r="A10" s="130"/>
      <c r="B10" s="130" t="s">
        <v>34</v>
      </c>
      <c r="C10" s="130" t="s">
        <v>25</v>
      </c>
      <c r="D10" s="130" t="s">
        <v>25</v>
      </c>
      <c r="E10" s="130" t="s">
        <v>25</v>
      </c>
      <c r="F10" s="130" t="s">
        <v>25</v>
      </c>
      <c r="G10" s="36" t="s">
        <v>9</v>
      </c>
      <c r="H10" s="36" t="s">
        <v>76</v>
      </c>
      <c r="I10" s="36">
        <f>'MERCADO TUSD'!$U$7</f>
        <v>643658</v>
      </c>
      <c r="J10" s="16"/>
      <c r="L10" s="17">
        <f>'TUSD BE'!$L$10*'TUSD BF'!$L$58</f>
        <v>0</v>
      </c>
      <c r="M10" s="17">
        <f>'TUSD BE'!$M$10*'TUSD BF'!$M$58</f>
        <v>0</v>
      </c>
      <c r="N10" s="17">
        <f ca="1">'TUSD BE'!$N$10*'TUSD BF'!$N$58</f>
        <v>0</v>
      </c>
      <c r="O10" s="17">
        <f>'TUSD BE'!$O$10*'TUSD BF'!$O$58</f>
        <v>0</v>
      </c>
      <c r="P10" s="17">
        <f>'TUSD BE'!$P$10*'TUSD BF'!$P$58</f>
        <v>0</v>
      </c>
      <c r="Q10" s="17">
        <f>'TUSD BE'!$Q$10*'TUSD BF'!$Q$58</f>
        <v>0</v>
      </c>
      <c r="R10" s="17">
        <f>'TUSD BE'!$R$10*'TUSD BF'!$R$58</f>
        <v>0</v>
      </c>
      <c r="S10" s="17">
        <f>'TUSD BE'!$R$10*'TUSD BF'!$S$58</f>
        <v>0</v>
      </c>
      <c r="T10" s="17">
        <f ca="1">SUM($L$10:$S$10)</f>
        <v>0</v>
      </c>
      <c r="U10" s="17">
        <f>'TUSD BE'!$U$10*'TUSD BF'!$U$58</f>
        <v>0</v>
      </c>
      <c r="V10" s="17">
        <f>'TUSD BE'!$V$10*'TUSD BF'!$V$58</f>
        <v>0</v>
      </c>
      <c r="W10" s="17">
        <f>'TUSD BE'!$W$10*'TUSD BF'!$W$58</f>
        <v>0</v>
      </c>
      <c r="X10" s="17">
        <f>'TUSD BE'!$X$10*'TUSD BF'!$X$58</f>
        <v>0</v>
      </c>
      <c r="Y10" s="17">
        <f>'TUSD BE'!$Y$10*'TUSD BF'!$Y$58</f>
        <v>0</v>
      </c>
      <c r="Z10" s="17">
        <f>'TUSD BE'!$Z$10*'TUSD BF'!$Z$58</f>
        <v>0</v>
      </c>
      <c r="AA10" s="17">
        <f>'TUSD BE'!$AA$10*'TUSD BF'!$AA$58</f>
        <v>0</v>
      </c>
      <c r="AB10" s="17">
        <f>SUM($U$10:$AA$10)</f>
        <v>0</v>
      </c>
      <c r="AC10" s="17">
        <f>'TUSD BE'!$AC$10*'TUSD BF'!$AC$58</f>
        <v>0</v>
      </c>
      <c r="AD10" s="17">
        <f>SUM($AC$10:$AC$10)</f>
        <v>0</v>
      </c>
      <c r="AE10" s="17">
        <f ca="1">$AO$10*$AO$55</f>
        <v>0</v>
      </c>
      <c r="AF10" s="17">
        <f ca="1">$AP$10*$AP$55</f>
        <v>0</v>
      </c>
      <c r="AG10" s="17">
        <f ca="1">SUM($AE$10:$AF$10)</f>
        <v>0</v>
      </c>
      <c r="AH10" s="17">
        <f>'TUSD BE'!$AH$10*'TUSD BF'!$AH$58</f>
        <v>0</v>
      </c>
      <c r="AI10" s="17">
        <f>'TUSD BE'!$AI$10*'TUSD BF'!$AI$58</f>
        <v>0</v>
      </c>
      <c r="AJ10" s="17">
        <f ca="1">'TUSD BE'!$AJ$10*'TUSD BF'!$AJ$58</f>
        <v>0</v>
      </c>
      <c r="AK10" s="17">
        <f ca="1">'TUSD BE'!$AK$10*'TUSD BF'!$AK$58</f>
        <v>0</v>
      </c>
      <c r="AL10" s="17">
        <f ca="1">SUM($AH$10:$AK$10)</f>
        <v>0</v>
      </c>
      <c r="AM10" s="17">
        <f ca="1">SUMIF($L$4:$AL$4,"SUBTOTAL",$L$10:$AL$10)</f>
        <v>0</v>
      </c>
      <c r="AO10" s="43">
        <f ca="1">+'TUSD BE'!$T$10+'TUSD BE'!$AB$10+'TUSD BE'!$AD$10+'TUSD BE'!$AL$10</f>
        <v>32.208088360598218</v>
      </c>
      <c r="AP10" s="43">
        <f ca="1">+'TUSD BE'!$T$10+'TUSD BE'!$AB$10+'TUSD BE'!$AD$10+'TUSD BE'!$AL$10</f>
        <v>32.208088360598218</v>
      </c>
    </row>
    <row r="11" spans="1:42" ht="11.25" customHeight="1" x14ac:dyDescent="0.25">
      <c r="A11" s="130"/>
      <c r="B11" s="130"/>
      <c r="C11" s="130"/>
      <c r="D11" s="130"/>
      <c r="E11" s="130"/>
      <c r="F11" s="130"/>
      <c r="G11" s="36" t="s">
        <v>74</v>
      </c>
      <c r="H11" s="36" t="s">
        <v>73</v>
      </c>
      <c r="I11" s="36">
        <f>'MERCADO TUSD'!$U$8</f>
        <v>2922.2139999999999</v>
      </c>
      <c r="J11" s="16"/>
      <c r="L11" s="17">
        <f>'TUSD BE'!$L$11*'TUSD BF'!$L$58</f>
        <v>0</v>
      </c>
      <c r="M11" s="17">
        <f>'TUSD BE'!$M$11*'TUSD BF'!$M$58</f>
        <v>0</v>
      </c>
      <c r="N11" s="17">
        <f ca="1">'TUSD BE'!$N$11*'TUSD BF'!$N$58</f>
        <v>0</v>
      </c>
      <c r="O11" s="17">
        <f>'TUSD BE'!$O$11*'TUSD BF'!$O$58</f>
        <v>0</v>
      </c>
      <c r="P11" s="17">
        <f>'TUSD BE'!$P$11*'TUSD BF'!$P$58</f>
        <v>0</v>
      </c>
      <c r="Q11" s="17">
        <f>'TUSD BE'!$Q$11*'TUSD BF'!$Q$58</f>
        <v>0</v>
      </c>
      <c r="R11" s="17">
        <f>'TUSD BE'!$R$11*'TUSD BF'!$R$58</f>
        <v>0</v>
      </c>
      <c r="S11" s="17">
        <f>'TUSD BE'!$R$11*'TUSD BF'!$S$58</f>
        <v>0</v>
      </c>
      <c r="T11" s="17">
        <f ca="1">SUM($L$11:$S$11)</f>
        <v>0</v>
      </c>
      <c r="U11" s="17">
        <f>'TUSD BE'!$U$11*'TUSD BF'!$U$58</f>
        <v>0</v>
      </c>
      <c r="V11" s="17">
        <f>'TUSD BE'!$V$11*'TUSD BF'!$V$58</f>
        <v>0</v>
      </c>
      <c r="W11" s="17">
        <f>'TUSD BE'!$W$11*'TUSD BF'!$W$58</f>
        <v>0</v>
      </c>
      <c r="X11" s="17">
        <f>'TUSD BE'!$X$11*'TUSD BF'!$X$58</f>
        <v>0</v>
      </c>
      <c r="Y11" s="17">
        <f>'TUSD BE'!$Y$11*'TUSD BF'!$Y$58</f>
        <v>0</v>
      </c>
      <c r="Z11" s="17">
        <f>'TUSD BE'!$Z$11*'TUSD BF'!$Z$58</f>
        <v>0</v>
      </c>
      <c r="AA11" s="17">
        <f>'TUSD BE'!$AA$11*'TUSD BF'!$AA$58</f>
        <v>0</v>
      </c>
      <c r="AB11" s="17">
        <f>SUM($U$11:$AA$11)</f>
        <v>0</v>
      </c>
      <c r="AC11" s="17">
        <f>'TUSD BE'!$AC$11*'TUSD BF'!$AC$58</f>
        <v>0</v>
      </c>
      <c r="AD11" s="17">
        <f>SUM($AC$11:$AC$11)</f>
        <v>0</v>
      </c>
      <c r="AE11" s="17">
        <f ca="1">$AO$11*$AO$55</f>
        <v>0</v>
      </c>
      <c r="AF11" s="17">
        <f ca="1">$AP$11*$AP$55</f>
        <v>0</v>
      </c>
      <c r="AG11" s="17">
        <f ca="1">SUM($AE$11:$AF$11)</f>
        <v>0</v>
      </c>
      <c r="AH11" s="17">
        <f>'TUSD BE'!$AH$11*'TUSD BF'!$AH$58</f>
        <v>0</v>
      </c>
      <c r="AI11" s="17">
        <f>'TUSD BE'!$AI$11*'TUSD BF'!$AI$58</f>
        <v>0</v>
      </c>
      <c r="AJ11" s="17">
        <f ca="1">'TUSD BE'!$AJ$11*'TUSD BF'!$AJ$58</f>
        <v>0</v>
      </c>
      <c r="AK11" s="17">
        <f ca="1">'TUSD BE'!$AK$11*'TUSD BF'!$AK$58</f>
        <v>0</v>
      </c>
      <c r="AL11" s="17">
        <f ca="1">SUM($AH$11:$AK$11)</f>
        <v>0</v>
      </c>
      <c r="AM11" s="17">
        <f ca="1">SUMIF($L$4:$AL$4,"SUBTOTAL",$L$11:$AL$11)</f>
        <v>0</v>
      </c>
      <c r="AO11" s="43">
        <f ca="1">+'TUSD BE'!$T$11+'TUSD BE'!$AB$11+'TUSD BE'!$AD$11+'TUSD BE'!$AL$11</f>
        <v>3068.6275355412627</v>
      </c>
      <c r="AP11" s="43">
        <f ca="1">+'TUSD BE'!$T$11+'TUSD BE'!$AB$11+'TUSD BE'!$AD$11+'TUSD BE'!$AL$11</f>
        <v>3068.6275355412627</v>
      </c>
    </row>
    <row r="12" spans="1:42" ht="11.25" customHeight="1" x14ac:dyDescent="0.25">
      <c r="A12" s="130"/>
      <c r="B12" s="130"/>
      <c r="C12" s="130"/>
      <c r="D12" s="130"/>
      <c r="E12" s="130"/>
      <c r="F12" s="130"/>
      <c r="G12" s="36" t="s">
        <v>75</v>
      </c>
      <c r="H12" s="36" t="s">
        <v>73</v>
      </c>
      <c r="I12" s="36">
        <f>'MERCADO TUSD'!$U$9</f>
        <v>84044.817999999999</v>
      </c>
      <c r="J12" s="16"/>
      <c r="L12" s="17">
        <f>'TUSD BE'!$L$12*'TUSD BF'!$L$58</f>
        <v>0</v>
      </c>
      <c r="M12" s="17">
        <f>'TUSD BE'!$M$12*'TUSD BF'!$M$58</f>
        <v>0</v>
      </c>
      <c r="N12" s="17">
        <f ca="1">'TUSD BE'!$N$12*'TUSD BF'!$N$58</f>
        <v>0</v>
      </c>
      <c r="O12" s="17">
        <f>'TUSD BE'!$O$12*'TUSD BF'!$O$58</f>
        <v>0</v>
      </c>
      <c r="P12" s="17">
        <f>'TUSD BE'!$P$12*'TUSD BF'!$P$58</f>
        <v>0</v>
      </c>
      <c r="Q12" s="17">
        <f>'TUSD BE'!$Q$12*'TUSD BF'!$Q$58</f>
        <v>0</v>
      </c>
      <c r="R12" s="17">
        <f>'TUSD BE'!$R$12*'TUSD BF'!$R$58</f>
        <v>0</v>
      </c>
      <c r="S12" s="17">
        <f>'TUSD BE'!$R$12*'TUSD BF'!$S$58</f>
        <v>0</v>
      </c>
      <c r="T12" s="17">
        <f ca="1">SUM($L$12:$S$12)</f>
        <v>0</v>
      </c>
      <c r="U12" s="17">
        <f>'TUSD BE'!$U$12*'TUSD BF'!$U$58</f>
        <v>0</v>
      </c>
      <c r="V12" s="17">
        <f>'TUSD BE'!$V$12*'TUSD BF'!$V$58</f>
        <v>0</v>
      </c>
      <c r="W12" s="17">
        <f>'TUSD BE'!$W$12*'TUSD BF'!$W$58</f>
        <v>0</v>
      </c>
      <c r="X12" s="17">
        <f>'TUSD BE'!$X$12*'TUSD BF'!$X$58</f>
        <v>0</v>
      </c>
      <c r="Y12" s="17">
        <f>'TUSD BE'!$Y$12*'TUSD BF'!$Y$58</f>
        <v>0</v>
      </c>
      <c r="Z12" s="17">
        <f>'TUSD BE'!$Z$12*'TUSD BF'!$Z$58</f>
        <v>0</v>
      </c>
      <c r="AA12" s="17">
        <f>'TUSD BE'!$AA$12*'TUSD BF'!$AA$58</f>
        <v>0</v>
      </c>
      <c r="AB12" s="17">
        <f>SUM($U$12:$AA$12)</f>
        <v>0</v>
      </c>
      <c r="AC12" s="17">
        <f>'TUSD BE'!$AC$12*'TUSD BF'!$AC$58</f>
        <v>0</v>
      </c>
      <c r="AD12" s="17">
        <f>SUM($AC$12:$AC$12)</f>
        <v>0</v>
      </c>
      <c r="AE12" s="17">
        <f ca="1">$AO$12*$AO$55</f>
        <v>0</v>
      </c>
      <c r="AF12" s="17">
        <f ca="1">$AP$12*$AP$55</f>
        <v>0</v>
      </c>
      <c r="AG12" s="17">
        <f ca="1">SUM($AE$12:$AF$12)</f>
        <v>0</v>
      </c>
      <c r="AH12" s="17">
        <f>'TUSD BE'!$AH$12*'TUSD BF'!$AH$58</f>
        <v>0</v>
      </c>
      <c r="AI12" s="17">
        <f>'TUSD BE'!$AI$12*'TUSD BF'!$AI$58</f>
        <v>0</v>
      </c>
      <c r="AJ12" s="17">
        <f ca="1">'TUSD BE'!$AJ$12*'TUSD BF'!$AJ$58</f>
        <v>0</v>
      </c>
      <c r="AK12" s="17">
        <f ca="1">'TUSD BE'!$AK$12*'TUSD BF'!$AK$58</f>
        <v>0</v>
      </c>
      <c r="AL12" s="17">
        <f ca="1">SUM($AH$12:$AK$12)</f>
        <v>0</v>
      </c>
      <c r="AM12" s="17">
        <f ca="1">SUMIF($L$4:$AL$4,"SUBTOTAL",$L$12:$AL$12)</f>
        <v>0</v>
      </c>
      <c r="AO12" s="43">
        <f ca="1">+'TUSD BE'!$T$12+'TUSD BE'!$AB$12+'TUSD BE'!$AD$12+'TUSD BE'!$AL$12</f>
        <v>103.13396994045002</v>
      </c>
      <c r="AP12" s="43">
        <f ca="1">+'TUSD BE'!$T$12+'TUSD BE'!$AB$12+'TUSD BE'!$AD$12+'TUSD BE'!$AL$12</f>
        <v>103.13396994045002</v>
      </c>
    </row>
    <row r="13" spans="1:42" ht="11.25" customHeight="1" x14ac:dyDescent="0.25">
      <c r="A13" s="130"/>
      <c r="B13" s="130"/>
      <c r="C13" s="130"/>
      <c r="D13" s="130"/>
      <c r="E13" s="130" t="s">
        <v>80</v>
      </c>
      <c r="F13" s="130" t="s">
        <v>25</v>
      </c>
      <c r="G13" s="36" t="s">
        <v>74</v>
      </c>
      <c r="H13" s="36" t="s">
        <v>73</v>
      </c>
      <c r="I13" s="36">
        <f>'MERCADO TUSD'!$U$10</f>
        <v>0</v>
      </c>
      <c r="J13" s="16"/>
      <c r="L13" s="17">
        <f>'TUSD BE'!$L$13*'TUSD BF'!$L$58</f>
        <v>0</v>
      </c>
      <c r="M13" s="17">
        <f>'TUSD BE'!$M$13*'TUSD BF'!$M$58</f>
        <v>0</v>
      </c>
      <c r="N13" s="17">
        <f ca="1">'TUSD BE'!$N$13*'TUSD BF'!$N$58</f>
        <v>0</v>
      </c>
      <c r="O13" s="17">
        <f>'TUSD BE'!$O$13*'TUSD BF'!$O$58</f>
        <v>0</v>
      </c>
      <c r="P13" s="17">
        <f>'TUSD BE'!$P$13*'TUSD BF'!$P$58</f>
        <v>0</v>
      </c>
      <c r="Q13" s="17">
        <f>'TUSD BE'!$Q$13*'TUSD BF'!$Q$58</f>
        <v>0</v>
      </c>
      <c r="R13" s="17">
        <f>'TUSD BE'!$R$13*'TUSD BF'!$R$58</f>
        <v>0</v>
      </c>
      <c r="S13" s="17">
        <f>'TUSD BE'!$R$13*'TUSD BF'!$S$58</f>
        <v>0</v>
      </c>
      <c r="T13" s="17">
        <f ca="1">SUM($L$13:$S$13)</f>
        <v>0</v>
      </c>
      <c r="U13" s="17">
        <f>'TUSD BE'!$U$13*'TUSD BF'!$U$58</f>
        <v>0</v>
      </c>
      <c r="V13" s="17">
        <f>'TUSD BE'!$V$13*'TUSD BF'!$V$58</f>
        <v>0</v>
      </c>
      <c r="W13" s="17">
        <f>'TUSD BE'!$W$13*'TUSD BF'!$W$58</f>
        <v>0</v>
      </c>
      <c r="X13" s="17">
        <f>'TUSD BE'!$X$13*'TUSD BF'!$X$58</f>
        <v>0</v>
      </c>
      <c r="Y13" s="17">
        <f>'TUSD BE'!$Y$13*'TUSD BF'!$Y$58</f>
        <v>0</v>
      </c>
      <c r="Z13" s="17">
        <f>'TUSD BE'!$Z$13*'TUSD BF'!$Z$58</f>
        <v>0</v>
      </c>
      <c r="AA13" s="17">
        <f>'TUSD BE'!$AA$13*'TUSD BF'!$AA$58</f>
        <v>0</v>
      </c>
      <c r="AB13" s="17">
        <f>SUM($U$13:$AA$13)</f>
        <v>0</v>
      </c>
      <c r="AC13" s="17">
        <f>'TUSD BE'!$AC$13*'TUSD BF'!$AC$58</f>
        <v>0</v>
      </c>
      <c r="AD13" s="17">
        <f>SUM($AC$13:$AC$13)</f>
        <v>0</v>
      </c>
      <c r="AE13" s="17">
        <f ca="1">$AO$13*$AO$55</f>
        <v>0</v>
      </c>
      <c r="AF13" s="17">
        <f ca="1">$AP$13*$AP$55</f>
        <v>0</v>
      </c>
      <c r="AG13" s="17">
        <f ca="1">SUM($AE$13:$AF$13)</f>
        <v>0</v>
      </c>
      <c r="AH13" s="17">
        <f>'TUSD BE'!$AH$13*'TUSD BF'!$AH$58</f>
        <v>0</v>
      </c>
      <c r="AI13" s="17">
        <f>'TUSD BE'!$AI$13*'TUSD BF'!$AI$58</f>
        <v>0</v>
      </c>
      <c r="AJ13" s="17">
        <f ca="1">'TUSD BE'!$AJ$13*'TUSD BF'!$AJ$58</f>
        <v>0</v>
      </c>
      <c r="AK13" s="17">
        <f ca="1">'TUSD BE'!$AK$13*'TUSD BF'!$AK$58</f>
        <v>0</v>
      </c>
      <c r="AL13" s="17">
        <f ca="1">SUM($AH$13:$AK$13)</f>
        <v>0</v>
      </c>
      <c r="AM13" s="17">
        <f ca="1">SUMIF($L$4:$AL$4,"SUBTOTAL",$L$13:$AL$13)</f>
        <v>0</v>
      </c>
      <c r="AO13" s="43">
        <f ca="1">+'TUSD BE'!$T$13+'TUSD BE'!$AB$13+'TUSD BE'!$AD$13+'TUSD BE'!$AL$13</f>
        <v>2982.5023686798804</v>
      </c>
      <c r="AP13" s="43">
        <f ca="1">+'TUSD BE'!$T$13+'TUSD BE'!$AB$13+'TUSD BE'!$AD$13+'TUSD BE'!$AL$13</f>
        <v>2982.5023686798804</v>
      </c>
    </row>
    <row r="14" spans="1:42" ht="11.25" customHeight="1" x14ac:dyDescent="0.25">
      <c r="A14" s="130"/>
      <c r="B14" s="130"/>
      <c r="C14" s="130"/>
      <c r="D14" s="130"/>
      <c r="E14" s="130"/>
      <c r="F14" s="130"/>
      <c r="G14" s="36" t="s">
        <v>75</v>
      </c>
      <c r="H14" s="36" t="s">
        <v>73</v>
      </c>
      <c r="I14" s="36">
        <f>'MERCADO TUSD'!$U$11</f>
        <v>0</v>
      </c>
      <c r="J14" s="16"/>
      <c r="L14" s="17">
        <f>'TUSD BE'!$L$14*'TUSD BF'!$L$58</f>
        <v>0</v>
      </c>
      <c r="M14" s="17">
        <f>'TUSD BE'!$M$14*'TUSD BF'!$M$58</f>
        <v>0</v>
      </c>
      <c r="N14" s="17">
        <f ca="1">'TUSD BE'!$N$14*'TUSD BF'!$N$58</f>
        <v>0</v>
      </c>
      <c r="O14" s="17">
        <f>'TUSD BE'!$O$14*'TUSD BF'!$O$58</f>
        <v>0</v>
      </c>
      <c r="P14" s="17">
        <f>'TUSD BE'!$P$14*'TUSD BF'!$P$58</f>
        <v>0</v>
      </c>
      <c r="Q14" s="17">
        <f>'TUSD BE'!$Q$14*'TUSD BF'!$Q$58</f>
        <v>0</v>
      </c>
      <c r="R14" s="17">
        <f>'TUSD BE'!$R$14*'TUSD BF'!$R$58</f>
        <v>0</v>
      </c>
      <c r="S14" s="17">
        <f>'TUSD BE'!$R$14*'TUSD BF'!$S$58</f>
        <v>0</v>
      </c>
      <c r="T14" s="17">
        <f ca="1">SUM($L$14:$S$14)</f>
        <v>0</v>
      </c>
      <c r="U14" s="17">
        <f>'TUSD BE'!$U$14*'TUSD BF'!$U$58</f>
        <v>0</v>
      </c>
      <c r="V14" s="17">
        <f>'TUSD BE'!$V$14*'TUSD BF'!$V$58</f>
        <v>0</v>
      </c>
      <c r="W14" s="17">
        <f>'TUSD BE'!$W$14*'TUSD BF'!$W$58</f>
        <v>0</v>
      </c>
      <c r="X14" s="17">
        <f>'TUSD BE'!$X$14*'TUSD BF'!$X$58</f>
        <v>0</v>
      </c>
      <c r="Y14" s="17">
        <f>'TUSD BE'!$Y$14*'TUSD BF'!$Y$58</f>
        <v>0</v>
      </c>
      <c r="Z14" s="17">
        <f>'TUSD BE'!$Z$14*'TUSD BF'!$Z$58</f>
        <v>0</v>
      </c>
      <c r="AA14" s="17">
        <f>'TUSD BE'!$AA$14*'TUSD BF'!$AA$58</f>
        <v>0</v>
      </c>
      <c r="AB14" s="17">
        <f>SUM($U$14:$AA$14)</f>
        <v>0</v>
      </c>
      <c r="AC14" s="17">
        <f>'TUSD BE'!$AC$14*'TUSD BF'!$AC$58</f>
        <v>0</v>
      </c>
      <c r="AD14" s="17">
        <f>SUM($AC$14:$AC$14)</f>
        <v>0</v>
      </c>
      <c r="AE14" s="17">
        <f ca="1">$AO$14*$AO$55</f>
        <v>0</v>
      </c>
      <c r="AF14" s="17">
        <f ca="1">$AP$14*$AP$55</f>
        <v>0</v>
      </c>
      <c r="AG14" s="17">
        <f ca="1">SUM($AE$14:$AF$14)</f>
        <v>0</v>
      </c>
      <c r="AH14" s="17">
        <f>'TUSD BE'!$AH$14*'TUSD BF'!$AH$58</f>
        <v>0</v>
      </c>
      <c r="AI14" s="17">
        <f>'TUSD BE'!$AI$14*'TUSD BF'!$AI$58</f>
        <v>0</v>
      </c>
      <c r="AJ14" s="17">
        <f ca="1">'TUSD BE'!$AJ$14*'TUSD BF'!$AJ$58</f>
        <v>0</v>
      </c>
      <c r="AK14" s="17">
        <f ca="1">'TUSD BE'!$AK$14*'TUSD BF'!$AK$58</f>
        <v>0</v>
      </c>
      <c r="AL14" s="17">
        <f ca="1">SUM($AH$14:$AK$14)</f>
        <v>0</v>
      </c>
      <c r="AM14" s="17">
        <f ca="1">SUMIF($L$4:$AL$4,"SUBTOTAL",$L$14:$AL$14)</f>
        <v>0</v>
      </c>
      <c r="AO14" s="43">
        <f ca="1">+'TUSD BE'!$T$14+'TUSD BE'!$AB$14+'TUSD BE'!$AD$14+'TUSD BE'!$AL$14</f>
        <v>17.008803079067757</v>
      </c>
      <c r="AP14" s="43">
        <f ca="1">+'TUSD BE'!$T$14+'TUSD BE'!$AB$14+'TUSD BE'!$AD$14+'TUSD BE'!$AL$14</f>
        <v>17.008803079067757</v>
      </c>
    </row>
    <row r="15" spans="1:42" ht="11.25" customHeight="1" x14ac:dyDescent="0.25">
      <c r="A15" s="130" t="s">
        <v>82</v>
      </c>
      <c r="B15" s="130" t="s">
        <v>81</v>
      </c>
      <c r="C15" s="130" t="s">
        <v>25</v>
      </c>
      <c r="D15" s="130" t="s">
        <v>25</v>
      </c>
      <c r="E15" s="41" t="s">
        <v>83</v>
      </c>
      <c r="F15" s="41" t="s">
        <v>25</v>
      </c>
      <c r="G15" s="36" t="s">
        <v>9</v>
      </c>
      <c r="H15" s="36" t="s">
        <v>76</v>
      </c>
      <c r="I15" s="36">
        <f>'MERCADO TUSD'!$U$12+0.00000001</f>
        <v>1E-8</v>
      </c>
      <c r="J15" s="16"/>
      <c r="L15" s="17">
        <f>'TUSD BE'!$L$15*'TUSD BF'!$L$58</f>
        <v>0</v>
      </c>
      <c r="M15" s="17">
        <f>'TUSD BE'!$M$15*'TUSD BF'!$M$58</f>
        <v>0</v>
      </c>
      <c r="N15" s="17">
        <f ca="1">'TUSD BE'!$N$15*'TUSD BF'!$N$58</f>
        <v>0</v>
      </c>
      <c r="O15" s="17">
        <f>'TUSD BE'!$O$15*'TUSD BF'!$O$58</f>
        <v>0</v>
      </c>
      <c r="P15" s="17">
        <f>'TUSD BE'!$P$15*'TUSD BF'!$P$58</f>
        <v>0</v>
      </c>
      <c r="Q15" s="17">
        <f>'TUSD BE'!$Q$15*'TUSD BF'!$Q$58</f>
        <v>0</v>
      </c>
      <c r="R15" s="17">
        <f>'TUSD BE'!$R$15*'TUSD BF'!$R$58</f>
        <v>0</v>
      </c>
      <c r="S15" s="17">
        <f>'TUSD BE'!$R$15*'TUSD BF'!$S$58</f>
        <v>0</v>
      </c>
      <c r="T15" s="17">
        <f ca="1">SUM($L$15:$S$15)</f>
        <v>0</v>
      </c>
      <c r="U15" s="17">
        <f>'TUSD BE'!$U$15*'TUSD BF'!$U$58</f>
        <v>0</v>
      </c>
      <c r="V15" s="17">
        <f>'TUSD BE'!$V$15*'TUSD BF'!$V$58</f>
        <v>0</v>
      </c>
      <c r="W15" s="17">
        <f>'TUSD BE'!$W$15*'TUSD BF'!$W$58</f>
        <v>0</v>
      </c>
      <c r="X15" s="17">
        <f>'TUSD BE'!$X$15*'TUSD BF'!$X$58</f>
        <v>0</v>
      </c>
      <c r="Y15" s="17">
        <f>'TUSD BE'!$Y$15*'TUSD BF'!$Y$58</f>
        <v>0</v>
      </c>
      <c r="Z15" s="17">
        <f>'TUSD BE'!$Z$15*'TUSD BF'!$Z$58</f>
        <v>0</v>
      </c>
      <c r="AA15" s="17">
        <f>'TUSD BE'!$AA$15*'TUSD BF'!$AA$58</f>
        <v>0</v>
      </c>
      <c r="AB15" s="17">
        <f>SUM($U$15:$AA$15)</f>
        <v>0</v>
      </c>
      <c r="AC15" s="17">
        <f>'TUSD BE'!$AC$15*'TUSD BF'!$AC$58</f>
        <v>0</v>
      </c>
      <c r="AD15" s="17">
        <f>SUM($AC$15:$AC$15)</f>
        <v>0</v>
      </c>
      <c r="AE15" s="17">
        <f ca="1">$AO$15*$AO$55</f>
        <v>0</v>
      </c>
      <c r="AF15" s="17">
        <f ca="1">$AP$15*$AP$55</f>
        <v>0</v>
      </c>
      <c r="AG15" s="17">
        <f ca="1">SUM($AE$15:$AF$15)</f>
        <v>0</v>
      </c>
      <c r="AH15" s="17">
        <f>'TUSD BE'!$AH$15*'TUSD BF'!$AH$58</f>
        <v>0</v>
      </c>
      <c r="AI15" s="17">
        <f>'TUSD BE'!$AI$15*'TUSD BF'!$AI$58</f>
        <v>0</v>
      </c>
      <c r="AJ15" s="17">
        <f ca="1">'TUSD BE'!$AJ$15*'TUSD BF'!$AJ$58</f>
        <v>0</v>
      </c>
      <c r="AK15" s="17">
        <f ca="1">'TUSD BE'!$AK$15*'TUSD BF'!$AK$58</f>
        <v>0</v>
      </c>
      <c r="AL15" s="17">
        <f ca="1">SUM($AH$15:$AK$15)</f>
        <v>0</v>
      </c>
      <c r="AM15" s="17">
        <f ca="1">SUMIF($L$4:$AL$4,"SUBTOTAL",$L$15:$AL$15)</f>
        <v>0</v>
      </c>
      <c r="AO15" s="43">
        <f ca="1">+'TUSD BE'!$T$15+'TUSD BE'!$AB$15+'TUSD BE'!$AD$15+'TUSD BE'!$AL$15</f>
        <v>8.5393616670167969</v>
      </c>
      <c r="AP15" s="43">
        <f ca="1">+'TUSD BE'!$T$15+'TUSD BE'!$AB$15+'TUSD BE'!$AD$15+'TUSD BE'!$AL$15</f>
        <v>8.5393616670167969</v>
      </c>
    </row>
    <row r="16" spans="1:42" ht="11.25" customHeight="1" x14ac:dyDescent="0.25">
      <c r="A16" s="130"/>
      <c r="B16" s="130"/>
      <c r="C16" s="130"/>
      <c r="D16" s="130"/>
      <c r="E16" s="41" t="s">
        <v>84</v>
      </c>
      <c r="F16" s="41" t="s">
        <v>25</v>
      </c>
      <c r="G16" s="36" t="s">
        <v>9</v>
      </c>
      <c r="H16" s="36" t="s">
        <v>76</v>
      </c>
      <c r="I16" s="36">
        <f>'MERCADO TUSD'!$U$13+0.00000001</f>
        <v>1E-8</v>
      </c>
      <c r="J16" s="16"/>
      <c r="L16" s="17">
        <f>'TUSD BE'!$L$16*'TUSD BF'!$L$58</f>
        <v>0</v>
      </c>
      <c r="M16" s="17">
        <f>'TUSD BE'!$M$16*'TUSD BF'!$M$58</f>
        <v>0</v>
      </c>
      <c r="N16" s="17">
        <f ca="1">'TUSD BE'!$N$16*'TUSD BF'!$N$58</f>
        <v>0</v>
      </c>
      <c r="O16" s="17">
        <f>'TUSD BE'!$O$16*'TUSD BF'!$O$58</f>
        <v>0</v>
      </c>
      <c r="P16" s="17">
        <f>'TUSD BE'!$P$16*'TUSD BF'!$P$58</f>
        <v>0</v>
      </c>
      <c r="Q16" s="17">
        <f>'TUSD BE'!$Q$16*'TUSD BF'!$Q$58</f>
        <v>0</v>
      </c>
      <c r="R16" s="17">
        <f>'TUSD BE'!$R$16*'TUSD BF'!$R$58</f>
        <v>0</v>
      </c>
      <c r="S16" s="17">
        <f>'TUSD BE'!$R$16*'TUSD BF'!$S$58</f>
        <v>0</v>
      </c>
      <c r="T16" s="17">
        <f ca="1">SUM($L$16:$S$16)</f>
        <v>0</v>
      </c>
      <c r="U16" s="17">
        <f>'TUSD BE'!$U$16*'TUSD BF'!$U$58</f>
        <v>0</v>
      </c>
      <c r="V16" s="17">
        <f>'TUSD BE'!$V$16*'TUSD BF'!$V$58</f>
        <v>0</v>
      </c>
      <c r="W16" s="17">
        <f>'TUSD BE'!$W$16*'TUSD BF'!$W$58</f>
        <v>0</v>
      </c>
      <c r="X16" s="17">
        <f>'TUSD BE'!$X$16*'TUSD BF'!$X$58</f>
        <v>0</v>
      </c>
      <c r="Y16" s="17">
        <f>'TUSD BE'!$Y$16*'TUSD BF'!$Y$58</f>
        <v>0</v>
      </c>
      <c r="Z16" s="17">
        <f>'TUSD BE'!$Z$16*'TUSD BF'!$Z$58</f>
        <v>0</v>
      </c>
      <c r="AA16" s="17">
        <f>'TUSD BE'!$AA$16*'TUSD BF'!$AA$58</f>
        <v>0</v>
      </c>
      <c r="AB16" s="17">
        <f>SUM($U$16:$AA$16)</f>
        <v>0</v>
      </c>
      <c r="AC16" s="17">
        <f>'TUSD BE'!$AC$16*'TUSD BF'!$AC$58</f>
        <v>0</v>
      </c>
      <c r="AD16" s="17">
        <f>SUM($AC$16:$AC$16)</f>
        <v>0</v>
      </c>
      <c r="AE16" s="17">
        <f ca="1">$AO$16*$AO$55</f>
        <v>0</v>
      </c>
      <c r="AF16" s="17">
        <f ca="1">$AP$16*$AP$55</f>
        <v>0</v>
      </c>
      <c r="AG16" s="17">
        <f ca="1">SUM($AE$16:$AF$16)</f>
        <v>0</v>
      </c>
      <c r="AH16" s="17">
        <f>'TUSD BE'!$AH$16*'TUSD BF'!$AH$58</f>
        <v>0</v>
      </c>
      <c r="AI16" s="17">
        <f>'TUSD BE'!$AI$16*'TUSD BF'!$AI$58</f>
        <v>0</v>
      </c>
      <c r="AJ16" s="17">
        <f ca="1">'TUSD BE'!$AJ$16*'TUSD BF'!$AJ$58</f>
        <v>0</v>
      </c>
      <c r="AK16" s="17">
        <f ca="1">'TUSD BE'!$AK$16*'TUSD BF'!$AK$58</f>
        <v>0</v>
      </c>
      <c r="AL16" s="17">
        <f ca="1">SUM($AH$16:$AK$16)</f>
        <v>0</v>
      </c>
      <c r="AM16" s="17">
        <f ca="1">SUMIF($L$4:$AL$4,"SUBTOTAL",$L$16:$AL$16)</f>
        <v>0</v>
      </c>
      <c r="AO16" s="43">
        <f ca="1">+'TUSD BE'!$T$16+'TUSD BE'!$AB$16+'TUSD BE'!$AD$16+'TUSD BE'!$AL$16</f>
        <v>28.657159588473554</v>
      </c>
      <c r="AP16" s="43">
        <f ca="1">+'TUSD BE'!$T$16+'TUSD BE'!$AB$16+'TUSD BE'!$AD$16+'TUSD BE'!$AL$16</f>
        <v>28.657159588473554</v>
      </c>
    </row>
    <row r="17" spans="1:42" ht="11.25" customHeight="1" x14ac:dyDescent="0.25">
      <c r="A17" s="130" t="s">
        <v>22</v>
      </c>
      <c r="B17" s="130" t="s">
        <v>87</v>
      </c>
      <c r="C17" s="130" t="s">
        <v>24</v>
      </c>
      <c r="D17" s="130" t="s">
        <v>24</v>
      </c>
      <c r="E17" s="130" t="s">
        <v>25</v>
      </c>
      <c r="F17" s="130" t="s">
        <v>25</v>
      </c>
      <c r="G17" s="36" t="s">
        <v>74</v>
      </c>
      <c r="H17" s="36" t="s">
        <v>73</v>
      </c>
      <c r="I17" s="36">
        <f>'MERCADO TUSD'!$U$14</f>
        <v>0</v>
      </c>
      <c r="J17" s="16"/>
      <c r="L17" s="17">
        <f>'TUSD BE'!$L$17*'TUSD BF'!$L$58</f>
        <v>0</v>
      </c>
      <c r="M17" s="17">
        <f>'TUSD BE'!$M$17*'TUSD BF'!$M$58</f>
        <v>0</v>
      </c>
      <c r="N17" s="17">
        <f ca="1">'TUSD BE'!$N$17*'TUSD BF'!$N$58</f>
        <v>0</v>
      </c>
      <c r="O17" s="17">
        <f>'TUSD BE'!$O$17*'TUSD BF'!$O$58</f>
        <v>0</v>
      </c>
      <c r="P17" s="17">
        <f>'TUSD BE'!$P$17*'TUSD BF'!$P$58</f>
        <v>0</v>
      </c>
      <c r="Q17" s="17">
        <f>'TUSD BE'!$Q$17*'TUSD BF'!$Q$58</f>
        <v>0</v>
      </c>
      <c r="R17" s="17">
        <f>'TUSD BE'!$R$17*'TUSD BF'!$R$58</f>
        <v>0</v>
      </c>
      <c r="S17" s="17">
        <f>'TUSD BE'!$R$17*'TUSD BF'!$S$58</f>
        <v>0</v>
      </c>
      <c r="T17" s="17">
        <f ca="1">SUM($L$17:$S$17)</f>
        <v>0</v>
      </c>
      <c r="U17" s="17">
        <f>'TUSD BE'!$U$17*'TUSD BF'!$U$58</f>
        <v>0</v>
      </c>
      <c r="V17" s="17">
        <f>'TUSD BE'!$V$17*'TUSD BF'!$V$58</f>
        <v>0</v>
      </c>
      <c r="W17" s="17">
        <f>'TUSD BE'!$W$17*'TUSD BF'!$W$58</f>
        <v>0</v>
      </c>
      <c r="X17" s="17">
        <f>'TUSD BE'!$X$17*'TUSD BF'!$X$58</f>
        <v>0</v>
      </c>
      <c r="Y17" s="17">
        <f>'TUSD BE'!$Y$17*'TUSD BF'!$Y$58</f>
        <v>0</v>
      </c>
      <c r="Z17" s="17">
        <f>'TUSD BE'!$Z$17*'TUSD BF'!$Z$58</f>
        <v>0</v>
      </c>
      <c r="AA17" s="17">
        <f>'TUSD BE'!$AA$17*'TUSD BF'!$AA$58</f>
        <v>0</v>
      </c>
      <c r="AB17" s="17">
        <f>SUM($U$17:$AA$17)</f>
        <v>0</v>
      </c>
      <c r="AC17" s="17">
        <f>'TUSD BE'!$AC$17*'TUSD BF'!$AC$58</f>
        <v>0</v>
      </c>
      <c r="AD17" s="17">
        <f>SUM($AC$17:$AC$17)</f>
        <v>0</v>
      </c>
      <c r="AE17" s="17">
        <f ca="1">$AO$17*$AO$55</f>
        <v>0</v>
      </c>
      <c r="AF17" s="17">
        <f ca="1">$AP$17*$AP$55</f>
        <v>0</v>
      </c>
      <c r="AG17" s="17">
        <f ca="1">SUM($AE$17:$AF$17)</f>
        <v>0</v>
      </c>
      <c r="AH17" s="17">
        <f>'TUSD BE'!$AH$17*'TUSD BF'!$AH$58</f>
        <v>0</v>
      </c>
      <c r="AI17" s="17">
        <f>'TUSD BE'!$AI$17*'TUSD BF'!$AI$58</f>
        <v>0</v>
      </c>
      <c r="AJ17" s="17">
        <f ca="1">'TUSD BE'!$AJ$17*'TUSD BF'!$AJ$58</f>
        <v>0</v>
      </c>
      <c r="AK17" s="17">
        <f ca="1">'TUSD BE'!$AK$17*'TUSD BF'!$AK$58</f>
        <v>0</v>
      </c>
      <c r="AL17" s="17">
        <f ca="1">SUM($AH$17:$AK$17)</f>
        <v>0</v>
      </c>
      <c r="AM17" s="17">
        <f ca="1">SUMIF($L$4:$AL$4,"SUBTOTAL",$L$17:$AL$17)</f>
        <v>0</v>
      </c>
      <c r="AO17" s="43">
        <f ca="1">+'TUSD BE'!$T$17+'TUSD BE'!$AB$17+'TUSD BE'!$AD$17+'TUSD BE'!$AL$17</f>
        <v>1249.9848116076121</v>
      </c>
      <c r="AP17" s="43">
        <f ca="1">+'TUSD BE'!$T$17+'TUSD BE'!$AB$17+'TUSD BE'!$AD$17+'TUSD BE'!$AL$17</f>
        <v>1249.9848116076121</v>
      </c>
    </row>
    <row r="18" spans="1:42" ht="11.25" customHeight="1" x14ac:dyDescent="0.25">
      <c r="A18" s="130"/>
      <c r="B18" s="130"/>
      <c r="C18" s="130"/>
      <c r="D18" s="130"/>
      <c r="E18" s="130"/>
      <c r="F18" s="130"/>
      <c r="G18" s="36" t="s">
        <v>85</v>
      </c>
      <c r="H18" s="36" t="s">
        <v>73</v>
      </c>
      <c r="I18" s="36">
        <f>'MERCADO TUSD'!$U$15</f>
        <v>0</v>
      </c>
      <c r="J18" s="16"/>
      <c r="L18" s="17">
        <f>'TUSD BE'!$L$18*'TUSD BF'!$L$58</f>
        <v>0</v>
      </c>
      <c r="M18" s="17">
        <f>'TUSD BE'!$M$18*'TUSD BF'!$M$58</f>
        <v>0</v>
      </c>
      <c r="N18" s="17">
        <f ca="1">'TUSD BE'!$N$18*'TUSD BF'!$N$58</f>
        <v>0</v>
      </c>
      <c r="O18" s="17">
        <f>'TUSD BE'!$O$18*'TUSD BF'!$O$58</f>
        <v>0</v>
      </c>
      <c r="P18" s="17">
        <f>'TUSD BE'!$P$18*'TUSD BF'!$P$58</f>
        <v>0</v>
      </c>
      <c r="Q18" s="17">
        <f>'TUSD BE'!$Q$18*'TUSD BF'!$Q$58</f>
        <v>0</v>
      </c>
      <c r="R18" s="17">
        <f>'TUSD BE'!$R$18*'TUSD BF'!$R$58</f>
        <v>0</v>
      </c>
      <c r="S18" s="17">
        <f>'TUSD BE'!$R$18*'TUSD BF'!$S$58</f>
        <v>0</v>
      </c>
      <c r="T18" s="17">
        <f ca="1">SUM($L$18:$S$18)</f>
        <v>0</v>
      </c>
      <c r="U18" s="17">
        <f>'TUSD BE'!$U$18*'TUSD BF'!$U$58</f>
        <v>0</v>
      </c>
      <c r="V18" s="17">
        <f>'TUSD BE'!$V$18*'TUSD BF'!$V$58</f>
        <v>0</v>
      </c>
      <c r="W18" s="17">
        <f>'TUSD BE'!$W$18*'TUSD BF'!$W$58</f>
        <v>0</v>
      </c>
      <c r="X18" s="17">
        <f>'TUSD BE'!$X$18*'TUSD BF'!$X$58</f>
        <v>0</v>
      </c>
      <c r="Y18" s="17">
        <f>'TUSD BE'!$Y$18*'TUSD BF'!$Y$58</f>
        <v>0</v>
      </c>
      <c r="Z18" s="17">
        <f>'TUSD BE'!$Z$18*'TUSD BF'!$Z$58</f>
        <v>0</v>
      </c>
      <c r="AA18" s="17">
        <f>'TUSD BE'!$AA$18*'TUSD BF'!$AA$58</f>
        <v>0</v>
      </c>
      <c r="AB18" s="17">
        <f>SUM($U$18:$AA$18)</f>
        <v>0</v>
      </c>
      <c r="AC18" s="17">
        <f>'TUSD BE'!$AC$18*'TUSD BF'!$AC$58</f>
        <v>0</v>
      </c>
      <c r="AD18" s="17">
        <f>SUM($AC$18:$AC$18)</f>
        <v>0</v>
      </c>
      <c r="AE18" s="17">
        <f ca="1">$AO$18*$AO$55</f>
        <v>0</v>
      </c>
      <c r="AF18" s="17">
        <f ca="1">$AP$18*$AP$55</f>
        <v>0</v>
      </c>
      <c r="AG18" s="17">
        <f ca="1">SUM($AE$18:$AF$18)</f>
        <v>0</v>
      </c>
      <c r="AH18" s="17">
        <f>'TUSD BE'!$AH$18*'TUSD BF'!$AH$58</f>
        <v>0</v>
      </c>
      <c r="AI18" s="17">
        <f>'TUSD BE'!$AI$18*'TUSD BF'!$AI$58</f>
        <v>0</v>
      </c>
      <c r="AJ18" s="17">
        <f ca="1">'TUSD BE'!$AJ$18*'TUSD BF'!$AJ$58</f>
        <v>0</v>
      </c>
      <c r="AK18" s="17">
        <f ca="1">'TUSD BE'!$AK$18*'TUSD BF'!$AK$58</f>
        <v>0</v>
      </c>
      <c r="AL18" s="17">
        <f ca="1">SUM($AH$18:$AK$18)</f>
        <v>0</v>
      </c>
      <c r="AM18" s="17">
        <f ca="1">SUMIF($L$4:$AL$4,"SUBTOTAL",$L$18:$AL$18)</f>
        <v>0</v>
      </c>
      <c r="AO18" s="43">
        <f ca="1">+'TUSD BE'!$T$18+'TUSD BE'!$AB$18+'TUSD BE'!$AD$18+'TUSD BE'!$AL$18</f>
        <v>308.47423065249586</v>
      </c>
      <c r="AP18" s="43">
        <f ca="1">+'TUSD BE'!$T$18+'TUSD BE'!$AB$18+'TUSD BE'!$AD$18+'TUSD BE'!$AL$18</f>
        <v>308.47423065249586</v>
      </c>
    </row>
    <row r="19" spans="1:42" ht="11.25" customHeight="1" x14ac:dyDescent="0.25">
      <c r="A19" s="130"/>
      <c r="B19" s="130"/>
      <c r="C19" s="130"/>
      <c r="D19" s="130"/>
      <c r="E19" s="130"/>
      <c r="F19" s="130"/>
      <c r="G19" s="36" t="s">
        <v>75</v>
      </c>
      <c r="H19" s="36" t="s">
        <v>73</v>
      </c>
      <c r="I19" s="36">
        <f>'MERCADO TUSD'!$U$16</f>
        <v>0</v>
      </c>
      <c r="J19" s="16"/>
      <c r="L19" s="17">
        <f>'TUSD BE'!$L$19*'TUSD BF'!$L$58</f>
        <v>0</v>
      </c>
      <c r="M19" s="17">
        <f>'TUSD BE'!$M$19*'TUSD BF'!$M$58</f>
        <v>0</v>
      </c>
      <c r="N19" s="17">
        <f ca="1">'TUSD BE'!$N$19*'TUSD BF'!$N$58</f>
        <v>0</v>
      </c>
      <c r="O19" s="17">
        <f>'TUSD BE'!$O$19*'TUSD BF'!$O$58</f>
        <v>0</v>
      </c>
      <c r="P19" s="17">
        <f>'TUSD BE'!$P$19*'TUSD BF'!$P$58</f>
        <v>0</v>
      </c>
      <c r="Q19" s="17">
        <f>'TUSD BE'!$Q$19*'TUSD BF'!$Q$58</f>
        <v>0</v>
      </c>
      <c r="R19" s="17">
        <f>'TUSD BE'!$R$19*'TUSD BF'!$R$58</f>
        <v>0</v>
      </c>
      <c r="S19" s="17">
        <f>'TUSD BE'!$R$19*'TUSD BF'!$S$58</f>
        <v>0</v>
      </c>
      <c r="T19" s="17">
        <f ca="1">SUM($L$19:$S$19)</f>
        <v>0</v>
      </c>
      <c r="U19" s="17">
        <f>'TUSD BE'!$U$19*'TUSD BF'!$U$58</f>
        <v>0</v>
      </c>
      <c r="V19" s="17">
        <f>'TUSD BE'!$V$19*'TUSD BF'!$V$58</f>
        <v>0</v>
      </c>
      <c r="W19" s="17">
        <f>'TUSD BE'!$W$19*'TUSD BF'!$W$58</f>
        <v>0</v>
      </c>
      <c r="X19" s="17">
        <f>'TUSD BE'!$X$19*'TUSD BF'!$X$58</f>
        <v>0</v>
      </c>
      <c r="Y19" s="17">
        <f>'TUSD BE'!$Y$19*'TUSD BF'!$Y$58</f>
        <v>0</v>
      </c>
      <c r="Z19" s="17">
        <f>'TUSD BE'!$Z$19*'TUSD BF'!$Z$58</f>
        <v>0</v>
      </c>
      <c r="AA19" s="17">
        <f>'TUSD BE'!$AA$19*'TUSD BF'!$AA$58</f>
        <v>0</v>
      </c>
      <c r="AB19" s="17">
        <f>SUM($U$19:$AA$19)</f>
        <v>0</v>
      </c>
      <c r="AC19" s="17">
        <f>'TUSD BE'!$AC$19*'TUSD BF'!$AC$58</f>
        <v>0</v>
      </c>
      <c r="AD19" s="17">
        <f>SUM($AC$19:$AC$19)</f>
        <v>0</v>
      </c>
      <c r="AE19" s="17">
        <f ca="1">$AO$19*$AO$55</f>
        <v>0</v>
      </c>
      <c r="AF19" s="17">
        <f ca="1">$AP$19*$AP$55</f>
        <v>0</v>
      </c>
      <c r="AG19" s="17">
        <f ca="1">SUM($AE$19:$AF$19)</f>
        <v>0</v>
      </c>
      <c r="AH19" s="17">
        <f>'TUSD BE'!$AH$19*'TUSD BF'!$AH$58</f>
        <v>0</v>
      </c>
      <c r="AI19" s="17">
        <f>'TUSD BE'!$AI$19*'TUSD BF'!$AI$58</f>
        <v>0</v>
      </c>
      <c r="AJ19" s="17">
        <f ca="1">'TUSD BE'!$AJ$19*'TUSD BF'!$AJ$58</f>
        <v>0</v>
      </c>
      <c r="AK19" s="17">
        <f ca="1">'TUSD BE'!$AK$19*'TUSD BF'!$AK$58</f>
        <v>0</v>
      </c>
      <c r="AL19" s="17">
        <f ca="1">SUM($AH$19:$AK$19)</f>
        <v>0</v>
      </c>
      <c r="AM19" s="17">
        <f ca="1">SUMIF($L$4:$AL$4,"SUBTOTAL",$L$19:$AL$19)</f>
        <v>0</v>
      </c>
      <c r="AO19" s="43">
        <f ca="1">+'TUSD BE'!$T$19+'TUSD BE'!$AB$19+'TUSD BE'!$AD$19+'TUSD BE'!$AL$19</f>
        <v>432.35818670937181</v>
      </c>
      <c r="AP19" s="43">
        <f ca="1">+'TUSD BE'!$T$19+'TUSD BE'!$AB$19+'TUSD BE'!$AD$19+'TUSD BE'!$AL$19</f>
        <v>432.35818670937181</v>
      </c>
    </row>
    <row r="20" spans="1:42" ht="11.25" customHeight="1" x14ac:dyDescent="0.25">
      <c r="A20" s="130"/>
      <c r="B20" s="130" t="s">
        <v>23</v>
      </c>
      <c r="C20" s="130" t="s">
        <v>24</v>
      </c>
      <c r="D20" s="41" t="s">
        <v>24</v>
      </c>
      <c r="E20" s="41" t="s">
        <v>25</v>
      </c>
      <c r="F20" s="41" t="s">
        <v>25</v>
      </c>
      <c r="G20" s="36" t="s">
        <v>79</v>
      </c>
      <c r="H20" s="36" t="s">
        <v>73</v>
      </c>
      <c r="I20" s="36">
        <f>'MERCADO TUSD'!$U$17</f>
        <v>23903.932000000001</v>
      </c>
      <c r="J20" s="16"/>
      <c r="L20" s="17">
        <f>'TUSD BE'!$L$20*'TUSD BF'!$L$58</f>
        <v>0</v>
      </c>
      <c r="M20" s="17">
        <f>'TUSD BE'!$M$20*'TUSD BF'!$M$58</f>
        <v>0</v>
      </c>
      <c r="N20" s="17">
        <f ca="1">'TUSD BE'!$N$20*'TUSD BF'!$N$58</f>
        <v>0</v>
      </c>
      <c r="O20" s="17">
        <f>'TUSD BE'!$O$20*'TUSD BF'!$O$58</f>
        <v>0</v>
      </c>
      <c r="P20" s="17">
        <f>'TUSD BE'!$P$20*'TUSD BF'!$P$58</f>
        <v>0</v>
      </c>
      <c r="Q20" s="17">
        <f>'TUSD BE'!$Q$20*'TUSD BF'!$Q$58</f>
        <v>0</v>
      </c>
      <c r="R20" s="17">
        <f>'TUSD BE'!$R$20*'TUSD BF'!$R$58</f>
        <v>0</v>
      </c>
      <c r="S20" s="17">
        <f>'TUSD BE'!$R$20*'TUSD BF'!$S$58</f>
        <v>0</v>
      </c>
      <c r="T20" s="17">
        <f ca="1">SUM($L$20:$S$20)</f>
        <v>0</v>
      </c>
      <c r="U20" s="17">
        <f>'TUSD BE'!$U$20*'TUSD BF'!$U$58</f>
        <v>0</v>
      </c>
      <c r="V20" s="17">
        <f>'TUSD BE'!$V$20*'TUSD BF'!$V$58</f>
        <v>0</v>
      </c>
      <c r="W20" s="17">
        <f>'TUSD BE'!$W$20*'TUSD BF'!$W$58</f>
        <v>0</v>
      </c>
      <c r="X20" s="17">
        <f>'TUSD BE'!$X$20*'TUSD BF'!$X$58</f>
        <v>0</v>
      </c>
      <c r="Y20" s="17">
        <f>'TUSD BE'!$Y$20*'TUSD BF'!$Y$58</f>
        <v>0</v>
      </c>
      <c r="Z20" s="17">
        <f>'TUSD BE'!$Z$20*'TUSD BF'!$Z$58</f>
        <v>0</v>
      </c>
      <c r="AA20" s="17">
        <f>'TUSD BE'!$AA$20*'TUSD BF'!$AA$58</f>
        <v>0</v>
      </c>
      <c r="AB20" s="17">
        <f>SUM($U$20:$AA$20)</f>
        <v>0</v>
      </c>
      <c r="AC20" s="17">
        <f>'TUSD BE'!$AC$20*'TUSD BF'!$AC$58</f>
        <v>0</v>
      </c>
      <c r="AD20" s="17">
        <f>SUM($AC$20:$AC$20)</f>
        <v>0</v>
      </c>
      <c r="AE20" s="17">
        <f ca="1">$AO$20*$AO$55</f>
        <v>0</v>
      </c>
      <c r="AF20" s="17">
        <f ca="1">$AP$20*$AP$55</f>
        <v>0</v>
      </c>
      <c r="AG20" s="17">
        <f ca="1">SUM($AE$20:$AF$20)</f>
        <v>0</v>
      </c>
      <c r="AH20" s="17">
        <f>'TUSD BE'!$AH$20*'TUSD BF'!$AH$58</f>
        <v>0</v>
      </c>
      <c r="AI20" s="17">
        <f>'TUSD BE'!$AI$20*'TUSD BF'!$AI$58</f>
        <v>0</v>
      </c>
      <c r="AJ20" s="17">
        <f ca="1">'TUSD BE'!$AJ$20*'TUSD BF'!$AJ$58</f>
        <v>0</v>
      </c>
      <c r="AK20" s="17">
        <f ca="1">'TUSD BE'!$AK$20*'TUSD BF'!$AK$58</f>
        <v>0</v>
      </c>
      <c r="AL20" s="17">
        <f ca="1">SUM($AH$20:$AK$20)</f>
        <v>0</v>
      </c>
      <c r="AM20" s="17">
        <f ca="1">SUMIF($L$4:$AL$4,"SUBTOTAL",$L$20:$AL$20)</f>
        <v>0</v>
      </c>
      <c r="AO20" s="43">
        <f ca="1">+'TUSD BE'!$T$20+'TUSD BE'!$AB$20+'TUSD BE'!$AD$20+'TUSD BE'!$AL$20</f>
        <v>630.56557927781125</v>
      </c>
      <c r="AP20" s="43">
        <f ca="1">+'TUSD BE'!$T$20+'TUSD BE'!$AB$20+'TUSD BE'!$AD$20+'TUSD BE'!$AL$20</f>
        <v>630.56557927781125</v>
      </c>
    </row>
    <row r="21" spans="1:42" ht="11.25" customHeight="1" x14ac:dyDescent="0.25">
      <c r="A21" s="130"/>
      <c r="B21" s="130"/>
      <c r="C21" s="130"/>
      <c r="D21" s="41" t="s">
        <v>29</v>
      </c>
      <c r="E21" s="41" t="s">
        <v>25</v>
      </c>
      <c r="F21" s="41" t="s">
        <v>25</v>
      </c>
      <c r="G21" s="36" t="s">
        <v>79</v>
      </c>
      <c r="H21" s="36" t="s">
        <v>73</v>
      </c>
      <c r="I21" s="36">
        <f>'MERCADO TUSD'!$U$18</f>
        <v>17.04</v>
      </c>
      <c r="J21" s="16"/>
      <c r="L21" s="17">
        <f>'TUSD BE'!$L$21*'TUSD BF'!$L$58</f>
        <v>0</v>
      </c>
      <c r="M21" s="17">
        <f>'TUSD BE'!$M$21*'TUSD BF'!$M$58</f>
        <v>0</v>
      </c>
      <c r="N21" s="17">
        <f ca="1">'TUSD BE'!$N$21*'TUSD BF'!$N$58</f>
        <v>0</v>
      </c>
      <c r="O21" s="17">
        <f>'TUSD BE'!$O$21*'TUSD BF'!$O$58</f>
        <v>0</v>
      </c>
      <c r="P21" s="17">
        <f>'TUSD BE'!$P$21*'TUSD BF'!$P$58</f>
        <v>0</v>
      </c>
      <c r="Q21" s="17">
        <f>'TUSD BE'!$Q$21*'TUSD BF'!$Q$58</f>
        <v>0</v>
      </c>
      <c r="R21" s="17">
        <f>'TUSD BE'!$R$21*'TUSD BF'!$R$58</f>
        <v>0</v>
      </c>
      <c r="S21" s="17">
        <f>'TUSD BE'!$R$21*'TUSD BF'!$S$58</f>
        <v>0</v>
      </c>
      <c r="T21" s="17">
        <f ca="1">SUM($L$21:$S$21)</f>
        <v>0</v>
      </c>
      <c r="U21" s="17">
        <f>'TUSD BE'!$U$21*'TUSD BF'!$U$58</f>
        <v>0</v>
      </c>
      <c r="V21" s="17">
        <f>'TUSD BE'!$V$21*'TUSD BF'!$V$58</f>
        <v>0</v>
      </c>
      <c r="W21" s="17">
        <f>'TUSD BE'!$W$21*'TUSD BF'!$W$58</f>
        <v>0</v>
      </c>
      <c r="X21" s="17">
        <f>'TUSD BE'!$X$21*'TUSD BF'!$X$58</f>
        <v>0</v>
      </c>
      <c r="Y21" s="17">
        <f>'TUSD BE'!$Y$21*'TUSD BF'!$Y$58</f>
        <v>0</v>
      </c>
      <c r="Z21" s="17">
        <f>'TUSD BE'!$Z$21*'TUSD BF'!$Z$58</f>
        <v>0</v>
      </c>
      <c r="AA21" s="17">
        <f>'TUSD BE'!$AA$21*'TUSD BF'!$AA$58</f>
        <v>0</v>
      </c>
      <c r="AB21" s="17">
        <f>SUM($U$21:$AA$21)</f>
        <v>0</v>
      </c>
      <c r="AC21" s="17">
        <f>'TUSD BE'!$AC$21*'TUSD BF'!$AC$58</f>
        <v>0</v>
      </c>
      <c r="AD21" s="17">
        <f>SUM($AC$21:$AC$21)</f>
        <v>0</v>
      </c>
      <c r="AE21" s="17">
        <f ca="1">$AO$21*$AO$55</f>
        <v>0</v>
      </c>
      <c r="AF21" s="17">
        <f ca="1">$AP$21*$AP$55</f>
        <v>0</v>
      </c>
      <c r="AG21" s="17">
        <f ca="1">SUM($AE$21:$AF$21)</f>
        <v>0</v>
      </c>
      <c r="AH21" s="17">
        <f>'TUSD BE'!$AH$21*'TUSD BF'!$AH$58</f>
        <v>0</v>
      </c>
      <c r="AI21" s="17">
        <f>'TUSD BE'!$AI$21*'TUSD BF'!$AI$58</f>
        <v>0</v>
      </c>
      <c r="AJ21" s="17">
        <f ca="1">'TUSD BE'!$AJ$21*'TUSD BF'!$AJ$58</f>
        <v>0</v>
      </c>
      <c r="AK21" s="17">
        <f ca="1">'TUSD BE'!$AK$21*'TUSD BF'!$AK$58</f>
        <v>0</v>
      </c>
      <c r="AL21" s="17">
        <f ca="1">SUM($AH$21:$AK$21)</f>
        <v>0</v>
      </c>
      <c r="AM21" s="17">
        <f ca="1">SUMIF($L$4:$AL$4,"SUBTOTAL",$L$21:$AL$21)</f>
        <v>0</v>
      </c>
      <c r="AO21" s="43">
        <f ca="1">+'TUSD BE'!$T$21+'TUSD BE'!$AB$21+'TUSD BE'!$AD$21+'TUSD BE'!$AL$21</f>
        <v>530.74129298492369</v>
      </c>
      <c r="AP21" s="43">
        <f ca="1">+'TUSD BE'!$T$21+'TUSD BE'!$AB$21+'TUSD BE'!$AD$21+'TUSD BE'!$AL$21</f>
        <v>530.74129298492369</v>
      </c>
    </row>
    <row r="22" spans="1:42" ht="11.25" customHeight="1" x14ac:dyDescent="0.25">
      <c r="A22" s="130"/>
      <c r="B22" s="130"/>
      <c r="C22" s="130"/>
      <c r="D22" s="41" t="s">
        <v>30</v>
      </c>
      <c r="E22" s="41" t="s">
        <v>25</v>
      </c>
      <c r="F22" s="41" t="s">
        <v>25</v>
      </c>
      <c r="G22" s="36" t="s">
        <v>79</v>
      </c>
      <c r="H22" s="36" t="s">
        <v>73</v>
      </c>
      <c r="I22" s="36">
        <f>'MERCADO TUSD'!$U$19</f>
        <v>36.048999999999999</v>
      </c>
      <c r="J22" s="16"/>
      <c r="L22" s="17">
        <f>'TUSD BE'!$L$22*'TUSD BF'!$L$58</f>
        <v>0</v>
      </c>
      <c r="M22" s="17">
        <f>'TUSD BE'!$M$22*'TUSD BF'!$M$58</f>
        <v>0</v>
      </c>
      <c r="N22" s="17">
        <f ca="1">'TUSD BE'!$N$22*'TUSD BF'!$N$58</f>
        <v>0</v>
      </c>
      <c r="O22" s="17">
        <f>'TUSD BE'!$O$22*'TUSD BF'!$O$58</f>
        <v>0</v>
      </c>
      <c r="P22" s="17">
        <f>'TUSD BE'!$P$22*'TUSD BF'!$P$58</f>
        <v>0</v>
      </c>
      <c r="Q22" s="17">
        <f>'TUSD BE'!$Q$22*'TUSD BF'!$Q$58</f>
        <v>0</v>
      </c>
      <c r="R22" s="17">
        <f>'TUSD BE'!$R$22*'TUSD BF'!$R$58</f>
        <v>0</v>
      </c>
      <c r="S22" s="17">
        <f>'TUSD BE'!$R$22*'TUSD BF'!$S$58</f>
        <v>0</v>
      </c>
      <c r="T22" s="17">
        <f ca="1">SUM($L$22:$S$22)</f>
        <v>0</v>
      </c>
      <c r="U22" s="17">
        <f>'TUSD BE'!$U$22*'TUSD BF'!$U$58</f>
        <v>0</v>
      </c>
      <c r="V22" s="17">
        <f>'TUSD BE'!$V$22*'TUSD BF'!$V$58</f>
        <v>0</v>
      </c>
      <c r="W22" s="17">
        <f>'TUSD BE'!$W$22*'TUSD BF'!$W$58</f>
        <v>0</v>
      </c>
      <c r="X22" s="17">
        <f>'TUSD BE'!$X$22*'TUSD BF'!$X$58</f>
        <v>0</v>
      </c>
      <c r="Y22" s="17">
        <f>'TUSD BE'!$Y$22*'TUSD BF'!$Y$58</f>
        <v>0</v>
      </c>
      <c r="Z22" s="17">
        <f>'TUSD BE'!$Z$22*'TUSD BF'!$Z$58</f>
        <v>0</v>
      </c>
      <c r="AA22" s="17">
        <f>'TUSD BE'!$AA$22*'TUSD BF'!$AA$58</f>
        <v>0</v>
      </c>
      <c r="AB22" s="17">
        <f>SUM($U$22:$AA$22)</f>
        <v>0</v>
      </c>
      <c r="AC22" s="17">
        <f>'TUSD BE'!$AC$22*'TUSD BF'!$AC$58</f>
        <v>0</v>
      </c>
      <c r="AD22" s="17">
        <f>SUM($AC$22:$AC$22)</f>
        <v>0</v>
      </c>
      <c r="AE22" s="17">
        <f ca="1">$AO$22*$AO$55</f>
        <v>0</v>
      </c>
      <c r="AF22" s="17">
        <f ca="1">$AP$22*$AP$55</f>
        <v>0</v>
      </c>
      <c r="AG22" s="17">
        <f ca="1">SUM($AE$22:$AF$22)</f>
        <v>0</v>
      </c>
      <c r="AH22" s="17">
        <f>'TUSD BE'!$AH$22*'TUSD BF'!$AH$58</f>
        <v>0</v>
      </c>
      <c r="AI22" s="17">
        <f>'TUSD BE'!$AI$22*'TUSD BF'!$AI$58</f>
        <v>0</v>
      </c>
      <c r="AJ22" s="17">
        <f ca="1">'TUSD BE'!$AJ$22*'TUSD BF'!$AJ$58</f>
        <v>0</v>
      </c>
      <c r="AK22" s="17">
        <f ca="1">'TUSD BE'!$AK$22*'TUSD BF'!$AK$58</f>
        <v>0</v>
      </c>
      <c r="AL22" s="17">
        <f ca="1">SUM($AH$22:$AK$22)</f>
        <v>0</v>
      </c>
      <c r="AM22" s="17">
        <f ca="1">SUMIF($L$4:$AL$4,"SUBTOTAL",$L$22:$AL$22)</f>
        <v>0</v>
      </c>
      <c r="AO22" s="43">
        <f ca="1">+'TUSD BE'!$T$22+'TUSD BE'!$AB$22+'TUSD BE'!$AD$22+'TUSD BE'!$AL$22</f>
        <v>530.74129298492369</v>
      </c>
      <c r="AP22" s="43">
        <f ca="1">+'TUSD BE'!$T$22+'TUSD BE'!$AB$22+'TUSD BE'!$AD$22+'TUSD BE'!$AL$22</f>
        <v>530.74129298492369</v>
      </c>
    </row>
    <row r="23" spans="1:42" ht="11.25" customHeight="1" x14ac:dyDescent="0.25">
      <c r="A23" s="130"/>
      <c r="B23" s="130"/>
      <c r="C23" s="130"/>
      <c r="D23" s="41" t="s">
        <v>31</v>
      </c>
      <c r="E23" s="41" t="s">
        <v>25</v>
      </c>
      <c r="F23" s="41" t="s">
        <v>25</v>
      </c>
      <c r="G23" s="36" t="s">
        <v>79</v>
      </c>
      <c r="H23" s="36" t="s">
        <v>73</v>
      </c>
      <c r="I23" s="36">
        <f>'MERCADO TUSD'!$U$20</f>
        <v>32.835000000000001</v>
      </c>
      <c r="J23" s="16"/>
      <c r="L23" s="17">
        <f>'TUSD BE'!$L$23*'TUSD BF'!$L$58</f>
        <v>0</v>
      </c>
      <c r="M23" s="17">
        <f>'TUSD BE'!$M$23*'TUSD BF'!$M$58</f>
        <v>0</v>
      </c>
      <c r="N23" s="17">
        <f ca="1">'TUSD BE'!$N$23*'TUSD BF'!$N$58</f>
        <v>0</v>
      </c>
      <c r="O23" s="17">
        <f>'TUSD BE'!$O$23*'TUSD BF'!$O$58</f>
        <v>0</v>
      </c>
      <c r="P23" s="17">
        <f>'TUSD BE'!$P$23*'TUSD BF'!$P$58</f>
        <v>0</v>
      </c>
      <c r="Q23" s="17">
        <f>'TUSD BE'!$Q$23*'TUSD BF'!$Q$58</f>
        <v>0</v>
      </c>
      <c r="R23" s="17">
        <f>'TUSD BE'!$R$23*'TUSD BF'!$R$58</f>
        <v>0</v>
      </c>
      <c r="S23" s="17">
        <f>'TUSD BE'!$R$23*'TUSD BF'!$S$58</f>
        <v>0</v>
      </c>
      <c r="T23" s="17">
        <f ca="1">SUM($L$23:$S$23)</f>
        <v>0</v>
      </c>
      <c r="U23" s="17">
        <f>'TUSD BE'!$U$23*'TUSD BF'!$U$58</f>
        <v>0</v>
      </c>
      <c r="V23" s="17">
        <f>'TUSD BE'!$V$23*'TUSD BF'!$V$58</f>
        <v>0</v>
      </c>
      <c r="W23" s="17">
        <f>'TUSD BE'!$W$23*'TUSD BF'!$W$58</f>
        <v>0</v>
      </c>
      <c r="X23" s="17">
        <f>'TUSD BE'!$X$23*'TUSD BF'!$X$58</f>
        <v>0</v>
      </c>
      <c r="Y23" s="17">
        <f>'TUSD BE'!$Y$23*'TUSD BF'!$Y$58</f>
        <v>0</v>
      </c>
      <c r="Z23" s="17">
        <f>'TUSD BE'!$Z$23*'TUSD BF'!$Z$58</f>
        <v>0</v>
      </c>
      <c r="AA23" s="17">
        <f>'TUSD BE'!$AA$23*'TUSD BF'!$AA$58</f>
        <v>0</v>
      </c>
      <c r="AB23" s="17">
        <f>SUM($U$23:$AA$23)</f>
        <v>0</v>
      </c>
      <c r="AC23" s="17">
        <f>'TUSD BE'!$AC$23*'TUSD BF'!$AC$58</f>
        <v>0</v>
      </c>
      <c r="AD23" s="17">
        <f>SUM($AC$23:$AC$23)</f>
        <v>0</v>
      </c>
      <c r="AE23" s="17">
        <f ca="1">$AO$23*$AO$55</f>
        <v>0</v>
      </c>
      <c r="AF23" s="17">
        <f ca="1">$AP$23*$AP$55</f>
        <v>0</v>
      </c>
      <c r="AG23" s="17">
        <f ca="1">SUM($AE$23:$AF$23)</f>
        <v>0</v>
      </c>
      <c r="AH23" s="17">
        <f>'TUSD BE'!$AH$23*'TUSD BF'!$AH$58</f>
        <v>0</v>
      </c>
      <c r="AI23" s="17">
        <f>'TUSD BE'!$AI$23*'TUSD BF'!$AI$58</f>
        <v>0</v>
      </c>
      <c r="AJ23" s="17">
        <f ca="1">'TUSD BE'!$AJ$23*'TUSD BF'!$AJ$58</f>
        <v>0</v>
      </c>
      <c r="AK23" s="17">
        <f ca="1">'TUSD BE'!$AK$23*'TUSD BF'!$AK$58</f>
        <v>0</v>
      </c>
      <c r="AL23" s="17">
        <f ca="1">SUM($AH$23:$AK$23)</f>
        <v>0</v>
      </c>
      <c r="AM23" s="17">
        <f ca="1">SUMIF($L$4:$AL$4,"SUBTOTAL",$L$23:$AL$23)</f>
        <v>0</v>
      </c>
      <c r="AO23" s="43">
        <f ca="1">+'TUSD BE'!$T$23+'TUSD BE'!$AB$23+'TUSD BE'!$AD$23+'TUSD BE'!$AL$23</f>
        <v>530.74129298492369</v>
      </c>
      <c r="AP23" s="43">
        <f ca="1">+'TUSD BE'!$T$23+'TUSD BE'!$AB$23+'TUSD BE'!$AD$23+'TUSD BE'!$AL$23</f>
        <v>530.74129298492369</v>
      </c>
    </row>
    <row r="24" spans="1:42" ht="11.25" customHeight="1" x14ac:dyDescent="0.25">
      <c r="A24" s="130"/>
      <c r="B24" s="130"/>
      <c r="C24" s="130"/>
      <c r="D24" s="41" t="s">
        <v>32</v>
      </c>
      <c r="E24" s="41" t="s">
        <v>25</v>
      </c>
      <c r="F24" s="41" t="s">
        <v>25</v>
      </c>
      <c r="G24" s="36" t="s">
        <v>79</v>
      </c>
      <c r="H24" s="36" t="s">
        <v>73</v>
      </c>
      <c r="I24" s="36">
        <f>'MERCADO TUSD'!$U$21</f>
        <v>10.568</v>
      </c>
      <c r="J24" s="16"/>
      <c r="L24" s="17">
        <f>'TUSD BE'!$L$24*'TUSD BF'!$L$58</f>
        <v>0</v>
      </c>
      <c r="M24" s="17">
        <f>'TUSD BE'!$M$24*'TUSD BF'!$M$58</f>
        <v>0</v>
      </c>
      <c r="N24" s="17">
        <f ca="1">'TUSD BE'!$N$24*'TUSD BF'!$N$58</f>
        <v>0</v>
      </c>
      <c r="O24" s="17">
        <f>'TUSD BE'!$O$24*'TUSD BF'!$O$58</f>
        <v>0</v>
      </c>
      <c r="P24" s="17">
        <f>'TUSD BE'!$P$24*'TUSD BF'!$P$58</f>
        <v>0</v>
      </c>
      <c r="Q24" s="17">
        <f>'TUSD BE'!$Q$24*'TUSD BF'!$Q$58</f>
        <v>0</v>
      </c>
      <c r="R24" s="17">
        <f>'TUSD BE'!$R$24*'TUSD BF'!$R$58</f>
        <v>0</v>
      </c>
      <c r="S24" s="17">
        <f>'TUSD BE'!$R$24*'TUSD BF'!$S$58</f>
        <v>0</v>
      </c>
      <c r="T24" s="17">
        <f ca="1">SUM($L$24:$S$24)</f>
        <v>0</v>
      </c>
      <c r="U24" s="17">
        <f>'TUSD BE'!$U$24*'TUSD BF'!$U$58</f>
        <v>0</v>
      </c>
      <c r="V24" s="17">
        <f>'TUSD BE'!$V$24*'TUSD BF'!$V$58</f>
        <v>0</v>
      </c>
      <c r="W24" s="17">
        <f>'TUSD BE'!$W$24*'TUSD BF'!$W$58</f>
        <v>0</v>
      </c>
      <c r="X24" s="17">
        <f>'TUSD BE'!$X$24*'TUSD BF'!$X$58</f>
        <v>0</v>
      </c>
      <c r="Y24" s="17">
        <f>'TUSD BE'!$Y$24*'TUSD BF'!$Y$58</f>
        <v>0</v>
      </c>
      <c r="Z24" s="17">
        <f>'TUSD BE'!$Z$24*'TUSD BF'!$Z$58</f>
        <v>0</v>
      </c>
      <c r="AA24" s="17">
        <f>'TUSD BE'!$AA$24*'TUSD BF'!$AA$58</f>
        <v>0</v>
      </c>
      <c r="AB24" s="17">
        <f>SUM($U$24:$AA$24)</f>
        <v>0</v>
      </c>
      <c r="AC24" s="17">
        <f>'TUSD BE'!$AC$24*'TUSD BF'!$AC$58</f>
        <v>0</v>
      </c>
      <c r="AD24" s="17">
        <f>SUM($AC$24:$AC$24)</f>
        <v>0</v>
      </c>
      <c r="AE24" s="17">
        <f ca="1">$AO$24*$AO$55</f>
        <v>0</v>
      </c>
      <c r="AF24" s="17">
        <f ca="1">$AP$24*$AP$55</f>
        <v>0</v>
      </c>
      <c r="AG24" s="17">
        <f ca="1">SUM($AE$24:$AF$24)</f>
        <v>0</v>
      </c>
      <c r="AH24" s="17">
        <f>'TUSD BE'!$AH$24*'TUSD BF'!$AH$58</f>
        <v>0</v>
      </c>
      <c r="AI24" s="17">
        <f>'TUSD BE'!$AI$24*'TUSD BF'!$AI$58</f>
        <v>0</v>
      </c>
      <c r="AJ24" s="17">
        <f ca="1">'TUSD BE'!$AJ$24*'TUSD BF'!$AJ$58</f>
        <v>0</v>
      </c>
      <c r="AK24" s="17">
        <f ca="1">'TUSD BE'!$AK$24*'TUSD BF'!$AK$58</f>
        <v>0</v>
      </c>
      <c r="AL24" s="17">
        <f ca="1">SUM($AH$24:$AK$24)</f>
        <v>0</v>
      </c>
      <c r="AM24" s="17">
        <f ca="1">SUMIF($L$4:$AL$4,"SUBTOTAL",$L$24:$AL$24)</f>
        <v>0</v>
      </c>
      <c r="AO24" s="43">
        <f ca="1">+'TUSD BE'!$T$24+'TUSD BE'!$AB$24+'TUSD BE'!$AD$24+'TUSD BE'!$AL$24</f>
        <v>530.74129298492369</v>
      </c>
      <c r="AP24" s="43">
        <f ca="1">+'TUSD BE'!$T$24+'TUSD BE'!$AB$24+'TUSD BE'!$AD$24+'TUSD BE'!$AL$24</f>
        <v>530.74129298492369</v>
      </c>
    </row>
    <row r="25" spans="1:42" ht="11.25" customHeight="1" x14ac:dyDescent="0.25">
      <c r="A25" s="130"/>
      <c r="B25" s="130" t="s">
        <v>89</v>
      </c>
      <c r="C25" s="130" t="s">
        <v>24</v>
      </c>
      <c r="D25" s="41" t="s">
        <v>24</v>
      </c>
      <c r="E25" s="41" t="s">
        <v>25</v>
      </c>
      <c r="F25" s="41" t="s">
        <v>25</v>
      </c>
      <c r="G25" s="36" t="s">
        <v>79</v>
      </c>
      <c r="H25" s="36" t="s">
        <v>73</v>
      </c>
      <c r="I25" s="36">
        <f>'MERCADO TUSD'!$U$22</f>
        <v>0</v>
      </c>
      <c r="J25" s="16"/>
      <c r="L25" s="17">
        <f>'TUSD BE'!$L$25*'TUSD BF'!$L$58</f>
        <v>0</v>
      </c>
      <c r="M25" s="17">
        <f>'TUSD BE'!$M$25*'TUSD BF'!$M$58</f>
        <v>0</v>
      </c>
      <c r="N25" s="17">
        <f ca="1">'TUSD BE'!$N$25*'TUSD BF'!$N$58</f>
        <v>0</v>
      </c>
      <c r="O25" s="17">
        <f>'TUSD BE'!$O$25*'TUSD BF'!$O$58</f>
        <v>0</v>
      </c>
      <c r="P25" s="17">
        <f>'TUSD BE'!$P$25*'TUSD BF'!$P$58</f>
        <v>0</v>
      </c>
      <c r="Q25" s="17">
        <f>'TUSD BE'!$Q$25*'TUSD BF'!$Q$58</f>
        <v>0</v>
      </c>
      <c r="R25" s="17">
        <f>'TUSD BE'!$R$25*'TUSD BF'!$R$58</f>
        <v>0</v>
      </c>
      <c r="S25" s="17">
        <f>'TUSD BE'!$R$25*'TUSD BF'!$S$58</f>
        <v>0</v>
      </c>
      <c r="T25" s="17">
        <f ca="1">SUM($L$25:$S$25)</f>
        <v>0</v>
      </c>
      <c r="U25" s="17">
        <f>'TUSD BE'!$U$25*'TUSD BF'!$U$58</f>
        <v>0</v>
      </c>
      <c r="V25" s="17">
        <f>'TUSD BE'!$V$25*'TUSD BF'!$V$58</f>
        <v>0</v>
      </c>
      <c r="W25" s="17">
        <f>'TUSD BE'!$W$25*'TUSD BF'!$W$58</f>
        <v>0</v>
      </c>
      <c r="X25" s="17">
        <f>'TUSD BE'!$X$25*'TUSD BF'!$X$58</f>
        <v>0</v>
      </c>
      <c r="Y25" s="17">
        <f>'TUSD BE'!$Y$25*'TUSD BF'!$Y$58</f>
        <v>0</v>
      </c>
      <c r="Z25" s="17">
        <f>'TUSD BE'!$Z$25*'TUSD BF'!$Z$58</f>
        <v>0</v>
      </c>
      <c r="AA25" s="17">
        <f>'TUSD BE'!$AA$25*'TUSD BF'!$AA$58</f>
        <v>0</v>
      </c>
      <c r="AB25" s="17">
        <f>SUM($U$25:$AA$25)</f>
        <v>0</v>
      </c>
      <c r="AC25" s="17">
        <f>'TUSD BE'!$AC$25*'TUSD BF'!$AC$58</f>
        <v>0</v>
      </c>
      <c r="AD25" s="17">
        <f>SUM($AC$25:$AC$25)</f>
        <v>0</v>
      </c>
      <c r="AE25" s="17">
        <f ca="1">$AO$25*$AO$55</f>
        <v>0</v>
      </c>
      <c r="AF25" s="17">
        <f ca="1">$AP$25*$AP$55</f>
        <v>0</v>
      </c>
      <c r="AG25" s="17">
        <f ca="1">SUM($AE$25:$AF$25)</f>
        <v>0</v>
      </c>
      <c r="AH25" s="17">
        <f>'TUSD BE'!$AH$25*'TUSD BF'!$AH$58</f>
        <v>0</v>
      </c>
      <c r="AI25" s="17">
        <f>'TUSD BE'!$AI$25*'TUSD BF'!$AI$58</f>
        <v>0</v>
      </c>
      <c r="AJ25" s="17">
        <f ca="1">'TUSD BE'!$AJ$25*'TUSD BF'!$AJ$58</f>
        <v>0</v>
      </c>
      <c r="AK25" s="17">
        <f ca="1">'TUSD BE'!$AK$25*'TUSD BF'!$AK$58</f>
        <v>0</v>
      </c>
      <c r="AL25" s="17">
        <f ca="1">SUM($AH$25:$AK$25)</f>
        <v>0</v>
      </c>
      <c r="AM25" s="17">
        <f ca="1">SUMIF($L$4:$AL$4,"SUBTOTAL",$L$25:$AL$25)</f>
        <v>0</v>
      </c>
      <c r="AO25" s="43">
        <f ca="1">+'TUSD BE'!$T$25+'TUSD BE'!$AB$25+'TUSD BE'!$AD$25+'TUSD BE'!$AL$25</f>
        <v>630.56557927781125</v>
      </c>
      <c r="AP25" s="43">
        <f ca="1">+'TUSD BE'!$T$25+'TUSD BE'!$AB$25+'TUSD BE'!$AD$25+'TUSD BE'!$AL$25</f>
        <v>630.56557927781125</v>
      </c>
    </row>
    <row r="26" spans="1:42" ht="11.25" customHeight="1" x14ac:dyDescent="0.25">
      <c r="A26" s="130"/>
      <c r="B26" s="130"/>
      <c r="C26" s="130"/>
      <c r="D26" s="41" t="s">
        <v>29</v>
      </c>
      <c r="E26" s="41" t="s">
        <v>25</v>
      </c>
      <c r="F26" s="41" t="s">
        <v>25</v>
      </c>
      <c r="G26" s="36" t="s">
        <v>79</v>
      </c>
      <c r="H26" s="36" t="s">
        <v>73</v>
      </c>
      <c r="I26" s="36">
        <f>'MERCADO TUSD'!$U$23</f>
        <v>0</v>
      </c>
      <c r="J26" s="16"/>
      <c r="L26" s="17">
        <f>'TUSD BE'!$L$26*'TUSD BF'!$L$58</f>
        <v>0</v>
      </c>
      <c r="M26" s="17">
        <f>'TUSD BE'!$M$26*'TUSD BF'!$M$58</f>
        <v>0</v>
      </c>
      <c r="N26" s="17">
        <f ca="1">'TUSD BE'!$N$26*'TUSD BF'!$N$58</f>
        <v>0</v>
      </c>
      <c r="O26" s="17">
        <f>'TUSD BE'!$O$26*'TUSD BF'!$O$58</f>
        <v>0</v>
      </c>
      <c r="P26" s="17">
        <f>'TUSD BE'!$P$26*'TUSD BF'!$P$58</f>
        <v>0</v>
      </c>
      <c r="Q26" s="17">
        <f>'TUSD BE'!$Q$26*'TUSD BF'!$Q$58</f>
        <v>0</v>
      </c>
      <c r="R26" s="17">
        <f>'TUSD BE'!$R$26*'TUSD BF'!$R$58</f>
        <v>0</v>
      </c>
      <c r="S26" s="17">
        <f>'TUSD BE'!$R$26*'TUSD BF'!$S$58</f>
        <v>0</v>
      </c>
      <c r="T26" s="17">
        <f ca="1">SUM($L$26:$S$26)</f>
        <v>0</v>
      </c>
      <c r="U26" s="17">
        <f>'TUSD BE'!$U$26*'TUSD BF'!$U$58</f>
        <v>0</v>
      </c>
      <c r="V26" s="17">
        <f>'TUSD BE'!$V$26*'TUSD BF'!$V$58</f>
        <v>0</v>
      </c>
      <c r="W26" s="17">
        <f>'TUSD BE'!$W$26*'TUSD BF'!$W$58</f>
        <v>0</v>
      </c>
      <c r="X26" s="17">
        <f>'TUSD BE'!$X$26*'TUSD BF'!$X$58</f>
        <v>0</v>
      </c>
      <c r="Y26" s="17">
        <f>'TUSD BE'!$Y$26*'TUSD BF'!$Y$58</f>
        <v>0</v>
      </c>
      <c r="Z26" s="17">
        <f>'TUSD BE'!$Z$26*'TUSD BF'!$Z$58</f>
        <v>0</v>
      </c>
      <c r="AA26" s="17">
        <f>'TUSD BE'!$AA$26*'TUSD BF'!$AA$58</f>
        <v>0</v>
      </c>
      <c r="AB26" s="17">
        <f>SUM($U$26:$AA$26)</f>
        <v>0</v>
      </c>
      <c r="AC26" s="17">
        <f>'TUSD BE'!$AC$26*'TUSD BF'!$AC$58</f>
        <v>0</v>
      </c>
      <c r="AD26" s="17">
        <f>SUM($AC$26:$AC$26)</f>
        <v>0</v>
      </c>
      <c r="AE26" s="17">
        <f ca="1">$AO$26*$AO$55</f>
        <v>0</v>
      </c>
      <c r="AF26" s="17">
        <f ca="1">$AP$26*$AP$55</f>
        <v>0</v>
      </c>
      <c r="AG26" s="17">
        <f ca="1">SUM($AE$26:$AF$26)</f>
        <v>0</v>
      </c>
      <c r="AH26" s="17">
        <f>'TUSD BE'!$AH$26*'TUSD BF'!$AH$58</f>
        <v>0</v>
      </c>
      <c r="AI26" s="17">
        <f>'TUSD BE'!$AI$26*'TUSD BF'!$AI$58</f>
        <v>0</v>
      </c>
      <c r="AJ26" s="17">
        <f ca="1">'TUSD BE'!$AJ$26*'TUSD BF'!$AJ$58</f>
        <v>0</v>
      </c>
      <c r="AK26" s="17">
        <f ca="1">'TUSD BE'!$AK$26*'TUSD BF'!$AK$58</f>
        <v>0</v>
      </c>
      <c r="AL26" s="17">
        <f ca="1">SUM($AH$26:$AK$26)</f>
        <v>0</v>
      </c>
      <c r="AM26" s="17">
        <f ca="1">SUMIF($L$4:$AL$4,"SUBTOTAL",$L$26:$AL$26)</f>
        <v>0</v>
      </c>
      <c r="AO26" s="43">
        <f ca="1">+'TUSD BE'!$T$26+'TUSD BE'!$AB$26+'TUSD BE'!$AD$26+'TUSD BE'!$AL$26</f>
        <v>530.74129298492369</v>
      </c>
      <c r="AP26" s="43">
        <f ca="1">+'TUSD BE'!$T$26+'TUSD BE'!$AB$26+'TUSD BE'!$AD$26+'TUSD BE'!$AL$26</f>
        <v>530.74129298492369</v>
      </c>
    </row>
    <row r="27" spans="1:42" ht="11.25" customHeight="1" x14ac:dyDescent="0.25">
      <c r="A27" s="130"/>
      <c r="B27" s="130"/>
      <c r="C27" s="130"/>
      <c r="D27" s="41" t="s">
        <v>30</v>
      </c>
      <c r="E27" s="41" t="s">
        <v>25</v>
      </c>
      <c r="F27" s="41" t="s">
        <v>25</v>
      </c>
      <c r="G27" s="36" t="s">
        <v>79</v>
      </c>
      <c r="H27" s="36" t="s">
        <v>73</v>
      </c>
      <c r="I27" s="36">
        <f>'MERCADO TUSD'!$U$24</f>
        <v>0</v>
      </c>
      <c r="J27" s="16"/>
      <c r="L27" s="17">
        <f>'TUSD BE'!$L$27*'TUSD BF'!$L$58</f>
        <v>0</v>
      </c>
      <c r="M27" s="17">
        <f>'TUSD BE'!$M$27*'TUSD BF'!$M$58</f>
        <v>0</v>
      </c>
      <c r="N27" s="17">
        <f ca="1">'TUSD BE'!$N$27*'TUSD BF'!$N$58</f>
        <v>0</v>
      </c>
      <c r="O27" s="17">
        <f>'TUSD BE'!$O$27*'TUSD BF'!$O$58</f>
        <v>0</v>
      </c>
      <c r="P27" s="17">
        <f>'TUSD BE'!$P$27*'TUSD BF'!$P$58</f>
        <v>0</v>
      </c>
      <c r="Q27" s="17">
        <f>'TUSD BE'!$Q$27*'TUSD BF'!$Q$58</f>
        <v>0</v>
      </c>
      <c r="R27" s="17">
        <f>'TUSD BE'!$R$27*'TUSD BF'!$R$58</f>
        <v>0</v>
      </c>
      <c r="S27" s="17">
        <f>'TUSD BE'!$R$27*'TUSD BF'!$S$58</f>
        <v>0</v>
      </c>
      <c r="T27" s="17">
        <f ca="1">SUM($L$27:$S$27)</f>
        <v>0</v>
      </c>
      <c r="U27" s="17">
        <f>'TUSD BE'!$U$27*'TUSD BF'!$U$58</f>
        <v>0</v>
      </c>
      <c r="V27" s="17">
        <f>'TUSD BE'!$V$27*'TUSD BF'!$V$58</f>
        <v>0</v>
      </c>
      <c r="W27" s="17">
        <f>'TUSD BE'!$W$27*'TUSD BF'!$W$58</f>
        <v>0</v>
      </c>
      <c r="X27" s="17">
        <f>'TUSD BE'!$X$27*'TUSD BF'!$X$58</f>
        <v>0</v>
      </c>
      <c r="Y27" s="17">
        <f>'TUSD BE'!$Y$27*'TUSD BF'!$Y$58</f>
        <v>0</v>
      </c>
      <c r="Z27" s="17">
        <f>'TUSD BE'!$Z$27*'TUSD BF'!$Z$58</f>
        <v>0</v>
      </c>
      <c r="AA27" s="17">
        <f>'TUSD BE'!$AA$27*'TUSD BF'!$AA$58</f>
        <v>0</v>
      </c>
      <c r="AB27" s="17">
        <f>SUM($U$27:$AA$27)</f>
        <v>0</v>
      </c>
      <c r="AC27" s="17">
        <f>'TUSD BE'!$AC$27*'TUSD BF'!$AC$58</f>
        <v>0</v>
      </c>
      <c r="AD27" s="17">
        <f>SUM($AC$27:$AC$27)</f>
        <v>0</v>
      </c>
      <c r="AE27" s="17">
        <f ca="1">$AO$27*$AO$55</f>
        <v>0</v>
      </c>
      <c r="AF27" s="17">
        <f ca="1">$AP$27*$AP$55</f>
        <v>0</v>
      </c>
      <c r="AG27" s="17">
        <f ca="1">SUM($AE$27:$AF$27)</f>
        <v>0</v>
      </c>
      <c r="AH27" s="17">
        <f>'TUSD BE'!$AH$27*'TUSD BF'!$AH$58</f>
        <v>0</v>
      </c>
      <c r="AI27" s="17">
        <f>'TUSD BE'!$AI$27*'TUSD BF'!$AI$58</f>
        <v>0</v>
      </c>
      <c r="AJ27" s="17">
        <f ca="1">'TUSD BE'!$AJ$27*'TUSD BF'!$AJ$58</f>
        <v>0</v>
      </c>
      <c r="AK27" s="17">
        <f ca="1">'TUSD BE'!$AK$27*'TUSD BF'!$AK$58</f>
        <v>0</v>
      </c>
      <c r="AL27" s="17">
        <f ca="1">SUM($AH$27:$AK$27)</f>
        <v>0</v>
      </c>
      <c r="AM27" s="17">
        <f ca="1">SUMIF($L$4:$AL$4,"SUBTOTAL",$L$27:$AL$27)</f>
        <v>0</v>
      </c>
      <c r="AO27" s="43">
        <f ca="1">+'TUSD BE'!$T$27+'TUSD BE'!$AB$27+'TUSD BE'!$AD$27+'TUSD BE'!$AL$27</f>
        <v>530.74129298492369</v>
      </c>
      <c r="AP27" s="43">
        <f ca="1">+'TUSD BE'!$T$27+'TUSD BE'!$AB$27+'TUSD BE'!$AD$27+'TUSD BE'!$AL$27</f>
        <v>530.74129298492369</v>
      </c>
    </row>
    <row r="28" spans="1:42" ht="11.25" customHeight="1" x14ac:dyDescent="0.25">
      <c r="A28" s="130"/>
      <c r="B28" s="130"/>
      <c r="C28" s="130"/>
      <c r="D28" s="41" t="s">
        <v>31</v>
      </c>
      <c r="E28" s="41" t="s">
        <v>25</v>
      </c>
      <c r="F28" s="41" t="s">
        <v>25</v>
      </c>
      <c r="G28" s="36" t="s">
        <v>79</v>
      </c>
      <c r="H28" s="36" t="s">
        <v>73</v>
      </c>
      <c r="I28" s="36">
        <f>'MERCADO TUSD'!$U$25</f>
        <v>0</v>
      </c>
      <c r="J28" s="16"/>
      <c r="L28" s="17">
        <f>'TUSD BE'!$L$28*'TUSD BF'!$L$58</f>
        <v>0</v>
      </c>
      <c r="M28" s="17">
        <f>'TUSD BE'!$M$28*'TUSD BF'!$M$58</f>
        <v>0</v>
      </c>
      <c r="N28" s="17">
        <f ca="1">'TUSD BE'!$N$28*'TUSD BF'!$N$58</f>
        <v>0</v>
      </c>
      <c r="O28" s="17">
        <f>'TUSD BE'!$O$28*'TUSD BF'!$O$58</f>
        <v>0</v>
      </c>
      <c r="P28" s="17">
        <f>'TUSD BE'!$P$28*'TUSD BF'!$P$58</f>
        <v>0</v>
      </c>
      <c r="Q28" s="17">
        <f>'TUSD BE'!$Q$28*'TUSD BF'!$Q$58</f>
        <v>0</v>
      </c>
      <c r="R28" s="17">
        <f>'TUSD BE'!$R$28*'TUSD BF'!$R$58</f>
        <v>0</v>
      </c>
      <c r="S28" s="17">
        <f>'TUSD BE'!$R$28*'TUSD BF'!$S$58</f>
        <v>0</v>
      </c>
      <c r="T28" s="17">
        <f ca="1">SUM($L$28:$S$28)</f>
        <v>0</v>
      </c>
      <c r="U28" s="17">
        <f>'TUSD BE'!$U$28*'TUSD BF'!$U$58</f>
        <v>0</v>
      </c>
      <c r="V28" s="17">
        <f>'TUSD BE'!$V$28*'TUSD BF'!$V$58</f>
        <v>0</v>
      </c>
      <c r="W28" s="17">
        <f>'TUSD BE'!$W$28*'TUSD BF'!$W$58</f>
        <v>0</v>
      </c>
      <c r="X28" s="17">
        <f>'TUSD BE'!$X$28*'TUSD BF'!$X$58</f>
        <v>0</v>
      </c>
      <c r="Y28" s="17">
        <f>'TUSD BE'!$Y$28*'TUSD BF'!$Y$58</f>
        <v>0</v>
      </c>
      <c r="Z28" s="17">
        <f>'TUSD BE'!$Z$28*'TUSD BF'!$Z$58</f>
        <v>0</v>
      </c>
      <c r="AA28" s="17">
        <f>'TUSD BE'!$AA$28*'TUSD BF'!$AA$58</f>
        <v>0</v>
      </c>
      <c r="AB28" s="17">
        <f>SUM($U$28:$AA$28)</f>
        <v>0</v>
      </c>
      <c r="AC28" s="17">
        <f>'TUSD BE'!$AC$28*'TUSD BF'!$AC$58</f>
        <v>0</v>
      </c>
      <c r="AD28" s="17">
        <f>SUM($AC$28:$AC$28)</f>
        <v>0</v>
      </c>
      <c r="AE28" s="17">
        <f ca="1">$AO$28*$AO$55</f>
        <v>0</v>
      </c>
      <c r="AF28" s="17">
        <f ca="1">$AP$28*$AP$55</f>
        <v>0</v>
      </c>
      <c r="AG28" s="17">
        <f ca="1">SUM($AE$28:$AF$28)</f>
        <v>0</v>
      </c>
      <c r="AH28" s="17">
        <f>'TUSD BE'!$AH$28*'TUSD BF'!$AH$58</f>
        <v>0</v>
      </c>
      <c r="AI28" s="17">
        <f>'TUSD BE'!$AI$28*'TUSD BF'!$AI$58</f>
        <v>0</v>
      </c>
      <c r="AJ28" s="17">
        <f ca="1">'TUSD BE'!$AJ$28*'TUSD BF'!$AJ$58</f>
        <v>0</v>
      </c>
      <c r="AK28" s="17">
        <f ca="1">'TUSD BE'!$AK$28*'TUSD BF'!$AK$58</f>
        <v>0</v>
      </c>
      <c r="AL28" s="17">
        <f ca="1">SUM($AH$28:$AK$28)</f>
        <v>0</v>
      </c>
      <c r="AM28" s="17">
        <f ca="1">SUMIF($L$4:$AL$4,"SUBTOTAL",$L$28:$AL$28)</f>
        <v>0</v>
      </c>
      <c r="AO28" s="43">
        <f ca="1">+'TUSD BE'!$T$28+'TUSD BE'!$AB$28+'TUSD BE'!$AD$28+'TUSD BE'!$AL$28</f>
        <v>530.74129298492369</v>
      </c>
      <c r="AP28" s="43">
        <f ca="1">+'TUSD BE'!$T$28+'TUSD BE'!$AB$28+'TUSD BE'!$AD$28+'TUSD BE'!$AL$28</f>
        <v>530.74129298492369</v>
      </c>
    </row>
    <row r="29" spans="1:42" ht="11.25" customHeight="1" x14ac:dyDescent="0.25">
      <c r="A29" s="130"/>
      <c r="B29" s="130"/>
      <c r="C29" s="130"/>
      <c r="D29" s="41" t="s">
        <v>32</v>
      </c>
      <c r="E29" s="41" t="s">
        <v>25</v>
      </c>
      <c r="F29" s="41" t="s">
        <v>25</v>
      </c>
      <c r="G29" s="36" t="s">
        <v>79</v>
      </c>
      <c r="H29" s="36" t="s">
        <v>73</v>
      </c>
      <c r="I29" s="36">
        <f>'MERCADO TUSD'!$U$26</f>
        <v>0</v>
      </c>
      <c r="J29" s="16"/>
      <c r="L29" s="17">
        <f>'TUSD BE'!$L$29*'TUSD BF'!$L$58</f>
        <v>0</v>
      </c>
      <c r="M29" s="17">
        <f>'TUSD BE'!$M$29*'TUSD BF'!$M$58</f>
        <v>0</v>
      </c>
      <c r="N29" s="17">
        <f ca="1">'TUSD BE'!$N$29*'TUSD BF'!$N$58</f>
        <v>0</v>
      </c>
      <c r="O29" s="17">
        <f>'TUSD BE'!$O$29*'TUSD BF'!$O$58</f>
        <v>0</v>
      </c>
      <c r="P29" s="17">
        <f>'TUSD BE'!$P$29*'TUSD BF'!$P$58</f>
        <v>0</v>
      </c>
      <c r="Q29" s="17">
        <f>'TUSD BE'!$Q$29*'TUSD BF'!$Q$58</f>
        <v>0</v>
      </c>
      <c r="R29" s="17">
        <f>'TUSD BE'!$R$29*'TUSD BF'!$R$58</f>
        <v>0</v>
      </c>
      <c r="S29" s="17">
        <f>'TUSD BE'!$R$29*'TUSD BF'!$S$58</f>
        <v>0</v>
      </c>
      <c r="T29" s="17">
        <f ca="1">SUM($L$29:$S$29)</f>
        <v>0</v>
      </c>
      <c r="U29" s="17">
        <f>'TUSD BE'!$U$29*'TUSD BF'!$U$58</f>
        <v>0</v>
      </c>
      <c r="V29" s="17">
        <f>'TUSD BE'!$V$29*'TUSD BF'!$V$58</f>
        <v>0</v>
      </c>
      <c r="W29" s="17">
        <f>'TUSD BE'!$W$29*'TUSD BF'!$W$58</f>
        <v>0</v>
      </c>
      <c r="X29" s="17">
        <f>'TUSD BE'!$X$29*'TUSD BF'!$X$58</f>
        <v>0</v>
      </c>
      <c r="Y29" s="17">
        <f>'TUSD BE'!$Y$29*'TUSD BF'!$Y$58</f>
        <v>0</v>
      </c>
      <c r="Z29" s="17">
        <f>'TUSD BE'!$Z$29*'TUSD BF'!$Z$58</f>
        <v>0</v>
      </c>
      <c r="AA29" s="17">
        <f>'TUSD BE'!$AA$29*'TUSD BF'!$AA$58</f>
        <v>0</v>
      </c>
      <c r="AB29" s="17">
        <f>SUM($U$29:$AA$29)</f>
        <v>0</v>
      </c>
      <c r="AC29" s="17">
        <f>'TUSD BE'!$AC$29*'TUSD BF'!$AC$58</f>
        <v>0</v>
      </c>
      <c r="AD29" s="17">
        <f>SUM($AC$29:$AC$29)</f>
        <v>0</v>
      </c>
      <c r="AE29" s="17">
        <f ca="1">$AO$29*$AO$55</f>
        <v>0</v>
      </c>
      <c r="AF29" s="17">
        <f ca="1">$AP$29*$AP$55</f>
        <v>0</v>
      </c>
      <c r="AG29" s="17">
        <f ca="1">SUM($AE$29:$AF$29)</f>
        <v>0</v>
      </c>
      <c r="AH29" s="17">
        <f>'TUSD BE'!$AH$29*'TUSD BF'!$AH$58</f>
        <v>0</v>
      </c>
      <c r="AI29" s="17">
        <f>'TUSD BE'!$AI$29*'TUSD BF'!$AI$58</f>
        <v>0</v>
      </c>
      <c r="AJ29" s="17">
        <f ca="1">'TUSD BE'!$AJ$29*'TUSD BF'!$AJ$58</f>
        <v>0</v>
      </c>
      <c r="AK29" s="17">
        <f ca="1">'TUSD BE'!$AK$29*'TUSD BF'!$AK$58</f>
        <v>0</v>
      </c>
      <c r="AL29" s="17">
        <f ca="1">SUM($AH$29:$AK$29)</f>
        <v>0</v>
      </c>
      <c r="AM29" s="17">
        <f ca="1">SUMIF($L$4:$AL$4,"SUBTOTAL",$L$29:$AL$29)</f>
        <v>0</v>
      </c>
      <c r="AO29" s="43">
        <f ca="1">+'TUSD BE'!$T$29+'TUSD BE'!$AB$29+'TUSD BE'!$AD$29+'TUSD BE'!$AL$29</f>
        <v>530.74129298492369</v>
      </c>
      <c r="AP29" s="43">
        <f ca="1">+'TUSD BE'!$T$29+'TUSD BE'!$AB$29+'TUSD BE'!$AD$29+'TUSD BE'!$AL$29</f>
        <v>530.74129298492369</v>
      </c>
    </row>
    <row r="30" spans="1:42" ht="11.25" customHeight="1" x14ac:dyDescent="0.25">
      <c r="A30" s="130" t="s">
        <v>40</v>
      </c>
      <c r="B30" s="130" t="s">
        <v>87</v>
      </c>
      <c r="C30" s="130" t="s">
        <v>41</v>
      </c>
      <c r="D30" s="130" t="s">
        <v>25</v>
      </c>
      <c r="E30" s="130" t="s">
        <v>25</v>
      </c>
      <c r="F30" s="130" t="s">
        <v>25</v>
      </c>
      <c r="G30" s="36" t="s">
        <v>74</v>
      </c>
      <c r="H30" s="36" t="s">
        <v>73</v>
      </c>
      <c r="I30" s="36">
        <f>'MERCADO TUSD'!$U$27</f>
        <v>0</v>
      </c>
      <c r="J30" s="16"/>
      <c r="L30" s="17">
        <f>'TUSD BE'!$L$30*'TUSD BF'!$L$58</f>
        <v>0</v>
      </c>
      <c r="M30" s="17">
        <f>'TUSD BE'!$M$30*'TUSD BF'!$M$58</f>
        <v>0</v>
      </c>
      <c r="N30" s="17">
        <f ca="1">'TUSD BE'!$N$30*'TUSD BF'!$N$58</f>
        <v>0</v>
      </c>
      <c r="O30" s="17">
        <f>'TUSD BE'!$O$30*'TUSD BF'!$O$58</f>
        <v>0</v>
      </c>
      <c r="P30" s="17">
        <f>'TUSD BE'!$P$30*'TUSD BF'!$P$58</f>
        <v>0</v>
      </c>
      <c r="Q30" s="17">
        <f>'TUSD BE'!$Q$30*'TUSD BF'!$Q$58</f>
        <v>0</v>
      </c>
      <c r="R30" s="17">
        <f>'TUSD BE'!$R$30*'TUSD BF'!$R$58</f>
        <v>0</v>
      </c>
      <c r="S30" s="17">
        <f>'TUSD BE'!$R$30*'TUSD BF'!$S$58</f>
        <v>0</v>
      </c>
      <c r="T30" s="17">
        <f ca="1">SUM($L$30:$S$30)</f>
        <v>0</v>
      </c>
      <c r="U30" s="17">
        <f>'TUSD BE'!$U$30*'TUSD BF'!$U$58</f>
        <v>0</v>
      </c>
      <c r="V30" s="17">
        <f>'TUSD BE'!$V$30*'TUSD BF'!$V$58</f>
        <v>0</v>
      </c>
      <c r="W30" s="17">
        <f>'TUSD BE'!$W$30*'TUSD BF'!$W$58</f>
        <v>0</v>
      </c>
      <c r="X30" s="17">
        <f>'TUSD BE'!$X$30*'TUSD BF'!$X$58</f>
        <v>0</v>
      </c>
      <c r="Y30" s="17">
        <f>'TUSD BE'!$Y$30*'TUSD BF'!$Y$58</f>
        <v>0</v>
      </c>
      <c r="Z30" s="17">
        <f>'TUSD BE'!$Z$30*'TUSD BF'!$Z$58</f>
        <v>0</v>
      </c>
      <c r="AA30" s="17">
        <f>'TUSD BE'!$AA$30*'TUSD BF'!$AA$58</f>
        <v>0</v>
      </c>
      <c r="AB30" s="17">
        <f>SUM($U$30:$AA$30)</f>
        <v>0</v>
      </c>
      <c r="AC30" s="17">
        <f>'TUSD BE'!$AC$30*'TUSD BF'!$AC$58</f>
        <v>0</v>
      </c>
      <c r="AD30" s="17">
        <f>SUM($AC$30:$AC$30)</f>
        <v>0</v>
      </c>
      <c r="AE30" s="17">
        <f ca="1">$AO$30*$AO$55</f>
        <v>0</v>
      </c>
      <c r="AF30" s="17">
        <f ca="1">$AP$30*$AP$55</f>
        <v>0</v>
      </c>
      <c r="AG30" s="17">
        <f ca="1">SUM($AE$30:$AF$30)</f>
        <v>0</v>
      </c>
      <c r="AH30" s="17">
        <f>'TUSD BE'!$AH$30*'TUSD BF'!$AH$58</f>
        <v>0</v>
      </c>
      <c r="AI30" s="17">
        <f>'TUSD BE'!$AI$30*'TUSD BF'!$AI$58</f>
        <v>0</v>
      </c>
      <c r="AJ30" s="17">
        <f ca="1">'TUSD BE'!$AJ$30*'TUSD BF'!$AJ$58</f>
        <v>0</v>
      </c>
      <c r="AK30" s="17">
        <f ca="1">'TUSD BE'!$AK$30*'TUSD BF'!$AK$58</f>
        <v>0</v>
      </c>
      <c r="AL30" s="17">
        <f ca="1">SUM($AH$30:$AK$30)</f>
        <v>0</v>
      </c>
      <c r="AM30" s="17">
        <f ca="1">SUMIF($L$4:$AL$4,"SUBTOTAL",$L$30:$AL$30)</f>
        <v>0</v>
      </c>
      <c r="AO30" s="43">
        <f ca="1">+'TUSD BE'!$T$30+'TUSD BE'!$AB$30+'TUSD BE'!$AD$30+'TUSD BE'!$AL$30</f>
        <v>1352.5859473530311</v>
      </c>
      <c r="AP30" s="43">
        <f ca="1">+'TUSD BE'!$T$30+'TUSD BE'!$AB$30+'TUSD BE'!$AD$30+'TUSD BE'!$AL$30</f>
        <v>1352.5859473530311</v>
      </c>
    </row>
    <row r="31" spans="1:42" ht="11.25" customHeight="1" x14ac:dyDescent="0.25">
      <c r="A31" s="130"/>
      <c r="B31" s="130"/>
      <c r="C31" s="130"/>
      <c r="D31" s="130"/>
      <c r="E31" s="130"/>
      <c r="F31" s="130"/>
      <c r="G31" s="36" t="s">
        <v>85</v>
      </c>
      <c r="H31" s="36" t="s">
        <v>73</v>
      </c>
      <c r="I31" s="36">
        <f>'MERCADO TUSD'!$U$28</f>
        <v>0</v>
      </c>
      <c r="J31" s="16"/>
      <c r="L31" s="17">
        <f>'TUSD BE'!$L$31*'TUSD BF'!$L$58</f>
        <v>0</v>
      </c>
      <c r="M31" s="17">
        <f>'TUSD BE'!$M$31*'TUSD BF'!$M$58</f>
        <v>0</v>
      </c>
      <c r="N31" s="17">
        <f ca="1">'TUSD BE'!$N$31*'TUSD BF'!$N$58</f>
        <v>0</v>
      </c>
      <c r="O31" s="17">
        <f>'TUSD BE'!$O$31*'TUSD BF'!$O$58</f>
        <v>0</v>
      </c>
      <c r="P31" s="17">
        <f>'TUSD BE'!$P$31*'TUSD BF'!$P$58</f>
        <v>0</v>
      </c>
      <c r="Q31" s="17">
        <f>'TUSD BE'!$Q$31*'TUSD BF'!$Q$58</f>
        <v>0</v>
      </c>
      <c r="R31" s="17">
        <f>'TUSD BE'!$R$31*'TUSD BF'!$R$58</f>
        <v>0</v>
      </c>
      <c r="S31" s="17">
        <f>'TUSD BE'!$R$31*'TUSD BF'!$S$58</f>
        <v>0</v>
      </c>
      <c r="T31" s="17">
        <f ca="1">SUM($L$31:$S$31)</f>
        <v>0</v>
      </c>
      <c r="U31" s="17">
        <f>'TUSD BE'!$U$31*'TUSD BF'!$U$58</f>
        <v>0</v>
      </c>
      <c r="V31" s="17">
        <f>'TUSD BE'!$V$31*'TUSD BF'!$V$58</f>
        <v>0</v>
      </c>
      <c r="W31" s="17">
        <f>'TUSD BE'!$W$31*'TUSD BF'!$W$58</f>
        <v>0</v>
      </c>
      <c r="X31" s="17">
        <f>'TUSD BE'!$X$31*'TUSD BF'!$X$58</f>
        <v>0</v>
      </c>
      <c r="Y31" s="17">
        <f>'TUSD BE'!$Y$31*'TUSD BF'!$Y$58</f>
        <v>0</v>
      </c>
      <c r="Z31" s="17">
        <f>'TUSD BE'!$Z$31*'TUSD BF'!$Z$58</f>
        <v>0</v>
      </c>
      <c r="AA31" s="17">
        <f>'TUSD BE'!$AA$31*'TUSD BF'!$AA$58</f>
        <v>0</v>
      </c>
      <c r="AB31" s="17">
        <f>SUM($U$31:$AA$31)</f>
        <v>0</v>
      </c>
      <c r="AC31" s="17">
        <f>'TUSD BE'!$AC$31*'TUSD BF'!$AC$58</f>
        <v>0</v>
      </c>
      <c r="AD31" s="17">
        <f>SUM($AC$31:$AC$31)</f>
        <v>0</v>
      </c>
      <c r="AE31" s="17">
        <f ca="1">$AO$31*$AO$55</f>
        <v>0</v>
      </c>
      <c r="AF31" s="17">
        <f ca="1">$AP$31*$AP$55</f>
        <v>0</v>
      </c>
      <c r="AG31" s="17">
        <f ca="1">SUM($AE$31:$AF$31)</f>
        <v>0</v>
      </c>
      <c r="AH31" s="17">
        <f>'TUSD BE'!$AH$31*'TUSD BF'!$AH$58</f>
        <v>0</v>
      </c>
      <c r="AI31" s="17">
        <f>'TUSD BE'!$AI$31*'TUSD BF'!$AI$58</f>
        <v>0</v>
      </c>
      <c r="AJ31" s="17">
        <f ca="1">'TUSD BE'!$AJ$31*'TUSD BF'!$AJ$58</f>
        <v>0</v>
      </c>
      <c r="AK31" s="17">
        <f ca="1">'TUSD BE'!$AK$31*'TUSD BF'!$AK$58</f>
        <v>0</v>
      </c>
      <c r="AL31" s="17">
        <f ca="1">SUM($AH$31:$AK$31)</f>
        <v>0</v>
      </c>
      <c r="AM31" s="17">
        <f ca="1">SUMIF($L$4:$AL$4,"SUBTOTAL",$L$31:$AL$31)</f>
        <v>0</v>
      </c>
      <c r="AO31" s="43">
        <f ca="1">+'TUSD BE'!$T$31+'TUSD BE'!$AB$31+'TUSD BE'!$AD$31+'TUSD BE'!$AL$31</f>
        <v>865.53604055913263</v>
      </c>
      <c r="AP31" s="43">
        <f ca="1">+'TUSD BE'!$T$31+'TUSD BE'!$AB$31+'TUSD BE'!$AD$31+'TUSD BE'!$AL$31</f>
        <v>865.53604055913263</v>
      </c>
    </row>
    <row r="32" spans="1:42" ht="11.25" customHeight="1" x14ac:dyDescent="0.25">
      <c r="A32" s="130"/>
      <c r="B32" s="130"/>
      <c r="C32" s="130"/>
      <c r="D32" s="130"/>
      <c r="E32" s="130"/>
      <c r="F32" s="130"/>
      <c r="G32" s="36" t="s">
        <v>75</v>
      </c>
      <c r="H32" s="36" t="s">
        <v>73</v>
      </c>
      <c r="I32" s="36">
        <f>'MERCADO TUSD'!$U$29</f>
        <v>0</v>
      </c>
      <c r="J32" s="16"/>
      <c r="L32" s="17">
        <f>'TUSD BE'!$L$32*'TUSD BF'!$L$58</f>
        <v>0</v>
      </c>
      <c r="M32" s="17">
        <f>'TUSD BE'!$M$32*'TUSD BF'!$M$58</f>
        <v>0</v>
      </c>
      <c r="N32" s="17">
        <f ca="1">'TUSD BE'!$N$32*'TUSD BF'!$N$58</f>
        <v>0</v>
      </c>
      <c r="O32" s="17">
        <f>'TUSD BE'!$O$32*'TUSD BF'!$O$58</f>
        <v>0</v>
      </c>
      <c r="P32" s="17">
        <f>'TUSD BE'!$P$32*'TUSD BF'!$P$58</f>
        <v>0</v>
      </c>
      <c r="Q32" s="17">
        <f>'TUSD BE'!$Q$32*'TUSD BF'!$Q$58</f>
        <v>0</v>
      </c>
      <c r="R32" s="17">
        <f>'TUSD BE'!$R$32*'TUSD BF'!$R$58</f>
        <v>0</v>
      </c>
      <c r="S32" s="17">
        <f>'TUSD BE'!$R$32*'TUSD BF'!$S$58</f>
        <v>0</v>
      </c>
      <c r="T32" s="17">
        <f ca="1">SUM($L$32:$S$32)</f>
        <v>0</v>
      </c>
      <c r="U32" s="17">
        <f>'TUSD BE'!$U$32*'TUSD BF'!$U$58</f>
        <v>0</v>
      </c>
      <c r="V32" s="17">
        <f>'TUSD BE'!$V$32*'TUSD BF'!$V$58</f>
        <v>0</v>
      </c>
      <c r="W32" s="17">
        <f>'TUSD BE'!$W$32*'TUSD BF'!$W$58</f>
        <v>0</v>
      </c>
      <c r="X32" s="17">
        <f>'TUSD BE'!$X$32*'TUSD BF'!$X$58</f>
        <v>0</v>
      </c>
      <c r="Y32" s="17">
        <f>'TUSD BE'!$Y$32*'TUSD BF'!$Y$58</f>
        <v>0</v>
      </c>
      <c r="Z32" s="17">
        <f>'TUSD BE'!$Z$32*'TUSD BF'!$Z$58</f>
        <v>0</v>
      </c>
      <c r="AA32" s="17">
        <f>'TUSD BE'!$AA$32*'TUSD BF'!$AA$58</f>
        <v>0</v>
      </c>
      <c r="AB32" s="17">
        <f>SUM($U$32:$AA$32)</f>
        <v>0</v>
      </c>
      <c r="AC32" s="17">
        <f>'TUSD BE'!$AC$32*'TUSD BF'!$AC$58</f>
        <v>0</v>
      </c>
      <c r="AD32" s="17">
        <f>SUM($AC$32:$AC$32)</f>
        <v>0</v>
      </c>
      <c r="AE32" s="17">
        <f ca="1">$AO$32*$AO$55</f>
        <v>0</v>
      </c>
      <c r="AF32" s="17">
        <f ca="1">$AP$32*$AP$55</f>
        <v>0</v>
      </c>
      <c r="AG32" s="17">
        <f ca="1">SUM($AE$32:$AF$32)</f>
        <v>0</v>
      </c>
      <c r="AH32" s="17">
        <f>'TUSD BE'!$AH$32*'TUSD BF'!$AH$58</f>
        <v>0</v>
      </c>
      <c r="AI32" s="17">
        <f>'TUSD BE'!$AI$32*'TUSD BF'!$AI$58</f>
        <v>0</v>
      </c>
      <c r="AJ32" s="17">
        <f ca="1">'TUSD BE'!$AJ$32*'TUSD BF'!$AJ$58</f>
        <v>0</v>
      </c>
      <c r="AK32" s="17">
        <f ca="1">'TUSD BE'!$AK$32*'TUSD BF'!$AK$58</f>
        <v>0</v>
      </c>
      <c r="AL32" s="17">
        <f ca="1">SUM($AH$32:$AK$32)</f>
        <v>0</v>
      </c>
      <c r="AM32" s="17">
        <f ca="1">SUMIF($L$4:$AL$4,"SUBTOTAL",$L$32:$AL$32)</f>
        <v>0</v>
      </c>
      <c r="AO32" s="43">
        <f ca="1">+'TUSD BE'!$T$32+'TUSD BE'!$AB$32+'TUSD BE'!$AD$32+'TUSD BE'!$AL$32</f>
        <v>378.52014276779971</v>
      </c>
      <c r="AP32" s="43">
        <f ca="1">+'TUSD BE'!$T$32+'TUSD BE'!$AB$32+'TUSD BE'!$AD$32+'TUSD BE'!$AL$32</f>
        <v>378.52014276779971</v>
      </c>
    </row>
    <row r="33" spans="1:42" ht="11.25" customHeight="1" x14ac:dyDescent="0.25">
      <c r="A33" s="130"/>
      <c r="B33" s="41" t="s">
        <v>23</v>
      </c>
      <c r="C33" s="41" t="s">
        <v>41</v>
      </c>
      <c r="D33" s="41" t="s">
        <v>25</v>
      </c>
      <c r="E33" s="41" t="s">
        <v>25</v>
      </c>
      <c r="F33" s="41" t="s">
        <v>25</v>
      </c>
      <c r="G33" s="36" t="s">
        <v>79</v>
      </c>
      <c r="H33" s="36" t="s">
        <v>73</v>
      </c>
      <c r="I33" s="36">
        <f>'MERCADO TUSD'!$U$30</f>
        <v>55907.260999999999</v>
      </c>
      <c r="J33" s="16"/>
      <c r="L33" s="17">
        <f>'TUSD BE'!$L$33*'TUSD BF'!$L$58</f>
        <v>0</v>
      </c>
      <c r="M33" s="17">
        <f>'TUSD BE'!$M$33*'TUSD BF'!$M$58</f>
        <v>0</v>
      </c>
      <c r="N33" s="17">
        <f ca="1">'TUSD BE'!$N$33*'TUSD BF'!$N$58</f>
        <v>0</v>
      </c>
      <c r="O33" s="17">
        <f>'TUSD BE'!$O$33*'TUSD BF'!$O$58</f>
        <v>0</v>
      </c>
      <c r="P33" s="17">
        <f>'TUSD BE'!$P$33*'TUSD BF'!$P$58</f>
        <v>0</v>
      </c>
      <c r="Q33" s="17">
        <f>'TUSD BE'!$Q$33*'TUSD BF'!$Q$58</f>
        <v>0</v>
      </c>
      <c r="R33" s="17">
        <f>'TUSD BE'!$R$33*'TUSD BF'!$R$58</f>
        <v>0</v>
      </c>
      <c r="S33" s="17">
        <f>'TUSD BE'!$R$33*'TUSD BF'!$S$58</f>
        <v>0</v>
      </c>
      <c r="T33" s="17">
        <f ca="1">SUM($L$33:$S$33)</f>
        <v>0</v>
      </c>
      <c r="U33" s="17">
        <f>'TUSD BE'!$U$33*'TUSD BF'!$U$58</f>
        <v>0</v>
      </c>
      <c r="V33" s="17">
        <f>'TUSD BE'!$V$33*'TUSD BF'!$V$58</f>
        <v>0</v>
      </c>
      <c r="W33" s="17">
        <f>'TUSD BE'!$W$33*'TUSD BF'!$W$58</f>
        <v>0</v>
      </c>
      <c r="X33" s="17">
        <f>'TUSD BE'!$X$33*'TUSD BF'!$X$58</f>
        <v>0</v>
      </c>
      <c r="Y33" s="17">
        <f>'TUSD BE'!$Y$33*'TUSD BF'!$Y$58</f>
        <v>0</v>
      </c>
      <c r="Z33" s="17">
        <f>'TUSD BE'!$Z$33*'TUSD BF'!$Z$58</f>
        <v>0</v>
      </c>
      <c r="AA33" s="17">
        <f>'TUSD BE'!$AA$33*'TUSD BF'!$AA$58</f>
        <v>0</v>
      </c>
      <c r="AB33" s="17">
        <f>SUM($U$33:$AA$33)</f>
        <v>0</v>
      </c>
      <c r="AC33" s="17">
        <f>'TUSD BE'!$AC$33*'TUSD BF'!$AC$58</f>
        <v>0</v>
      </c>
      <c r="AD33" s="17">
        <f>SUM($AC$33:$AC$33)</f>
        <v>0</v>
      </c>
      <c r="AE33" s="17">
        <f ca="1">$AO$33*$AO$55</f>
        <v>0</v>
      </c>
      <c r="AF33" s="17">
        <f ca="1">$AP$33*$AP$55</f>
        <v>0</v>
      </c>
      <c r="AG33" s="17">
        <f ca="1">SUM($AE$33:$AF$33)</f>
        <v>0</v>
      </c>
      <c r="AH33" s="17">
        <f>'TUSD BE'!$AH$33*'TUSD BF'!$AH$58</f>
        <v>0</v>
      </c>
      <c r="AI33" s="17">
        <f>'TUSD BE'!$AI$33*'TUSD BF'!$AI$58</f>
        <v>0</v>
      </c>
      <c r="AJ33" s="17">
        <f ca="1">'TUSD BE'!$AJ$33*'TUSD BF'!$AJ$58</f>
        <v>0</v>
      </c>
      <c r="AK33" s="17">
        <f ca="1">'TUSD BE'!$AK$33*'TUSD BF'!$AK$58</f>
        <v>0</v>
      </c>
      <c r="AL33" s="17">
        <f ca="1">SUM($AH$33:$AK$33)</f>
        <v>0</v>
      </c>
      <c r="AM33" s="17">
        <f ca="1">SUMIF($L$4:$AL$4,"SUBTOTAL",$L$33:$AL$33)</f>
        <v>0</v>
      </c>
      <c r="AO33" s="43">
        <f ca="1">+'TUSD BE'!$T$33+'TUSD BE'!$AB$33+'TUSD BE'!$AD$33+'TUSD BE'!$AL$33</f>
        <v>630.56557927781125</v>
      </c>
      <c r="AP33" s="43">
        <f ca="1">+'TUSD BE'!$T$33+'TUSD BE'!$AB$33+'TUSD BE'!$AD$33+'TUSD BE'!$AL$33</f>
        <v>630.56557927781125</v>
      </c>
    </row>
    <row r="34" spans="1:42" ht="11.25" customHeight="1" x14ac:dyDescent="0.25">
      <c r="A34" s="130"/>
      <c r="B34" s="130" t="s">
        <v>87</v>
      </c>
      <c r="C34" s="130" t="s">
        <v>41</v>
      </c>
      <c r="D34" s="130" t="s">
        <v>90</v>
      </c>
      <c r="E34" s="130" t="s">
        <v>25</v>
      </c>
      <c r="F34" s="130" t="s">
        <v>25</v>
      </c>
      <c r="G34" s="36" t="s">
        <v>74</v>
      </c>
      <c r="H34" s="36" t="s">
        <v>73</v>
      </c>
      <c r="I34" s="36">
        <f>'MERCADO TUSD'!$U$31</f>
        <v>0</v>
      </c>
      <c r="J34" s="16"/>
      <c r="L34" s="17">
        <f>'TUSD BE'!$L$34*'TUSD BF'!$L$58</f>
        <v>0</v>
      </c>
      <c r="M34" s="17">
        <f>'TUSD BE'!$M$34*'TUSD BF'!$M$58</f>
        <v>0</v>
      </c>
      <c r="N34" s="17">
        <f ca="1">'TUSD BE'!$N$34*'TUSD BF'!$N$58</f>
        <v>0</v>
      </c>
      <c r="O34" s="17">
        <f>'TUSD BE'!$O$34*'TUSD BF'!$O$58</f>
        <v>0</v>
      </c>
      <c r="P34" s="17">
        <f>'TUSD BE'!$P$34*'TUSD BF'!$P$58</f>
        <v>0</v>
      </c>
      <c r="Q34" s="17">
        <f>'TUSD BE'!$Q$34*'TUSD BF'!$Q$58</f>
        <v>0</v>
      </c>
      <c r="R34" s="17">
        <f>'TUSD BE'!$R$34*'TUSD BF'!$R$58</f>
        <v>0</v>
      </c>
      <c r="S34" s="17">
        <f>'TUSD BE'!$R$34*'TUSD BF'!$S$58</f>
        <v>0</v>
      </c>
      <c r="T34" s="17">
        <f ca="1">SUM($L$34:$S$34)</f>
        <v>0</v>
      </c>
      <c r="U34" s="17">
        <f>'TUSD BE'!$U$34*'TUSD BF'!$U$58</f>
        <v>0</v>
      </c>
      <c r="V34" s="17">
        <f>'TUSD BE'!$V$34*'TUSD BF'!$V$58</f>
        <v>0</v>
      </c>
      <c r="W34" s="17">
        <f>'TUSD BE'!$W$34*'TUSD BF'!$W$58</f>
        <v>0</v>
      </c>
      <c r="X34" s="17">
        <f>'TUSD BE'!$X$34*'TUSD BF'!$X$58</f>
        <v>0</v>
      </c>
      <c r="Y34" s="17">
        <f>'TUSD BE'!$Y$34*'TUSD BF'!$Y$58</f>
        <v>0</v>
      </c>
      <c r="Z34" s="17">
        <f>'TUSD BE'!$Z$34*'TUSD BF'!$Z$58</f>
        <v>0</v>
      </c>
      <c r="AA34" s="17">
        <f>'TUSD BE'!$AA$34*'TUSD BF'!$AA$58</f>
        <v>0</v>
      </c>
      <c r="AB34" s="17">
        <f>SUM($U$34:$AA$34)</f>
        <v>0</v>
      </c>
      <c r="AC34" s="17">
        <f>'TUSD BE'!$AC$34*'TUSD BF'!$AC$58</f>
        <v>0</v>
      </c>
      <c r="AD34" s="17">
        <f>SUM($AC$34:$AC$34)</f>
        <v>0</v>
      </c>
      <c r="AE34" s="17">
        <f ca="1">$AO$34*$AO$55</f>
        <v>0</v>
      </c>
      <c r="AF34" s="17">
        <f ca="1">$AP$34*$AP$55</f>
        <v>0</v>
      </c>
      <c r="AG34" s="17">
        <f ca="1">SUM($AE$34:$AF$34)</f>
        <v>0</v>
      </c>
      <c r="AH34" s="17">
        <f>'TUSD BE'!$AH$34*'TUSD BF'!$AH$58</f>
        <v>0</v>
      </c>
      <c r="AI34" s="17">
        <f>'TUSD BE'!$AI$34*'TUSD BF'!$AI$58</f>
        <v>0</v>
      </c>
      <c r="AJ34" s="17">
        <f ca="1">'TUSD BE'!$AJ$34*'TUSD BF'!$AJ$58</f>
        <v>0</v>
      </c>
      <c r="AK34" s="17">
        <f ca="1">'TUSD BE'!$AK$34*'TUSD BF'!$AK$58</f>
        <v>0</v>
      </c>
      <c r="AL34" s="17">
        <f ca="1">SUM($AH$34:$AK$34)</f>
        <v>0</v>
      </c>
      <c r="AM34" s="17">
        <f ca="1">SUMIF($L$4:$AL$4,"SUBTOTAL",$L$34:$AL$34)</f>
        <v>0</v>
      </c>
      <c r="AO34" s="43">
        <f ca="1">+'TUSD BE'!$T$34+'TUSD BE'!$AB$34+'TUSD BE'!$AD$34+'TUSD BE'!$AL$34</f>
        <v>1352.5859473530311</v>
      </c>
      <c r="AP34" s="43">
        <f ca="1">+'TUSD BE'!$T$34+'TUSD BE'!$AB$34+'TUSD BE'!$AD$34+'TUSD BE'!$AL$34</f>
        <v>1352.5859473530311</v>
      </c>
    </row>
    <row r="35" spans="1:42" ht="11.25" customHeight="1" x14ac:dyDescent="0.25">
      <c r="A35" s="130"/>
      <c r="B35" s="130"/>
      <c r="C35" s="130"/>
      <c r="D35" s="130"/>
      <c r="E35" s="130"/>
      <c r="F35" s="130"/>
      <c r="G35" s="36" t="s">
        <v>85</v>
      </c>
      <c r="H35" s="36" t="s">
        <v>73</v>
      </c>
      <c r="I35" s="36">
        <f>'MERCADO TUSD'!$U$32</f>
        <v>0</v>
      </c>
      <c r="J35" s="16"/>
      <c r="L35" s="17">
        <f>'TUSD BE'!$L$35*'TUSD BF'!$L$58</f>
        <v>0</v>
      </c>
      <c r="M35" s="17">
        <f>'TUSD BE'!$M$35*'TUSD BF'!$M$58</f>
        <v>0</v>
      </c>
      <c r="N35" s="17">
        <f ca="1">'TUSD BE'!$N$35*'TUSD BF'!$N$58</f>
        <v>0</v>
      </c>
      <c r="O35" s="17">
        <f>'TUSD BE'!$O$35*'TUSD BF'!$O$58</f>
        <v>0</v>
      </c>
      <c r="P35" s="17">
        <f>'TUSD BE'!$P$35*'TUSD BF'!$P$58</f>
        <v>0</v>
      </c>
      <c r="Q35" s="17">
        <f>'TUSD BE'!$Q$35*'TUSD BF'!$Q$58</f>
        <v>0</v>
      </c>
      <c r="R35" s="17">
        <f>'TUSD BE'!$R$35*'TUSD BF'!$R$58</f>
        <v>0</v>
      </c>
      <c r="S35" s="17">
        <f>'TUSD BE'!$R$35*'TUSD BF'!$S$58</f>
        <v>0</v>
      </c>
      <c r="T35" s="17">
        <f ca="1">SUM($L$35:$S$35)</f>
        <v>0</v>
      </c>
      <c r="U35" s="17">
        <f>'TUSD BE'!$U$35*'TUSD BF'!$U$58</f>
        <v>0</v>
      </c>
      <c r="V35" s="17">
        <f>'TUSD BE'!$V$35*'TUSD BF'!$V$58</f>
        <v>0</v>
      </c>
      <c r="W35" s="17">
        <f>'TUSD BE'!$W$35*'TUSD BF'!$W$58</f>
        <v>0</v>
      </c>
      <c r="X35" s="17">
        <f>'TUSD BE'!$X$35*'TUSD BF'!$X$58</f>
        <v>0</v>
      </c>
      <c r="Y35" s="17">
        <f>'TUSD BE'!$Y$35*'TUSD BF'!$Y$58</f>
        <v>0</v>
      </c>
      <c r="Z35" s="17">
        <f>'TUSD BE'!$Z$35*'TUSD BF'!$Z$58</f>
        <v>0</v>
      </c>
      <c r="AA35" s="17">
        <f>'TUSD BE'!$AA$35*'TUSD BF'!$AA$58</f>
        <v>0</v>
      </c>
      <c r="AB35" s="17">
        <f>SUM($U$35:$AA$35)</f>
        <v>0</v>
      </c>
      <c r="AC35" s="17">
        <f>'TUSD BE'!$AC$35*'TUSD BF'!$AC$58</f>
        <v>0</v>
      </c>
      <c r="AD35" s="17">
        <f>SUM($AC$35:$AC$35)</f>
        <v>0</v>
      </c>
      <c r="AE35" s="17">
        <f ca="1">$AO$35*$AO$55</f>
        <v>0</v>
      </c>
      <c r="AF35" s="17">
        <f ca="1">$AP$35*$AP$55</f>
        <v>0</v>
      </c>
      <c r="AG35" s="17">
        <f ca="1">SUM($AE$35:$AF$35)</f>
        <v>0</v>
      </c>
      <c r="AH35" s="17">
        <f>'TUSD BE'!$AH$35*'TUSD BF'!$AH$58</f>
        <v>0</v>
      </c>
      <c r="AI35" s="17">
        <f>'TUSD BE'!$AI$35*'TUSD BF'!$AI$58</f>
        <v>0</v>
      </c>
      <c r="AJ35" s="17">
        <f ca="1">'TUSD BE'!$AJ$35*'TUSD BF'!$AJ$58</f>
        <v>0</v>
      </c>
      <c r="AK35" s="17">
        <f ca="1">'TUSD BE'!$AK$35*'TUSD BF'!$AK$58</f>
        <v>0</v>
      </c>
      <c r="AL35" s="17">
        <f ca="1">SUM($AH$35:$AK$35)</f>
        <v>0</v>
      </c>
      <c r="AM35" s="17">
        <f ca="1">SUMIF($L$4:$AL$4,"SUBTOTAL",$L$35:$AL$35)</f>
        <v>0</v>
      </c>
      <c r="AO35" s="43">
        <f ca="1">+'TUSD BE'!$T$35+'TUSD BE'!$AB$35+'TUSD BE'!$AD$35+'TUSD BE'!$AL$35</f>
        <v>865.53604055913263</v>
      </c>
      <c r="AP35" s="43">
        <f ca="1">+'TUSD BE'!$T$35+'TUSD BE'!$AB$35+'TUSD BE'!$AD$35+'TUSD BE'!$AL$35</f>
        <v>865.53604055913263</v>
      </c>
    </row>
    <row r="36" spans="1:42" ht="11.25" customHeight="1" x14ac:dyDescent="0.25">
      <c r="A36" s="130"/>
      <c r="B36" s="130"/>
      <c r="C36" s="130"/>
      <c r="D36" s="130"/>
      <c r="E36" s="130"/>
      <c r="F36" s="130"/>
      <c r="G36" s="36" t="s">
        <v>75</v>
      </c>
      <c r="H36" s="36" t="s">
        <v>73</v>
      </c>
      <c r="I36" s="36">
        <f>'MERCADO TUSD'!$U$33</f>
        <v>0</v>
      </c>
      <c r="J36" s="16"/>
      <c r="L36" s="17">
        <f>'TUSD BE'!$L$36*'TUSD BF'!$L$58</f>
        <v>0</v>
      </c>
      <c r="M36" s="17">
        <f>'TUSD BE'!$M$36*'TUSD BF'!$M$58</f>
        <v>0</v>
      </c>
      <c r="N36" s="17">
        <f ca="1">'TUSD BE'!$N$36*'TUSD BF'!$N$58</f>
        <v>0</v>
      </c>
      <c r="O36" s="17">
        <f>'TUSD BE'!$O$36*'TUSD BF'!$O$58</f>
        <v>0</v>
      </c>
      <c r="P36" s="17">
        <f>'TUSD BE'!$P$36*'TUSD BF'!$P$58</f>
        <v>0</v>
      </c>
      <c r="Q36" s="17">
        <f>'TUSD BE'!$Q$36*'TUSD BF'!$Q$58</f>
        <v>0</v>
      </c>
      <c r="R36" s="17">
        <f>'TUSD BE'!$R$36*'TUSD BF'!$R$58</f>
        <v>0</v>
      </c>
      <c r="S36" s="17">
        <f>'TUSD BE'!$R$36*'TUSD BF'!$S$58</f>
        <v>0</v>
      </c>
      <c r="T36" s="17">
        <f ca="1">SUM($L$36:$S$36)</f>
        <v>0</v>
      </c>
      <c r="U36" s="17">
        <f>'TUSD BE'!$U$36*'TUSD BF'!$U$58</f>
        <v>0</v>
      </c>
      <c r="V36" s="17">
        <f>'TUSD BE'!$V$36*'TUSD BF'!$V$58</f>
        <v>0</v>
      </c>
      <c r="W36" s="17">
        <f>'TUSD BE'!$W$36*'TUSD BF'!$W$58</f>
        <v>0</v>
      </c>
      <c r="X36" s="17">
        <f>'TUSD BE'!$X$36*'TUSD BF'!$X$58</f>
        <v>0</v>
      </c>
      <c r="Y36" s="17">
        <f>'TUSD BE'!$Y$36*'TUSD BF'!$Y$58</f>
        <v>0</v>
      </c>
      <c r="Z36" s="17">
        <f>'TUSD BE'!$Z$36*'TUSD BF'!$Z$58</f>
        <v>0</v>
      </c>
      <c r="AA36" s="17">
        <f>'TUSD BE'!$AA$36*'TUSD BF'!$AA$58</f>
        <v>0</v>
      </c>
      <c r="AB36" s="17">
        <f>SUM($U$36:$AA$36)</f>
        <v>0</v>
      </c>
      <c r="AC36" s="17">
        <f>'TUSD BE'!$AC$36*'TUSD BF'!$AC$58</f>
        <v>0</v>
      </c>
      <c r="AD36" s="17">
        <f>SUM($AC$36:$AC$36)</f>
        <v>0</v>
      </c>
      <c r="AE36" s="17">
        <f ca="1">$AO$36*$AO$55</f>
        <v>0</v>
      </c>
      <c r="AF36" s="17">
        <f ca="1">$AP$36*$AP$55</f>
        <v>0</v>
      </c>
      <c r="AG36" s="17">
        <f ca="1">SUM($AE$36:$AF$36)</f>
        <v>0</v>
      </c>
      <c r="AH36" s="17">
        <f>'TUSD BE'!$AH$36*'TUSD BF'!$AH$58</f>
        <v>0</v>
      </c>
      <c r="AI36" s="17">
        <f>'TUSD BE'!$AI$36*'TUSD BF'!$AI$58</f>
        <v>0</v>
      </c>
      <c r="AJ36" s="17">
        <f ca="1">'TUSD BE'!$AJ$36*'TUSD BF'!$AJ$58</f>
        <v>0</v>
      </c>
      <c r="AK36" s="17">
        <f ca="1">'TUSD BE'!$AK$36*'TUSD BF'!$AK$58</f>
        <v>0</v>
      </c>
      <c r="AL36" s="17">
        <f ca="1">SUM($AH$36:$AK$36)</f>
        <v>0</v>
      </c>
      <c r="AM36" s="17">
        <f ca="1">SUMIF($L$4:$AL$4,"SUBTOTAL",$L$36:$AL$36)</f>
        <v>0</v>
      </c>
      <c r="AO36" s="43">
        <f ca="1">+'TUSD BE'!$T$36+'TUSD BE'!$AB$36+'TUSD BE'!$AD$36+'TUSD BE'!$AL$36</f>
        <v>378.52014276779971</v>
      </c>
      <c r="AP36" s="43">
        <f ca="1">+'TUSD BE'!$T$36+'TUSD BE'!$AB$36+'TUSD BE'!$AD$36+'TUSD BE'!$AL$36</f>
        <v>378.52014276779971</v>
      </c>
    </row>
    <row r="37" spans="1:42" ht="11.25" customHeight="1" x14ac:dyDescent="0.25">
      <c r="A37" s="130"/>
      <c r="B37" s="41" t="s">
        <v>23</v>
      </c>
      <c r="C37" s="41" t="s">
        <v>41</v>
      </c>
      <c r="D37" s="41" t="s">
        <v>90</v>
      </c>
      <c r="E37" s="41" t="s">
        <v>25</v>
      </c>
      <c r="F37" s="41" t="s">
        <v>25</v>
      </c>
      <c r="G37" s="36" t="s">
        <v>79</v>
      </c>
      <c r="H37" s="36" t="s">
        <v>73</v>
      </c>
      <c r="I37" s="36">
        <f>'MERCADO TUSD'!$U$34</f>
        <v>0</v>
      </c>
      <c r="J37" s="16"/>
      <c r="L37" s="17">
        <f>'TUSD BE'!$L$37*'TUSD BF'!$L$58</f>
        <v>0</v>
      </c>
      <c r="M37" s="17">
        <f>'TUSD BE'!$M$37*'TUSD BF'!$M$58</f>
        <v>0</v>
      </c>
      <c r="N37" s="17">
        <f ca="1">'TUSD BE'!$N$37*'TUSD BF'!$N$58</f>
        <v>0</v>
      </c>
      <c r="O37" s="17">
        <f>'TUSD BE'!$O$37*'TUSD BF'!$O$58</f>
        <v>0</v>
      </c>
      <c r="P37" s="17">
        <f>'TUSD BE'!$P$37*'TUSD BF'!$P$58</f>
        <v>0</v>
      </c>
      <c r="Q37" s="17">
        <f>'TUSD BE'!$Q$37*'TUSD BF'!$Q$58</f>
        <v>0</v>
      </c>
      <c r="R37" s="17">
        <f>'TUSD BE'!$R$37*'TUSD BF'!$R$58</f>
        <v>0</v>
      </c>
      <c r="S37" s="17">
        <f>'TUSD BE'!$R$37*'TUSD BF'!$S$58</f>
        <v>0</v>
      </c>
      <c r="T37" s="17">
        <f ca="1">SUM($L$37:$S$37)</f>
        <v>0</v>
      </c>
      <c r="U37" s="17">
        <f>'TUSD BE'!$U$37*'TUSD BF'!$U$58</f>
        <v>0</v>
      </c>
      <c r="V37" s="17">
        <f>'TUSD BE'!$V$37*'TUSD BF'!$V$58</f>
        <v>0</v>
      </c>
      <c r="W37" s="17">
        <f>'TUSD BE'!$W$37*'TUSD BF'!$W$58</f>
        <v>0</v>
      </c>
      <c r="X37" s="17">
        <f>'TUSD BE'!$X$37*'TUSD BF'!$X$58</f>
        <v>0</v>
      </c>
      <c r="Y37" s="17">
        <f>'TUSD BE'!$Y$37*'TUSD BF'!$Y$58</f>
        <v>0</v>
      </c>
      <c r="Z37" s="17">
        <f>'TUSD BE'!$Z$37*'TUSD BF'!$Z$58</f>
        <v>0</v>
      </c>
      <c r="AA37" s="17">
        <f>'TUSD BE'!$AA$37*'TUSD BF'!$AA$58</f>
        <v>0</v>
      </c>
      <c r="AB37" s="17">
        <f>SUM($U$37:$AA$37)</f>
        <v>0</v>
      </c>
      <c r="AC37" s="17">
        <f>'TUSD BE'!$AC$37*'TUSD BF'!$AC$58</f>
        <v>0</v>
      </c>
      <c r="AD37" s="17">
        <f>SUM($AC$37:$AC$37)</f>
        <v>0</v>
      </c>
      <c r="AE37" s="17">
        <f ca="1">$AO$37*$AO$55</f>
        <v>0</v>
      </c>
      <c r="AF37" s="17">
        <f ca="1">$AP$37*$AP$55</f>
        <v>0</v>
      </c>
      <c r="AG37" s="17">
        <f ca="1">SUM($AE$37:$AF$37)</f>
        <v>0</v>
      </c>
      <c r="AH37" s="17">
        <f>'TUSD BE'!$AH$37*'TUSD BF'!$AH$58</f>
        <v>0</v>
      </c>
      <c r="AI37" s="17">
        <f>'TUSD BE'!$AI$37*'TUSD BF'!$AI$58</f>
        <v>0</v>
      </c>
      <c r="AJ37" s="17">
        <f ca="1">'TUSD BE'!$AJ$37*'TUSD BF'!$AJ$58</f>
        <v>0</v>
      </c>
      <c r="AK37" s="17">
        <f ca="1">'TUSD BE'!$AK$37*'TUSD BF'!$AK$58</f>
        <v>0</v>
      </c>
      <c r="AL37" s="17">
        <f ca="1">SUM($AH$37:$AK$37)</f>
        <v>0</v>
      </c>
      <c r="AM37" s="17">
        <f ca="1">SUMIF($L$4:$AL$4,"SUBTOTAL",$L$37:$AL$37)</f>
        <v>0</v>
      </c>
      <c r="AO37" s="43">
        <f ca="1">+'TUSD BE'!$T$37+'TUSD BE'!$AB$37+'TUSD BE'!$AD$37+'TUSD BE'!$AL$37</f>
        <v>630.56557927781125</v>
      </c>
      <c r="AP37" s="43">
        <f ca="1">+'TUSD BE'!$T$37+'TUSD BE'!$AB$37+'TUSD BE'!$AD$37+'TUSD BE'!$AL$37</f>
        <v>630.56557927781125</v>
      </c>
    </row>
    <row r="38" spans="1:42" ht="11.25" customHeight="1" x14ac:dyDescent="0.25">
      <c r="A38" s="130"/>
      <c r="B38" s="130" t="s">
        <v>87</v>
      </c>
      <c r="C38" s="130" t="s">
        <v>41</v>
      </c>
      <c r="D38" s="130" t="s">
        <v>91</v>
      </c>
      <c r="E38" s="130" t="s">
        <v>25</v>
      </c>
      <c r="F38" s="130" t="s">
        <v>25</v>
      </c>
      <c r="G38" s="36" t="s">
        <v>74</v>
      </c>
      <c r="H38" s="36" t="s">
        <v>73</v>
      </c>
      <c r="I38" s="36">
        <f>'MERCADO TUSD'!$U$35</f>
        <v>0</v>
      </c>
      <c r="J38" s="16"/>
      <c r="L38" s="17">
        <f>'TUSD BE'!$L$38*'TUSD BF'!$L$58</f>
        <v>0</v>
      </c>
      <c r="M38" s="17">
        <f>'TUSD BE'!$M$38*'TUSD BF'!$M$58</f>
        <v>0</v>
      </c>
      <c r="N38" s="17">
        <f ca="1">'TUSD BE'!$N$38*'TUSD BF'!$N$58</f>
        <v>0</v>
      </c>
      <c r="O38" s="17">
        <f>'TUSD BE'!$O$38*'TUSD BF'!$O$58</f>
        <v>0</v>
      </c>
      <c r="P38" s="17">
        <f>'TUSD BE'!$P$38*'TUSD BF'!$P$58</f>
        <v>0</v>
      </c>
      <c r="Q38" s="17">
        <f>'TUSD BE'!$Q$38*'TUSD BF'!$Q$58</f>
        <v>0</v>
      </c>
      <c r="R38" s="17">
        <f>'TUSD BE'!$R$38*'TUSD BF'!$R$58</f>
        <v>0</v>
      </c>
      <c r="S38" s="17">
        <f>'TUSD BE'!$R$38*'TUSD BF'!$S$58</f>
        <v>0</v>
      </c>
      <c r="T38" s="17">
        <f ca="1">SUM($L$38:$S$38)</f>
        <v>0</v>
      </c>
      <c r="U38" s="17">
        <f>'TUSD BE'!$U$38*'TUSD BF'!$U$58</f>
        <v>0</v>
      </c>
      <c r="V38" s="17">
        <f>'TUSD BE'!$V$38*'TUSD BF'!$V$58</f>
        <v>0</v>
      </c>
      <c r="W38" s="17">
        <f>'TUSD BE'!$W$38*'TUSD BF'!$W$58</f>
        <v>0</v>
      </c>
      <c r="X38" s="17">
        <f>'TUSD BE'!$X$38*'TUSD BF'!$X$58</f>
        <v>0</v>
      </c>
      <c r="Y38" s="17">
        <f>'TUSD BE'!$Y$38*'TUSD BF'!$Y$58</f>
        <v>0</v>
      </c>
      <c r="Z38" s="17">
        <f>'TUSD BE'!$Z$38*'TUSD BF'!$Z$58</f>
        <v>0</v>
      </c>
      <c r="AA38" s="17">
        <f>'TUSD BE'!$AA$38*'TUSD BF'!$AA$58</f>
        <v>0</v>
      </c>
      <c r="AB38" s="17">
        <f>SUM($U$38:$AA$38)</f>
        <v>0</v>
      </c>
      <c r="AC38" s="17">
        <f>'TUSD BE'!$AC$38*'TUSD BF'!$AC$58</f>
        <v>0</v>
      </c>
      <c r="AD38" s="17">
        <f>SUM($AC$38:$AC$38)</f>
        <v>0</v>
      </c>
      <c r="AE38" s="17">
        <f ca="1">$AO$38*$AO$55</f>
        <v>0</v>
      </c>
      <c r="AF38" s="17">
        <f ca="1">$AP$38*$AP$55</f>
        <v>0</v>
      </c>
      <c r="AG38" s="17">
        <f ca="1">SUM($AE$38:$AF$38)</f>
        <v>0</v>
      </c>
      <c r="AH38" s="17">
        <f>'TUSD BE'!$AH$38*'TUSD BF'!$AH$58</f>
        <v>0</v>
      </c>
      <c r="AI38" s="17">
        <f>'TUSD BE'!$AI$38*'TUSD BF'!$AI$58</f>
        <v>0</v>
      </c>
      <c r="AJ38" s="17">
        <f ca="1">'TUSD BE'!$AJ$38*'TUSD BF'!$AJ$58</f>
        <v>0</v>
      </c>
      <c r="AK38" s="17">
        <f ca="1">'TUSD BE'!$AK$38*'TUSD BF'!$AK$58</f>
        <v>0</v>
      </c>
      <c r="AL38" s="17">
        <f ca="1">SUM($AH$38:$AK$38)</f>
        <v>0</v>
      </c>
      <c r="AM38" s="17">
        <f ca="1">SUMIF($L$4:$AL$4,"SUBTOTAL",$L$38:$AL$38)</f>
        <v>0</v>
      </c>
      <c r="AO38" s="43">
        <f ca="1">+'TUSD BE'!$T$38+'TUSD BE'!$AB$38+'TUSD BE'!$AD$38+'TUSD BE'!$AL$38</f>
        <v>1352.5859473530311</v>
      </c>
      <c r="AP38" s="43">
        <f ca="1">+'TUSD BE'!$T$38+'TUSD BE'!$AB$38+'TUSD BE'!$AD$38+'TUSD BE'!$AL$38</f>
        <v>1352.5859473530311</v>
      </c>
    </row>
    <row r="39" spans="1:42" ht="11.25" customHeight="1" x14ac:dyDescent="0.25">
      <c r="A39" s="130"/>
      <c r="B39" s="130"/>
      <c r="C39" s="130"/>
      <c r="D39" s="130"/>
      <c r="E39" s="130"/>
      <c r="F39" s="130"/>
      <c r="G39" s="36" t="s">
        <v>85</v>
      </c>
      <c r="H39" s="36" t="s">
        <v>73</v>
      </c>
      <c r="I39" s="36">
        <f>'MERCADO TUSD'!$U$36</f>
        <v>0</v>
      </c>
      <c r="J39" s="16"/>
      <c r="L39" s="17">
        <f>'TUSD BE'!$L$39*'TUSD BF'!$L$58</f>
        <v>0</v>
      </c>
      <c r="M39" s="17">
        <f>'TUSD BE'!$M$39*'TUSD BF'!$M$58</f>
        <v>0</v>
      </c>
      <c r="N39" s="17">
        <f ca="1">'TUSD BE'!$N$39*'TUSD BF'!$N$58</f>
        <v>0</v>
      </c>
      <c r="O39" s="17">
        <f>'TUSD BE'!$O$39*'TUSD BF'!$O$58</f>
        <v>0</v>
      </c>
      <c r="P39" s="17">
        <f>'TUSD BE'!$P$39*'TUSD BF'!$P$58</f>
        <v>0</v>
      </c>
      <c r="Q39" s="17">
        <f>'TUSD BE'!$Q$39*'TUSD BF'!$Q$58</f>
        <v>0</v>
      </c>
      <c r="R39" s="17">
        <f>'TUSD BE'!$R$39*'TUSD BF'!$R$58</f>
        <v>0</v>
      </c>
      <c r="S39" s="17">
        <f>'TUSD BE'!$R$39*'TUSD BF'!$S$58</f>
        <v>0</v>
      </c>
      <c r="T39" s="17">
        <f ca="1">SUM($L$39:$S$39)</f>
        <v>0</v>
      </c>
      <c r="U39" s="17">
        <f>'TUSD BE'!$U$39*'TUSD BF'!$U$58</f>
        <v>0</v>
      </c>
      <c r="V39" s="17">
        <f>'TUSD BE'!$V$39*'TUSD BF'!$V$58</f>
        <v>0</v>
      </c>
      <c r="W39" s="17">
        <f>'TUSD BE'!$W$39*'TUSD BF'!$W$58</f>
        <v>0</v>
      </c>
      <c r="X39" s="17">
        <f>'TUSD BE'!$X$39*'TUSD BF'!$X$58</f>
        <v>0</v>
      </c>
      <c r="Y39" s="17">
        <f>'TUSD BE'!$Y$39*'TUSD BF'!$Y$58</f>
        <v>0</v>
      </c>
      <c r="Z39" s="17">
        <f>'TUSD BE'!$Z$39*'TUSD BF'!$Z$58</f>
        <v>0</v>
      </c>
      <c r="AA39" s="17">
        <f>'TUSD BE'!$AA$39*'TUSD BF'!$AA$58</f>
        <v>0</v>
      </c>
      <c r="AB39" s="17">
        <f>SUM($U$39:$AA$39)</f>
        <v>0</v>
      </c>
      <c r="AC39" s="17">
        <f>'TUSD BE'!$AC$39*'TUSD BF'!$AC$58</f>
        <v>0</v>
      </c>
      <c r="AD39" s="17">
        <f>SUM($AC$39:$AC$39)</f>
        <v>0</v>
      </c>
      <c r="AE39" s="17">
        <f ca="1">$AO$39*$AO$55</f>
        <v>0</v>
      </c>
      <c r="AF39" s="17">
        <f ca="1">$AP$39*$AP$55</f>
        <v>0</v>
      </c>
      <c r="AG39" s="17">
        <f ca="1">SUM($AE$39:$AF$39)</f>
        <v>0</v>
      </c>
      <c r="AH39" s="17">
        <f>'TUSD BE'!$AH$39*'TUSD BF'!$AH$58</f>
        <v>0</v>
      </c>
      <c r="AI39" s="17">
        <f>'TUSD BE'!$AI$39*'TUSD BF'!$AI$58</f>
        <v>0</v>
      </c>
      <c r="AJ39" s="17">
        <f ca="1">'TUSD BE'!$AJ$39*'TUSD BF'!$AJ$58</f>
        <v>0</v>
      </c>
      <c r="AK39" s="17">
        <f ca="1">'TUSD BE'!$AK$39*'TUSD BF'!$AK$58</f>
        <v>0</v>
      </c>
      <c r="AL39" s="17">
        <f ca="1">SUM($AH$39:$AK$39)</f>
        <v>0</v>
      </c>
      <c r="AM39" s="17">
        <f ca="1">SUMIF($L$4:$AL$4,"SUBTOTAL",$L$39:$AL$39)</f>
        <v>0</v>
      </c>
      <c r="AO39" s="43">
        <f ca="1">+'TUSD BE'!$T$39+'TUSD BE'!$AB$39+'TUSD BE'!$AD$39+'TUSD BE'!$AL$39</f>
        <v>865.53604055913263</v>
      </c>
      <c r="AP39" s="43">
        <f ca="1">+'TUSD BE'!$T$39+'TUSD BE'!$AB$39+'TUSD BE'!$AD$39+'TUSD BE'!$AL$39</f>
        <v>865.53604055913263</v>
      </c>
    </row>
    <row r="40" spans="1:42" ht="11.25" customHeight="1" x14ac:dyDescent="0.25">
      <c r="A40" s="130"/>
      <c r="B40" s="130"/>
      <c r="C40" s="130"/>
      <c r="D40" s="130"/>
      <c r="E40" s="130"/>
      <c r="F40" s="130"/>
      <c r="G40" s="36" t="s">
        <v>75</v>
      </c>
      <c r="H40" s="36" t="s">
        <v>73</v>
      </c>
      <c r="I40" s="36">
        <f>'MERCADO TUSD'!$U$37</f>
        <v>0</v>
      </c>
      <c r="J40" s="16"/>
      <c r="L40" s="17">
        <f>'TUSD BE'!$L$40*'TUSD BF'!$L$58</f>
        <v>0</v>
      </c>
      <c r="M40" s="17">
        <f>'TUSD BE'!$M$40*'TUSD BF'!$M$58</f>
        <v>0</v>
      </c>
      <c r="N40" s="17">
        <f ca="1">'TUSD BE'!$N$40*'TUSD BF'!$N$58</f>
        <v>0</v>
      </c>
      <c r="O40" s="17">
        <f>'TUSD BE'!$O$40*'TUSD BF'!$O$58</f>
        <v>0</v>
      </c>
      <c r="P40" s="17">
        <f>'TUSD BE'!$P$40*'TUSD BF'!$P$58</f>
        <v>0</v>
      </c>
      <c r="Q40" s="17">
        <f>'TUSD BE'!$Q$40*'TUSD BF'!$Q$58</f>
        <v>0</v>
      </c>
      <c r="R40" s="17">
        <f>'TUSD BE'!$R$40*'TUSD BF'!$R$58</f>
        <v>0</v>
      </c>
      <c r="S40" s="17">
        <f>'TUSD BE'!$R$40*'TUSD BF'!$S$58</f>
        <v>0</v>
      </c>
      <c r="T40" s="17">
        <f ca="1">SUM($L$40:$S$40)</f>
        <v>0</v>
      </c>
      <c r="U40" s="17">
        <f>'TUSD BE'!$U$40*'TUSD BF'!$U$58</f>
        <v>0</v>
      </c>
      <c r="V40" s="17">
        <f>'TUSD BE'!$V$40*'TUSD BF'!$V$58</f>
        <v>0</v>
      </c>
      <c r="W40" s="17">
        <f>'TUSD BE'!$W$40*'TUSD BF'!$W$58</f>
        <v>0</v>
      </c>
      <c r="X40" s="17">
        <f>'TUSD BE'!$X$40*'TUSD BF'!$X$58</f>
        <v>0</v>
      </c>
      <c r="Y40" s="17">
        <f>'TUSD BE'!$Y$40*'TUSD BF'!$Y$58</f>
        <v>0</v>
      </c>
      <c r="Z40" s="17">
        <f>'TUSD BE'!$Z$40*'TUSD BF'!$Z$58</f>
        <v>0</v>
      </c>
      <c r="AA40" s="17">
        <f>'TUSD BE'!$AA$40*'TUSD BF'!$AA$58</f>
        <v>0</v>
      </c>
      <c r="AB40" s="17">
        <f>SUM($U$40:$AA$40)</f>
        <v>0</v>
      </c>
      <c r="AC40" s="17">
        <f>'TUSD BE'!$AC$40*'TUSD BF'!$AC$58</f>
        <v>0</v>
      </c>
      <c r="AD40" s="17">
        <f>SUM($AC$40:$AC$40)</f>
        <v>0</v>
      </c>
      <c r="AE40" s="17">
        <f ca="1">$AO$40*$AO$55</f>
        <v>0</v>
      </c>
      <c r="AF40" s="17">
        <f ca="1">$AP$40*$AP$55</f>
        <v>0</v>
      </c>
      <c r="AG40" s="17">
        <f ca="1">SUM($AE$40:$AF$40)</f>
        <v>0</v>
      </c>
      <c r="AH40" s="17">
        <f>'TUSD BE'!$AH$40*'TUSD BF'!$AH$58</f>
        <v>0</v>
      </c>
      <c r="AI40" s="17">
        <f>'TUSD BE'!$AI$40*'TUSD BF'!$AI$58</f>
        <v>0</v>
      </c>
      <c r="AJ40" s="17">
        <f ca="1">'TUSD BE'!$AJ$40*'TUSD BF'!$AJ$58</f>
        <v>0</v>
      </c>
      <c r="AK40" s="17">
        <f ca="1">'TUSD BE'!$AK$40*'TUSD BF'!$AK$58</f>
        <v>0</v>
      </c>
      <c r="AL40" s="17">
        <f ca="1">SUM($AH$40:$AK$40)</f>
        <v>0</v>
      </c>
      <c r="AM40" s="17">
        <f ca="1">SUMIF($L$4:$AL$4,"SUBTOTAL",$L$40:$AL$40)</f>
        <v>0</v>
      </c>
      <c r="AO40" s="43">
        <f ca="1">+'TUSD BE'!$T$40+'TUSD BE'!$AB$40+'TUSD BE'!$AD$40+'TUSD BE'!$AL$40</f>
        <v>378.52014276779971</v>
      </c>
      <c r="AP40" s="43">
        <f ca="1">+'TUSD BE'!$T$40+'TUSD BE'!$AB$40+'TUSD BE'!$AD$40+'TUSD BE'!$AL$40</f>
        <v>378.52014276779971</v>
      </c>
    </row>
    <row r="41" spans="1:42" ht="11.25" customHeight="1" x14ac:dyDescent="0.25">
      <c r="A41" s="130"/>
      <c r="B41" s="41" t="s">
        <v>23</v>
      </c>
      <c r="C41" s="41" t="s">
        <v>41</v>
      </c>
      <c r="D41" s="41" t="s">
        <v>91</v>
      </c>
      <c r="E41" s="41" t="s">
        <v>25</v>
      </c>
      <c r="F41" s="41" t="s">
        <v>25</v>
      </c>
      <c r="G41" s="36" t="s">
        <v>79</v>
      </c>
      <c r="H41" s="36" t="s">
        <v>73</v>
      </c>
      <c r="I41" s="36">
        <f>'MERCADO TUSD'!$U$38</f>
        <v>0</v>
      </c>
      <c r="J41" s="16"/>
      <c r="L41" s="17">
        <f>'TUSD BE'!$L$41*'TUSD BF'!$L$58</f>
        <v>0</v>
      </c>
      <c r="M41" s="17">
        <f>'TUSD BE'!$M$41*'TUSD BF'!$M$58</f>
        <v>0</v>
      </c>
      <c r="N41" s="17">
        <f ca="1">'TUSD BE'!$N$41*'TUSD BF'!$N$58</f>
        <v>0</v>
      </c>
      <c r="O41" s="17">
        <f>'TUSD BE'!$O$41*'TUSD BF'!$O$58</f>
        <v>0</v>
      </c>
      <c r="P41" s="17">
        <f>'TUSD BE'!$P$41*'TUSD BF'!$P$58</f>
        <v>0</v>
      </c>
      <c r="Q41" s="17">
        <f>'TUSD BE'!$Q$41*'TUSD BF'!$Q$58</f>
        <v>0</v>
      </c>
      <c r="R41" s="17">
        <f>'TUSD BE'!$R$41*'TUSD BF'!$R$58</f>
        <v>0</v>
      </c>
      <c r="S41" s="17">
        <f>'TUSD BE'!$R$41*'TUSD BF'!$S$58</f>
        <v>0</v>
      </c>
      <c r="T41" s="17">
        <f ca="1">SUM($L$41:$S$41)</f>
        <v>0</v>
      </c>
      <c r="U41" s="17">
        <f>'TUSD BE'!$U$41*'TUSD BF'!$U$58</f>
        <v>0</v>
      </c>
      <c r="V41" s="17">
        <f>'TUSD BE'!$V$41*'TUSD BF'!$V$58</f>
        <v>0</v>
      </c>
      <c r="W41" s="17">
        <f>'TUSD BE'!$W$41*'TUSD BF'!$W$58</f>
        <v>0</v>
      </c>
      <c r="X41" s="17">
        <f>'TUSD BE'!$X$41*'TUSD BF'!$X$58</f>
        <v>0</v>
      </c>
      <c r="Y41" s="17">
        <f>'TUSD BE'!$Y$41*'TUSD BF'!$Y$58</f>
        <v>0</v>
      </c>
      <c r="Z41" s="17">
        <f>'TUSD BE'!$Z$41*'TUSD BF'!$Z$58</f>
        <v>0</v>
      </c>
      <c r="AA41" s="17">
        <f>'TUSD BE'!$AA$41*'TUSD BF'!$AA$58</f>
        <v>0</v>
      </c>
      <c r="AB41" s="17">
        <f>SUM($U$41:$AA$41)</f>
        <v>0</v>
      </c>
      <c r="AC41" s="17">
        <f>'TUSD BE'!$AC$41*'TUSD BF'!$AC$58</f>
        <v>0</v>
      </c>
      <c r="AD41" s="17">
        <f>SUM($AC$41:$AC$41)</f>
        <v>0</v>
      </c>
      <c r="AE41" s="17">
        <f ca="1">$AO$41*$AO$55</f>
        <v>0</v>
      </c>
      <c r="AF41" s="17">
        <f ca="1">$AP$41*$AP$55</f>
        <v>0</v>
      </c>
      <c r="AG41" s="17">
        <f ca="1">SUM($AE$41:$AF$41)</f>
        <v>0</v>
      </c>
      <c r="AH41" s="17">
        <f>'TUSD BE'!$AH$41*'TUSD BF'!$AH$58</f>
        <v>0</v>
      </c>
      <c r="AI41" s="17">
        <f>'TUSD BE'!$AI$41*'TUSD BF'!$AI$58</f>
        <v>0</v>
      </c>
      <c r="AJ41" s="17">
        <f ca="1">'TUSD BE'!$AJ$41*'TUSD BF'!$AJ$58</f>
        <v>0</v>
      </c>
      <c r="AK41" s="17">
        <f ca="1">'TUSD BE'!$AK$41*'TUSD BF'!$AK$58</f>
        <v>0</v>
      </c>
      <c r="AL41" s="17">
        <f ca="1">SUM($AH$41:$AK$41)</f>
        <v>0</v>
      </c>
      <c r="AM41" s="17">
        <f ca="1">SUMIF($L$4:$AL$4,"SUBTOTAL",$L$41:$AL$41)</f>
        <v>0</v>
      </c>
      <c r="AO41" s="43">
        <f ca="1">+'TUSD BE'!$T$41+'TUSD BE'!$AB$41+'TUSD BE'!$AD$41+'TUSD BE'!$AL$41</f>
        <v>630.56557927781125</v>
      </c>
      <c r="AP41" s="43">
        <f ca="1">+'TUSD BE'!$T$41+'TUSD BE'!$AB$41+'TUSD BE'!$AD$41+'TUSD BE'!$AL$41</f>
        <v>630.56557927781125</v>
      </c>
    </row>
    <row r="42" spans="1:42" ht="11.25" customHeight="1" x14ac:dyDescent="0.25">
      <c r="A42" s="130"/>
      <c r="B42" s="130" t="s">
        <v>89</v>
      </c>
      <c r="C42" s="130" t="s">
        <v>41</v>
      </c>
      <c r="D42" s="41" t="s">
        <v>25</v>
      </c>
      <c r="E42" s="41" t="s">
        <v>25</v>
      </c>
      <c r="F42" s="41" t="s">
        <v>25</v>
      </c>
      <c r="G42" s="36" t="s">
        <v>79</v>
      </c>
      <c r="H42" s="36" t="s">
        <v>73</v>
      </c>
      <c r="I42" s="36">
        <f>'MERCADO TUSD'!$U$39</f>
        <v>0</v>
      </c>
      <c r="J42" s="16"/>
      <c r="L42" s="17">
        <f>'TUSD BE'!$L$42*'TUSD BF'!$L$58</f>
        <v>0</v>
      </c>
      <c r="M42" s="17">
        <f>'TUSD BE'!$M$42*'TUSD BF'!$M$58</f>
        <v>0</v>
      </c>
      <c r="N42" s="17">
        <f ca="1">'TUSD BE'!$N$42*'TUSD BF'!$N$58</f>
        <v>0</v>
      </c>
      <c r="O42" s="17">
        <f>'TUSD BE'!$O$42*'TUSD BF'!$O$58</f>
        <v>0</v>
      </c>
      <c r="P42" s="17">
        <f>'TUSD BE'!$P$42*'TUSD BF'!$P$58</f>
        <v>0</v>
      </c>
      <c r="Q42" s="17">
        <f>'TUSD BE'!$Q$42*'TUSD BF'!$Q$58</f>
        <v>0</v>
      </c>
      <c r="R42" s="17">
        <f>'TUSD BE'!$R$42*'TUSD BF'!$R$58</f>
        <v>0</v>
      </c>
      <c r="S42" s="17">
        <f>'TUSD BE'!$R$42*'TUSD BF'!$S$58</f>
        <v>0</v>
      </c>
      <c r="T42" s="17">
        <f ca="1">SUM($L$42:$S$42)</f>
        <v>0</v>
      </c>
      <c r="U42" s="17">
        <f>'TUSD BE'!$U$42*'TUSD BF'!$U$58</f>
        <v>0</v>
      </c>
      <c r="V42" s="17">
        <f>'TUSD BE'!$V$42*'TUSD BF'!$V$58</f>
        <v>0</v>
      </c>
      <c r="W42" s="17">
        <f>'TUSD BE'!$W$42*'TUSD BF'!$W$58</f>
        <v>0</v>
      </c>
      <c r="X42" s="17">
        <f>'TUSD BE'!$X$42*'TUSD BF'!$X$58</f>
        <v>0</v>
      </c>
      <c r="Y42" s="17">
        <f>'TUSD BE'!$Y$42*'TUSD BF'!$Y$58</f>
        <v>0</v>
      </c>
      <c r="Z42" s="17">
        <f>'TUSD BE'!$Z$42*'TUSD BF'!$Z$58</f>
        <v>0</v>
      </c>
      <c r="AA42" s="17">
        <f>'TUSD BE'!$AA$42*'TUSD BF'!$AA$58</f>
        <v>0</v>
      </c>
      <c r="AB42" s="17">
        <f>SUM($U$42:$AA$42)</f>
        <v>0</v>
      </c>
      <c r="AC42" s="17">
        <f>'TUSD BE'!$AC$42*'TUSD BF'!$AC$58</f>
        <v>0</v>
      </c>
      <c r="AD42" s="17">
        <f>SUM($AC$42:$AC$42)</f>
        <v>0</v>
      </c>
      <c r="AE42" s="17">
        <f ca="1">$AO$42*$AO$55</f>
        <v>0</v>
      </c>
      <c r="AF42" s="17">
        <f ca="1">$AP$42*$AP$55</f>
        <v>0</v>
      </c>
      <c r="AG42" s="17">
        <f ca="1">SUM($AE$42:$AF$42)</f>
        <v>0</v>
      </c>
      <c r="AH42" s="17">
        <f>'TUSD BE'!$AH$42*'TUSD BF'!$AH$58</f>
        <v>0</v>
      </c>
      <c r="AI42" s="17">
        <f>'TUSD BE'!$AI$42*'TUSD BF'!$AI$58</f>
        <v>0</v>
      </c>
      <c r="AJ42" s="17">
        <f ca="1">'TUSD BE'!$AJ$42*'TUSD BF'!$AJ$58</f>
        <v>0</v>
      </c>
      <c r="AK42" s="17">
        <f ca="1">'TUSD BE'!$AK$42*'TUSD BF'!$AK$58</f>
        <v>0</v>
      </c>
      <c r="AL42" s="17">
        <f ca="1">SUM($AH$42:$AK$42)</f>
        <v>0</v>
      </c>
      <c r="AM42" s="17">
        <f ca="1">SUMIF($L$4:$AL$4,"SUBTOTAL",$L$42:$AL$42)</f>
        <v>0</v>
      </c>
      <c r="AO42" s="43">
        <f ca="1">+'TUSD BE'!$T$42+'TUSD BE'!$AB$42+'TUSD BE'!$AD$42+'TUSD BE'!$AL$42</f>
        <v>630.56557927781125</v>
      </c>
      <c r="AP42" s="43">
        <f ca="1">+'TUSD BE'!$T$42+'TUSD BE'!$AB$42+'TUSD BE'!$AD$42+'TUSD BE'!$AL$42</f>
        <v>630.56557927781125</v>
      </c>
    </row>
    <row r="43" spans="1:42" ht="11.25" customHeight="1" x14ac:dyDescent="0.25">
      <c r="A43" s="130"/>
      <c r="B43" s="130"/>
      <c r="C43" s="130"/>
      <c r="D43" s="41" t="s">
        <v>90</v>
      </c>
      <c r="E43" s="41" t="s">
        <v>25</v>
      </c>
      <c r="F43" s="41" t="s">
        <v>25</v>
      </c>
      <c r="G43" s="36" t="s">
        <v>79</v>
      </c>
      <c r="H43" s="36" t="s">
        <v>73</v>
      </c>
      <c r="I43" s="36">
        <f>'MERCADO TUSD'!$U$40</f>
        <v>0</v>
      </c>
      <c r="J43" s="16"/>
      <c r="L43" s="17">
        <f>'TUSD BE'!$L$43*'TUSD BF'!$L$58</f>
        <v>0</v>
      </c>
      <c r="M43" s="17">
        <f>'TUSD BE'!$M$43*'TUSD BF'!$M$58</f>
        <v>0</v>
      </c>
      <c r="N43" s="17">
        <f ca="1">'TUSD BE'!$N$43*'TUSD BF'!$N$58</f>
        <v>0</v>
      </c>
      <c r="O43" s="17">
        <f>'TUSD BE'!$O$43*'TUSD BF'!$O$58</f>
        <v>0</v>
      </c>
      <c r="P43" s="17">
        <f>'TUSD BE'!$P$43*'TUSD BF'!$P$58</f>
        <v>0</v>
      </c>
      <c r="Q43" s="17">
        <f>'TUSD BE'!$Q$43*'TUSD BF'!$Q$58</f>
        <v>0</v>
      </c>
      <c r="R43" s="17">
        <f>'TUSD BE'!$R$43*'TUSD BF'!$R$58</f>
        <v>0</v>
      </c>
      <c r="S43" s="17">
        <f>'TUSD BE'!$R$43*'TUSD BF'!$S$58</f>
        <v>0</v>
      </c>
      <c r="T43" s="17">
        <f ca="1">SUM($L$43:$S$43)</f>
        <v>0</v>
      </c>
      <c r="U43" s="17">
        <f>'TUSD BE'!$U$43*'TUSD BF'!$U$58</f>
        <v>0</v>
      </c>
      <c r="V43" s="17">
        <f>'TUSD BE'!$V$43*'TUSD BF'!$V$58</f>
        <v>0</v>
      </c>
      <c r="W43" s="17">
        <f>'TUSD BE'!$W$43*'TUSD BF'!$W$58</f>
        <v>0</v>
      </c>
      <c r="X43" s="17">
        <f>'TUSD BE'!$X$43*'TUSD BF'!$X$58</f>
        <v>0</v>
      </c>
      <c r="Y43" s="17">
        <f>'TUSD BE'!$Y$43*'TUSD BF'!$Y$58</f>
        <v>0</v>
      </c>
      <c r="Z43" s="17">
        <f>'TUSD BE'!$Z$43*'TUSD BF'!$Z$58</f>
        <v>0</v>
      </c>
      <c r="AA43" s="17">
        <f>'TUSD BE'!$AA$43*'TUSD BF'!$AA$58</f>
        <v>0</v>
      </c>
      <c r="AB43" s="17">
        <f>SUM($U$43:$AA$43)</f>
        <v>0</v>
      </c>
      <c r="AC43" s="17">
        <f>'TUSD BE'!$AC$43*'TUSD BF'!$AC$58</f>
        <v>0</v>
      </c>
      <c r="AD43" s="17">
        <f>SUM($AC$43:$AC$43)</f>
        <v>0</v>
      </c>
      <c r="AE43" s="17">
        <f ca="1">$AO$43*$AO$55</f>
        <v>0</v>
      </c>
      <c r="AF43" s="17">
        <f ca="1">$AP$43*$AP$55</f>
        <v>0</v>
      </c>
      <c r="AG43" s="17">
        <f ca="1">SUM($AE$43:$AF$43)</f>
        <v>0</v>
      </c>
      <c r="AH43" s="17">
        <f>'TUSD BE'!$AH$43*'TUSD BF'!$AH$58</f>
        <v>0</v>
      </c>
      <c r="AI43" s="17">
        <f>'TUSD BE'!$AI$43*'TUSD BF'!$AI$58</f>
        <v>0</v>
      </c>
      <c r="AJ43" s="17">
        <f ca="1">'TUSD BE'!$AJ$43*'TUSD BF'!$AJ$58</f>
        <v>0</v>
      </c>
      <c r="AK43" s="17">
        <f ca="1">'TUSD BE'!$AK$43*'TUSD BF'!$AK$58</f>
        <v>0</v>
      </c>
      <c r="AL43" s="17">
        <f ca="1">SUM($AH$43:$AK$43)</f>
        <v>0</v>
      </c>
      <c r="AM43" s="17">
        <f ca="1">SUMIF($L$4:$AL$4,"SUBTOTAL",$L$43:$AL$43)</f>
        <v>0</v>
      </c>
      <c r="AO43" s="43">
        <f ca="1">+'TUSD BE'!$T$43+'TUSD BE'!$AB$43+'TUSD BE'!$AD$43+'TUSD BE'!$AL$43</f>
        <v>630.56557927781125</v>
      </c>
      <c r="AP43" s="43">
        <f ca="1">+'TUSD BE'!$T$43+'TUSD BE'!$AB$43+'TUSD BE'!$AD$43+'TUSD BE'!$AL$43</f>
        <v>630.56557927781125</v>
      </c>
    </row>
    <row r="44" spans="1:42" ht="11.25" customHeight="1" x14ac:dyDescent="0.25">
      <c r="A44" s="130"/>
      <c r="B44" s="130"/>
      <c r="C44" s="130"/>
      <c r="D44" s="41" t="s">
        <v>91</v>
      </c>
      <c r="E44" s="41" t="s">
        <v>25</v>
      </c>
      <c r="F44" s="41" t="s">
        <v>25</v>
      </c>
      <c r="G44" s="36" t="s">
        <v>79</v>
      </c>
      <c r="H44" s="36" t="s">
        <v>73</v>
      </c>
      <c r="I44" s="36">
        <f>'MERCADO TUSD'!$U$41</f>
        <v>0</v>
      </c>
      <c r="J44" s="16"/>
      <c r="L44" s="17">
        <f>'TUSD BE'!$L$44*'TUSD BF'!$L$58</f>
        <v>0</v>
      </c>
      <c r="M44" s="17">
        <f>'TUSD BE'!$M$44*'TUSD BF'!$M$58</f>
        <v>0</v>
      </c>
      <c r="N44" s="17">
        <f ca="1">'TUSD BE'!$N$44*'TUSD BF'!$N$58</f>
        <v>0</v>
      </c>
      <c r="O44" s="17">
        <f>'TUSD BE'!$O$44*'TUSD BF'!$O$58</f>
        <v>0</v>
      </c>
      <c r="P44" s="17">
        <f>'TUSD BE'!$P$44*'TUSD BF'!$P$58</f>
        <v>0</v>
      </c>
      <c r="Q44" s="17">
        <f>'TUSD BE'!$Q$44*'TUSD BF'!$Q$58</f>
        <v>0</v>
      </c>
      <c r="R44" s="17">
        <f>'TUSD BE'!$R$44*'TUSD BF'!$R$58</f>
        <v>0</v>
      </c>
      <c r="S44" s="17">
        <f>'TUSD BE'!$R$44*'TUSD BF'!$S$58</f>
        <v>0</v>
      </c>
      <c r="T44" s="17">
        <f ca="1">SUM($L$44:$S$44)</f>
        <v>0</v>
      </c>
      <c r="U44" s="17">
        <f>'TUSD BE'!$U$44*'TUSD BF'!$U$58</f>
        <v>0</v>
      </c>
      <c r="V44" s="17">
        <f>'TUSD BE'!$V$44*'TUSD BF'!$V$58</f>
        <v>0</v>
      </c>
      <c r="W44" s="17">
        <f>'TUSD BE'!$W$44*'TUSD BF'!$W$58</f>
        <v>0</v>
      </c>
      <c r="X44" s="17">
        <f>'TUSD BE'!$X$44*'TUSD BF'!$X$58</f>
        <v>0</v>
      </c>
      <c r="Y44" s="17">
        <f>'TUSD BE'!$Y$44*'TUSD BF'!$Y$58</f>
        <v>0</v>
      </c>
      <c r="Z44" s="17">
        <f>'TUSD BE'!$Z$44*'TUSD BF'!$Z$58</f>
        <v>0</v>
      </c>
      <c r="AA44" s="17">
        <f>'TUSD BE'!$AA$44*'TUSD BF'!$AA$58</f>
        <v>0</v>
      </c>
      <c r="AB44" s="17">
        <f>SUM($U$44:$AA$44)</f>
        <v>0</v>
      </c>
      <c r="AC44" s="17">
        <f>'TUSD BE'!$AC$44*'TUSD BF'!$AC$58</f>
        <v>0</v>
      </c>
      <c r="AD44" s="17">
        <f>SUM($AC$44:$AC$44)</f>
        <v>0</v>
      </c>
      <c r="AE44" s="17">
        <f ca="1">$AO$44*$AO$55</f>
        <v>0</v>
      </c>
      <c r="AF44" s="17">
        <f ca="1">$AP$44*$AP$55</f>
        <v>0</v>
      </c>
      <c r="AG44" s="17">
        <f ca="1">SUM($AE$44:$AF$44)</f>
        <v>0</v>
      </c>
      <c r="AH44" s="17">
        <f>'TUSD BE'!$AH$44*'TUSD BF'!$AH$58</f>
        <v>0</v>
      </c>
      <c r="AI44" s="17">
        <f>'TUSD BE'!$AI$44*'TUSD BF'!$AI$58</f>
        <v>0</v>
      </c>
      <c r="AJ44" s="17">
        <f ca="1">'TUSD BE'!$AJ$44*'TUSD BF'!$AJ$58</f>
        <v>0</v>
      </c>
      <c r="AK44" s="17">
        <f ca="1">'TUSD BE'!$AK$44*'TUSD BF'!$AK$58</f>
        <v>0</v>
      </c>
      <c r="AL44" s="17">
        <f ca="1">SUM($AH$44:$AK$44)</f>
        <v>0</v>
      </c>
      <c r="AM44" s="17">
        <f ca="1">SUMIF($L$4:$AL$4,"SUBTOTAL",$L$44:$AL$44)</f>
        <v>0</v>
      </c>
      <c r="AO44" s="43">
        <f ca="1">+'TUSD BE'!$T$44+'TUSD BE'!$AB$44+'TUSD BE'!$AD$44+'TUSD BE'!$AL$44</f>
        <v>630.56557927781125</v>
      </c>
      <c r="AP44" s="43">
        <f ca="1">+'TUSD BE'!$T$44+'TUSD BE'!$AB$44+'TUSD BE'!$AD$44+'TUSD BE'!$AL$44</f>
        <v>630.56557927781125</v>
      </c>
    </row>
    <row r="45" spans="1:42" ht="11.25" customHeight="1" x14ac:dyDescent="0.25">
      <c r="A45" s="130" t="s">
        <v>37</v>
      </c>
      <c r="B45" s="130" t="s">
        <v>87</v>
      </c>
      <c r="C45" s="130" t="s">
        <v>25</v>
      </c>
      <c r="D45" s="130" t="s">
        <v>25</v>
      </c>
      <c r="E45" s="130" t="s">
        <v>25</v>
      </c>
      <c r="F45" s="130" t="s">
        <v>25</v>
      </c>
      <c r="G45" s="36" t="s">
        <v>74</v>
      </c>
      <c r="H45" s="36" t="s">
        <v>73</v>
      </c>
      <c r="I45" s="36">
        <f>'MERCADO TUSD'!$U$42</f>
        <v>0</v>
      </c>
      <c r="J45" s="16"/>
      <c r="L45" s="17">
        <f>'TUSD BE'!$L$45*'TUSD BF'!$L$58</f>
        <v>0</v>
      </c>
      <c r="M45" s="17">
        <f>'TUSD BE'!$M$45*'TUSD BF'!$M$58</f>
        <v>0</v>
      </c>
      <c r="N45" s="17">
        <f ca="1">'TUSD BE'!$N$45*'TUSD BF'!$N$58</f>
        <v>0</v>
      </c>
      <c r="O45" s="17">
        <f>'TUSD BE'!$O$45*'TUSD BF'!$O$58</f>
        <v>0</v>
      </c>
      <c r="P45" s="17">
        <f>'TUSD BE'!$P$45*'TUSD BF'!$P$58</f>
        <v>0</v>
      </c>
      <c r="Q45" s="17">
        <f>'TUSD BE'!$Q$45*'TUSD BF'!$Q$58</f>
        <v>0</v>
      </c>
      <c r="R45" s="17">
        <f>'TUSD BE'!$R$45*'TUSD BF'!$R$58</f>
        <v>0</v>
      </c>
      <c r="S45" s="17">
        <f>'TUSD BE'!$R$45*'TUSD BF'!$S$58</f>
        <v>0</v>
      </c>
      <c r="T45" s="17">
        <f ca="1">SUM($L$45:$S$45)</f>
        <v>0</v>
      </c>
      <c r="U45" s="17">
        <f>'TUSD BE'!$U$45*'TUSD BF'!$U$58</f>
        <v>0</v>
      </c>
      <c r="V45" s="17">
        <f>'TUSD BE'!$V$45*'TUSD BF'!$V$58</f>
        <v>0</v>
      </c>
      <c r="W45" s="17">
        <f>'TUSD BE'!$W$45*'TUSD BF'!$W$58</f>
        <v>0</v>
      </c>
      <c r="X45" s="17">
        <f>'TUSD BE'!$X$45*'TUSD BF'!$X$58</f>
        <v>0</v>
      </c>
      <c r="Y45" s="17">
        <f>'TUSD BE'!$Y$45*'TUSD BF'!$Y$58</f>
        <v>0</v>
      </c>
      <c r="Z45" s="17">
        <f>'TUSD BE'!$Z$45*'TUSD BF'!$Z$58</f>
        <v>0</v>
      </c>
      <c r="AA45" s="17">
        <f>'TUSD BE'!$AA$45*'TUSD BF'!$AA$58</f>
        <v>0</v>
      </c>
      <c r="AB45" s="17">
        <f>SUM($U$45:$AA$45)</f>
        <v>0</v>
      </c>
      <c r="AC45" s="17">
        <f>'TUSD BE'!$AC$45*'TUSD BF'!$AC$58</f>
        <v>0</v>
      </c>
      <c r="AD45" s="17">
        <f>SUM($AC$45:$AC$45)</f>
        <v>0</v>
      </c>
      <c r="AE45" s="17">
        <f ca="1">$AO$45*$AO$55</f>
        <v>0</v>
      </c>
      <c r="AF45" s="17">
        <f ca="1">$AP$45*$AP$55</f>
        <v>0</v>
      </c>
      <c r="AG45" s="17">
        <f ca="1">SUM($AE$45:$AF$45)</f>
        <v>0</v>
      </c>
      <c r="AH45" s="17">
        <f>'TUSD BE'!$AH$45*'TUSD BF'!$AH$58</f>
        <v>0</v>
      </c>
      <c r="AI45" s="17">
        <f>'TUSD BE'!$AI$45*'TUSD BF'!$AI$58</f>
        <v>0</v>
      </c>
      <c r="AJ45" s="17">
        <f ca="1">'TUSD BE'!$AJ$45*'TUSD BF'!$AJ$58</f>
        <v>0</v>
      </c>
      <c r="AK45" s="17">
        <f ca="1">'TUSD BE'!$AK$45*'TUSD BF'!$AK$58</f>
        <v>0</v>
      </c>
      <c r="AL45" s="17">
        <f ca="1">SUM($AH$45:$AK$45)</f>
        <v>0</v>
      </c>
      <c r="AM45" s="17">
        <f ca="1">SUMIF($L$4:$AL$4,"SUBTOTAL",$L$45:$AL$45)</f>
        <v>0</v>
      </c>
      <c r="AO45" s="43">
        <f ca="1">+'TUSD BE'!$T$45+'TUSD BE'!$AB$45+'TUSD BE'!$AD$45+'TUSD BE'!$AL$45</f>
        <v>1753.930838036101</v>
      </c>
      <c r="AP45" s="43">
        <f ca="1">+'TUSD BE'!$T$45+'TUSD BE'!$AB$45+'TUSD BE'!$AD$45+'TUSD BE'!$AL$45</f>
        <v>1753.930838036101</v>
      </c>
    </row>
    <row r="46" spans="1:42" ht="11.25" customHeight="1" x14ac:dyDescent="0.25">
      <c r="A46" s="130"/>
      <c r="B46" s="130"/>
      <c r="C46" s="130"/>
      <c r="D46" s="130"/>
      <c r="E46" s="130"/>
      <c r="F46" s="130"/>
      <c r="G46" s="36" t="s">
        <v>85</v>
      </c>
      <c r="H46" s="36" t="s">
        <v>73</v>
      </c>
      <c r="I46" s="36">
        <f>'MERCADO TUSD'!$U$43</f>
        <v>0</v>
      </c>
      <c r="J46" s="16"/>
      <c r="L46" s="17">
        <f>'TUSD BE'!$L$46*'TUSD BF'!$L$58</f>
        <v>0</v>
      </c>
      <c r="M46" s="17">
        <f>'TUSD BE'!$M$46*'TUSD BF'!$M$58</f>
        <v>0</v>
      </c>
      <c r="N46" s="17">
        <f ca="1">'TUSD BE'!$N$46*'TUSD BF'!$N$58</f>
        <v>0</v>
      </c>
      <c r="O46" s="17">
        <f>'TUSD BE'!$O$46*'TUSD BF'!$O$58</f>
        <v>0</v>
      </c>
      <c r="P46" s="17">
        <f>'TUSD BE'!$P$46*'TUSD BF'!$P$58</f>
        <v>0</v>
      </c>
      <c r="Q46" s="17">
        <f>'TUSD BE'!$Q$46*'TUSD BF'!$Q$58</f>
        <v>0</v>
      </c>
      <c r="R46" s="17">
        <f>'TUSD BE'!$R$46*'TUSD BF'!$R$58</f>
        <v>0</v>
      </c>
      <c r="S46" s="17">
        <f>'TUSD BE'!$R$46*'TUSD BF'!$S$58</f>
        <v>0</v>
      </c>
      <c r="T46" s="17">
        <f ca="1">SUM($L$46:$S$46)</f>
        <v>0</v>
      </c>
      <c r="U46" s="17">
        <f>'TUSD BE'!$U$46*'TUSD BF'!$U$58</f>
        <v>0</v>
      </c>
      <c r="V46" s="17">
        <f>'TUSD BE'!$V$46*'TUSD BF'!$V$58</f>
        <v>0</v>
      </c>
      <c r="W46" s="17">
        <f>'TUSD BE'!$W$46*'TUSD BF'!$W$58</f>
        <v>0</v>
      </c>
      <c r="X46" s="17">
        <f>'TUSD BE'!$X$46*'TUSD BF'!$X$58</f>
        <v>0</v>
      </c>
      <c r="Y46" s="17">
        <f>'TUSD BE'!$Y$46*'TUSD BF'!$Y$58</f>
        <v>0</v>
      </c>
      <c r="Z46" s="17">
        <f>'TUSD BE'!$Z$46*'TUSD BF'!$Z$58</f>
        <v>0</v>
      </c>
      <c r="AA46" s="17">
        <f>'TUSD BE'!$AA$46*'TUSD BF'!$AA$58</f>
        <v>0</v>
      </c>
      <c r="AB46" s="17">
        <f>SUM($U$46:$AA$46)</f>
        <v>0</v>
      </c>
      <c r="AC46" s="17">
        <f>'TUSD BE'!$AC$46*'TUSD BF'!$AC$58</f>
        <v>0</v>
      </c>
      <c r="AD46" s="17">
        <f>SUM($AC$46:$AC$46)</f>
        <v>0</v>
      </c>
      <c r="AE46" s="17">
        <f ca="1">$AO$46*$AO$55</f>
        <v>0</v>
      </c>
      <c r="AF46" s="17">
        <f ca="1">$AP$46*$AP$55</f>
        <v>0</v>
      </c>
      <c r="AG46" s="17">
        <f ca="1">SUM($AE$46:$AF$46)</f>
        <v>0</v>
      </c>
      <c r="AH46" s="17">
        <f>'TUSD BE'!$AH$46*'TUSD BF'!$AH$58</f>
        <v>0</v>
      </c>
      <c r="AI46" s="17">
        <f>'TUSD BE'!$AI$46*'TUSD BF'!$AI$58</f>
        <v>0</v>
      </c>
      <c r="AJ46" s="17">
        <f ca="1">'TUSD BE'!$AJ$46*'TUSD BF'!$AJ$58</f>
        <v>0</v>
      </c>
      <c r="AK46" s="17">
        <f ca="1">'TUSD BE'!$AK$46*'TUSD BF'!$AK$58</f>
        <v>0</v>
      </c>
      <c r="AL46" s="17">
        <f ca="1">SUM($AH$46:$AK$46)</f>
        <v>0</v>
      </c>
      <c r="AM46" s="17">
        <f ca="1">SUMIF($L$4:$AL$4,"SUBTOTAL",$L$46:$AL$46)</f>
        <v>0</v>
      </c>
      <c r="AO46" s="43">
        <f ca="1">+'TUSD BE'!$T$46+'TUSD BE'!$AB$46+'TUSD BE'!$AD$46+'TUSD BE'!$AL$46</f>
        <v>1106.3564679199324</v>
      </c>
      <c r="AP46" s="43">
        <f ca="1">+'TUSD BE'!$T$46+'TUSD BE'!$AB$46+'TUSD BE'!$AD$46+'TUSD BE'!$AL$46</f>
        <v>1106.3564679199324</v>
      </c>
    </row>
    <row r="47" spans="1:42" ht="11.25" customHeight="1" x14ac:dyDescent="0.25">
      <c r="A47" s="130"/>
      <c r="B47" s="130"/>
      <c r="C47" s="130"/>
      <c r="D47" s="130"/>
      <c r="E47" s="130"/>
      <c r="F47" s="130"/>
      <c r="G47" s="36" t="s">
        <v>75</v>
      </c>
      <c r="H47" s="36" t="s">
        <v>73</v>
      </c>
      <c r="I47" s="36">
        <f>'MERCADO TUSD'!$U$44</f>
        <v>0</v>
      </c>
      <c r="J47" s="16"/>
      <c r="L47" s="17">
        <f>'TUSD BE'!$L$47*'TUSD BF'!$L$58</f>
        <v>0</v>
      </c>
      <c r="M47" s="17">
        <f>'TUSD BE'!$M$47*'TUSD BF'!$M$58</f>
        <v>0</v>
      </c>
      <c r="N47" s="17">
        <f ca="1">'TUSD BE'!$N$47*'TUSD BF'!$N$58</f>
        <v>0</v>
      </c>
      <c r="O47" s="17">
        <f>'TUSD BE'!$O$47*'TUSD BF'!$O$58</f>
        <v>0</v>
      </c>
      <c r="P47" s="17">
        <f>'TUSD BE'!$P$47*'TUSD BF'!$P$58</f>
        <v>0</v>
      </c>
      <c r="Q47" s="17">
        <f>'TUSD BE'!$Q$47*'TUSD BF'!$Q$58</f>
        <v>0</v>
      </c>
      <c r="R47" s="17">
        <f>'TUSD BE'!$R$47*'TUSD BF'!$R$58</f>
        <v>0</v>
      </c>
      <c r="S47" s="17">
        <f>'TUSD BE'!$R$47*'TUSD BF'!$S$58</f>
        <v>0</v>
      </c>
      <c r="T47" s="17">
        <f ca="1">SUM($L$47:$S$47)</f>
        <v>0</v>
      </c>
      <c r="U47" s="17">
        <f>'TUSD BE'!$U$47*'TUSD BF'!$U$58</f>
        <v>0</v>
      </c>
      <c r="V47" s="17">
        <f>'TUSD BE'!$V$47*'TUSD BF'!$V$58</f>
        <v>0</v>
      </c>
      <c r="W47" s="17">
        <f>'TUSD BE'!$W$47*'TUSD BF'!$W$58</f>
        <v>0</v>
      </c>
      <c r="X47" s="17">
        <f>'TUSD BE'!$X$47*'TUSD BF'!$X$58</f>
        <v>0</v>
      </c>
      <c r="Y47" s="17">
        <f>'TUSD BE'!$Y$47*'TUSD BF'!$Y$58</f>
        <v>0</v>
      </c>
      <c r="Z47" s="17">
        <f>'TUSD BE'!$Z$47*'TUSD BF'!$Z$58</f>
        <v>0</v>
      </c>
      <c r="AA47" s="17">
        <f>'TUSD BE'!$AA$47*'TUSD BF'!$AA$58</f>
        <v>0</v>
      </c>
      <c r="AB47" s="17">
        <f>SUM($U$47:$AA$47)</f>
        <v>0</v>
      </c>
      <c r="AC47" s="17">
        <f>'TUSD BE'!$AC$47*'TUSD BF'!$AC$58</f>
        <v>0</v>
      </c>
      <c r="AD47" s="17">
        <f>SUM($AC$47:$AC$47)</f>
        <v>0</v>
      </c>
      <c r="AE47" s="17">
        <f ca="1">$AO$47*$AO$55</f>
        <v>0</v>
      </c>
      <c r="AF47" s="17">
        <f ca="1">$AP$47*$AP$55</f>
        <v>0</v>
      </c>
      <c r="AG47" s="17">
        <f ca="1">SUM($AE$47:$AF$47)</f>
        <v>0</v>
      </c>
      <c r="AH47" s="17">
        <f>'TUSD BE'!$AH$47*'TUSD BF'!$AH$58</f>
        <v>0</v>
      </c>
      <c r="AI47" s="17">
        <f>'TUSD BE'!$AI$47*'TUSD BF'!$AI$58</f>
        <v>0</v>
      </c>
      <c r="AJ47" s="17">
        <f ca="1">'TUSD BE'!$AJ$47*'TUSD BF'!$AJ$58</f>
        <v>0</v>
      </c>
      <c r="AK47" s="17">
        <f ca="1">'TUSD BE'!$AK$47*'TUSD BF'!$AK$58</f>
        <v>0</v>
      </c>
      <c r="AL47" s="17">
        <f ca="1">SUM($AH$47:$AK$47)</f>
        <v>0</v>
      </c>
      <c r="AM47" s="17">
        <f ca="1">SUMIF($L$4:$AL$4,"SUBTOTAL",$L$47:$AL$47)</f>
        <v>0</v>
      </c>
      <c r="AO47" s="43">
        <f ca="1">+'TUSD BE'!$T$47+'TUSD BE'!$AB$47+'TUSD BE'!$AD$47+'TUSD BE'!$AL$47</f>
        <v>458.78261398375935</v>
      </c>
      <c r="AP47" s="43">
        <f ca="1">+'TUSD BE'!$T$47+'TUSD BE'!$AB$47+'TUSD BE'!$AD$47+'TUSD BE'!$AL$47</f>
        <v>458.78261398375935</v>
      </c>
    </row>
    <row r="48" spans="1:42" ht="11.25" customHeight="1" x14ac:dyDescent="0.25">
      <c r="A48" s="130"/>
      <c r="B48" s="41" t="s">
        <v>23</v>
      </c>
      <c r="C48" s="41" t="s">
        <v>25</v>
      </c>
      <c r="D48" s="41" t="s">
        <v>25</v>
      </c>
      <c r="E48" s="41" t="s">
        <v>25</v>
      </c>
      <c r="F48" s="41" t="s">
        <v>25</v>
      </c>
      <c r="G48" s="36" t="s">
        <v>79</v>
      </c>
      <c r="H48" s="36" t="s">
        <v>73</v>
      </c>
      <c r="I48" s="36">
        <f>'MERCADO TUSD'!$U$45</f>
        <v>9351.1280000000006</v>
      </c>
      <c r="J48" s="16"/>
      <c r="L48" s="17">
        <f>'TUSD BE'!$L$48*'TUSD BF'!$L$58</f>
        <v>0</v>
      </c>
      <c r="M48" s="17">
        <f>'TUSD BE'!$M$48*'TUSD BF'!$M$58</f>
        <v>0</v>
      </c>
      <c r="N48" s="17">
        <f ca="1">'TUSD BE'!$N$48*'TUSD BF'!$N$58</f>
        <v>0</v>
      </c>
      <c r="O48" s="17">
        <f>'TUSD BE'!$O$48*'TUSD BF'!$O$58</f>
        <v>0</v>
      </c>
      <c r="P48" s="17">
        <f>'TUSD BE'!$P$48*'TUSD BF'!$P$58</f>
        <v>0</v>
      </c>
      <c r="Q48" s="17">
        <f>'TUSD BE'!$Q$48*'TUSD BF'!$Q$58</f>
        <v>0</v>
      </c>
      <c r="R48" s="17">
        <f>'TUSD BE'!$R$48*'TUSD BF'!$R$58</f>
        <v>0</v>
      </c>
      <c r="S48" s="17">
        <f>'TUSD BE'!$R$48*'TUSD BF'!$S$58</f>
        <v>0</v>
      </c>
      <c r="T48" s="17">
        <f ca="1">SUM($L$48:$S$48)</f>
        <v>0</v>
      </c>
      <c r="U48" s="17">
        <f>'TUSD BE'!$U$48*'TUSD BF'!$U$58</f>
        <v>0</v>
      </c>
      <c r="V48" s="17">
        <f>'TUSD BE'!$V$48*'TUSD BF'!$V$58</f>
        <v>0</v>
      </c>
      <c r="W48" s="17">
        <f>'TUSD BE'!$W$48*'TUSD BF'!$W$58</f>
        <v>0</v>
      </c>
      <c r="X48" s="17">
        <f>'TUSD BE'!$X$48*'TUSD BF'!$X$58</f>
        <v>0</v>
      </c>
      <c r="Y48" s="17">
        <f>'TUSD BE'!$Y$48*'TUSD BF'!$Y$58</f>
        <v>0</v>
      </c>
      <c r="Z48" s="17">
        <f>'TUSD BE'!$Z$48*'TUSD BF'!$Z$58</f>
        <v>0</v>
      </c>
      <c r="AA48" s="17">
        <f>'TUSD BE'!$AA$48*'TUSD BF'!$AA$58</f>
        <v>0</v>
      </c>
      <c r="AB48" s="17">
        <f>SUM($U$48:$AA$48)</f>
        <v>0</v>
      </c>
      <c r="AC48" s="17">
        <f>'TUSD BE'!$AC$48*'TUSD BF'!$AC$58</f>
        <v>0</v>
      </c>
      <c r="AD48" s="17">
        <f>SUM($AC$48:$AC$48)</f>
        <v>0</v>
      </c>
      <c r="AE48" s="17">
        <f ca="1">$AO$48*$AO$55</f>
        <v>0</v>
      </c>
      <c r="AF48" s="17">
        <f ca="1">$AP$48*$AP$55</f>
        <v>0</v>
      </c>
      <c r="AG48" s="17">
        <f ca="1">SUM($AE$48:$AF$48)</f>
        <v>0</v>
      </c>
      <c r="AH48" s="17">
        <f>'TUSD BE'!$AH$48*'TUSD BF'!$AH$58</f>
        <v>0</v>
      </c>
      <c r="AI48" s="17">
        <f>'TUSD BE'!$AI$48*'TUSD BF'!$AI$58</f>
        <v>0</v>
      </c>
      <c r="AJ48" s="17">
        <f ca="1">'TUSD BE'!$AJ$48*'TUSD BF'!$AJ$58</f>
        <v>0</v>
      </c>
      <c r="AK48" s="17">
        <f ca="1">'TUSD BE'!$AK$48*'TUSD BF'!$AK$58</f>
        <v>0</v>
      </c>
      <c r="AL48" s="17">
        <f ca="1">SUM($AH$48:$AK$48)</f>
        <v>0</v>
      </c>
      <c r="AM48" s="17">
        <f ca="1">SUMIF($L$4:$AL$4,"SUBTOTAL",$L$48:$AL$48)</f>
        <v>0</v>
      </c>
      <c r="AO48" s="43">
        <f ca="1">+'TUSD BE'!$T$48+'TUSD BE'!$AB$48+'TUSD BE'!$AD$48+'TUSD BE'!$AL$48</f>
        <v>630.56557927781125</v>
      </c>
      <c r="AP48" s="43">
        <f ca="1">+'TUSD BE'!$T$48+'TUSD BE'!$AB$48+'TUSD BE'!$AD$48+'TUSD BE'!$AL$48</f>
        <v>630.56557927781125</v>
      </c>
    </row>
    <row r="49" spans="1:42" ht="11.25" customHeight="1" x14ac:dyDescent="0.25">
      <c r="A49" s="130"/>
      <c r="B49" s="41" t="s">
        <v>89</v>
      </c>
      <c r="C49" s="41" t="s">
        <v>25</v>
      </c>
      <c r="D49" s="41" t="s">
        <v>25</v>
      </c>
      <c r="E49" s="41" t="s">
        <v>25</v>
      </c>
      <c r="F49" s="41" t="s">
        <v>25</v>
      </c>
      <c r="G49" s="36" t="s">
        <v>79</v>
      </c>
      <c r="H49" s="36" t="s">
        <v>73</v>
      </c>
      <c r="I49" s="36">
        <f>'MERCADO TUSD'!$U$46</f>
        <v>0</v>
      </c>
      <c r="J49" s="16"/>
      <c r="L49" s="17">
        <f>'TUSD BE'!$L$49*'TUSD BF'!$L$58</f>
        <v>0</v>
      </c>
      <c r="M49" s="17">
        <f>'TUSD BE'!$M$49*'TUSD BF'!$M$58</f>
        <v>0</v>
      </c>
      <c r="N49" s="17">
        <f ca="1">'TUSD BE'!$N$49*'TUSD BF'!$N$58</f>
        <v>0</v>
      </c>
      <c r="O49" s="17">
        <f>'TUSD BE'!$O$49*'TUSD BF'!$O$58</f>
        <v>0</v>
      </c>
      <c r="P49" s="17">
        <f>'TUSD BE'!$P$49*'TUSD BF'!$P$58</f>
        <v>0</v>
      </c>
      <c r="Q49" s="17">
        <f>'TUSD BE'!$Q$49*'TUSD BF'!$Q$58</f>
        <v>0</v>
      </c>
      <c r="R49" s="17">
        <f>'TUSD BE'!$R$49*'TUSD BF'!$R$58</f>
        <v>0</v>
      </c>
      <c r="S49" s="17">
        <f>'TUSD BE'!$R$49*'TUSD BF'!$S$58</f>
        <v>0</v>
      </c>
      <c r="T49" s="17">
        <f ca="1">SUM($L$49:$S$49)</f>
        <v>0</v>
      </c>
      <c r="U49" s="17">
        <f>'TUSD BE'!$U$49*'TUSD BF'!$U$58</f>
        <v>0</v>
      </c>
      <c r="V49" s="17">
        <f>'TUSD BE'!$V$49*'TUSD BF'!$V$58</f>
        <v>0</v>
      </c>
      <c r="W49" s="17">
        <f>'TUSD BE'!$W$49*'TUSD BF'!$W$58</f>
        <v>0</v>
      </c>
      <c r="X49" s="17">
        <f>'TUSD BE'!$X$49*'TUSD BF'!$X$58</f>
        <v>0</v>
      </c>
      <c r="Y49" s="17">
        <f>'TUSD BE'!$Y$49*'TUSD BF'!$Y$58</f>
        <v>0</v>
      </c>
      <c r="Z49" s="17">
        <f>'TUSD BE'!$Z$49*'TUSD BF'!$Z$58</f>
        <v>0</v>
      </c>
      <c r="AA49" s="17">
        <f>'TUSD BE'!$AA$49*'TUSD BF'!$AA$58</f>
        <v>0</v>
      </c>
      <c r="AB49" s="17">
        <f>SUM($U$49:$AA$49)</f>
        <v>0</v>
      </c>
      <c r="AC49" s="17">
        <f>'TUSD BE'!$AC$49*'TUSD BF'!$AC$58</f>
        <v>0</v>
      </c>
      <c r="AD49" s="17">
        <f>SUM($AC$49:$AC$49)</f>
        <v>0</v>
      </c>
      <c r="AE49" s="17">
        <f ca="1">$AO$49*$AO$55</f>
        <v>0</v>
      </c>
      <c r="AF49" s="17">
        <f ca="1">$AP$49*$AP$55</f>
        <v>0</v>
      </c>
      <c r="AG49" s="17">
        <f ca="1">SUM($AE$49:$AF$49)</f>
        <v>0</v>
      </c>
      <c r="AH49" s="17">
        <f>'TUSD BE'!$AH$49*'TUSD BF'!$AH$58</f>
        <v>0</v>
      </c>
      <c r="AI49" s="17">
        <f>'TUSD BE'!$AI$49*'TUSD BF'!$AI$58</f>
        <v>0</v>
      </c>
      <c r="AJ49" s="17">
        <f ca="1">'TUSD BE'!$AJ$49*'TUSD BF'!$AJ$58</f>
        <v>0</v>
      </c>
      <c r="AK49" s="17">
        <f ca="1">'TUSD BE'!$AK$49*'TUSD BF'!$AK$58</f>
        <v>0</v>
      </c>
      <c r="AL49" s="17">
        <f ca="1">SUM($AH$49:$AK$49)</f>
        <v>0</v>
      </c>
      <c r="AM49" s="17">
        <f ca="1">SUMIF($L$4:$AL$4,"SUBTOTAL",$L$49:$AL$49)</f>
        <v>0</v>
      </c>
      <c r="AO49" s="43">
        <f ca="1">+'TUSD BE'!$T$49+'TUSD BE'!$AB$49+'TUSD BE'!$AD$49+'TUSD BE'!$AL$49</f>
        <v>630.56557927781125</v>
      </c>
      <c r="AP49" s="43">
        <f ca="1">+'TUSD BE'!$T$49+'TUSD BE'!$AB$49+'TUSD BE'!$AD$49+'TUSD BE'!$AL$49</f>
        <v>630.56557927781125</v>
      </c>
    </row>
    <row r="50" spans="1:42" ht="11.25" customHeight="1" x14ac:dyDescent="0.25">
      <c r="A50" s="130" t="s">
        <v>44</v>
      </c>
      <c r="B50" s="130" t="s">
        <v>23</v>
      </c>
      <c r="C50" s="130" t="s">
        <v>45</v>
      </c>
      <c r="D50" s="41" t="s">
        <v>46</v>
      </c>
      <c r="E50" s="41" t="s">
        <v>25</v>
      </c>
      <c r="F50" s="41" t="s">
        <v>25</v>
      </c>
      <c r="G50" s="36" t="s">
        <v>79</v>
      </c>
      <c r="H50" s="36" t="s">
        <v>73</v>
      </c>
      <c r="I50" s="36">
        <f>'MERCADO TUSD'!$U$47</f>
        <v>121.60999999999999</v>
      </c>
      <c r="J50" s="16"/>
      <c r="L50" s="17">
        <f>'TUSD BE'!$L$50*'TUSD BF'!$L$58</f>
        <v>0</v>
      </c>
      <c r="M50" s="17">
        <f>'TUSD BE'!$M$50*'TUSD BF'!$M$58</f>
        <v>0</v>
      </c>
      <c r="N50" s="17">
        <f ca="1">'TUSD BE'!$N$50*'TUSD BF'!$N$58</f>
        <v>0</v>
      </c>
      <c r="O50" s="17">
        <f>'TUSD BE'!$O$50*'TUSD BF'!$O$58</f>
        <v>0</v>
      </c>
      <c r="P50" s="17">
        <f>'TUSD BE'!$P$50*'TUSD BF'!$P$58</f>
        <v>0</v>
      </c>
      <c r="Q50" s="17">
        <f>'TUSD BE'!$Q$50*'TUSD BF'!$Q$58</f>
        <v>0</v>
      </c>
      <c r="R50" s="17">
        <f>'TUSD BE'!$R$50*'TUSD BF'!$R$58</f>
        <v>0</v>
      </c>
      <c r="S50" s="17">
        <f>'TUSD BE'!$R$50*'TUSD BF'!$S$58</f>
        <v>0</v>
      </c>
      <c r="T50" s="17">
        <f ca="1">SUM($L$50:$S$50)</f>
        <v>0</v>
      </c>
      <c r="U50" s="17">
        <f>'TUSD BE'!$U$50*'TUSD BF'!$U$58</f>
        <v>0</v>
      </c>
      <c r="V50" s="17">
        <f>'TUSD BE'!$V$50*'TUSD BF'!$V$58</f>
        <v>0</v>
      </c>
      <c r="W50" s="17">
        <f>'TUSD BE'!$W$50*'TUSD BF'!$W$58</f>
        <v>0</v>
      </c>
      <c r="X50" s="17">
        <f>'TUSD BE'!$X$50*'TUSD BF'!$X$58</f>
        <v>0</v>
      </c>
      <c r="Y50" s="17">
        <f>'TUSD BE'!$Y$50*'TUSD BF'!$Y$58</f>
        <v>0</v>
      </c>
      <c r="Z50" s="17">
        <f>'TUSD BE'!$Z$50*'TUSD BF'!$Z$58</f>
        <v>0</v>
      </c>
      <c r="AA50" s="17">
        <f>'TUSD BE'!$AA$50*'TUSD BF'!$AA$58</f>
        <v>0</v>
      </c>
      <c r="AB50" s="17">
        <f>SUM($U$50:$AA$50)</f>
        <v>0</v>
      </c>
      <c r="AC50" s="17">
        <f>'TUSD BE'!$AC$50*'TUSD BF'!$AC$58</f>
        <v>0</v>
      </c>
      <c r="AD50" s="17">
        <f>SUM($AC$50:$AC$50)</f>
        <v>0</v>
      </c>
      <c r="AE50" s="17">
        <f ca="1">$AO$50*$AO$55</f>
        <v>0</v>
      </c>
      <c r="AF50" s="17">
        <f ca="1">$AP$50*$AP$55</f>
        <v>0</v>
      </c>
      <c r="AG50" s="17">
        <f ca="1">SUM($AE$50:$AF$50)</f>
        <v>0</v>
      </c>
      <c r="AH50" s="17">
        <f>'TUSD BE'!$AH$50*'TUSD BF'!$AH$58</f>
        <v>0</v>
      </c>
      <c r="AI50" s="17">
        <f>'TUSD BE'!$AI$50*'TUSD BF'!$AI$58</f>
        <v>0</v>
      </c>
      <c r="AJ50" s="17">
        <f ca="1">'TUSD BE'!$AJ$50*'TUSD BF'!$AJ$58</f>
        <v>0</v>
      </c>
      <c r="AK50" s="17">
        <f ca="1">'TUSD BE'!$AK$50*'TUSD BF'!$AK$58</f>
        <v>0</v>
      </c>
      <c r="AL50" s="17">
        <f ca="1">SUM($AH$50:$AK$50)</f>
        <v>0</v>
      </c>
      <c r="AM50" s="17">
        <f ca="1">SUMIF($L$4:$AL$4,"SUBTOTAL",$L$50:$AL$50)</f>
        <v>0</v>
      </c>
      <c r="AO50" s="43">
        <f ca="1">+'TUSD BE'!$T$50+'TUSD BE'!$AB$50+'TUSD BE'!$AD$50+'TUSD BE'!$AL$50</f>
        <v>346.81106860279624</v>
      </c>
      <c r="AP50" s="43">
        <f ca="1">+'TUSD BE'!$T$50+'TUSD BE'!$AB$50+'TUSD BE'!$AD$50+'TUSD BE'!$AL$50</f>
        <v>346.81106860279624</v>
      </c>
    </row>
    <row r="51" spans="1:42" ht="11.25" customHeight="1" x14ac:dyDescent="0.25">
      <c r="A51" s="130"/>
      <c r="B51" s="130"/>
      <c r="C51" s="130"/>
      <c r="D51" s="36" t="s">
        <v>47</v>
      </c>
      <c r="E51" s="36" t="s">
        <v>25</v>
      </c>
      <c r="F51" s="36" t="s">
        <v>25</v>
      </c>
      <c r="G51" s="36" t="s">
        <v>79</v>
      </c>
      <c r="H51" s="36" t="s">
        <v>73</v>
      </c>
      <c r="I51" s="36">
        <f>'MERCADO TUSD'!$U$48</f>
        <v>2220.8670000000002</v>
      </c>
      <c r="J51" s="16"/>
      <c r="L51" s="17">
        <f>'TUSD BE'!$L$51*'TUSD BF'!$L$58</f>
        <v>0</v>
      </c>
      <c r="M51" s="17">
        <f>'TUSD BE'!$M$51*'TUSD BF'!$M$58</f>
        <v>0</v>
      </c>
      <c r="N51" s="17">
        <f ca="1">'TUSD BE'!$N$51*'TUSD BF'!$N$58</f>
        <v>0</v>
      </c>
      <c r="O51" s="17">
        <f>'TUSD BE'!$O$51*'TUSD BF'!$O$58</f>
        <v>0</v>
      </c>
      <c r="P51" s="17">
        <f>'TUSD BE'!$P$51*'TUSD BF'!$P$58</f>
        <v>0</v>
      </c>
      <c r="Q51" s="17">
        <f>'TUSD BE'!$Q$51*'TUSD BF'!$Q$58</f>
        <v>0</v>
      </c>
      <c r="R51" s="17">
        <f>'TUSD BE'!$R$51*'TUSD BF'!$R$58</f>
        <v>0</v>
      </c>
      <c r="S51" s="17">
        <f>'TUSD BE'!$R$51*'TUSD BF'!$S$58</f>
        <v>0</v>
      </c>
      <c r="T51" s="17">
        <f ca="1">SUM($L$51:$S$51)</f>
        <v>0</v>
      </c>
      <c r="U51" s="17">
        <f>'TUSD BE'!$U$51*'TUSD BF'!$U$58</f>
        <v>0</v>
      </c>
      <c r="V51" s="17">
        <f>'TUSD BE'!$V$51*'TUSD BF'!$V$58</f>
        <v>0</v>
      </c>
      <c r="W51" s="17">
        <f>'TUSD BE'!$W$51*'TUSD BF'!$W$58</f>
        <v>0</v>
      </c>
      <c r="X51" s="17">
        <f>'TUSD BE'!$X$51*'TUSD BF'!$X$58</f>
        <v>0</v>
      </c>
      <c r="Y51" s="17">
        <f>'TUSD BE'!$Y$51*'TUSD BF'!$Y$58</f>
        <v>0</v>
      </c>
      <c r="Z51" s="17">
        <f>'TUSD BE'!$Z$51*'TUSD BF'!$Z$58</f>
        <v>0</v>
      </c>
      <c r="AA51" s="17">
        <f>'TUSD BE'!$AA$51*'TUSD BF'!$AA$58</f>
        <v>0</v>
      </c>
      <c r="AB51" s="17">
        <f>SUM($U$51:$AA$51)</f>
        <v>0</v>
      </c>
      <c r="AC51" s="17">
        <f>'TUSD BE'!$AC$51*'TUSD BF'!$AC$58</f>
        <v>0</v>
      </c>
      <c r="AD51" s="17">
        <f>SUM($AC$51:$AC$51)</f>
        <v>0</v>
      </c>
      <c r="AE51" s="17">
        <f ca="1">$AO$51*$AO$55</f>
        <v>0</v>
      </c>
      <c r="AF51" s="17">
        <f ca="1">$AP$51*$AP$55</f>
        <v>0</v>
      </c>
      <c r="AG51" s="17">
        <f ca="1">SUM($AE$51:$AF$51)</f>
        <v>0</v>
      </c>
      <c r="AH51" s="17">
        <f>'TUSD BE'!$AH$51*'TUSD BF'!$AH$58</f>
        <v>0</v>
      </c>
      <c r="AI51" s="17">
        <f>'TUSD BE'!$AI$51*'TUSD BF'!$AI$58</f>
        <v>0</v>
      </c>
      <c r="AJ51" s="17">
        <f ca="1">'TUSD BE'!$AJ$51*'TUSD BF'!$AJ$58</f>
        <v>0</v>
      </c>
      <c r="AK51" s="17">
        <f ca="1">'TUSD BE'!$AK$51*'TUSD BF'!$AK$58</f>
        <v>0</v>
      </c>
      <c r="AL51" s="17">
        <f ca="1">SUM($AH$51:$AK$51)</f>
        <v>0</v>
      </c>
      <c r="AM51" s="17">
        <f ca="1">SUMIF($L$4:$AL$4,"SUBTOTAL",$L$51:$AL$51)</f>
        <v>0</v>
      </c>
      <c r="AO51" s="43">
        <f ca="1">+'TUSD BE'!$T$51+'TUSD BE'!$AB$51+'TUSD BE'!$AD$51+'TUSD BE'!$AL$51</f>
        <v>378.33934756668674</v>
      </c>
      <c r="AP51" s="43">
        <f ca="1">+'TUSD BE'!$T$51+'TUSD BE'!$AB$51+'TUSD BE'!$AD$51+'TUSD BE'!$AL$51</f>
        <v>378.33934756668674</v>
      </c>
    </row>
    <row r="53" spans="1:42" ht="11.25" customHeight="1" x14ac:dyDescent="0.25">
      <c r="K53" s="40" t="s">
        <v>497</v>
      </c>
      <c r="L53" s="17">
        <f>SUMPRODUCT($I$5:$I51,$L$5:$L51)</f>
        <v>0</v>
      </c>
      <c r="M53" s="17">
        <f>SUMPRODUCT($I$5:$I51,$M$5:$M51)</f>
        <v>0</v>
      </c>
      <c r="N53" s="17">
        <f ca="1">SUMPRODUCT($I$5:$I51,$N$5:$N51)</f>
        <v>0</v>
      </c>
      <c r="O53" s="17">
        <f>SUMPRODUCT($I$5:$I51,$O$5:$O51)</f>
        <v>0</v>
      </c>
      <c r="P53" s="17">
        <f>SUMPRODUCT($I$5:$I51,$P$5:$P51)</f>
        <v>0</v>
      </c>
      <c r="Q53" s="17">
        <f>SUMPRODUCT($I$5:$I51,$Q$5:$Q51)</f>
        <v>0</v>
      </c>
      <c r="R53" s="17">
        <f>SUMPRODUCT($I$5:$I51,$R$5:$R51)</f>
        <v>0</v>
      </c>
      <c r="S53" s="17">
        <f>SUMPRODUCT($I$5:$I51,$S$5:$S51)</f>
        <v>0</v>
      </c>
      <c r="T53" s="17">
        <f ca="1">SUMPRODUCT($I$5:$I51,$T$5:$T51)</f>
        <v>0</v>
      </c>
      <c r="U53" s="17">
        <f>SUMPRODUCT($I$5:$I51,$U$5:$U51)</f>
        <v>0</v>
      </c>
      <c r="V53" s="17">
        <f>SUMPRODUCT($I$5:$I51,$V$5:$V51)</f>
        <v>0</v>
      </c>
      <c r="W53" s="17">
        <f>SUMPRODUCT($I$5:$I51,$W$5:$W51)</f>
        <v>0</v>
      </c>
      <c r="X53" s="17">
        <f>SUMPRODUCT($I$5:$I51,$X$5:$X51)</f>
        <v>0</v>
      </c>
      <c r="Y53" s="17">
        <f>SUMPRODUCT($I$5:$I51,$Y$5:$Y51)</f>
        <v>0</v>
      </c>
      <c r="Z53" s="17">
        <f>SUMPRODUCT($I$5:$I51,$Z$5:$Z51)</f>
        <v>0</v>
      </c>
      <c r="AA53" s="17">
        <f>SUMPRODUCT($I$5:$I51,$AA$5:$AA51)</f>
        <v>0</v>
      </c>
      <c r="AB53" s="17">
        <f>SUMPRODUCT($I$5:$I51,$AB$5:$AB51)</f>
        <v>0</v>
      </c>
      <c r="AC53" s="17">
        <f>SUMPRODUCT($I$5:$I51,$AC$5:$AC51)</f>
        <v>0</v>
      </c>
      <c r="AD53" s="17">
        <f>SUMPRODUCT($I$5:$I51,$AD$5:$AD51)</f>
        <v>0</v>
      </c>
      <c r="AE53" s="17">
        <f ca="1">SUMPRODUCT($I$5:$I51,$AE$5:$AE51)</f>
        <v>0</v>
      </c>
      <c r="AF53" s="17">
        <f ca="1">SUMPRODUCT($I$5:$I51,$AF$5:$AF51)</f>
        <v>0</v>
      </c>
      <c r="AG53" s="17">
        <f ca="1">SUMPRODUCT($I$5:$I51,$AG$5:$AG51)</f>
        <v>0</v>
      </c>
      <c r="AH53" s="17">
        <f>SUMPRODUCT($I$5:$I51,$AH$5:$AH51)</f>
        <v>0</v>
      </c>
      <c r="AI53" s="17">
        <f>SUMPRODUCT($I$5:$I51,$AI$5:$AI51)</f>
        <v>0</v>
      </c>
      <c r="AJ53" s="17">
        <f ca="1">SUMPRODUCT($I$5:$I51,$AJ$5:$AJ51)</f>
        <v>0</v>
      </c>
      <c r="AK53" s="17">
        <f ca="1">SUMPRODUCT($I$5:$I51,$AK$5:$AK51)</f>
        <v>0</v>
      </c>
      <c r="AL53" s="17">
        <f ca="1">SUMPRODUCT($I$5:$I51,$AL$5:$AL51)</f>
        <v>0</v>
      </c>
      <c r="AM53" s="17">
        <f ca="1">SUMPRODUCT($I$5:$I51,$AM$5:$AM51)</f>
        <v>0</v>
      </c>
      <c r="AO53" s="36">
        <f ca="1">SUMPRODUCT($I$5:$I51,$AO$5:$AO51)</f>
        <v>95850208.759620145</v>
      </c>
      <c r="AP53" s="36">
        <f ca="1">SUMPRODUCT($I$5:$I51,$AP$5:$AP51)</f>
        <v>95850208.759620145</v>
      </c>
    </row>
    <row r="54" spans="1:42" ht="11.25" customHeight="1" x14ac:dyDescent="0.25">
      <c r="K54" s="40" t="s">
        <v>440</v>
      </c>
      <c r="L54" s="17">
        <f>'TR TUSD'!$L$56</f>
        <v>0</v>
      </c>
      <c r="M54" s="17">
        <f>'TR TUSD'!$M$56</f>
        <v>268243.44278258207</v>
      </c>
      <c r="N54" s="17">
        <f>'TR TUSD'!$N$56</f>
        <v>0</v>
      </c>
      <c r="O54" s="17">
        <f>'TR TUSD'!$O$56</f>
        <v>0</v>
      </c>
      <c r="P54" s="17">
        <f>'TR TUSD'!$P$56</f>
        <v>0</v>
      </c>
      <c r="Q54" s="17">
        <f>'TR TUSD'!$Q$56</f>
        <v>14054948.943829997</v>
      </c>
      <c r="R54" s="17">
        <f>'TR TUSD'!$R$56</f>
        <v>2530922.6024099994</v>
      </c>
      <c r="S54" s="17">
        <f>'TR TUSD'!$S$56</f>
        <v>0</v>
      </c>
      <c r="T54" s="17">
        <f>'TR TUSD'!$T$56</f>
        <v>16854114.989022579</v>
      </c>
      <c r="U54" s="17">
        <f>'TR TUSD'!$U$56</f>
        <v>0</v>
      </c>
      <c r="V54" s="17">
        <f>'TR TUSD'!$V$56</f>
        <v>0</v>
      </c>
      <c r="W54" s="17">
        <f>'TR TUSD'!$W$56</f>
        <v>0</v>
      </c>
      <c r="X54" s="17">
        <f>'TR TUSD'!$X$56</f>
        <v>0</v>
      </c>
      <c r="Y54" s="17">
        <f>'TR TUSD'!$Y$56</f>
        <v>21824003.3997114</v>
      </c>
      <c r="Z54" s="17">
        <f>'TR TUSD'!$Z$56</f>
        <v>0</v>
      </c>
      <c r="AA54" s="17">
        <f>'TR TUSD'!$AA$56</f>
        <v>0</v>
      </c>
      <c r="AB54" s="17">
        <f>'TR TUSD'!$AB$56</f>
        <v>21824003.3997114</v>
      </c>
      <c r="AC54" s="17">
        <f>'TR TUSD'!$AC$56</f>
        <v>52758480.06437514</v>
      </c>
      <c r="AD54" s="17">
        <f>'TR TUSD'!$AD$56</f>
        <v>52758480.06437514</v>
      </c>
      <c r="AE54" s="17">
        <f>'TR TUSD'!$AE$56</f>
        <v>0</v>
      </c>
      <c r="AF54" s="17">
        <f>'TR TUSD'!$AF$56</f>
        <v>0</v>
      </c>
      <c r="AG54" s="17">
        <f>'TR TUSD'!$AG$56</f>
        <v>0</v>
      </c>
      <c r="AH54" s="17">
        <f>'TR TUSD'!$AH$56</f>
        <v>4413610.3065110203</v>
      </c>
      <c r="AI54" s="17">
        <f>'TR TUSD'!$AI$56</f>
        <v>0</v>
      </c>
      <c r="AJ54" s="17">
        <f>'TR TUSD'!$AJ$56</f>
        <v>0</v>
      </c>
      <c r="AK54" s="17">
        <f>'TR TUSD'!$AK$56</f>
        <v>0</v>
      </c>
      <c r="AL54" s="17">
        <f>'TR TUSD'!$AL$56</f>
        <v>4413610.3065110203</v>
      </c>
      <c r="AM54" s="17">
        <f>CUSTOS!$D$29</f>
        <v>95850208.75962013</v>
      </c>
      <c r="AO54" s="36">
        <f>$AE$56</f>
        <v>0</v>
      </c>
      <c r="AP54" s="36">
        <f>$AF$56</f>
        <v>0</v>
      </c>
    </row>
    <row r="55" spans="1:42" ht="11.25" customHeight="1" x14ac:dyDescent="0.25">
      <c r="K55" s="40" t="s">
        <v>441</v>
      </c>
      <c r="L55" s="17">
        <f>CUSTOS!$E$2</f>
        <v>0</v>
      </c>
      <c r="M55" s="17">
        <f>CUSTOS!$E$3</f>
        <v>-13358.584548436307</v>
      </c>
      <c r="N55" s="17">
        <f>CUSTOS!$E$4</f>
        <v>0</v>
      </c>
      <c r="O55" s="17">
        <f>CUSTOS!$E$5</f>
        <v>0</v>
      </c>
      <c r="P55" s="17">
        <f>CUSTOS!$E$6</f>
        <v>0</v>
      </c>
      <c r="Q55" s="17">
        <f>CUSTOS!$E$7</f>
        <v>-520176.23269056814</v>
      </c>
      <c r="R55" s="17">
        <f>CUSTOS!$E$8</f>
        <v>-87124.034373721021</v>
      </c>
      <c r="S55" s="17">
        <f>CUSTOS!$E$9</f>
        <v>0</v>
      </c>
      <c r="T55" s="17">
        <f>CUSTOS!$E$10</f>
        <v>-620658.85161272541</v>
      </c>
      <c r="U55" s="17">
        <f>CUSTOS!$E$11</f>
        <v>0</v>
      </c>
      <c r="V55" s="17">
        <f>CUSTOS!$E$12</f>
        <v>0</v>
      </c>
      <c r="W55" s="17">
        <f>CUSTOS!$E$13</f>
        <v>0</v>
      </c>
      <c r="X55" s="17">
        <f>CUSTOS!$E$14</f>
        <v>0</v>
      </c>
      <c r="Y55" s="17">
        <f>CUSTOS!$E$15</f>
        <v>16131.736745447153</v>
      </c>
      <c r="Z55" s="17">
        <f>CUSTOS!$E$16</f>
        <v>0</v>
      </c>
      <c r="AA55" s="17">
        <f>CUSTOS!$E$17</f>
        <v>0</v>
      </c>
      <c r="AB55" s="17">
        <f>CUSTOS!$E$18</f>
        <v>16131.736745447153</v>
      </c>
      <c r="AC55" s="17">
        <f>CUSTOS!$E$19</f>
        <v>-20920469.666595757</v>
      </c>
      <c r="AD55" s="17">
        <f>CUSTOS!$E$20</f>
        <v>-20920469.666595757</v>
      </c>
      <c r="AE55" s="17">
        <f>CUSTOS!$E$21</f>
        <v>1501347.3773171748</v>
      </c>
      <c r="AF55" s="17">
        <f>CUSTOS!$E$22</f>
        <v>0</v>
      </c>
      <c r="AG55" s="17">
        <f>CUSTOS!$E$23</f>
        <v>1501347.3773171748</v>
      </c>
      <c r="AH55" s="17">
        <f>CUSTOS!$E$24</f>
        <v>489657.37437033339</v>
      </c>
      <c r="AI55" s="17">
        <f>CUSTOS!$E$25</f>
        <v>0</v>
      </c>
      <c r="AJ55" s="17">
        <f>CUSTOS!$E$26</f>
        <v>0</v>
      </c>
      <c r="AK55" s="17">
        <f>CUSTOS!$E$27</f>
        <v>0</v>
      </c>
      <c r="AL55" s="17">
        <f>CUSTOS!$E$28</f>
        <v>489657.37437033339</v>
      </c>
      <c r="AM55" s="17">
        <f>CUSTOS!$E$29</f>
        <v>-19533992.029775526</v>
      </c>
      <c r="AO55" s="36">
        <f ca="1">IF(AO53&lt;&gt;0,AO54/AO53,0)</f>
        <v>0</v>
      </c>
      <c r="AP55" s="36">
        <f ca="1">IF(AP53&lt;&gt;0,AP54/AP53,0)</f>
        <v>0</v>
      </c>
    </row>
    <row r="56" spans="1:42" ht="11.25" customHeight="1" x14ac:dyDescent="0.25">
      <c r="K56" s="40" t="s">
        <v>442</v>
      </c>
      <c r="L56" s="17">
        <f>CUSTOS!$F$2</f>
        <v>0</v>
      </c>
      <c r="M56" s="17">
        <f>CUSTOS!$F$3</f>
        <v>0</v>
      </c>
      <c r="N56" s="17">
        <f>CUSTOS!$F$4</f>
        <v>0</v>
      </c>
      <c r="O56" s="17">
        <f>CUSTOS!$F$5</f>
        <v>0</v>
      </c>
      <c r="P56" s="17">
        <f>CUSTOS!$F$6</f>
        <v>0</v>
      </c>
      <c r="Q56" s="17">
        <f>CUSTOS!$F$7</f>
        <v>0</v>
      </c>
      <c r="R56" s="17">
        <f>CUSTOS!$F$8</f>
        <v>0</v>
      </c>
      <c r="S56" s="17">
        <f>CUSTOS!$F$9</f>
        <v>0</v>
      </c>
      <c r="T56" s="17">
        <f>CUSTOS!$F$10</f>
        <v>0</v>
      </c>
      <c r="U56" s="17">
        <f>CUSTOS!$F$11</f>
        <v>0</v>
      </c>
      <c r="V56" s="17">
        <f>CUSTOS!$F$12</f>
        <v>0</v>
      </c>
      <c r="W56" s="17">
        <f>CUSTOS!$F$13</f>
        <v>0</v>
      </c>
      <c r="X56" s="17">
        <f>CUSTOS!$F$14</f>
        <v>0</v>
      </c>
      <c r="Y56" s="17">
        <f>CUSTOS!$F$15</f>
        <v>0</v>
      </c>
      <c r="Z56" s="17">
        <f>CUSTOS!$F$16</f>
        <v>0</v>
      </c>
      <c r="AA56" s="17">
        <f>CUSTOS!$F$17</f>
        <v>0</v>
      </c>
      <c r="AB56" s="17">
        <f>CUSTOS!$F$18</f>
        <v>0</v>
      </c>
      <c r="AC56" s="17">
        <f>CUSTOS!$F$19</f>
        <v>0</v>
      </c>
      <c r="AD56" s="17">
        <f>CUSTOS!$F$20</f>
        <v>0</v>
      </c>
      <c r="AE56" s="17">
        <f>CUSTOS!$F$21</f>
        <v>0</v>
      </c>
      <c r="AF56" s="17">
        <f>CUSTOS!$F$22</f>
        <v>0</v>
      </c>
      <c r="AG56" s="17">
        <f>CUSTOS!$F$23</f>
        <v>0</v>
      </c>
      <c r="AH56" s="17">
        <f>CUSTOS!$F$24</f>
        <v>0</v>
      </c>
      <c r="AI56" s="17">
        <f>CUSTOS!$F$25</f>
        <v>0</v>
      </c>
      <c r="AJ56" s="17">
        <f>CUSTOS!$F$26</f>
        <v>0</v>
      </c>
      <c r="AK56" s="17">
        <f>CUSTOS!$F$27</f>
        <v>0</v>
      </c>
      <c r="AL56" s="17">
        <f>CUSTOS!$F$28</f>
        <v>0</v>
      </c>
      <c r="AM56" s="17">
        <f>CUSTOS!$F$29</f>
        <v>0</v>
      </c>
    </row>
    <row r="57" spans="1:42" ht="11.25" customHeight="1" x14ac:dyDescent="0.25">
      <c r="K57" s="40" t="s">
        <v>494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/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/>
      <c r="AC57" s="17">
        <v>0</v>
      </c>
      <c r="AD57" s="17"/>
      <c r="AE57" s="17">
        <v>0</v>
      </c>
      <c r="AF57" s="17">
        <v>0</v>
      </c>
      <c r="AG57" s="17"/>
      <c r="AH57" s="17">
        <v>0</v>
      </c>
      <c r="AI57" s="17">
        <v>0</v>
      </c>
      <c r="AJ57" s="17">
        <v>0</v>
      </c>
      <c r="AK57" s="17">
        <v>0</v>
      </c>
      <c r="AL57" s="17"/>
      <c r="AM57" s="17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899" priority="55" operator="notEqual">
      <formula>$L$56</formula>
    </cfRule>
    <cfRule type="cellIs" dxfId="898" priority="56" operator="equal">
      <formula>$L$56</formula>
    </cfRule>
  </conditionalFormatting>
  <conditionalFormatting sqref="M53">
    <cfRule type="cellIs" dxfId="897" priority="53" operator="notEqual">
      <formula>$M$56</formula>
    </cfRule>
    <cfRule type="cellIs" dxfId="896" priority="54" operator="equal">
      <formula>$M$56</formula>
    </cfRule>
  </conditionalFormatting>
  <conditionalFormatting sqref="N53">
    <cfRule type="cellIs" dxfId="895" priority="51" operator="notEqual">
      <formula>$N$56</formula>
    </cfRule>
    <cfRule type="cellIs" dxfId="894" priority="52" operator="equal">
      <formula>$N$56</formula>
    </cfRule>
  </conditionalFormatting>
  <conditionalFormatting sqref="O53">
    <cfRule type="cellIs" dxfId="893" priority="49" operator="notEqual">
      <formula>$O$56</formula>
    </cfRule>
    <cfRule type="cellIs" dxfId="892" priority="50" operator="equal">
      <formula>$O$56</formula>
    </cfRule>
  </conditionalFormatting>
  <conditionalFormatting sqref="P53">
    <cfRule type="cellIs" dxfId="891" priority="47" operator="notEqual">
      <formula>$P$56</formula>
    </cfRule>
    <cfRule type="cellIs" dxfId="890" priority="48" operator="equal">
      <formula>$P$56</formula>
    </cfRule>
  </conditionalFormatting>
  <conditionalFormatting sqref="Q53">
    <cfRule type="cellIs" dxfId="889" priority="45" operator="notEqual">
      <formula>$Q$56</formula>
    </cfRule>
    <cfRule type="cellIs" dxfId="888" priority="46" operator="equal">
      <formula>$Q$56</formula>
    </cfRule>
  </conditionalFormatting>
  <conditionalFormatting sqref="R53">
    <cfRule type="cellIs" dxfId="887" priority="43" operator="notEqual">
      <formula>$R$56</formula>
    </cfRule>
    <cfRule type="cellIs" dxfId="886" priority="44" operator="equal">
      <formula>$R$56</formula>
    </cfRule>
  </conditionalFormatting>
  <conditionalFormatting sqref="S53">
    <cfRule type="cellIs" dxfId="885" priority="41" operator="notEqual">
      <formula>$S$56</formula>
    </cfRule>
    <cfRule type="cellIs" dxfId="884" priority="42" operator="equal">
      <formula>$S$56</formula>
    </cfRule>
  </conditionalFormatting>
  <conditionalFormatting sqref="T53">
    <cfRule type="cellIs" dxfId="883" priority="39" operator="notEqual">
      <formula>$T$56</formula>
    </cfRule>
    <cfRule type="cellIs" dxfId="882" priority="40" operator="equal">
      <formula>$T$56</formula>
    </cfRule>
  </conditionalFormatting>
  <conditionalFormatting sqref="U53">
    <cfRule type="cellIs" dxfId="881" priority="37" operator="notEqual">
      <formula>$U$56</formula>
    </cfRule>
    <cfRule type="cellIs" dxfId="880" priority="38" operator="equal">
      <formula>$U$56</formula>
    </cfRule>
  </conditionalFormatting>
  <conditionalFormatting sqref="V53">
    <cfRule type="cellIs" dxfId="879" priority="35" operator="notEqual">
      <formula>$V$56</formula>
    </cfRule>
    <cfRule type="cellIs" dxfId="878" priority="36" operator="equal">
      <formula>$V$56</formula>
    </cfRule>
  </conditionalFormatting>
  <conditionalFormatting sqref="W53">
    <cfRule type="cellIs" dxfId="877" priority="33" operator="notEqual">
      <formula>$W$56</formula>
    </cfRule>
    <cfRule type="cellIs" dxfId="876" priority="34" operator="equal">
      <formula>$W$56</formula>
    </cfRule>
  </conditionalFormatting>
  <conditionalFormatting sqref="X53">
    <cfRule type="cellIs" dxfId="875" priority="31" operator="notEqual">
      <formula>$X$56</formula>
    </cfRule>
    <cfRule type="cellIs" dxfId="874" priority="32" operator="equal">
      <formula>$X$56</formula>
    </cfRule>
  </conditionalFormatting>
  <conditionalFormatting sqref="Y53">
    <cfRule type="cellIs" dxfId="873" priority="29" operator="notEqual">
      <formula>$Y$56</formula>
    </cfRule>
    <cfRule type="cellIs" dxfId="872" priority="30" operator="equal">
      <formula>$Y$56</formula>
    </cfRule>
  </conditionalFormatting>
  <conditionalFormatting sqref="Z53">
    <cfRule type="cellIs" dxfId="871" priority="27" operator="notEqual">
      <formula>$Z$56</formula>
    </cfRule>
    <cfRule type="cellIs" dxfId="870" priority="28" operator="equal">
      <formula>$Z$56</formula>
    </cfRule>
  </conditionalFormatting>
  <conditionalFormatting sqref="AA53">
    <cfRule type="cellIs" dxfId="869" priority="25" operator="notEqual">
      <formula>$AA$56</formula>
    </cfRule>
    <cfRule type="cellIs" dxfId="868" priority="26" operator="equal">
      <formula>$AA$56</formula>
    </cfRule>
  </conditionalFormatting>
  <conditionalFormatting sqref="AB53">
    <cfRule type="cellIs" dxfId="867" priority="23" operator="notEqual">
      <formula>$AB$56</formula>
    </cfRule>
    <cfRule type="cellIs" dxfId="866" priority="24" operator="equal">
      <formula>$AB$56</formula>
    </cfRule>
  </conditionalFormatting>
  <conditionalFormatting sqref="AC53">
    <cfRule type="cellIs" dxfId="865" priority="21" operator="notEqual">
      <formula>$AC$56</formula>
    </cfRule>
    <cfRule type="cellIs" dxfId="864" priority="22" operator="equal">
      <formula>$AC$56</formula>
    </cfRule>
  </conditionalFormatting>
  <conditionalFormatting sqref="AD53">
    <cfRule type="cellIs" dxfId="863" priority="19" operator="notEqual">
      <formula>$AD$56</formula>
    </cfRule>
    <cfRule type="cellIs" dxfId="862" priority="20" operator="equal">
      <formula>$AD$56</formula>
    </cfRule>
  </conditionalFormatting>
  <conditionalFormatting sqref="AE53">
    <cfRule type="cellIs" dxfId="861" priority="17" operator="notEqual">
      <formula>$AE$56</formula>
    </cfRule>
    <cfRule type="cellIs" dxfId="860" priority="18" operator="equal">
      <formula>$AE$56</formula>
    </cfRule>
  </conditionalFormatting>
  <conditionalFormatting sqref="AF53">
    <cfRule type="cellIs" dxfId="859" priority="16" operator="equal">
      <formula>$AF$56</formula>
    </cfRule>
  </conditionalFormatting>
  <conditionalFormatting sqref="AF53">
    <cfRule type="cellIs" dxfId="858" priority="15" operator="notEqual">
      <formula>$AF$56</formula>
    </cfRule>
  </conditionalFormatting>
  <conditionalFormatting sqref="AG53">
    <cfRule type="cellIs" dxfId="857" priority="14" operator="equal">
      <formula>$AG$56</formula>
    </cfRule>
  </conditionalFormatting>
  <conditionalFormatting sqref="AG53">
    <cfRule type="cellIs" dxfId="856" priority="13" operator="notEqual">
      <formula>$AG$56</formula>
    </cfRule>
  </conditionalFormatting>
  <conditionalFormatting sqref="AH53">
    <cfRule type="cellIs" dxfId="855" priority="12" operator="equal">
      <formula>$AH$56</formula>
    </cfRule>
  </conditionalFormatting>
  <conditionalFormatting sqref="AH53">
    <cfRule type="cellIs" dxfId="854" priority="11" operator="notEqual">
      <formula>$AH$56</formula>
    </cfRule>
  </conditionalFormatting>
  <conditionalFormatting sqref="AI53">
    <cfRule type="cellIs" dxfId="853" priority="10" operator="equal">
      <formula>$AI$56</formula>
    </cfRule>
  </conditionalFormatting>
  <conditionalFormatting sqref="AI53">
    <cfRule type="cellIs" dxfId="852" priority="9" operator="notEqual">
      <formula>$AI$56</formula>
    </cfRule>
  </conditionalFormatting>
  <conditionalFormatting sqref="AJ53">
    <cfRule type="cellIs" dxfId="851" priority="8" operator="equal">
      <formula>$AJ$56</formula>
    </cfRule>
  </conditionalFormatting>
  <conditionalFormatting sqref="AJ53">
    <cfRule type="cellIs" dxfId="850" priority="7" operator="notEqual">
      <formula>$AJ$56</formula>
    </cfRule>
  </conditionalFormatting>
  <conditionalFormatting sqref="AK53">
    <cfRule type="cellIs" dxfId="849" priority="6" operator="equal">
      <formula>$AK$56</formula>
    </cfRule>
  </conditionalFormatting>
  <conditionalFormatting sqref="AK53">
    <cfRule type="cellIs" dxfId="848" priority="5" operator="notEqual">
      <formula>$AK$56</formula>
    </cfRule>
  </conditionalFormatting>
  <conditionalFormatting sqref="AL53">
    <cfRule type="cellIs" dxfId="847" priority="4" operator="equal">
      <formula>$AL$56</formula>
    </cfRule>
  </conditionalFormatting>
  <conditionalFormatting sqref="AL53">
    <cfRule type="cellIs" dxfId="846" priority="3" operator="notEqual">
      <formula>$AL$56</formula>
    </cfRule>
  </conditionalFormatting>
  <conditionalFormatting sqref="AM53">
    <cfRule type="cellIs" dxfId="845" priority="2" operator="equal">
      <formula>$AM$56</formula>
    </cfRule>
  </conditionalFormatting>
  <conditionalFormatting sqref="AM53">
    <cfRule type="cellIs" dxfId="844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F9180-EEB8-4954-A317-D1ED341F838B}">
  <sheetPr codeName="Planilha12"/>
  <dimension ref="A1:AA49"/>
  <sheetViews>
    <sheetView showGridLines="0" topLeftCell="A28" workbookViewId="0">
      <selection activeCell="K43" sqref="K43:AA49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0.855468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40" t="s">
        <v>63</v>
      </c>
      <c r="B1" s="140" t="s">
        <v>64</v>
      </c>
      <c r="C1" s="140" t="s">
        <v>65</v>
      </c>
      <c r="D1" s="140" t="s">
        <v>66</v>
      </c>
      <c r="E1" s="140" t="s">
        <v>67</v>
      </c>
      <c r="F1" s="140" t="s">
        <v>15</v>
      </c>
      <c r="G1" s="140" t="s">
        <v>69</v>
      </c>
      <c r="H1" s="140" t="s">
        <v>70</v>
      </c>
      <c r="I1" s="140" t="s">
        <v>488</v>
      </c>
      <c r="J1" s="124"/>
      <c r="L1" s="138" t="s">
        <v>503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</row>
    <row r="2" spans="1:27" ht="11.25" customHeight="1" x14ac:dyDescent="0.25">
      <c r="A2" s="140"/>
      <c r="B2" s="140"/>
      <c r="C2" s="140"/>
      <c r="D2" s="140"/>
      <c r="E2" s="140"/>
      <c r="F2" s="140"/>
      <c r="G2" s="140"/>
      <c r="H2" s="140"/>
      <c r="I2" s="140"/>
      <c r="J2" s="124"/>
      <c r="L2" s="138" t="s">
        <v>427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</row>
    <row r="3" spans="1:27" ht="11.25" customHeight="1" x14ac:dyDescent="0.25">
      <c r="A3" s="140"/>
      <c r="B3" s="140"/>
      <c r="C3" s="140"/>
      <c r="D3" s="140"/>
      <c r="E3" s="140"/>
      <c r="F3" s="140"/>
      <c r="G3" s="140"/>
      <c r="H3" s="140"/>
      <c r="I3" s="140"/>
      <c r="J3" s="124"/>
      <c r="L3" s="138" t="s">
        <v>400</v>
      </c>
      <c r="M3" s="138"/>
      <c r="N3" s="138"/>
      <c r="O3" s="138"/>
      <c r="P3" s="138"/>
      <c r="Q3" s="138" t="s">
        <v>430</v>
      </c>
      <c r="R3" s="138"/>
      <c r="S3" s="138" t="s">
        <v>409</v>
      </c>
      <c r="T3" s="138"/>
      <c r="U3" s="138"/>
      <c r="V3" s="138"/>
      <c r="W3" s="138" t="s">
        <v>419</v>
      </c>
      <c r="X3" s="138"/>
      <c r="Y3" s="138" t="s">
        <v>422</v>
      </c>
      <c r="Z3" s="138"/>
      <c r="AA3" s="138" t="s">
        <v>408</v>
      </c>
    </row>
    <row r="4" spans="1:27" ht="11.25" customHeight="1" x14ac:dyDescent="0.25">
      <c r="A4" s="140"/>
      <c r="B4" s="140"/>
      <c r="C4" s="140"/>
      <c r="D4" s="140"/>
      <c r="E4" s="140"/>
      <c r="F4" s="140"/>
      <c r="G4" s="140"/>
      <c r="H4" s="140"/>
      <c r="I4" s="140"/>
      <c r="J4" s="124"/>
      <c r="L4" s="47" t="s">
        <v>402</v>
      </c>
      <c r="M4" s="47" t="s">
        <v>428</v>
      </c>
      <c r="N4" s="47" t="s">
        <v>429</v>
      </c>
      <c r="O4" s="47" t="s">
        <v>487</v>
      </c>
      <c r="P4" s="47" t="s">
        <v>408</v>
      </c>
      <c r="Q4" s="47" t="s">
        <v>431</v>
      </c>
      <c r="R4" s="47" t="s">
        <v>408</v>
      </c>
      <c r="S4" s="47" t="s">
        <v>432</v>
      </c>
      <c r="T4" s="47" t="s">
        <v>433</v>
      </c>
      <c r="U4" s="47" t="s">
        <v>434</v>
      </c>
      <c r="V4" s="47" t="s">
        <v>408</v>
      </c>
      <c r="W4" s="47" t="s">
        <v>420</v>
      </c>
      <c r="X4" s="47" t="s">
        <v>408</v>
      </c>
      <c r="Y4" s="47" t="s">
        <v>435</v>
      </c>
      <c r="Z4" s="47" t="s">
        <v>408</v>
      </c>
      <c r="AA4" s="139"/>
    </row>
    <row r="5" spans="1:27" ht="11.25" customHeight="1" x14ac:dyDescent="0.25">
      <c r="A5" s="141" t="s">
        <v>33</v>
      </c>
      <c r="B5" s="141" t="s">
        <v>72</v>
      </c>
      <c r="C5" s="141" t="s">
        <v>25</v>
      </c>
      <c r="D5" s="141" t="s">
        <v>25</v>
      </c>
      <c r="E5" s="141" t="s">
        <v>25</v>
      </c>
      <c r="F5" s="141" t="s">
        <v>25</v>
      </c>
      <c r="G5" s="45" t="s">
        <v>74</v>
      </c>
      <c r="H5" s="45" t="s">
        <v>73</v>
      </c>
      <c r="I5" s="45">
        <f>'MERCADO TE'!$U$2</f>
        <v>1862.7550000000001</v>
      </c>
      <c r="J5" s="16"/>
      <c r="L5" s="43">
        <v>1</v>
      </c>
      <c r="M5" s="43">
        <v>1</v>
      </c>
      <c r="N5" s="43">
        <v>1</v>
      </c>
      <c r="O5" s="43">
        <v>1</v>
      </c>
      <c r="P5" s="43"/>
      <c r="Q5" s="43">
        <v>1</v>
      </c>
      <c r="R5" s="43"/>
      <c r="S5" s="43">
        <v>1</v>
      </c>
      <c r="T5" s="43">
        <v>1</v>
      </c>
      <c r="U5" s="43">
        <v>1</v>
      </c>
      <c r="V5" s="43"/>
      <c r="W5" s="43"/>
      <c r="X5" s="43"/>
      <c r="Y5" s="43">
        <v>1</v>
      </c>
      <c r="Z5" s="43"/>
      <c r="AA5" s="43"/>
    </row>
    <row r="6" spans="1:27" ht="11.25" customHeight="1" x14ac:dyDescent="0.25">
      <c r="A6" s="141"/>
      <c r="B6" s="141"/>
      <c r="C6" s="141"/>
      <c r="D6" s="141"/>
      <c r="E6" s="141"/>
      <c r="F6" s="141"/>
      <c r="G6" s="45" t="s">
        <v>75</v>
      </c>
      <c r="H6" s="45" t="s">
        <v>73</v>
      </c>
      <c r="I6" s="45">
        <f>'MERCADO TE'!$U$3</f>
        <v>75274.775999999998</v>
      </c>
      <c r="J6" s="16"/>
      <c r="L6" s="43">
        <v>1</v>
      </c>
      <c r="M6" s="43">
        <v>1</v>
      </c>
      <c r="N6" s="43">
        <v>1</v>
      </c>
      <c r="O6" s="43">
        <v>1</v>
      </c>
      <c r="P6" s="43"/>
      <c r="Q6" s="43">
        <v>1</v>
      </c>
      <c r="R6" s="43"/>
      <c r="S6" s="43">
        <v>1</v>
      </c>
      <c r="T6" s="43">
        <v>1</v>
      </c>
      <c r="U6" s="43">
        <v>1</v>
      </c>
      <c r="V6" s="43"/>
      <c r="W6" s="43"/>
      <c r="X6" s="43"/>
      <c r="Y6" s="43">
        <v>1</v>
      </c>
      <c r="Z6" s="43"/>
      <c r="AA6" s="43"/>
    </row>
    <row r="7" spans="1:27" ht="11.25" customHeight="1" x14ac:dyDescent="0.25">
      <c r="A7" s="141" t="s">
        <v>22</v>
      </c>
      <c r="B7" s="141" t="s">
        <v>72</v>
      </c>
      <c r="C7" s="141" t="s">
        <v>24</v>
      </c>
      <c r="D7" s="141" t="s">
        <v>24</v>
      </c>
      <c r="E7" s="141" t="s">
        <v>25</v>
      </c>
      <c r="F7" s="141" t="s">
        <v>25</v>
      </c>
      <c r="G7" s="45" t="s">
        <v>74</v>
      </c>
      <c r="H7" s="45" t="s">
        <v>73</v>
      </c>
      <c r="I7" s="45">
        <f>'MERCADO TE'!$U$4</f>
        <v>0</v>
      </c>
      <c r="J7" s="16"/>
      <c r="L7" s="43">
        <v>1</v>
      </c>
      <c r="M7" s="43">
        <v>1</v>
      </c>
      <c r="N7" s="43">
        <v>1</v>
      </c>
      <c r="O7" s="43">
        <v>1</v>
      </c>
      <c r="P7" s="43"/>
      <c r="Q7" s="43">
        <v>1</v>
      </c>
      <c r="R7" s="43"/>
      <c r="S7" s="43">
        <v>1</v>
      </c>
      <c r="T7" s="43">
        <v>1</v>
      </c>
      <c r="U7" s="43">
        <v>1</v>
      </c>
      <c r="V7" s="43"/>
      <c r="W7" s="43"/>
      <c r="X7" s="43"/>
      <c r="Y7" s="43">
        <v>1</v>
      </c>
      <c r="Z7" s="43"/>
      <c r="AA7" s="43"/>
    </row>
    <row r="8" spans="1:27" ht="11.25" customHeight="1" x14ac:dyDescent="0.25">
      <c r="A8" s="141"/>
      <c r="B8" s="141"/>
      <c r="C8" s="141"/>
      <c r="D8" s="141"/>
      <c r="E8" s="141"/>
      <c r="F8" s="141"/>
      <c r="G8" s="45" t="s">
        <v>85</v>
      </c>
      <c r="H8" s="45" t="s">
        <v>73</v>
      </c>
      <c r="I8" s="45">
        <f>'MERCADO TE'!$U$5</f>
        <v>0</v>
      </c>
      <c r="J8" s="16"/>
      <c r="L8" s="43">
        <v>1</v>
      </c>
      <c r="M8" s="43">
        <v>1</v>
      </c>
      <c r="N8" s="43">
        <v>1</v>
      </c>
      <c r="O8" s="43">
        <v>1</v>
      </c>
      <c r="P8" s="43"/>
      <c r="Q8" s="43">
        <v>1</v>
      </c>
      <c r="R8" s="43"/>
      <c r="S8" s="43">
        <v>1</v>
      </c>
      <c r="T8" s="43">
        <v>1</v>
      </c>
      <c r="U8" s="43">
        <v>1</v>
      </c>
      <c r="V8" s="43"/>
      <c r="W8" s="43"/>
      <c r="X8" s="43"/>
      <c r="Y8" s="43">
        <v>1</v>
      </c>
      <c r="Z8" s="43"/>
      <c r="AA8" s="43"/>
    </row>
    <row r="9" spans="1:27" ht="11.25" customHeight="1" x14ac:dyDescent="0.25">
      <c r="A9" s="141"/>
      <c r="B9" s="141"/>
      <c r="C9" s="141"/>
      <c r="D9" s="141"/>
      <c r="E9" s="141"/>
      <c r="F9" s="141"/>
      <c r="G9" s="45" t="s">
        <v>75</v>
      </c>
      <c r="H9" s="45" t="s">
        <v>73</v>
      </c>
      <c r="I9" s="45">
        <f>'MERCADO TE'!$U$6</f>
        <v>0</v>
      </c>
      <c r="J9" s="16"/>
      <c r="L9" s="43">
        <v>1</v>
      </c>
      <c r="M9" s="43">
        <v>1</v>
      </c>
      <c r="N9" s="43">
        <v>1</v>
      </c>
      <c r="O9" s="43">
        <v>1</v>
      </c>
      <c r="P9" s="43"/>
      <c r="Q9" s="43">
        <v>1</v>
      </c>
      <c r="R9" s="43"/>
      <c r="S9" s="43">
        <v>1</v>
      </c>
      <c r="T9" s="43">
        <v>1</v>
      </c>
      <c r="U9" s="43">
        <v>1</v>
      </c>
      <c r="V9" s="43"/>
      <c r="W9" s="43"/>
      <c r="X9" s="43"/>
      <c r="Y9" s="43">
        <v>1</v>
      </c>
      <c r="Z9" s="43"/>
      <c r="AA9" s="43"/>
    </row>
    <row r="10" spans="1:27" ht="11.25" customHeight="1" x14ac:dyDescent="0.25">
      <c r="A10" s="141"/>
      <c r="B10" s="141" t="s">
        <v>86</v>
      </c>
      <c r="C10" s="141" t="s">
        <v>24</v>
      </c>
      <c r="D10" s="46" t="s">
        <v>24</v>
      </c>
      <c r="E10" s="46" t="s">
        <v>25</v>
      </c>
      <c r="F10" s="46" t="s">
        <v>25</v>
      </c>
      <c r="G10" s="45" t="s">
        <v>79</v>
      </c>
      <c r="H10" s="45" t="s">
        <v>73</v>
      </c>
      <c r="I10" s="45">
        <f>'MERCADO TE'!$U$7</f>
        <v>23903.932000000001</v>
      </c>
      <c r="J10" s="16"/>
      <c r="L10" s="43">
        <v>1</v>
      </c>
      <c r="M10" s="43">
        <v>1</v>
      </c>
      <c r="N10" s="43">
        <v>1</v>
      </c>
      <c r="O10" s="43">
        <v>1</v>
      </c>
      <c r="P10" s="43"/>
      <c r="Q10" s="43">
        <v>1</v>
      </c>
      <c r="R10" s="43"/>
      <c r="S10" s="43">
        <v>1</v>
      </c>
      <c r="T10" s="43">
        <v>1</v>
      </c>
      <c r="U10" s="43">
        <v>1</v>
      </c>
      <c r="V10" s="43"/>
      <c r="W10" s="43"/>
      <c r="X10" s="43"/>
      <c r="Y10" s="43">
        <v>1</v>
      </c>
      <c r="Z10" s="43"/>
      <c r="AA10" s="43"/>
    </row>
    <row r="11" spans="1:27" ht="11.25" customHeight="1" x14ac:dyDescent="0.25">
      <c r="A11" s="141"/>
      <c r="B11" s="141"/>
      <c r="C11" s="141"/>
      <c r="D11" s="46" t="s">
        <v>29</v>
      </c>
      <c r="E11" s="46" t="s">
        <v>25</v>
      </c>
      <c r="F11" s="46" t="s">
        <v>25</v>
      </c>
      <c r="G11" s="45" t="s">
        <v>79</v>
      </c>
      <c r="H11" s="45" t="s">
        <v>73</v>
      </c>
      <c r="I11" s="45">
        <f>'MERCADO TE'!$U$8</f>
        <v>17.04</v>
      </c>
      <c r="J11" s="16"/>
      <c r="L11" s="43">
        <f>1 - CUSTOS!$M$24</f>
        <v>1</v>
      </c>
      <c r="M11" s="43">
        <f>1 - CUSTOS!$M$24</f>
        <v>1</v>
      </c>
      <c r="N11" s="43">
        <f>1 - CUSTOS!$M$24</f>
        <v>1</v>
      </c>
      <c r="O11" s="43">
        <f>1 - CUSTOS!$M$24</f>
        <v>1</v>
      </c>
      <c r="P11" s="43"/>
      <c r="Q11" s="43">
        <f>(1 - CUSTOS!$M$24)*1</f>
        <v>1</v>
      </c>
      <c r="R11" s="43"/>
      <c r="S11" s="43">
        <f>1 - CUSTOS!$M$24</f>
        <v>1</v>
      </c>
      <c r="T11" s="43">
        <f>1 - CUSTOS!$M$24</f>
        <v>1</v>
      </c>
      <c r="U11" s="43">
        <f>1 - CUSTOS!$M$24</f>
        <v>1</v>
      </c>
      <c r="V11" s="43"/>
      <c r="W11" s="43"/>
      <c r="X11" s="43"/>
      <c r="Y11" s="43">
        <f>1 - CUSTOS!$M$24</f>
        <v>1</v>
      </c>
      <c r="Z11" s="43"/>
      <c r="AA11" s="43"/>
    </row>
    <row r="12" spans="1:27" ht="11.25" customHeight="1" x14ac:dyDescent="0.25">
      <c r="A12" s="141"/>
      <c r="B12" s="141"/>
      <c r="C12" s="141"/>
      <c r="D12" s="46" t="s">
        <v>30</v>
      </c>
      <c r="E12" s="46" t="s">
        <v>25</v>
      </c>
      <c r="F12" s="46" t="s">
        <v>25</v>
      </c>
      <c r="G12" s="45" t="s">
        <v>79</v>
      </c>
      <c r="H12" s="45" t="s">
        <v>73</v>
      </c>
      <c r="I12" s="45">
        <f>'MERCADO TE'!$U$9</f>
        <v>36.048999999999999</v>
      </c>
      <c r="J12" s="16"/>
      <c r="L12" s="43">
        <f>1 - CUSTOS!$M$25</f>
        <v>1</v>
      </c>
      <c r="M12" s="43">
        <f>1 - CUSTOS!$M$25</f>
        <v>1</v>
      </c>
      <c r="N12" s="43">
        <f>1 - CUSTOS!$M$25</f>
        <v>1</v>
      </c>
      <c r="O12" s="43">
        <f>1 - CUSTOS!$M$25</f>
        <v>1</v>
      </c>
      <c r="P12" s="43"/>
      <c r="Q12" s="43">
        <f>(1 - CUSTOS!$M$25)*1</f>
        <v>1</v>
      </c>
      <c r="R12" s="43"/>
      <c r="S12" s="43">
        <f>1 - CUSTOS!$M$25</f>
        <v>1</v>
      </c>
      <c r="T12" s="43">
        <f>1 - CUSTOS!$M$25</f>
        <v>1</v>
      </c>
      <c r="U12" s="43">
        <f>1 - CUSTOS!$M$25</f>
        <v>1</v>
      </c>
      <c r="V12" s="43"/>
      <c r="W12" s="43"/>
      <c r="X12" s="43"/>
      <c r="Y12" s="43">
        <f>1 - CUSTOS!$M$25</f>
        <v>1</v>
      </c>
      <c r="Z12" s="43"/>
      <c r="AA12" s="43"/>
    </row>
    <row r="13" spans="1:27" ht="11.25" customHeight="1" x14ac:dyDescent="0.25">
      <c r="A13" s="141"/>
      <c r="B13" s="141"/>
      <c r="C13" s="141"/>
      <c r="D13" s="46" t="s">
        <v>31</v>
      </c>
      <c r="E13" s="46" t="s">
        <v>25</v>
      </c>
      <c r="F13" s="46" t="s">
        <v>25</v>
      </c>
      <c r="G13" s="45" t="s">
        <v>79</v>
      </c>
      <c r="H13" s="45" t="s">
        <v>73</v>
      </c>
      <c r="I13" s="45">
        <f>'MERCADO TE'!$U$10</f>
        <v>32.835000000000001</v>
      </c>
      <c r="J13" s="16"/>
      <c r="L13" s="43">
        <f>1 - CUSTOS!$M$26</f>
        <v>1</v>
      </c>
      <c r="M13" s="43">
        <f>1 - CUSTOS!$M$26</f>
        <v>1</v>
      </c>
      <c r="N13" s="43">
        <f>1 - CUSTOS!$M$26</f>
        <v>1</v>
      </c>
      <c r="O13" s="43">
        <f>1 - CUSTOS!$M$26</f>
        <v>1</v>
      </c>
      <c r="P13" s="43"/>
      <c r="Q13" s="43">
        <f>(1 - CUSTOS!$M$26)*1</f>
        <v>1</v>
      </c>
      <c r="R13" s="43"/>
      <c r="S13" s="43">
        <f>1 - CUSTOS!$M$26</f>
        <v>1</v>
      </c>
      <c r="T13" s="43">
        <f>1 - CUSTOS!$M$26</f>
        <v>1</v>
      </c>
      <c r="U13" s="43">
        <f>1 - CUSTOS!$M$26</f>
        <v>1</v>
      </c>
      <c r="V13" s="43"/>
      <c r="W13" s="43"/>
      <c r="X13" s="43"/>
      <c r="Y13" s="43">
        <f>1 - CUSTOS!$M$26</f>
        <v>1</v>
      </c>
      <c r="Z13" s="43"/>
      <c r="AA13" s="43"/>
    </row>
    <row r="14" spans="1:27" ht="11.25" customHeight="1" x14ac:dyDescent="0.25">
      <c r="A14" s="141"/>
      <c r="B14" s="141"/>
      <c r="C14" s="141"/>
      <c r="D14" s="46" t="s">
        <v>32</v>
      </c>
      <c r="E14" s="46" t="s">
        <v>25</v>
      </c>
      <c r="F14" s="46" t="s">
        <v>25</v>
      </c>
      <c r="G14" s="45" t="s">
        <v>79</v>
      </c>
      <c r="H14" s="45" t="s">
        <v>73</v>
      </c>
      <c r="I14" s="45">
        <f>'MERCADO TE'!$U$11</f>
        <v>10.568</v>
      </c>
      <c r="J14" s="16"/>
      <c r="L14" s="43">
        <f>1 - CUSTOS!$M$27</f>
        <v>1</v>
      </c>
      <c r="M14" s="43">
        <f>1 - CUSTOS!$M$27</f>
        <v>1</v>
      </c>
      <c r="N14" s="43">
        <f>1 - CUSTOS!$M$27</f>
        <v>1</v>
      </c>
      <c r="O14" s="43">
        <f>1 - CUSTOS!$M$27</f>
        <v>1</v>
      </c>
      <c r="P14" s="43"/>
      <c r="Q14" s="43">
        <f>(1 - CUSTOS!$M$27)*1</f>
        <v>1</v>
      </c>
      <c r="R14" s="43"/>
      <c r="S14" s="43">
        <f>1 - CUSTOS!$M$27</f>
        <v>1</v>
      </c>
      <c r="T14" s="43">
        <f>1 - CUSTOS!$M$27</f>
        <v>1</v>
      </c>
      <c r="U14" s="43">
        <f>1 - CUSTOS!$M$27</f>
        <v>1</v>
      </c>
      <c r="V14" s="43"/>
      <c r="W14" s="43"/>
      <c r="X14" s="43"/>
      <c r="Y14" s="43">
        <f>1 - CUSTOS!$M$27</f>
        <v>1</v>
      </c>
      <c r="Z14" s="43"/>
      <c r="AA14" s="43"/>
    </row>
    <row r="15" spans="1:27" ht="11.25" customHeight="1" x14ac:dyDescent="0.25">
      <c r="A15" s="141"/>
      <c r="B15" s="141" t="s">
        <v>88</v>
      </c>
      <c r="C15" s="141" t="s">
        <v>24</v>
      </c>
      <c r="D15" s="46" t="s">
        <v>24</v>
      </c>
      <c r="E15" s="46" t="s">
        <v>25</v>
      </c>
      <c r="F15" s="46" t="s">
        <v>25</v>
      </c>
      <c r="G15" s="45" t="s">
        <v>79</v>
      </c>
      <c r="H15" s="45" t="s">
        <v>73</v>
      </c>
      <c r="I15" s="45">
        <f>'MERCADO TE'!$U$12</f>
        <v>0</v>
      </c>
      <c r="J15" s="16"/>
      <c r="L15" s="43">
        <v>1</v>
      </c>
      <c r="M15" s="43">
        <v>1</v>
      </c>
      <c r="N15" s="43">
        <v>1</v>
      </c>
      <c r="O15" s="43">
        <v>1</v>
      </c>
      <c r="P15" s="43"/>
      <c r="Q15" s="43">
        <v>1</v>
      </c>
      <c r="R15" s="43"/>
      <c r="S15" s="43">
        <v>1</v>
      </c>
      <c r="T15" s="43">
        <v>1</v>
      </c>
      <c r="U15" s="43">
        <v>1</v>
      </c>
      <c r="V15" s="43"/>
      <c r="W15" s="43"/>
      <c r="X15" s="43"/>
      <c r="Y15" s="43">
        <v>1</v>
      </c>
      <c r="Z15" s="43"/>
      <c r="AA15" s="43"/>
    </row>
    <row r="16" spans="1:27" ht="11.25" customHeight="1" x14ac:dyDescent="0.25">
      <c r="A16" s="141"/>
      <c r="B16" s="141"/>
      <c r="C16" s="141"/>
      <c r="D16" s="46" t="s">
        <v>29</v>
      </c>
      <c r="E16" s="46" t="s">
        <v>25</v>
      </c>
      <c r="F16" s="46" t="s">
        <v>25</v>
      </c>
      <c r="G16" s="45" t="s">
        <v>79</v>
      </c>
      <c r="H16" s="45" t="s">
        <v>73</v>
      </c>
      <c r="I16" s="45">
        <f>'MERCADO TE'!$U$13</f>
        <v>0</v>
      </c>
      <c r="J16" s="16"/>
      <c r="L16" s="43">
        <f>1 - CUSTOS!$M$24</f>
        <v>1</v>
      </c>
      <c r="M16" s="43">
        <f>1 - CUSTOS!$M$24</f>
        <v>1</v>
      </c>
      <c r="N16" s="43">
        <f>1 - CUSTOS!$M$24</f>
        <v>1</v>
      </c>
      <c r="O16" s="43">
        <f>1 - CUSTOS!$M$24</f>
        <v>1</v>
      </c>
      <c r="P16" s="43"/>
      <c r="Q16" s="43">
        <f>(1 - CUSTOS!$M$24)*1</f>
        <v>1</v>
      </c>
      <c r="R16" s="43"/>
      <c r="S16" s="43">
        <f>1 - CUSTOS!$M$24</f>
        <v>1</v>
      </c>
      <c r="T16" s="43">
        <f>1 - CUSTOS!$M$24</f>
        <v>1</v>
      </c>
      <c r="U16" s="43">
        <f>1 - CUSTOS!$M$24</f>
        <v>1</v>
      </c>
      <c r="V16" s="43"/>
      <c r="W16" s="43"/>
      <c r="X16" s="43"/>
      <c r="Y16" s="43">
        <f>1 - CUSTOS!$M$24</f>
        <v>1</v>
      </c>
      <c r="Z16" s="43"/>
      <c r="AA16" s="43"/>
    </row>
    <row r="17" spans="1:27" ht="11.25" customHeight="1" x14ac:dyDescent="0.25">
      <c r="A17" s="141"/>
      <c r="B17" s="141"/>
      <c r="C17" s="141"/>
      <c r="D17" s="46" t="s">
        <v>30</v>
      </c>
      <c r="E17" s="46" t="s">
        <v>25</v>
      </c>
      <c r="F17" s="46" t="s">
        <v>25</v>
      </c>
      <c r="G17" s="45" t="s">
        <v>79</v>
      </c>
      <c r="H17" s="45" t="s">
        <v>73</v>
      </c>
      <c r="I17" s="45">
        <f>'MERCADO TE'!$U$14</f>
        <v>0</v>
      </c>
      <c r="J17" s="16"/>
      <c r="L17" s="43">
        <f>1 - CUSTOS!$M$25</f>
        <v>1</v>
      </c>
      <c r="M17" s="43">
        <f>1 - CUSTOS!$M$25</f>
        <v>1</v>
      </c>
      <c r="N17" s="43">
        <f>1 - CUSTOS!$M$25</f>
        <v>1</v>
      </c>
      <c r="O17" s="43">
        <f>1 - CUSTOS!$M$25</f>
        <v>1</v>
      </c>
      <c r="P17" s="43"/>
      <c r="Q17" s="43">
        <f>(1 - CUSTOS!$M$25)*1</f>
        <v>1</v>
      </c>
      <c r="R17" s="43"/>
      <c r="S17" s="43">
        <f>1 - CUSTOS!$M$25</f>
        <v>1</v>
      </c>
      <c r="T17" s="43">
        <f>1 - CUSTOS!$M$25</f>
        <v>1</v>
      </c>
      <c r="U17" s="43">
        <f>1 - CUSTOS!$M$25</f>
        <v>1</v>
      </c>
      <c r="V17" s="43"/>
      <c r="W17" s="43"/>
      <c r="X17" s="43"/>
      <c r="Y17" s="43">
        <f>1 - CUSTOS!$M$25</f>
        <v>1</v>
      </c>
      <c r="Z17" s="43"/>
      <c r="AA17" s="43"/>
    </row>
    <row r="18" spans="1:27" ht="11.25" customHeight="1" x14ac:dyDescent="0.25">
      <c r="A18" s="141"/>
      <c r="B18" s="141"/>
      <c r="C18" s="141"/>
      <c r="D18" s="46" t="s">
        <v>31</v>
      </c>
      <c r="E18" s="46" t="s">
        <v>25</v>
      </c>
      <c r="F18" s="46" t="s">
        <v>25</v>
      </c>
      <c r="G18" s="45" t="s">
        <v>79</v>
      </c>
      <c r="H18" s="45" t="s">
        <v>73</v>
      </c>
      <c r="I18" s="45">
        <f>'MERCADO TE'!$U$15</f>
        <v>0</v>
      </c>
      <c r="J18" s="16"/>
      <c r="L18" s="43">
        <f>1 - CUSTOS!$M$26</f>
        <v>1</v>
      </c>
      <c r="M18" s="43">
        <f>1 - CUSTOS!$M$26</f>
        <v>1</v>
      </c>
      <c r="N18" s="43">
        <f>1 - CUSTOS!$M$26</f>
        <v>1</v>
      </c>
      <c r="O18" s="43">
        <f>1 - CUSTOS!$M$26</f>
        <v>1</v>
      </c>
      <c r="P18" s="43"/>
      <c r="Q18" s="43">
        <f>(1 - CUSTOS!$M$26)*1</f>
        <v>1</v>
      </c>
      <c r="R18" s="43"/>
      <c r="S18" s="43">
        <f>1 - CUSTOS!$M$26</f>
        <v>1</v>
      </c>
      <c r="T18" s="43">
        <f>1 - CUSTOS!$M$26</f>
        <v>1</v>
      </c>
      <c r="U18" s="43">
        <f>1 - CUSTOS!$M$26</f>
        <v>1</v>
      </c>
      <c r="V18" s="43"/>
      <c r="W18" s="43"/>
      <c r="X18" s="43"/>
      <c r="Y18" s="43">
        <f>1 - CUSTOS!$M$26</f>
        <v>1</v>
      </c>
      <c r="Z18" s="43"/>
      <c r="AA18" s="43"/>
    </row>
    <row r="19" spans="1:27" ht="11.25" customHeight="1" x14ac:dyDescent="0.25">
      <c r="A19" s="141"/>
      <c r="B19" s="141"/>
      <c r="C19" s="141"/>
      <c r="D19" s="46" t="s">
        <v>32</v>
      </c>
      <c r="E19" s="46" t="s">
        <v>25</v>
      </c>
      <c r="F19" s="46" t="s">
        <v>25</v>
      </c>
      <c r="G19" s="45" t="s">
        <v>79</v>
      </c>
      <c r="H19" s="45" t="s">
        <v>73</v>
      </c>
      <c r="I19" s="45">
        <f>'MERCADO TE'!$U$16</f>
        <v>0</v>
      </c>
      <c r="J19" s="16"/>
      <c r="L19" s="43">
        <f>1 - CUSTOS!$M$27</f>
        <v>1</v>
      </c>
      <c r="M19" s="43">
        <f>1 - CUSTOS!$M$27</f>
        <v>1</v>
      </c>
      <c r="N19" s="43">
        <f>1 - CUSTOS!$M$27</f>
        <v>1</v>
      </c>
      <c r="O19" s="43">
        <f>1 - CUSTOS!$M$27</f>
        <v>1</v>
      </c>
      <c r="P19" s="43"/>
      <c r="Q19" s="43">
        <f>(1 - CUSTOS!$M$27)*1</f>
        <v>1</v>
      </c>
      <c r="R19" s="43"/>
      <c r="S19" s="43">
        <f>1 - CUSTOS!$M$27</f>
        <v>1</v>
      </c>
      <c r="T19" s="43">
        <f>1 - CUSTOS!$M$27</f>
        <v>1</v>
      </c>
      <c r="U19" s="43">
        <f>1 - CUSTOS!$M$27</f>
        <v>1</v>
      </c>
      <c r="V19" s="43"/>
      <c r="W19" s="43"/>
      <c r="X19" s="43"/>
      <c r="Y19" s="43">
        <f>1 - CUSTOS!$M$27</f>
        <v>1</v>
      </c>
      <c r="Z19" s="43"/>
      <c r="AA19" s="43"/>
    </row>
    <row r="20" spans="1:27" ht="11.25" customHeight="1" x14ac:dyDescent="0.25">
      <c r="A20" s="141" t="s">
        <v>40</v>
      </c>
      <c r="B20" s="141" t="s">
        <v>72</v>
      </c>
      <c r="C20" s="141" t="s">
        <v>41</v>
      </c>
      <c r="D20" s="141" t="s">
        <v>25</v>
      </c>
      <c r="E20" s="141" t="s">
        <v>25</v>
      </c>
      <c r="F20" s="141" t="s">
        <v>25</v>
      </c>
      <c r="G20" s="45" t="s">
        <v>74</v>
      </c>
      <c r="H20" s="45" t="s">
        <v>73</v>
      </c>
      <c r="I20" s="45">
        <f>'MERCADO TE'!$U$17</f>
        <v>0</v>
      </c>
      <c r="J20" s="16"/>
      <c r="L20" s="43">
        <f>1 - CUSTOS!$M$28</f>
        <v>1</v>
      </c>
      <c r="M20" s="43">
        <f>1 - CUSTOS!$M$28</f>
        <v>1</v>
      </c>
      <c r="N20" s="43">
        <f>1 - CUSTOS!$M$28</f>
        <v>1</v>
      </c>
      <c r="O20" s="43">
        <f>1 - CUSTOS!$M$28</f>
        <v>1</v>
      </c>
      <c r="P20" s="43"/>
      <c r="Q20" s="43">
        <f>(1 - CUSTOS!$M$28)*1</f>
        <v>1</v>
      </c>
      <c r="R20" s="43"/>
      <c r="S20" s="43">
        <f>1 - CUSTOS!$M$28</f>
        <v>1</v>
      </c>
      <c r="T20" s="43">
        <f>1 - CUSTOS!$M$28</f>
        <v>1</v>
      </c>
      <c r="U20" s="43">
        <f>1 - CUSTOS!$M$28</f>
        <v>1</v>
      </c>
      <c r="V20" s="43"/>
      <c r="W20" s="43"/>
      <c r="X20" s="43"/>
      <c r="Y20" s="43">
        <f>1 - CUSTOS!$M$28</f>
        <v>1</v>
      </c>
      <c r="Z20" s="43"/>
      <c r="AA20" s="43"/>
    </row>
    <row r="21" spans="1:27" ht="11.25" customHeight="1" x14ac:dyDescent="0.25">
      <c r="A21" s="141"/>
      <c r="B21" s="141"/>
      <c r="C21" s="141"/>
      <c r="D21" s="141"/>
      <c r="E21" s="141"/>
      <c r="F21" s="141"/>
      <c r="G21" s="45" t="s">
        <v>85</v>
      </c>
      <c r="H21" s="45" t="s">
        <v>73</v>
      </c>
      <c r="I21" s="45">
        <f>'MERCADO TE'!$U$18</f>
        <v>0</v>
      </c>
      <c r="J21" s="16"/>
      <c r="L21" s="43">
        <f>1 - CUSTOS!$M$28</f>
        <v>1</v>
      </c>
      <c r="M21" s="43">
        <f>1 - CUSTOS!$M$28</f>
        <v>1</v>
      </c>
      <c r="N21" s="43">
        <f>1 - CUSTOS!$M$28</f>
        <v>1</v>
      </c>
      <c r="O21" s="43">
        <f>1 - CUSTOS!$M$28</f>
        <v>1</v>
      </c>
      <c r="P21" s="43"/>
      <c r="Q21" s="43">
        <f>(1 - CUSTOS!$M$28)*1</f>
        <v>1</v>
      </c>
      <c r="R21" s="43"/>
      <c r="S21" s="43">
        <f>1 - CUSTOS!$M$28</f>
        <v>1</v>
      </c>
      <c r="T21" s="43">
        <f>1 - CUSTOS!$M$28</f>
        <v>1</v>
      </c>
      <c r="U21" s="43">
        <f>1 - CUSTOS!$M$28</f>
        <v>1</v>
      </c>
      <c r="V21" s="43"/>
      <c r="W21" s="43"/>
      <c r="X21" s="43"/>
      <c r="Y21" s="43">
        <f>1 - CUSTOS!$M$28</f>
        <v>1</v>
      </c>
      <c r="Z21" s="43"/>
      <c r="AA21" s="43"/>
    </row>
    <row r="22" spans="1:27" ht="11.25" customHeight="1" x14ac:dyDescent="0.25">
      <c r="A22" s="141"/>
      <c r="B22" s="141"/>
      <c r="C22" s="141"/>
      <c r="D22" s="141"/>
      <c r="E22" s="141"/>
      <c r="F22" s="141"/>
      <c r="G22" s="45" t="s">
        <v>75</v>
      </c>
      <c r="H22" s="45" t="s">
        <v>73</v>
      </c>
      <c r="I22" s="45">
        <f>'MERCADO TE'!$U$19</f>
        <v>0</v>
      </c>
      <c r="J22" s="16"/>
      <c r="L22" s="43">
        <f>1 - CUSTOS!$M$28</f>
        <v>1</v>
      </c>
      <c r="M22" s="43">
        <f>1 - CUSTOS!$M$28</f>
        <v>1</v>
      </c>
      <c r="N22" s="43">
        <f>1 - CUSTOS!$M$28</f>
        <v>1</v>
      </c>
      <c r="O22" s="43">
        <f>1 - CUSTOS!$M$28</f>
        <v>1</v>
      </c>
      <c r="P22" s="43"/>
      <c r="Q22" s="43">
        <f>(1 - CUSTOS!$M$28)*1</f>
        <v>1</v>
      </c>
      <c r="R22" s="43"/>
      <c r="S22" s="43">
        <f>1 - CUSTOS!$M$28</f>
        <v>1</v>
      </c>
      <c r="T22" s="43">
        <f>1 - CUSTOS!$M$28</f>
        <v>1</v>
      </c>
      <c r="U22" s="43">
        <f>1 - CUSTOS!$M$28</f>
        <v>1</v>
      </c>
      <c r="V22" s="43"/>
      <c r="W22" s="43"/>
      <c r="X22" s="43"/>
      <c r="Y22" s="43">
        <f>1 - CUSTOS!$M$28</f>
        <v>1</v>
      </c>
      <c r="Z22" s="43"/>
      <c r="AA22" s="43"/>
    </row>
    <row r="23" spans="1:27" ht="11.25" customHeight="1" x14ac:dyDescent="0.25">
      <c r="A23" s="141"/>
      <c r="B23" s="46" t="s">
        <v>86</v>
      </c>
      <c r="C23" s="46" t="s">
        <v>41</v>
      </c>
      <c r="D23" s="46" t="s">
        <v>25</v>
      </c>
      <c r="E23" s="46" t="s">
        <v>25</v>
      </c>
      <c r="F23" s="46" t="s">
        <v>25</v>
      </c>
      <c r="G23" s="45" t="s">
        <v>79</v>
      </c>
      <c r="H23" s="45" t="s">
        <v>73</v>
      </c>
      <c r="I23" s="45">
        <f>'MERCADO TE'!$U$20</f>
        <v>55907.260999999999</v>
      </c>
      <c r="J23" s="16"/>
      <c r="L23" s="43">
        <f>1 - CUSTOS!$M$28</f>
        <v>1</v>
      </c>
      <c r="M23" s="43">
        <f>1 - CUSTOS!$M$28</f>
        <v>1</v>
      </c>
      <c r="N23" s="43">
        <f>1 - CUSTOS!$M$28</f>
        <v>1</v>
      </c>
      <c r="O23" s="43">
        <f>1 - CUSTOS!$M$28</f>
        <v>1</v>
      </c>
      <c r="P23" s="43"/>
      <c r="Q23" s="43">
        <f>(1 - CUSTOS!$M$28)*1</f>
        <v>1</v>
      </c>
      <c r="R23" s="43"/>
      <c r="S23" s="43">
        <f>1 - CUSTOS!$M$28</f>
        <v>1</v>
      </c>
      <c r="T23" s="43">
        <f>1 - CUSTOS!$M$28</f>
        <v>1</v>
      </c>
      <c r="U23" s="43">
        <f>1 - CUSTOS!$M$28</f>
        <v>1</v>
      </c>
      <c r="V23" s="43"/>
      <c r="W23" s="43"/>
      <c r="X23" s="43"/>
      <c r="Y23" s="43">
        <f>1 - CUSTOS!$M$28</f>
        <v>1</v>
      </c>
      <c r="Z23" s="43"/>
      <c r="AA23" s="43"/>
    </row>
    <row r="24" spans="1:27" ht="11.25" customHeight="1" x14ac:dyDescent="0.25">
      <c r="A24" s="141"/>
      <c r="B24" s="141" t="s">
        <v>72</v>
      </c>
      <c r="C24" s="141" t="s">
        <v>41</v>
      </c>
      <c r="D24" s="141" t="s">
        <v>90</v>
      </c>
      <c r="E24" s="141" t="s">
        <v>25</v>
      </c>
      <c r="F24" s="141" t="s">
        <v>25</v>
      </c>
      <c r="G24" s="45" t="s">
        <v>74</v>
      </c>
      <c r="H24" s="45" t="s">
        <v>73</v>
      </c>
      <c r="I24" s="45">
        <f>'MERCADO TE'!$U$21</f>
        <v>0</v>
      </c>
      <c r="J24" s="16"/>
      <c r="L24" s="43">
        <f>1 - CUSTOS!$M$29</f>
        <v>1</v>
      </c>
      <c r="M24" s="43">
        <f>1 - CUSTOS!$M$29</f>
        <v>1</v>
      </c>
      <c r="N24" s="43">
        <f>1 - CUSTOS!$M$29</f>
        <v>1</v>
      </c>
      <c r="O24" s="43">
        <f>1 - CUSTOS!$M$29</f>
        <v>1</v>
      </c>
      <c r="P24" s="43"/>
      <c r="Q24" s="43">
        <f>(1 - CUSTOS!$M$29)*1</f>
        <v>1</v>
      </c>
      <c r="R24" s="43"/>
      <c r="S24" s="43">
        <f>1 - CUSTOS!$M$29</f>
        <v>1</v>
      </c>
      <c r="T24" s="43">
        <f>1 - CUSTOS!$M$29</f>
        <v>1</v>
      </c>
      <c r="U24" s="43">
        <f>1 - CUSTOS!$M$29</f>
        <v>1</v>
      </c>
      <c r="V24" s="43"/>
      <c r="W24" s="43"/>
      <c r="X24" s="43"/>
      <c r="Y24" s="43">
        <f>1 - CUSTOS!$M$29</f>
        <v>1</v>
      </c>
      <c r="Z24" s="43"/>
      <c r="AA24" s="43"/>
    </row>
    <row r="25" spans="1:27" ht="11.25" customHeight="1" x14ac:dyDescent="0.25">
      <c r="A25" s="141"/>
      <c r="B25" s="141"/>
      <c r="C25" s="141"/>
      <c r="D25" s="141"/>
      <c r="E25" s="141"/>
      <c r="F25" s="141"/>
      <c r="G25" s="45" t="s">
        <v>85</v>
      </c>
      <c r="H25" s="45" t="s">
        <v>73</v>
      </c>
      <c r="I25" s="45">
        <f>'MERCADO TE'!$U$22</f>
        <v>0</v>
      </c>
      <c r="J25" s="16"/>
      <c r="L25" s="43">
        <f>1 - CUSTOS!$M$29</f>
        <v>1</v>
      </c>
      <c r="M25" s="43">
        <f>1 - CUSTOS!$M$29</f>
        <v>1</v>
      </c>
      <c r="N25" s="43">
        <f>1 - CUSTOS!$M$29</f>
        <v>1</v>
      </c>
      <c r="O25" s="43">
        <f>1 - CUSTOS!$M$29</f>
        <v>1</v>
      </c>
      <c r="P25" s="43"/>
      <c r="Q25" s="43">
        <f>(1 - CUSTOS!$M$29)*1</f>
        <v>1</v>
      </c>
      <c r="R25" s="43"/>
      <c r="S25" s="43">
        <f>1 - CUSTOS!$M$29</f>
        <v>1</v>
      </c>
      <c r="T25" s="43">
        <f>1 - CUSTOS!$M$29</f>
        <v>1</v>
      </c>
      <c r="U25" s="43">
        <f>1 - CUSTOS!$M$29</f>
        <v>1</v>
      </c>
      <c r="V25" s="43"/>
      <c r="W25" s="43"/>
      <c r="X25" s="43"/>
      <c r="Y25" s="43">
        <f>1 - CUSTOS!$M$29</f>
        <v>1</v>
      </c>
      <c r="Z25" s="43"/>
      <c r="AA25" s="43"/>
    </row>
    <row r="26" spans="1:27" ht="11.25" customHeight="1" x14ac:dyDescent="0.25">
      <c r="A26" s="141"/>
      <c r="B26" s="141"/>
      <c r="C26" s="141"/>
      <c r="D26" s="141"/>
      <c r="E26" s="141"/>
      <c r="F26" s="141"/>
      <c r="G26" s="45" t="s">
        <v>75</v>
      </c>
      <c r="H26" s="45" t="s">
        <v>73</v>
      </c>
      <c r="I26" s="45">
        <f>'MERCADO TE'!$U$23</f>
        <v>0</v>
      </c>
      <c r="J26" s="16"/>
      <c r="L26" s="43">
        <f>1 - CUSTOS!$M$29</f>
        <v>1</v>
      </c>
      <c r="M26" s="43">
        <f>1 - CUSTOS!$M$29</f>
        <v>1</v>
      </c>
      <c r="N26" s="43">
        <f>1 - CUSTOS!$M$29</f>
        <v>1</v>
      </c>
      <c r="O26" s="43">
        <f>1 - CUSTOS!$M$29</f>
        <v>1</v>
      </c>
      <c r="P26" s="43"/>
      <c r="Q26" s="43">
        <f>(1 - CUSTOS!$M$29)*1</f>
        <v>1</v>
      </c>
      <c r="R26" s="43"/>
      <c r="S26" s="43">
        <f>1 - CUSTOS!$M$29</f>
        <v>1</v>
      </c>
      <c r="T26" s="43">
        <f>1 - CUSTOS!$M$29</f>
        <v>1</v>
      </c>
      <c r="U26" s="43">
        <f>1 - CUSTOS!$M$29</f>
        <v>1</v>
      </c>
      <c r="V26" s="43"/>
      <c r="W26" s="43"/>
      <c r="X26" s="43"/>
      <c r="Y26" s="43">
        <f>1 - CUSTOS!$M$29</f>
        <v>1</v>
      </c>
      <c r="Z26" s="43"/>
      <c r="AA26" s="43"/>
    </row>
    <row r="27" spans="1:27" ht="11.25" customHeight="1" x14ac:dyDescent="0.25">
      <c r="A27" s="141"/>
      <c r="B27" s="46" t="s">
        <v>86</v>
      </c>
      <c r="C27" s="46" t="s">
        <v>41</v>
      </c>
      <c r="D27" s="46" t="s">
        <v>90</v>
      </c>
      <c r="E27" s="46" t="s">
        <v>25</v>
      </c>
      <c r="F27" s="46" t="s">
        <v>25</v>
      </c>
      <c r="G27" s="45" t="s">
        <v>79</v>
      </c>
      <c r="H27" s="45" t="s">
        <v>73</v>
      </c>
      <c r="I27" s="45">
        <f>'MERCADO TE'!$U$24</f>
        <v>0</v>
      </c>
      <c r="J27" s="16"/>
      <c r="L27" s="43">
        <f>1 - CUSTOS!$M$29</f>
        <v>1</v>
      </c>
      <c r="M27" s="43">
        <f>1 - CUSTOS!$M$29</f>
        <v>1</v>
      </c>
      <c r="N27" s="43">
        <f>1 - CUSTOS!$M$29</f>
        <v>1</v>
      </c>
      <c r="O27" s="43">
        <f>1 - CUSTOS!$M$29</f>
        <v>1</v>
      </c>
      <c r="P27" s="43"/>
      <c r="Q27" s="43">
        <f>(1 - CUSTOS!$M$29)*1</f>
        <v>1</v>
      </c>
      <c r="R27" s="43"/>
      <c r="S27" s="43">
        <f>1 - CUSTOS!$M$29</f>
        <v>1</v>
      </c>
      <c r="T27" s="43">
        <f>1 - CUSTOS!$M$29</f>
        <v>1</v>
      </c>
      <c r="U27" s="43">
        <f>1 - CUSTOS!$M$29</f>
        <v>1</v>
      </c>
      <c r="V27" s="43"/>
      <c r="W27" s="43"/>
      <c r="X27" s="43"/>
      <c r="Y27" s="43">
        <f>1 - CUSTOS!$M$29</f>
        <v>1</v>
      </c>
      <c r="Z27" s="43"/>
      <c r="AA27" s="43"/>
    </row>
    <row r="28" spans="1:27" ht="11.25" customHeight="1" x14ac:dyDescent="0.25">
      <c r="A28" s="141"/>
      <c r="B28" s="141" t="s">
        <v>72</v>
      </c>
      <c r="C28" s="141" t="s">
        <v>41</v>
      </c>
      <c r="D28" s="141" t="s">
        <v>91</v>
      </c>
      <c r="E28" s="141" t="s">
        <v>25</v>
      </c>
      <c r="F28" s="141" t="s">
        <v>25</v>
      </c>
      <c r="G28" s="45" t="s">
        <v>74</v>
      </c>
      <c r="H28" s="45" t="s">
        <v>73</v>
      </c>
      <c r="I28" s="45">
        <f>'MERCADO TE'!$U$25</f>
        <v>0</v>
      </c>
      <c r="J28" s="16"/>
      <c r="L28" s="43">
        <f>1 - CUSTOS!$M$30</f>
        <v>1</v>
      </c>
      <c r="M28" s="43">
        <f>1 - CUSTOS!$M$30</f>
        <v>1</v>
      </c>
      <c r="N28" s="43">
        <f>1 - CUSTOS!$M$30</f>
        <v>1</v>
      </c>
      <c r="O28" s="43">
        <f>1 - CUSTOS!$M$30</f>
        <v>1</v>
      </c>
      <c r="P28" s="43"/>
      <c r="Q28" s="43">
        <f>(1 - CUSTOS!$M$30)*1</f>
        <v>1</v>
      </c>
      <c r="R28" s="43"/>
      <c r="S28" s="43">
        <f>1 - CUSTOS!$M$30</f>
        <v>1</v>
      </c>
      <c r="T28" s="43">
        <f>1 - CUSTOS!$M$30</f>
        <v>1</v>
      </c>
      <c r="U28" s="43">
        <f>1 - CUSTOS!$M$30</f>
        <v>1</v>
      </c>
      <c r="V28" s="43"/>
      <c r="W28" s="43"/>
      <c r="X28" s="43"/>
      <c r="Y28" s="43">
        <f>1 - CUSTOS!$M$30</f>
        <v>1</v>
      </c>
      <c r="Z28" s="43"/>
      <c r="AA28" s="43"/>
    </row>
    <row r="29" spans="1:27" ht="11.25" customHeight="1" x14ac:dyDescent="0.25">
      <c r="A29" s="141"/>
      <c r="B29" s="141"/>
      <c r="C29" s="141"/>
      <c r="D29" s="141"/>
      <c r="E29" s="141"/>
      <c r="F29" s="141"/>
      <c r="G29" s="45" t="s">
        <v>85</v>
      </c>
      <c r="H29" s="45" t="s">
        <v>73</v>
      </c>
      <c r="I29" s="45">
        <f>'MERCADO TE'!$U$26</f>
        <v>0</v>
      </c>
      <c r="J29" s="16"/>
      <c r="L29" s="43">
        <f>1 - CUSTOS!$M$30</f>
        <v>1</v>
      </c>
      <c r="M29" s="43">
        <f>1 - CUSTOS!$M$30</f>
        <v>1</v>
      </c>
      <c r="N29" s="43">
        <f>1 - CUSTOS!$M$30</f>
        <v>1</v>
      </c>
      <c r="O29" s="43">
        <f>1 - CUSTOS!$M$30</f>
        <v>1</v>
      </c>
      <c r="P29" s="43"/>
      <c r="Q29" s="43">
        <f>(1 - CUSTOS!$M$30)*1</f>
        <v>1</v>
      </c>
      <c r="R29" s="43"/>
      <c r="S29" s="43">
        <f>1 - CUSTOS!$M$30</f>
        <v>1</v>
      </c>
      <c r="T29" s="43">
        <f>1 - CUSTOS!$M$30</f>
        <v>1</v>
      </c>
      <c r="U29" s="43">
        <f>1 - CUSTOS!$M$30</f>
        <v>1</v>
      </c>
      <c r="V29" s="43"/>
      <c r="W29" s="43"/>
      <c r="X29" s="43"/>
      <c r="Y29" s="43">
        <f>1 - CUSTOS!$M$30</f>
        <v>1</v>
      </c>
      <c r="Z29" s="43"/>
      <c r="AA29" s="43"/>
    </row>
    <row r="30" spans="1:27" ht="11.25" customHeight="1" x14ac:dyDescent="0.25">
      <c r="A30" s="141"/>
      <c r="B30" s="141"/>
      <c r="C30" s="141"/>
      <c r="D30" s="141"/>
      <c r="E30" s="141"/>
      <c r="F30" s="141"/>
      <c r="G30" s="45" t="s">
        <v>75</v>
      </c>
      <c r="H30" s="45" t="s">
        <v>73</v>
      </c>
      <c r="I30" s="45">
        <f>'MERCADO TE'!$U$27</f>
        <v>0</v>
      </c>
      <c r="J30" s="16"/>
      <c r="L30" s="43">
        <f>1 - CUSTOS!$M$30</f>
        <v>1</v>
      </c>
      <c r="M30" s="43">
        <f>1 - CUSTOS!$M$30</f>
        <v>1</v>
      </c>
      <c r="N30" s="43">
        <f>1 - CUSTOS!$M$30</f>
        <v>1</v>
      </c>
      <c r="O30" s="43">
        <f>1 - CUSTOS!$M$30</f>
        <v>1</v>
      </c>
      <c r="P30" s="43"/>
      <c r="Q30" s="43">
        <f>(1 - CUSTOS!$M$30)*1</f>
        <v>1</v>
      </c>
      <c r="R30" s="43"/>
      <c r="S30" s="43">
        <f>1 - CUSTOS!$M$30</f>
        <v>1</v>
      </c>
      <c r="T30" s="43">
        <f>1 - CUSTOS!$M$30</f>
        <v>1</v>
      </c>
      <c r="U30" s="43">
        <f>1 - CUSTOS!$M$30</f>
        <v>1</v>
      </c>
      <c r="V30" s="43"/>
      <c r="W30" s="43"/>
      <c r="X30" s="43"/>
      <c r="Y30" s="43">
        <f>1 - CUSTOS!$M$30</f>
        <v>1</v>
      </c>
      <c r="Z30" s="43"/>
      <c r="AA30" s="43"/>
    </row>
    <row r="31" spans="1:27" ht="11.25" customHeight="1" x14ac:dyDescent="0.25">
      <c r="A31" s="141"/>
      <c r="B31" s="46" t="s">
        <v>86</v>
      </c>
      <c r="C31" s="46" t="s">
        <v>41</v>
      </c>
      <c r="D31" s="46" t="s">
        <v>91</v>
      </c>
      <c r="E31" s="46" t="s">
        <v>25</v>
      </c>
      <c r="F31" s="46" t="s">
        <v>25</v>
      </c>
      <c r="G31" s="45" t="s">
        <v>79</v>
      </c>
      <c r="H31" s="45" t="s">
        <v>73</v>
      </c>
      <c r="I31" s="45">
        <f>'MERCADO TE'!$U$28</f>
        <v>0</v>
      </c>
      <c r="J31" s="16"/>
      <c r="L31" s="43">
        <f>1 - CUSTOS!$M$30</f>
        <v>1</v>
      </c>
      <c r="M31" s="43">
        <f>1 - CUSTOS!$M$30</f>
        <v>1</v>
      </c>
      <c r="N31" s="43">
        <f>1 - CUSTOS!$M$30</f>
        <v>1</v>
      </c>
      <c r="O31" s="43">
        <f>1 - CUSTOS!$M$30</f>
        <v>1</v>
      </c>
      <c r="P31" s="43"/>
      <c r="Q31" s="43">
        <f>(1 - CUSTOS!$M$30)*1</f>
        <v>1</v>
      </c>
      <c r="R31" s="43"/>
      <c r="S31" s="43">
        <f>1 - CUSTOS!$M$30</f>
        <v>1</v>
      </c>
      <c r="T31" s="43">
        <f>1 - CUSTOS!$M$30</f>
        <v>1</v>
      </c>
      <c r="U31" s="43">
        <f>1 - CUSTOS!$M$30</f>
        <v>1</v>
      </c>
      <c r="V31" s="43"/>
      <c r="W31" s="43"/>
      <c r="X31" s="43"/>
      <c r="Y31" s="43">
        <f>1 - CUSTOS!$M$30</f>
        <v>1</v>
      </c>
      <c r="Z31" s="43"/>
      <c r="AA31" s="43"/>
    </row>
    <row r="32" spans="1:27" ht="11.25" customHeight="1" x14ac:dyDescent="0.25">
      <c r="A32" s="141"/>
      <c r="B32" s="141" t="s">
        <v>88</v>
      </c>
      <c r="C32" s="141" t="s">
        <v>41</v>
      </c>
      <c r="D32" s="46" t="s">
        <v>25</v>
      </c>
      <c r="E32" s="46" t="s">
        <v>25</v>
      </c>
      <c r="F32" s="46" t="s">
        <v>25</v>
      </c>
      <c r="G32" s="45" t="s">
        <v>79</v>
      </c>
      <c r="H32" s="45" t="s">
        <v>73</v>
      </c>
      <c r="I32" s="45">
        <f>'MERCADO TE'!$U$29</f>
        <v>0</v>
      </c>
      <c r="J32" s="16"/>
      <c r="L32" s="43">
        <f>1 - CUSTOS!$M$28</f>
        <v>1</v>
      </c>
      <c r="M32" s="43">
        <f>1 - CUSTOS!$M$28</f>
        <v>1</v>
      </c>
      <c r="N32" s="43">
        <f>1 - CUSTOS!$M$28</f>
        <v>1</v>
      </c>
      <c r="O32" s="43">
        <f>1 - CUSTOS!$M$28</f>
        <v>1</v>
      </c>
      <c r="P32" s="43"/>
      <c r="Q32" s="43">
        <f>(1 - CUSTOS!$M$28)*1</f>
        <v>1</v>
      </c>
      <c r="R32" s="43"/>
      <c r="S32" s="43">
        <f>1 - CUSTOS!$M$28</f>
        <v>1</v>
      </c>
      <c r="T32" s="43">
        <f>1 - CUSTOS!$M$28</f>
        <v>1</v>
      </c>
      <c r="U32" s="43">
        <f>1 - CUSTOS!$M$28</f>
        <v>1</v>
      </c>
      <c r="V32" s="43"/>
      <c r="W32" s="43"/>
      <c r="X32" s="43"/>
      <c r="Y32" s="43">
        <f>1 - CUSTOS!$M$28</f>
        <v>1</v>
      </c>
      <c r="Z32" s="43"/>
      <c r="AA32" s="43"/>
    </row>
    <row r="33" spans="1:27" ht="11.25" customHeight="1" x14ac:dyDescent="0.25">
      <c r="A33" s="141"/>
      <c r="B33" s="141"/>
      <c r="C33" s="141"/>
      <c r="D33" s="46" t="s">
        <v>90</v>
      </c>
      <c r="E33" s="46" t="s">
        <v>25</v>
      </c>
      <c r="F33" s="46" t="s">
        <v>25</v>
      </c>
      <c r="G33" s="45" t="s">
        <v>79</v>
      </c>
      <c r="H33" s="45" t="s">
        <v>73</v>
      </c>
      <c r="I33" s="45">
        <f>'MERCADO TE'!$U$30</f>
        <v>0</v>
      </c>
      <c r="J33" s="16"/>
      <c r="L33" s="43">
        <f>1 - CUSTOS!$M$29</f>
        <v>1</v>
      </c>
      <c r="M33" s="43">
        <f>1 - CUSTOS!$M$29</f>
        <v>1</v>
      </c>
      <c r="N33" s="43">
        <f>1 - CUSTOS!$M$29</f>
        <v>1</v>
      </c>
      <c r="O33" s="43">
        <f>1 - CUSTOS!$M$29</f>
        <v>1</v>
      </c>
      <c r="P33" s="43"/>
      <c r="Q33" s="43">
        <f>(1 - CUSTOS!$M$29)*1</f>
        <v>1</v>
      </c>
      <c r="R33" s="43"/>
      <c r="S33" s="43">
        <f>1 - CUSTOS!$M$29</f>
        <v>1</v>
      </c>
      <c r="T33" s="43">
        <f>1 - CUSTOS!$M$29</f>
        <v>1</v>
      </c>
      <c r="U33" s="43">
        <f>1 - CUSTOS!$M$29</f>
        <v>1</v>
      </c>
      <c r="V33" s="43"/>
      <c r="W33" s="43"/>
      <c r="X33" s="43"/>
      <c r="Y33" s="43">
        <f>1 - CUSTOS!$M$29</f>
        <v>1</v>
      </c>
      <c r="Z33" s="43"/>
      <c r="AA33" s="43"/>
    </row>
    <row r="34" spans="1:27" ht="11.25" customHeight="1" x14ac:dyDescent="0.25">
      <c r="A34" s="141"/>
      <c r="B34" s="141"/>
      <c r="C34" s="141"/>
      <c r="D34" s="46" t="s">
        <v>91</v>
      </c>
      <c r="E34" s="46" t="s">
        <v>25</v>
      </c>
      <c r="F34" s="46" t="s">
        <v>25</v>
      </c>
      <c r="G34" s="45" t="s">
        <v>79</v>
      </c>
      <c r="H34" s="45" t="s">
        <v>73</v>
      </c>
      <c r="I34" s="45">
        <f>'MERCADO TE'!$U$31</f>
        <v>0</v>
      </c>
      <c r="J34" s="16"/>
      <c r="L34" s="43">
        <f>1 - CUSTOS!$M$30</f>
        <v>1</v>
      </c>
      <c r="M34" s="43">
        <f>1 - CUSTOS!$M$30</f>
        <v>1</v>
      </c>
      <c r="N34" s="43">
        <f>1 - CUSTOS!$M$30</f>
        <v>1</v>
      </c>
      <c r="O34" s="43">
        <f>1 - CUSTOS!$M$30</f>
        <v>1</v>
      </c>
      <c r="P34" s="43"/>
      <c r="Q34" s="43">
        <f>(1 - CUSTOS!$M$30)*1</f>
        <v>1</v>
      </c>
      <c r="R34" s="43"/>
      <c r="S34" s="43">
        <f>1 - CUSTOS!$M$30</f>
        <v>1</v>
      </c>
      <c r="T34" s="43">
        <f>1 - CUSTOS!$M$30</f>
        <v>1</v>
      </c>
      <c r="U34" s="43">
        <f>1 - CUSTOS!$M$30</f>
        <v>1</v>
      </c>
      <c r="V34" s="43"/>
      <c r="W34" s="43"/>
      <c r="X34" s="43"/>
      <c r="Y34" s="43">
        <f>1 - CUSTOS!$M$30</f>
        <v>1</v>
      </c>
      <c r="Z34" s="43"/>
      <c r="AA34" s="43"/>
    </row>
    <row r="35" spans="1:27" ht="11.25" customHeight="1" x14ac:dyDescent="0.25">
      <c r="A35" s="141" t="s">
        <v>37</v>
      </c>
      <c r="B35" s="141" t="s">
        <v>72</v>
      </c>
      <c r="C35" s="141" t="s">
        <v>25</v>
      </c>
      <c r="D35" s="141" t="s">
        <v>25</v>
      </c>
      <c r="E35" s="141" t="s">
        <v>25</v>
      </c>
      <c r="F35" s="141" t="s">
        <v>25</v>
      </c>
      <c r="G35" s="45" t="s">
        <v>74</v>
      </c>
      <c r="H35" s="45" t="s">
        <v>73</v>
      </c>
      <c r="I35" s="45">
        <f>'MERCADO TE'!$U$32</f>
        <v>0</v>
      </c>
      <c r="J35" s="16"/>
      <c r="L35" s="43">
        <f>1 - CUSTOS!$M$31</f>
        <v>1</v>
      </c>
      <c r="M35" s="43">
        <f>1 - CUSTOS!$M$31</f>
        <v>1</v>
      </c>
      <c r="N35" s="43">
        <f>1 - CUSTOS!$M$31</f>
        <v>1</v>
      </c>
      <c r="O35" s="43">
        <f>1 - CUSTOS!$M$31</f>
        <v>1</v>
      </c>
      <c r="P35" s="43"/>
      <c r="Q35" s="43">
        <f>(1 - CUSTOS!$M$31)*1</f>
        <v>1</v>
      </c>
      <c r="R35" s="43"/>
      <c r="S35" s="43">
        <f>1 - CUSTOS!$M$31</f>
        <v>1</v>
      </c>
      <c r="T35" s="43">
        <f>1 - CUSTOS!$M$31</f>
        <v>1</v>
      </c>
      <c r="U35" s="43">
        <f>1 - CUSTOS!$M$31</f>
        <v>1</v>
      </c>
      <c r="V35" s="43"/>
      <c r="W35" s="43"/>
      <c r="X35" s="43"/>
      <c r="Y35" s="43">
        <f>1 - CUSTOS!$M$31</f>
        <v>1</v>
      </c>
      <c r="Z35" s="43"/>
      <c r="AA35" s="43"/>
    </row>
    <row r="36" spans="1:27" ht="11.25" customHeight="1" x14ac:dyDescent="0.25">
      <c r="A36" s="141"/>
      <c r="B36" s="141"/>
      <c r="C36" s="141"/>
      <c r="D36" s="141"/>
      <c r="E36" s="141"/>
      <c r="F36" s="141"/>
      <c r="G36" s="45" t="s">
        <v>85</v>
      </c>
      <c r="H36" s="45" t="s">
        <v>73</v>
      </c>
      <c r="I36" s="45">
        <f>'MERCADO TE'!$U$33</f>
        <v>0</v>
      </c>
      <c r="J36" s="16"/>
      <c r="L36" s="43">
        <f>1 - CUSTOS!$M$31</f>
        <v>1</v>
      </c>
      <c r="M36" s="43">
        <f>1 - CUSTOS!$M$31</f>
        <v>1</v>
      </c>
      <c r="N36" s="43">
        <f>1 - CUSTOS!$M$31</f>
        <v>1</v>
      </c>
      <c r="O36" s="43">
        <f>1 - CUSTOS!$M$31</f>
        <v>1</v>
      </c>
      <c r="P36" s="43"/>
      <c r="Q36" s="43">
        <f>(1 - CUSTOS!$M$31)*1</f>
        <v>1</v>
      </c>
      <c r="R36" s="43"/>
      <c r="S36" s="43">
        <f>1 - CUSTOS!$M$31</f>
        <v>1</v>
      </c>
      <c r="T36" s="43">
        <f>1 - CUSTOS!$M$31</f>
        <v>1</v>
      </c>
      <c r="U36" s="43">
        <f>1 - CUSTOS!$M$31</f>
        <v>1</v>
      </c>
      <c r="V36" s="43"/>
      <c r="W36" s="43"/>
      <c r="X36" s="43"/>
      <c r="Y36" s="43">
        <f>1 - CUSTOS!$M$31</f>
        <v>1</v>
      </c>
      <c r="Z36" s="43"/>
      <c r="AA36" s="43"/>
    </row>
    <row r="37" spans="1:27" ht="11.25" customHeight="1" x14ac:dyDescent="0.25">
      <c r="A37" s="141"/>
      <c r="B37" s="141"/>
      <c r="C37" s="141"/>
      <c r="D37" s="141"/>
      <c r="E37" s="141"/>
      <c r="F37" s="141"/>
      <c r="G37" s="45" t="s">
        <v>75</v>
      </c>
      <c r="H37" s="45" t="s">
        <v>73</v>
      </c>
      <c r="I37" s="45">
        <f>'MERCADO TE'!$U$34</f>
        <v>0</v>
      </c>
      <c r="J37" s="16"/>
      <c r="L37" s="43">
        <f>1 - CUSTOS!$M$31</f>
        <v>1</v>
      </c>
      <c r="M37" s="43">
        <f>1 - CUSTOS!$M$31</f>
        <v>1</v>
      </c>
      <c r="N37" s="43">
        <f>1 - CUSTOS!$M$31</f>
        <v>1</v>
      </c>
      <c r="O37" s="43">
        <f>1 - CUSTOS!$M$31</f>
        <v>1</v>
      </c>
      <c r="P37" s="43"/>
      <c r="Q37" s="43">
        <f>(1 - CUSTOS!$M$31)*1</f>
        <v>1</v>
      </c>
      <c r="R37" s="43"/>
      <c r="S37" s="43">
        <f>1 - CUSTOS!$M$31</f>
        <v>1</v>
      </c>
      <c r="T37" s="43">
        <f>1 - CUSTOS!$M$31</f>
        <v>1</v>
      </c>
      <c r="U37" s="43">
        <f>1 - CUSTOS!$M$31</f>
        <v>1</v>
      </c>
      <c r="V37" s="43"/>
      <c r="W37" s="43"/>
      <c r="X37" s="43"/>
      <c r="Y37" s="43">
        <f>1 - CUSTOS!$M$31</f>
        <v>1</v>
      </c>
      <c r="Z37" s="43"/>
      <c r="AA37" s="43"/>
    </row>
    <row r="38" spans="1:27" ht="11.25" customHeight="1" x14ac:dyDescent="0.25">
      <c r="A38" s="141"/>
      <c r="B38" s="46" t="s">
        <v>86</v>
      </c>
      <c r="C38" s="46" t="s">
        <v>25</v>
      </c>
      <c r="D38" s="46" t="s">
        <v>25</v>
      </c>
      <c r="E38" s="46" t="s">
        <v>25</v>
      </c>
      <c r="F38" s="46" t="s">
        <v>25</v>
      </c>
      <c r="G38" s="45" t="s">
        <v>79</v>
      </c>
      <c r="H38" s="45" t="s">
        <v>73</v>
      </c>
      <c r="I38" s="45">
        <f>'MERCADO TE'!$U$35</f>
        <v>9351.1280000000006</v>
      </c>
      <c r="J38" s="16"/>
      <c r="L38" s="43">
        <f>1 - CUSTOS!$M$31</f>
        <v>1</v>
      </c>
      <c r="M38" s="43">
        <f>1 - CUSTOS!$M$31</f>
        <v>1</v>
      </c>
      <c r="N38" s="43">
        <f>1 - CUSTOS!$M$31</f>
        <v>1</v>
      </c>
      <c r="O38" s="43">
        <f>1 - CUSTOS!$M$31</f>
        <v>1</v>
      </c>
      <c r="P38" s="43"/>
      <c r="Q38" s="43">
        <f>(1 - CUSTOS!$M$31)*1</f>
        <v>1</v>
      </c>
      <c r="R38" s="43"/>
      <c r="S38" s="43">
        <f>1 - CUSTOS!$M$31</f>
        <v>1</v>
      </c>
      <c r="T38" s="43">
        <f>1 - CUSTOS!$M$31</f>
        <v>1</v>
      </c>
      <c r="U38" s="43">
        <f>1 - CUSTOS!$M$31</f>
        <v>1</v>
      </c>
      <c r="V38" s="43"/>
      <c r="W38" s="43"/>
      <c r="X38" s="43"/>
      <c r="Y38" s="43">
        <f>1 - CUSTOS!$M$31</f>
        <v>1</v>
      </c>
      <c r="Z38" s="43"/>
      <c r="AA38" s="43"/>
    </row>
    <row r="39" spans="1:27" ht="11.25" customHeight="1" x14ac:dyDescent="0.25">
      <c r="A39" s="141"/>
      <c r="B39" s="46" t="s">
        <v>88</v>
      </c>
      <c r="C39" s="46" t="s">
        <v>25</v>
      </c>
      <c r="D39" s="46" t="s">
        <v>25</v>
      </c>
      <c r="E39" s="46" t="s">
        <v>25</v>
      </c>
      <c r="F39" s="46" t="s">
        <v>25</v>
      </c>
      <c r="G39" s="45" t="s">
        <v>79</v>
      </c>
      <c r="H39" s="45" t="s">
        <v>73</v>
      </c>
      <c r="I39" s="45">
        <f>'MERCADO TE'!$U$36</f>
        <v>0</v>
      </c>
      <c r="J39" s="16"/>
      <c r="L39" s="43">
        <f>1 - CUSTOS!$M$31</f>
        <v>1</v>
      </c>
      <c r="M39" s="43">
        <f>1 - CUSTOS!$M$31</f>
        <v>1</v>
      </c>
      <c r="N39" s="43">
        <f>1 - CUSTOS!$M$31</f>
        <v>1</v>
      </c>
      <c r="O39" s="43">
        <f>1 - CUSTOS!$M$31</f>
        <v>1</v>
      </c>
      <c r="P39" s="43"/>
      <c r="Q39" s="43">
        <f>(1 - CUSTOS!$M$31)*1</f>
        <v>1</v>
      </c>
      <c r="R39" s="43"/>
      <c r="S39" s="43">
        <f>1 - CUSTOS!$M$31</f>
        <v>1</v>
      </c>
      <c r="T39" s="43">
        <f>1 - CUSTOS!$M$31</f>
        <v>1</v>
      </c>
      <c r="U39" s="43">
        <f>1 - CUSTOS!$M$31</f>
        <v>1</v>
      </c>
      <c r="V39" s="43"/>
      <c r="W39" s="43"/>
      <c r="X39" s="43"/>
      <c r="Y39" s="43">
        <f>1 - CUSTOS!$M$31</f>
        <v>1</v>
      </c>
      <c r="Z39" s="43"/>
      <c r="AA39" s="43"/>
    </row>
    <row r="40" spans="1:27" ht="11.25" customHeight="1" x14ac:dyDescent="0.25">
      <c r="A40" s="141" t="s">
        <v>44</v>
      </c>
      <c r="B40" s="141" t="s">
        <v>86</v>
      </c>
      <c r="C40" s="141" t="s">
        <v>45</v>
      </c>
      <c r="D40" s="46" t="s">
        <v>46</v>
      </c>
      <c r="E40" s="46" t="s">
        <v>25</v>
      </c>
      <c r="F40" s="46" t="s">
        <v>25</v>
      </c>
      <c r="G40" s="45" t="s">
        <v>79</v>
      </c>
      <c r="H40" s="45" t="s">
        <v>73</v>
      </c>
      <c r="I40" s="45">
        <f>'MERCADO TE'!$U$37</f>
        <v>121.60999999999999</v>
      </c>
      <c r="J40" s="16"/>
      <c r="L40" s="43">
        <f>1 - CUSTOS!$M$32</f>
        <v>0.55000000000000004</v>
      </c>
      <c r="M40" s="43">
        <f>1 - CUSTOS!$M$32</f>
        <v>0.55000000000000004</v>
      </c>
      <c r="N40" s="43">
        <f>1 - CUSTOS!$M$32</f>
        <v>0.55000000000000004</v>
      </c>
      <c r="O40" s="43">
        <f>1 - CUSTOS!$M$32</f>
        <v>0.55000000000000004</v>
      </c>
      <c r="P40" s="43"/>
      <c r="Q40" s="43">
        <f>(1 - CUSTOS!$M$32)*1</f>
        <v>0.55000000000000004</v>
      </c>
      <c r="R40" s="43"/>
      <c r="S40" s="43">
        <f>1 - CUSTOS!$M$32</f>
        <v>0.55000000000000004</v>
      </c>
      <c r="T40" s="43">
        <f>1 - CUSTOS!$M$32</f>
        <v>0.55000000000000004</v>
      </c>
      <c r="U40" s="43">
        <f>1 - CUSTOS!$M$32</f>
        <v>0.55000000000000004</v>
      </c>
      <c r="V40" s="43"/>
      <c r="W40" s="43"/>
      <c r="X40" s="43"/>
      <c r="Y40" s="43">
        <f>1 - CUSTOS!$M$32</f>
        <v>0.55000000000000004</v>
      </c>
      <c r="Z40" s="43"/>
      <c r="AA40" s="43"/>
    </row>
    <row r="41" spans="1:27" ht="11.25" customHeight="1" x14ac:dyDescent="0.25">
      <c r="A41" s="141"/>
      <c r="B41" s="141"/>
      <c r="C41" s="141"/>
      <c r="D41" s="45" t="s">
        <v>47</v>
      </c>
      <c r="E41" s="45" t="s">
        <v>25</v>
      </c>
      <c r="F41" s="45" t="s">
        <v>25</v>
      </c>
      <c r="G41" s="45" t="s">
        <v>79</v>
      </c>
      <c r="H41" s="45" t="s">
        <v>73</v>
      </c>
      <c r="I41" s="45">
        <f>'MERCADO TE'!$U$38</f>
        <v>2220.8670000000002</v>
      </c>
      <c r="J41" s="16"/>
      <c r="L41" s="43">
        <f>1 - CUSTOS!$M$33</f>
        <v>0.6</v>
      </c>
      <c r="M41" s="43">
        <f>1 - CUSTOS!$M$33</f>
        <v>0.6</v>
      </c>
      <c r="N41" s="43">
        <f>1 - CUSTOS!$M$33</f>
        <v>0.6</v>
      </c>
      <c r="O41" s="43">
        <f>1 - CUSTOS!$M$33</f>
        <v>0.6</v>
      </c>
      <c r="P41" s="43"/>
      <c r="Q41" s="43">
        <f>(1 - CUSTOS!$M$33)*1</f>
        <v>0.6</v>
      </c>
      <c r="R41" s="43"/>
      <c r="S41" s="43">
        <f>1 - CUSTOS!$M$33</f>
        <v>0.6</v>
      </c>
      <c r="T41" s="43">
        <f>1 - CUSTOS!$M$33</f>
        <v>0.6</v>
      </c>
      <c r="U41" s="43">
        <f>1 - CUSTOS!$M$33</f>
        <v>0.6</v>
      </c>
      <c r="V41" s="43"/>
      <c r="W41" s="43"/>
      <c r="X41" s="43"/>
      <c r="Y41" s="43">
        <f>1 - CUSTOS!$M$33</f>
        <v>0.6</v>
      </c>
      <c r="Z41" s="43"/>
      <c r="AA41" s="43"/>
    </row>
    <row r="43" spans="1:27" ht="11.25" customHeight="1" x14ac:dyDescent="0.25">
      <c r="K43" s="48" t="s">
        <v>504</v>
      </c>
      <c r="L43" s="43">
        <f t="shared" ref="L43:AA43" si="0">SUMPRODUCT($I$5:$I$41,L$5:L$41)</f>
        <v>167795.74970000001</v>
      </c>
      <c r="M43" s="43">
        <f t="shared" si="0"/>
        <v>167795.74970000001</v>
      </c>
      <c r="N43" s="43">
        <f t="shared" si="0"/>
        <v>167795.74970000001</v>
      </c>
      <c r="O43" s="43">
        <f t="shared" si="0"/>
        <v>167795.74970000001</v>
      </c>
      <c r="P43" s="43">
        <f t="shared" si="0"/>
        <v>0</v>
      </c>
      <c r="Q43" s="43">
        <f t="shared" si="0"/>
        <v>167795.74970000001</v>
      </c>
      <c r="R43" s="43">
        <f t="shared" si="0"/>
        <v>0</v>
      </c>
      <c r="S43" s="43">
        <f t="shared" si="0"/>
        <v>167795.74970000001</v>
      </c>
      <c r="T43" s="43">
        <f t="shared" si="0"/>
        <v>167795.74970000001</v>
      </c>
      <c r="U43" s="43">
        <f t="shared" si="0"/>
        <v>167795.74970000001</v>
      </c>
      <c r="V43" s="43">
        <f t="shared" si="0"/>
        <v>0</v>
      </c>
      <c r="W43" s="43">
        <f t="shared" si="0"/>
        <v>0</v>
      </c>
      <c r="X43" s="43">
        <f t="shared" si="0"/>
        <v>0</v>
      </c>
      <c r="Y43" s="43">
        <f t="shared" si="0"/>
        <v>167795.74970000001</v>
      </c>
      <c r="Z43" s="43">
        <f t="shared" si="0"/>
        <v>0</v>
      </c>
      <c r="AA43" s="43">
        <f t="shared" si="0"/>
        <v>0</v>
      </c>
    </row>
    <row r="44" spans="1:27" ht="11.25" customHeight="1" x14ac:dyDescent="0.25">
      <c r="K44" s="48" t="s">
        <v>440</v>
      </c>
      <c r="L44" s="43">
        <f>CUSTOS!$D$30</f>
        <v>0</v>
      </c>
      <c r="M44" s="43">
        <f>CUSTOS!$D$31</f>
        <v>2692024.8775731921</v>
      </c>
      <c r="N44" s="43">
        <f>CUSTOS!$D$32</f>
        <v>0</v>
      </c>
      <c r="O44" s="43">
        <f>CUSTOS!$D$33</f>
        <v>0</v>
      </c>
      <c r="P44" s="43">
        <f>CUSTOS!$D$34</f>
        <v>2692024.8775731921</v>
      </c>
      <c r="Q44" s="43">
        <f>CUSTOS!$D$35</f>
        <v>30726599.140232779</v>
      </c>
      <c r="R44" s="43">
        <f>CUSTOS!$D$36</f>
        <v>30726599.140232779</v>
      </c>
      <c r="S44" s="43">
        <f>CUSTOS!$D$37</f>
        <v>0</v>
      </c>
      <c r="T44" s="43">
        <f>CUSTOS!$D$38</f>
        <v>0</v>
      </c>
      <c r="U44" s="43">
        <f>CUSTOS!$D$39</f>
        <v>0</v>
      </c>
      <c r="V44" s="43">
        <f>CUSTOS!$D$40</f>
        <v>0</v>
      </c>
      <c r="W44" s="43">
        <f>CUSTOS!$D$41</f>
        <v>0</v>
      </c>
      <c r="X44" s="43">
        <f>CUSTOS!$D$42</f>
        <v>0</v>
      </c>
      <c r="Y44" s="43">
        <f>CUSTOS!$D$43</f>
        <v>0</v>
      </c>
      <c r="Z44" s="43">
        <f>CUSTOS!$D$44</f>
        <v>0</v>
      </c>
      <c r="AA44" s="43">
        <f>CUSTOS!$D$45</f>
        <v>33418624.017805971</v>
      </c>
    </row>
    <row r="45" spans="1:27" ht="11.25" customHeight="1" x14ac:dyDescent="0.25">
      <c r="K45" s="48" t="s">
        <v>441</v>
      </c>
      <c r="L45" s="43">
        <f>CUSTOS!$E$30</f>
        <v>0</v>
      </c>
      <c r="M45" s="43">
        <f>CUSTOS!$E$31</f>
        <v>0</v>
      </c>
      <c r="N45" s="43">
        <f>CUSTOS!$E$32</f>
        <v>0</v>
      </c>
      <c r="O45" s="43">
        <f>CUSTOS!$E$33</f>
        <v>0</v>
      </c>
      <c r="P45" s="43">
        <f>CUSTOS!$E$34</f>
        <v>0</v>
      </c>
      <c r="Q45" s="43">
        <f>CUSTOS!$E$35</f>
        <v>3408888.599915761</v>
      </c>
      <c r="R45" s="43">
        <f>CUSTOS!$E$36</f>
        <v>3408888.599915761</v>
      </c>
      <c r="S45" s="43">
        <f>CUSTOS!$E$37</f>
        <v>0</v>
      </c>
      <c r="T45" s="43">
        <f>CUSTOS!$E$38</f>
        <v>0</v>
      </c>
      <c r="U45" s="43">
        <f>CUSTOS!$E$39</f>
        <v>0</v>
      </c>
      <c r="V45" s="43">
        <f>CUSTOS!$E$40</f>
        <v>0</v>
      </c>
      <c r="W45" s="43">
        <f>CUSTOS!$E$41</f>
        <v>-310224.42115196493</v>
      </c>
      <c r="X45" s="43">
        <f>CUSTOS!$E$42</f>
        <v>-310224.42115196493</v>
      </c>
      <c r="Y45" s="43">
        <f>CUSTOS!$E$43</f>
        <v>0</v>
      </c>
      <c r="Z45" s="43">
        <f>CUSTOS!$E$44</f>
        <v>0</v>
      </c>
      <c r="AA45" s="43">
        <f>CUSTOS!$E$45</f>
        <v>3098664.1787637961</v>
      </c>
    </row>
    <row r="46" spans="1:27" ht="11.25" customHeight="1" x14ac:dyDescent="0.25">
      <c r="K46" s="48" t="s">
        <v>442</v>
      </c>
      <c r="L46" s="43">
        <f>CUSTOS!$F$30</f>
        <v>0</v>
      </c>
      <c r="M46" s="43">
        <f>CUSTOS!$F$31</f>
        <v>0</v>
      </c>
      <c r="N46" s="43">
        <f>CUSTOS!$F$32</f>
        <v>0</v>
      </c>
      <c r="O46" s="43">
        <f>CUSTOS!$F$33</f>
        <v>0</v>
      </c>
      <c r="P46" s="43">
        <f>CUSTOS!$F$34</f>
        <v>0</v>
      </c>
      <c r="Q46" s="43">
        <f>CUSTOS!$F$35</f>
        <v>0</v>
      </c>
      <c r="R46" s="43">
        <f>CUSTOS!$F$36</f>
        <v>0</v>
      </c>
      <c r="S46" s="43">
        <f>CUSTOS!$F$37</f>
        <v>0</v>
      </c>
      <c r="T46" s="43">
        <f>CUSTOS!$F$38</f>
        <v>0</v>
      </c>
      <c r="U46" s="43">
        <f>CUSTOS!$F$39</f>
        <v>0</v>
      </c>
      <c r="V46" s="43">
        <f>CUSTOS!$F$40</f>
        <v>0</v>
      </c>
      <c r="W46" s="43">
        <f>CUSTOS!$F$41</f>
        <v>0</v>
      </c>
      <c r="X46" s="43">
        <f>CUSTOS!$F$42</f>
        <v>0</v>
      </c>
      <c r="Y46" s="43">
        <f>CUSTOS!$F$43</f>
        <v>0</v>
      </c>
      <c r="Z46" s="43">
        <f>CUSTOS!$F$44</f>
        <v>0</v>
      </c>
      <c r="AA46" s="43">
        <f>CUSTOS!$F$45</f>
        <v>0</v>
      </c>
    </row>
    <row r="47" spans="1:27" ht="11.25" customHeight="1" x14ac:dyDescent="0.25">
      <c r="K47" s="48" t="s">
        <v>505</v>
      </c>
      <c r="L47" s="43">
        <f>IF(SUMPRODUCT($I$5:$I$41,$L$5:$L$41)&lt;&gt;0,L44/SUMPRODUCT($I$5:$I$41,$L$5:$L$41),0)</f>
        <v>0</v>
      </c>
      <c r="M47" s="43">
        <f>IF(SUMPRODUCT($I$5:$I$41,$M$5:$M$41)&lt;&gt;0,M44/SUMPRODUCT($I$5:$I$41,$M$5:$M$41),0)</f>
        <v>16.043462855204801</v>
      </c>
      <c r="N47" s="43">
        <f>IF(SUMPRODUCT($I$5:$I$41,$N$5:$N$41)&lt;&gt;0,N44/SUMPRODUCT($I$5:$I$41,$N$5:$N$41),0)</f>
        <v>0</v>
      </c>
      <c r="O47" s="43">
        <f>IF(SUMPRODUCT($I$5:$I$41,$O$5:$O$41)&lt;&gt;0,O44/SUMPRODUCT($I$5:$I$41,$O$5:$O$41),0)</f>
        <v>0</v>
      </c>
      <c r="P47" s="43"/>
      <c r="Q47" s="43">
        <f>IF((CUSTOS!$M$12-CUSTOS!$M$13)&lt;&gt;0,(CUSTOS!$M$12*CUSTOS!$M$14)/(CUSTOS!$M$12-CUSTOS!$M$13),0)</f>
        <v>185.33207146538862</v>
      </c>
      <c r="R47" s="43"/>
      <c r="S47" s="43">
        <f>IF(SUMPRODUCT($I$5:$I$41,$S$5:$S$41)&lt;&gt;0,S44/SUMPRODUCT($I$5:$I$41,$S$5:$S$41),0)</f>
        <v>0</v>
      </c>
      <c r="T47" s="43">
        <f>IF(SUMPRODUCT($I$5:$I$41,$T$5:$T$41)&lt;&gt;0,T44/SUMPRODUCT($I$5:$I$41,$T$5:$T$41),0)</f>
        <v>0</v>
      </c>
      <c r="U47" s="43">
        <f>IF(SUMPRODUCT($I$5:$I$41,$U$5:$U$41)&lt;&gt;0,U44/SUMPRODUCT($I$5:$I$41,$U$5:$U$41),0)</f>
        <v>0</v>
      </c>
      <c r="V47" s="43"/>
      <c r="W47" s="43">
        <f>IF(SUMPRODUCT($I$5:$I$41,$W$5:$W$41)&lt;&gt;0,W44/SUMPRODUCT($I$5:$I$41,$W$5:$W$41),0)</f>
        <v>0</v>
      </c>
      <c r="X47" s="43"/>
      <c r="Y47" s="43">
        <f>IF(SUMPRODUCT($I$5:$I$41,$Y$5:$Y$41)&lt;&gt;0,Y44/SUMPRODUCT($I$5:$I$41,$Y$5:$Y$41),0)</f>
        <v>0</v>
      </c>
      <c r="Z47" s="43"/>
      <c r="AA47" s="43"/>
    </row>
    <row r="48" spans="1:27" ht="11.25" customHeight="1" x14ac:dyDescent="0.25">
      <c r="K48" s="48" t="s">
        <v>506</v>
      </c>
      <c r="L48" s="43">
        <f>IF(L43&lt;&gt;0,(L44-L47*0)/(L43-0),0)</f>
        <v>0</v>
      </c>
      <c r="M48" s="43">
        <f>IF(M43&lt;&gt;0,(M44-M47*0)/(M43-0),0)</f>
        <v>16.043462855204801</v>
      </c>
      <c r="N48" s="43">
        <f>IF(N43&lt;&gt;0,(N44-N47*0)/(N43-0),0)</f>
        <v>0</v>
      </c>
      <c r="O48" s="43">
        <f>IF(O43&lt;&gt;0,(O44-O47*0)/(O43-0),0)</f>
        <v>0</v>
      </c>
      <c r="P48" s="43"/>
      <c r="Q48" s="43">
        <f>IF(Q43&lt;&gt;0,(Q44-Q47*0)/(Q43-0),0)</f>
        <v>183.1190551320191</v>
      </c>
      <c r="R48" s="43"/>
      <c r="S48" s="43">
        <f>IF(S43&lt;&gt;0,(S44-S47*0)/(S43-0),0)</f>
        <v>0</v>
      </c>
      <c r="T48" s="43">
        <f>IF(T43&lt;&gt;0,(T44-T47*0)/(T43-0),0)</f>
        <v>0</v>
      </c>
      <c r="U48" s="43">
        <f>IF(U43&lt;&gt;0,(U44-U47*0)/(U43-0),0)</f>
        <v>0</v>
      </c>
      <c r="V48" s="43"/>
      <c r="W48" s="43">
        <f>IF(W43&lt;&gt;0,(W44-W47*0)/(W43-0),0)</f>
        <v>0</v>
      </c>
      <c r="X48" s="43"/>
      <c r="Y48" s="43">
        <f>IF(Y43&lt;&gt;0,(Y44-Y47*0)/(Y43-0),0)</f>
        <v>0</v>
      </c>
      <c r="Z48" s="43"/>
      <c r="AA48" s="43"/>
    </row>
    <row r="49" spans="11:27" ht="11.25" customHeight="1" x14ac:dyDescent="0.25">
      <c r="K49" s="48" t="s">
        <v>507</v>
      </c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</row>
  </sheetData>
  <mergeCells count="61">
    <mergeCell ref="F5:F6"/>
    <mergeCell ref="A5:A6"/>
    <mergeCell ref="B5:B6"/>
    <mergeCell ref="C5:C6"/>
    <mergeCell ref="D5:D6"/>
    <mergeCell ref="E5:E6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E28:E30"/>
    <mergeCell ref="F28:F30"/>
    <mergeCell ref="A20:A34"/>
    <mergeCell ref="B20:B22"/>
    <mergeCell ref="C20:C22"/>
    <mergeCell ref="D20:D22"/>
    <mergeCell ref="E20:E22"/>
    <mergeCell ref="F20:F22"/>
    <mergeCell ref="B24:B26"/>
    <mergeCell ref="C24:C26"/>
    <mergeCell ref="D24:D26"/>
    <mergeCell ref="E24:E26"/>
    <mergeCell ref="F1:F4"/>
    <mergeCell ref="E35:E37"/>
    <mergeCell ref="F35:F37"/>
    <mergeCell ref="A40:A41"/>
    <mergeCell ref="B40:B41"/>
    <mergeCell ref="C40:C41"/>
    <mergeCell ref="B32:B34"/>
    <mergeCell ref="C32:C34"/>
    <mergeCell ref="A35:A39"/>
    <mergeCell ref="B35:B37"/>
    <mergeCell ref="C35:C37"/>
    <mergeCell ref="D35:D37"/>
    <mergeCell ref="F24:F26"/>
    <mergeCell ref="B28:B30"/>
    <mergeCell ref="C28:C30"/>
    <mergeCell ref="D28:D30"/>
    <mergeCell ref="A1:A4"/>
    <mergeCell ref="B1:B4"/>
    <mergeCell ref="C1:C4"/>
    <mergeCell ref="D1:D4"/>
    <mergeCell ref="E1:E4"/>
    <mergeCell ref="Y3:Z3"/>
    <mergeCell ref="AA3:AA4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01D0F-2BEA-4430-BDB9-BC0285BC9713}">
  <sheetPr codeName="Planilha13"/>
  <dimension ref="A1:AA49"/>
  <sheetViews>
    <sheetView showGridLines="0" topLeftCell="J28" workbookViewId="0">
      <selection activeCell="AA43" sqref="AA43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0.855468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40" t="s">
        <v>63</v>
      </c>
      <c r="B1" s="140" t="s">
        <v>64</v>
      </c>
      <c r="C1" s="140" t="s">
        <v>65</v>
      </c>
      <c r="D1" s="140" t="s">
        <v>66</v>
      </c>
      <c r="E1" s="140" t="s">
        <v>67</v>
      </c>
      <c r="F1" s="140" t="s">
        <v>15</v>
      </c>
      <c r="G1" s="140" t="s">
        <v>69</v>
      </c>
      <c r="H1" s="140" t="s">
        <v>70</v>
      </c>
      <c r="I1" s="140" t="s">
        <v>488</v>
      </c>
      <c r="J1" s="124"/>
      <c r="L1" s="138" t="s">
        <v>508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</row>
    <row r="2" spans="1:27" ht="11.25" customHeight="1" x14ac:dyDescent="0.25">
      <c r="A2" s="140"/>
      <c r="B2" s="140"/>
      <c r="C2" s="140"/>
      <c r="D2" s="140"/>
      <c r="E2" s="140"/>
      <c r="F2" s="140"/>
      <c r="G2" s="140"/>
      <c r="H2" s="140"/>
      <c r="I2" s="140"/>
      <c r="J2" s="124"/>
      <c r="L2" s="138" t="s">
        <v>427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</row>
    <row r="3" spans="1:27" ht="11.25" customHeight="1" x14ac:dyDescent="0.25">
      <c r="A3" s="140"/>
      <c r="B3" s="140"/>
      <c r="C3" s="140"/>
      <c r="D3" s="140"/>
      <c r="E3" s="140"/>
      <c r="F3" s="140"/>
      <c r="G3" s="140"/>
      <c r="H3" s="140"/>
      <c r="I3" s="140"/>
      <c r="J3" s="124"/>
      <c r="L3" s="138" t="s">
        <v>400</v>
      </c>
      <c r="M3" s="138"/>
      <c r="N3" s="138"/>
      <c r="O3" s="138"/>
      <c r="P3" s="138"/>
      <c r="Q3" s="138" t="s">
        <v>430</v>
      </c>
      <c r="R3" s="138"/>
      <c r="S3" s="138" t="s">
        <v>409</v>
      </c>
      <c r="T3" s="138"/>
      <c r="U3" s="138"/>
      <c r="V3" s="138"/>
      <c r="W3" s="138" t="s">
        <v>419</v>
      </c>
      <c r="X3" s="138"/>
      <c r="Y3" s="138" t="s">
        <v>422</v>
      </c>
      <c r="Z3" s="138"/>
      <c r="AA3" s="138" t="s">
        <v>408</v>
      </c>
    </row>
    <row r="4" spans="1:27" ht="11.25" customHeight="1" x14ac:dyDescent="0.25">
      <c r="A4" s="140"/>
      <c r="B4" s="140"/>
      <c r="C4" s="140"/>
      <c r="D4" s="140"/>
      <c r="E4" s="140"/>
      <c r="F4" s="140"/>
      <c r="G4" s="140"/>
      <c r="H4" s="140"/>
      <c r="I4" s="140"/>
      <c r="J4" s="124"/>
      <c r="L4" s="47" t="s">
        <v>402</v>
      </c>
      <c r="M4" s="47" t="s">
        <v>428</v>
      </c>
      <c r="N4" s="47" t="s">
        <v>429</v>
      </c>
      <c r="O4" s="47" t="s">
        <v>487</v>
      </c>
      <c r="P4" s="47" t="s">
        <v>408</v>
      </c>
      <c r="Q4" s="47" t="s">
        <v>431</v>
      </c>
      <c r="R4" s="47" t="s">
        <v>408</v>
      </c>
      <c r="S4" s="47" t="s">
        <v>432</v>
      </c>
      <c r="T4" s="47" t="s">
        <v>433</v>
      </c>
      <c r="U4" s="47" t="s">
        <v>434</v>
      </c>
      <c r="V4" s="47" t="s">
        <v>408</v>
      </c>
      <c r="W4" s="47" t="s">
        <v>420</v>
      </c>
      <c r="X4" s="47" t="s">
        <v>408</v>
      </c>
      <c r="Y4" s="47" t="s">
        <v>435</v>
      </c>
      <c r="Z4" s="47" t="s">
        <v>408</v>
      </c>
      <c r="AA4" s="139"/>
    </row>
    <row r="5" spans="1:27" ht="11.25" customHeight="1" x14ac:dyDescent="0.25">
      <c r="A5" s="141" t="s">
        <v>33</v>
      </c>
      <c r="B5" s="141" t="s">
        <v>72</v>
      </c>
      <c r="C5" s="141" t="s">
        <v>25</v>
      </c>
      <c r="D5" s="141" t="s">
        <v>25</v>
      </c>
      <c r="E5" s="141" t="s">
        <v>25</v>
      </c>
      <c r="F5" s="141" t="s">
        <v>25</v>
      </c>
      <c r="G5" s="45" t="s">
        <v>74</v>
      </c>
      <c r="H5" s="45" t="s">
        <v>73</v>
      </c>
      <c r="I5" s="45">
        <f>'MERCADO TE'!$U$2</f>
        <v>1862.7550000000001</v>
      </c>
      <c r="J5" s="16"/>
      <c r="L5" s="43">
        <f>'TR TE'!$L$5*'TR TE'!$L$48</f>
        <v>0</v>
      </c>
      <c r="M5" s="43">
        <f>'TR TE'!$M$5*'TR TE'!$M$48</f>
        <v>16.043462855204801</v>
      </c>
      <c r="N5" s="43">
        <f>'TR TE'!$N$5*'TR TE'!$N$48</f>
        <v>0</v>
      </c>
      <c r="O5" s="43">
        <f>'TR TE'!$O$5*'TR TE'!$O$48</f>
        <v>0</v>
      </c>
      <c r="P5" s="43">
        <f>SUM($L$5:$O$5)</f>
        <v>16.043462855204801</v>
      </c>
      <c r="Q5" s="43">
        <f>'TR TE'!$Q$5*'TR TE'!$Q$48</f>
        <v>183.1190551320191</v>
      </c>
      <c r="R5" s="43">
        <f>SUM($Q$5:$Q$5)</f>
        <v>183.1190551320191</v>
      </c>
      <c r="S5" s="43">
        <f>'TR TE'!$S$5*'TR TE'!$S$48</f>
        <v>0</v>
      </c>
      <c r="T5" s="43">
        <f>'TR TE'!$T$5*'TR TE'!$T$48</f>
        <v>0</v>
      </c>
      <c r="U5" s="43">
        <f>'TR TE'!$U$5*'TR TE'!$U$48</f>
        <v>0</v>
      </c>
      <c r="V5" s="43">
        <f>SUM($S$5:$U$5)</f>
        <v>0</v>
      </c>
      <c r="W5" s="43"/>
      <c r="X5" s="43">
        <f>SUM($W$5:$W$5)</f>
        <v>0</v>
      </c>
      <c r="Y5" s="43">
        <f>'TR TE'!$Y$5*'TR TE'!$Y$48</f>
        <v>0</v>
      </c>
      <c r="Z5" s="43">
        <f>SUM($Y$5:$Y$5)</f>
        <v>0</v>
      </c>
      <c r="AA5" s="43">
        <f>SUMIF($L$4:$Z$4,"SUBTOTAL",$L$5:$Z$5)</f>
        <v>199.16251798722391</v>
      </c>
    </row>
    <row r="6" spans="1:27" ht="11.25" customHeight="1" x14ac:dyDescent="0.25">
      <c r="A6" s="141"/>
      <c r="B6" s="141"/>
      <c r="C6" s="141"/>
      <c r="D6" s="141"/>
      <c r="E6" s="141"/>
      <c r="F6" s="141"/>
      <c r="G6" s="45" t="s">
        <v>75</v>
      </c>
      <c r="H6" s="45" t="s">
        <v>73</v>
      </c>
      <c r="I6" s="45">
        <f>'MERCADO TE'!$U$3</f>
        <v>75274.775999999998</v>
      </c>
      <c r="J6" s="16"/>
      <c r="L6" s="43">
        <f>'TR TE'!$L$6*'TR TE'!$L$48</f>
        <v>0</v>
      </c>
      <c r="M6" s="43">
        <f>'TR TE'!$M$6*'TR TE'!$M$48</f>
        <v>16.043462855204801</v>
      </c>
      <c r="N6" s="43">
        <f>'TR TE'!$N$6*'TR TE'!$N$48</f>
        <v>0</v>
      </c>
      <c r="O6" s="43">
        <f>'TR TE'!$O$6*'TR TE'!$O$48</f>
        <v>0</v>
      </c>
      <c r="P6" s="43">
        <f>SUM($L$6:$O$6)</f>
        <v>16.043462855204801</v>
      </c>
      <c r="Q6" s="43">
        <f>'TR TE'!$Q$6*'TR TE'!$Q$48</f>
        <v>183.1190551320191</v>
      </c>
      <c r="R6" s="43">
        <f>SUM($Q$6:$Q$6)</f>
        <v>183.1190551320191</v>
      </c>
      <c r="S6" s="43">
        <f>'TR TE'!$S$6*'TR TE'!$S$48</f>
        <v>0</v>
      </c>
      <c r="T6" s="43">
        <f>'TR TE'!$T$6*'TR TE'!$T$48</f>
        <v>0</v>
      </c>
      <c r="U6" s="43">
        <f>'TR TE'!$U$6*'TR TE'!$U$48</f>
        <v>0</v>
      </c>
      <c r="V6" s="43">
        <f>SUM($S$6:$U$6)</f>
        <v>0</v>
      </c>
      <c r="W6" s="43"/>
      <c r="X6" s="43">
        <f>SUM($W$6:$W$6)</f>
        <v>0</v>
      </c>
      <c r="Y6" s="43">
        <f>'TR TE'!$Y$6*'TR TE'!$Y$48</f>
        <v>0</v>
      </c>
      <c r="Z6" s="43">
        <f>SUM($Y$6:$Y$6)</f>
        <v>0</v>
      </c>
      <c r="AA6" s="43">
        <f>SUMIF($L$4:$Z$4,"SUBTOTAL",$L$6:$Z$6)</f>
        <v>199.16251798722391</v>
      </c>
    </row>
    <row r="7" spans="1:27" ht="11.25" customHeight="1" x14ac:dyDescent="0.25">
      <c r="A7" s="141" t="s">
        <v>22</v>
      </c>
      <c r="B7" s="141" t="s">
        <v>72</v>
      </c>
      <c r="C7" s="141" t="s">
        <v>24</v>
      </c>
      <c r="D7" s="141" t="s">
        <v>24</v>
      </c>
      <c r="E7" s="141" t="s">
        <v>25</v>
      </c>
      <c r="F7" s="141" t="s">
        <v>25</v>
      </c>
      <c r="G7" s="45" t="s">
        <v>74</v>
      </c>
      <c r="H7" s="45" t="s">
        <v>73</v>
      </c>
      <c r="I7" s="45">
        <f>'MERCADO TE'!$U$4</f>
        <v>0</v>
      </c>
      <c r="J7" s="16"/>
      <c r="L7" s="43">
        <f>'TR TE'!$L$7*'TR TE'!$L$48</f>
        <v>0</v>
      </c>
      <c r="M7" s="43">
        <f>'TR TE'!$M$7*'TR TE'!$M$48</f>
        <v>16.043462855204801</v>
      </c>
      <c r="N7" s="43">
        <f>'TR TE'!$N$7*'TR TE'!$N$48</f>
        <v>0</v>
      </c>
      <c r="O7" s="43">
        <f>'TR TE'!$O$7*'TR TE'!$O$48</f>
        <v>0</v>
      </c>
      <c r="P7" s="43">
        <f>SUM($L$7:$O$7)</f>
        <v>16.043462855204801</v>
      </c>
      <c r="Q7" s="43">
        <f>'TR TE'!$Q$7*'TR TE'!$Q$48</f>
        <v>183.1190551320191</v>
      </c>
      <c r="R7" s="43">
        <f>SUM($Q$7:$Q$7)</f>
        <v>183.1190551320191</v>
      </c>
      <c r="S7" s="43">
        <f>'TR TE'!$S$7*'TR TE'!$S$48</f>
        <v>0</v>
      </c>
      <c r="T7" s="43">
        <f>'TR TE'!$T$7*'TR TE'!$T$48</f>
        <v>0</v>
      </c>
      <c r="U7" s="43">
        <f>'TR TE'!$U$7*'TR TE'!$U$48</f>
        <v>0</v>
      </c>
      <c r="V7" s="43">
        <f>SUM($S$7:$U$7)</f>
        <v>0</v>
      </c>
      <c r="W7" s="43"/>
      <c r="X7" s="43">
        <f>SUM($W$7:$W$7)</f>
        <v>0</v>
      </c>
      <c r="Y7" s="43">
        <f>'TR TE'!$Y$7*'TR TE'!$Y$48</f>
        <v>0</v>
      </c>
      <c r="Z7" s="43">
        <f>SUM($Y$7:$Y$7)</f>
        <v>0</v>
      </c>
      <c r="AA7" s="43">
        <f>SUMIF($L$4:$Z$4,"SUBTOTAL",$L$7:$Z$7)</f>
        <v>199.16251798722391</v>
      </c>
    </row>
    <row r="8" spans="1:27" ht="11.25" customHeight="1" x14ac:dyDescent="0.25">
      <c r="A8" s="141"/>
      <c r="B8" s="141"/>
      <c r="C8" s="141"/>
      <c r="D8" s="141"/>
      <c r="E8" s="141"/>
      <c r="F8" s="141"/>
      <c r="G8" s="45" t="s">
        <v>85</v>
      </c>
      <c r="H8" s="45" t="s">
        <v>73</v>
      </c>
      <c r="I8" s="45">
        <f>'MERCADO TE'!$U$5</f>
        <v>0</v>
      </c>
      <c r="J8" s="16"/>
      <c r="L8" s="43">
        <f>'TR TE'!$L$8*'TR TE'!$L$48</f>
        <v>0</v>
      </c>
      <c r="M8" s="43">
        <f>'TR TE'!$M$8*'TR TE'!$M$48</f>
        <v>16.043462855204801</v>
      </c>
      <c r="N8" s="43">
        <f>'TR TE'!$N$8*'TR TE'!$N$48</f>
        <v>0</v>
      </c>
      <c r="O8" s="43">
        <f>'TR TE'!$O$8*'TR TE'!$O$48</f>
        <v>0</v>
      </c>
      <c r="P8" s="43">
        <f>SUM($L$8:$O$8)</f>
        <v>16.043462855204801</v>
      </c>
      <c r="Q8" s="43">
        <f>'TR TE'!$Q$8*'TR TE'!$Q$48</f>
        <v>183.1190551320191</v>
      </c>
      <c r="R8" s="43">
        <f>SUM($Q$8:$Q$8)</f>
        <v>183.1190551320191</v>
      </c>
      <c r="S8" s="43">
        <f>'TR TE'!$S$8*'TR TE'!$S$48</f>
        <v>0</v>
      </c>
      <c r="T8" s="43">
        <f>'TR TE'!$T$8*'TR TE'!$T$48</f>
        <v>0</v>
      </c>
      <c r="U8" s="43">
        <f>'TR TE'!$U$8*'TR TE'!$U$48</f>
        <v>0</v>
      </c>
      <c r="V8" s="43">
        <f>SUM($S$8:$U$8)</f>
        <v>0</v>
      </c>
      <c r="W8" s="43"/>
      <c r="X8" s="43">
        <f>SUM($W$8:$W$8)</f>
        <v>0</v>
      </c>
      <c r="Y8" s="43">
        <f>'TR TE'!$Y$8*'TR TE'!$Y$48</f>
        <v>0</v>
      </c>
      <c r="Z8" s="43">
        <f>SUM($Y$8:$Y$8)</f>
        <v>0</v>
      </c>
      <c r="AA8" s="43">
        <f>SUMIF($L$4:$Z$4,"SUBTOTAL",$L$8:$Z$8)</f>
        <v>199.16251798722391</v>
      </c>
    </row>
    <row r="9" spans="1:27" ht="11.25" customHeight="1" x14ac:dyDescent="0.25">
      <c r="A9" s="141"/>
      <c r="B9" s="141"/>
      <c r="C9" s="141"/>
      <c r="D9" s="141"/>
      <c r="E9" s="141"/>
      <c r="F9" s="141"/>
      <c r="G9" s="45" t="s">
        <v>75</v>
      </c>
      <c r="H9" s="45" t="s">
        <v>73</v>
      </c>
      <c r="I9" s="45">
        <f>'MERCADO TE'!$U$6</f>
        <v>0</v>
      </c>
      <c r="J9" s="16"/>
      <c r="L9" s="43">
        <f>'TR TE'!$L$9*'TR TE'!$L$48</f>
        <v>0</v>
      </c>
      <c r="M9" s="43">
        <f>'TR TE'!$M$9*'TR TE'!$M$48</f>
        <v>16.043462855204801</v>
      </c>
      <c r="N9" s="43">
        <f>'TR TE'!$N$9*'TR TE'!$N$48</f>
        <v>0</v>
      </c>
      <c r="O9" s="43">
        <f>'TR TE'!$O$9*'TR TE'!$O$48</f>
        <v>0</v>
      </c>
      <c r="P9" s="43">
        <f>SUM($L$9:$O$9)</f>
        <v>16.043462855204801</v>
      </c>
      <c r="Q9" s="43">
        <f>'TR TE'!$Q$9*'TR TE'!$Q$48</f>
        <v>183.1190551320191</v>
      </c>
      <c r="R9" s="43">
        <f>SUM($Q$9:$Q$9)</f>
        <v>183.1190551320191</v>
      </c>
      <c r="S9" s="43">
        <f>'TR TE'!$S$9*'TR TE'!$S$48</f>
        <v>0</v>
      </c>
      <c r="T9" s="43">
        <f>'TR TE'!$T$9*'TR TE'!$T$48</f>
        <v>0</v>
      </c>
      <c r="U9" s="43">
        <f>'TR TE'!$U$9*'TR TE'!$U$48</f>
        <v>0</v>
      </c>
      <c r="V9" s="43">
        <f>SUM($S$9:$U$9)</f>
        <v>0</v>
      </c>
      <c r="W9" s="43"/>
      <c r="X9" s="43">
        <f>SUM($W$9:$W$9)</f>
        <v>0</v>
      </c>
      <c r="Y9" s="43">
        <f>'TR TE'!$Y$9*'TR TE'!$Y$48</f>
        <v>0</v>
      </c>
      <c r="Z9" s="43">
        <f>SUM($Y$9:$Y$9)</f>
        <v>0</v>
      </c>
      <c r="AA9" s="43">
        <f>SUMIF($L$4:$Z$4,"SUBTOTAL",$L$9:$Z$9)</f>
        <v>199.16251798722391</v>
      </c>
    </row>
    <row r="10" spans="1:27" ht="11.25" customHeight="1" x14ac:dyDescent="0.25">
      <c r="A10" s="141"/>
      <c r="B10" s="141" t="s">
        <v>86</v>
      </c>
      <c r="C10" s="141" t="s">
        <v>24</v>
      </c>
      <c r="D10" s="46" t="s">
        <v>24</v>
      </c>
      <c r="E10" s="46" t="s">
        <v>25</v>
      </c>
      <c r="F10" s="46" t="s">
        <v>25</v>
      </c>
      <c r="G10" s="45" t="s">
        <v>79</v>
      </c>
      <c r="H10" s="45" t="s">
        <v>73</v>
      </c>
      <c r="I10" s="45">
        <f>'MERCADO TE'!$U$7</f>
        <v>23903.932000000001</v>
      </c>
      <c r="J10" s="16"/>
      <c r="L10" s="43">
        <f>'TR TE'!$L$10*'TR TE'!$L$48</f>
        <v>0</v>
      </c>
      <c r="M10" s="43">
        <f>'TR TE'!$M$10*'TR TE'!$M$48</f>
        <v>16.043462855204801</v>
      </c>
      <c r="N10" s="43">
        <f>'TR TE'!$N$10*'TR TE'!$N$48</f>
        <v>0</v>
      </c>
      <c r="O10" s="43">
        <f>'TR TE'!$O$10*'TR TE'!$O$48</f>
        <v>0</v>
      </c>
      <c r="P10" s="43">
        <f>SUM($L$10:$O$10)</f>
        <v>16.043462855204801</v>
      </c>
      <c r="Q10" s="43">
        <f>'TR TE'!$Q$10*'TR TE'!$Q$48</f>
        <v>183.1190551320191</v>
      </c>
      <c r="R10" s="43">
        <f>SUM($Q$10:$Q$10)</f>
        <v>183.1190551320191</v>
      </c>
      <c r="S10" s="43">
        <f>'TR TE'!$S$10*'TR TE'!$S$48</f>
        <v>0</v>
      </c>
      <c r="T10" s="43">
        <f>'TR TE'!$T$10*'TR TE'!$T$48</f>
        <v>0</v>
      </c>
      <c r="U10" s="43">
        <f>'TR TE'!$U$10*'TR TE'!$U$48</f>
        <v>0</v>
      </c>
      <c r="V10" s="43">
        <f>SUM($S$10:$U$10)</f>
        <v>0</v>
      </c>
      <c r="W10" s="43"/>
      <c r="X10" s="43">
        <f>SUM($W$10:$W$10)</f>
        <v>0</v>
      </c>
      <c r="Y10" s="43">
        <f>'TR TE'!$Y$10*'TR TE'!$Y$48</f>
        <v>0</v>
      </c>
      <c r="Z10" s="43">
        <f>SUM($Y$10:$Y$10)</f>
        <v>0</v>
      </c>
      <c r="AA10" s="43">
        <f>SUMIF($L$4:$Z$4,"SUBTOTAL",$L$10:$Z$10)</f>
        <v>199.16251798722391</v>
      </c>
    </row>
    <row r="11" spans="1:27" ht="11.25" customHeight="1" x14ac:dyDescent="0.25">
      <c r="A11" s="141"/>
      <c r="B11" s="141"/>
      <c r="C11" s="141"/>
      <c r="D11" s="46" t="s">
        <v>29</v>
      </c>
      <c r="E11" s="46" t="s">
        <v>25</v>
      </c>
      <c r="F11" s="46" t="s">
        <v>25</v>
      </c>
      <c r="G11" s="45" t="s">
        <v>79</v>
      </c>
      <c r="H11" s="45" t="s">
        <v>73</v>
      </c>
      <c r="I11" s="45">
        <f>'MERCADO TE'!$U$8</f>
        <v>17.04</v>
      </c>
      <c r="J11" s="16"/>
      <c r="L11" s="43">
        <f>'TR TE'!$L$11*'TR TE'!$L$48</f>
        <v>0</v>
      </c>
      <c r="M11" s="43">
        <f>'TR TE'!$M$11*'TR TE'!$M$48</f>
        <v>16.043462855204801</v>
      </c>
      <c r="N11" s="43">
        <f>'TR TE'!$N$11*'TR TE'!$N$48</f>
        <v>0</v>
      </c>
      <c r="O11" s="43">
        <f>'TR TE'!$O$11*'TR TE'!$O$48</f>
        <v>0</v>
      </c>
      <c r="P11" s="43">
        <f>SUM($L$11:$O$11)</f>
        <v>16.043462855204801</v>
      </c>
      <c r="Q11" s="43">
        <f>'TR TE'!$Q$11*'TR TE'!$Q$48</f>
        <v>183.1190551320191</v>
      </c>
      <c r="R11" s="43">
        <f>SUM($Q$11:$Q$11)</f>
        <v>183.1190551320191</v>
      </c>
      <c r="S11" s="43">
        <f>'TR TE'!$S$11*'TR TE'!$S$48</f>
        <v>0</v>
      </c>
      <c r="T11" s="43">
        <f>'TR TE'!$T$11*'TR TE'!$T$48</f>
        <v>0</v>
      </c>
      <c r="U11" s="43">
        <f>'TR TE'!$U$11*'TR TE'!$U$48</f>
        <v>0</v>
      </c>
      <c r="V11" s="43">
        <f>SUM($S$11:$U$11)</f>
        <v>0</v>
      </c>
      <c r="W11" s="43"/>
      <c r="X11" s="43">
        <f>SUM($W$11:$W$11)</f>
        <v>0</v>
      </c>
      <c r="Y11" s="43">
        <f>'TR TE'!$Y$11*'TR TE'!$Y$48</f>
        <v>0</v>
      </c>
      <c r="Z11" s="43">
        <f>SUM($Y$11:$Y$11)</f>
        <v>0</v>
      </c>
      <c r="AA11" s="43">
        <f>SUMIF($L$4:$Z$4,"SUBTOTAL",$L$11:$Z$11)</f>
        <v>199.16251798722391</v>
      </c>
    </row>
    <row r="12" spans="1:27" ht="11.25" customHeight="1" x14ac:dyDescent="0.25">
      <c r="A12" s="141"/>
      <c r="B12" s="141"/>
      <c r="C12" s="141"/>
      <c r="D12" s="46" t="s">
        <v>30</v>
      </c>
      <c r="E12" s="46" t="s">
        <v>25</v>
      </c>
      <c r="F12" s="46" t="s">
        <v>25</v>
      </c>
      <c r="G12" s="45" t="s">
        <v>79</v>
      </c>
      <c r="H12" s="45" t="s">
        <v>73</v>
      </c>
      <c r="I12" s="45">
        <f>'MERCADO TE'!$U$9</f>
        <v>36.048999999999999</v>
      </c>
      <c r="J12" s="16"/>
      <c r="L12" s="43">
        <f>'TR TE'!$L$12*'TR TE'!$L$48</f>
        <v>0</v>
      </c>
      <c r="M12" s="43">
        <f>'TR TE'!$M$12*'TR TE'!$M$48</f>
        <v>16.043462855204801</v>
      </c>
      <c r="N12" s="43">
        <f>'TR TE'!$N$12*'TR TE'!$N$48</f>
        <v>0</v>
      </c>
      <c r="O12" s="43">
        <f>'TR TE'!$O$12*'TR TE'!$O$48</f>
        <v>0</v>
      </c>
      <c r="P12" s="43">
        <f>SUM($L$12:$O$12)</f>
        <v>16.043462855204801</v>
      </c>
      <c r="Q12" s="43">
        <f>'TR TE'!$Q$12*'TR TE'!$Q$48</f>
        <v>183.1190551320191</v>
      </c>
      <c r="R12" s="43">
        <f>SUM($Q$12:$Q$12)</f>
        <v>183.1190551320191</v>
      </c>
      <c r="S12" s="43">
        <f>'TR TE'!$S$12*'TR TE'!$S$48</f>
        <v>0</v>
      </c>
      <c r="T12" s="43">
        <f>'TR TE'!$T$12*'TR TE'!$T$48</f>
        <v>0</v>
      </c>
      <c r="U12" s="43">
        <f>'TR TE'!$U$12*'TR TE'!$U$48</f>
        <v>0</v>
      </c>
      <c r="V12" s="43">
        <f>SUM($S$12:$U$12)</f>
        <v>0</v>
      </c>
      <c r="W12" s="43"/>
      <c r="X12" s="43">
        <f>SUM($W$12:$W$12)</f>
        <v>0</v>
      </c>
      <c r="Y12" s="43">
        <f>'TR TE'!$Y$12*'TR TE'!$Y$48</f>
        <v>0</v>
      </c>
      <c r="Z12" s="43">
        <f>SUM($Y$12:$Y$12)</f>
        <v>0</v>
      </c>
      <c r="AA12" s="43">
        <f>SUMIF($L$4:$Z$4,"SUBTOTAL",$L$12:$Z$12)</f>
        <v>199.16251798722391</v>
      </c>
    </row>
    <row r="13" spans="1:27" ht="11.25" customHeight="1" x14ac:dyDescent="0.25">
      <c r="A13" s="141"/>
      <c r="B13" s="141"/>
      <c r="C13" s="141"/>
      <c r="D13" s="46" t="s">
        <v>31</v>
      </c>
      <c r="E13" s="46" t="s">
        <v>25</v>
      </c>
      <c r="F13" s="46" t="s">
        <v>25</v>
      </c>
      <c r="G13" s="45" t="s">
        <v>79</v>
      </c>
      <c r="H13" s="45" t="s">
        <v>73</v>
      </c>
      <c r="I13" s="45">
        <f>'MERCADO TE'!$U$10</f>
        <v>32.835000000000001</v>
      </c>
      <c r="J13" s="16"/>
      <c r="L13" s="43">
        <f>'TR TE'!$L$13*'TR TE'!$L$48</f>
        <v>0</v>
      </c>
      <c r="M13" s="43">
        <f>'TR TE'!$M$13*'TR TE'!$M$48</f>
        <v>16.043462855204801</v>
      </c>
      <c r="N13" s="43">
        <f>'TR TE'!$N$13*'TR TE'!$N$48</f>
        <v>0</v>
      </c>
      <c r="O13" s="43">
        <f>'TR TE'!$O$13*'TR TE'!$O$48</f>
        <v>0</v>
      </c>
      <c r="P13" s="43">
        <f>SUM($L$13:$O$13)</f>
        <v>16.043462855204801</v>
      </c>
      <c r="Q13" s="43">
        <f>'TR TE'!$Q$13*'TR TE'!$Q$48</f>
        <v>183.1190551320191</v>
      </c>
      <c r="R13" s="43">
        <f>SUM($Q$13:$Q$13)</f>
        <v>183.1190551320191</v>
      </c>
      <c r="S13" s="43">
        <f>'TR TE'!$S$13*'TR TE'!$S$48</f>
        <v>0</v>
      </c>
      <c r="T13" s="43">
        <f>'TR TE'!$T$13*'TR TE'!$T$48</f>
        <v>0</v>
      </c>
      <c r="U13" s="43">
        <f>'TR TE'!$U$13*'TR TE'!$U$48</f>
        <v>0</v>
      </c>
      <c r="V13" s="43">
        <f>SUM($S$13:$U$13)</f>
        <v>0</v>
      </c>
      <c r="W13" s="43"/>
      <c r="X13" s="43">
        <f>SUM($W$13:$W$13)</f>
        <v>0</v>
      </c>
      <c r="Y13" s="43">
        <f>'TR TE'!$Y$13*'TR TE'!$Y$48</f>
        <v>0</v>
      </c>
      <c r="Z13" s="43">
        <f>SUM($Y$13:$Y$13)</f>
        <v>0</v>
      </c>
      <c r="AA13" s="43">
        <f>SUMIF($L$4:$Z$4,"SUBTOTAL",$L$13:$Z$13)</f>
        <v>199.16251798722391</v>
      </c>
    </row>
    <row r="14" spans="1:27" ht="11.25" customHeight="1" x14ac:dyDescent="0.25">
      <c r="A14" s="141"/>
      <c r="B14" s="141"/>
      <c r="C14" s="141"/>
      <c r="D14" s="46" t="s">
        <v>32</v>
      </c>
      <c r="E14" s="46" t="s">
        <v>25</v>
      </c>
      <c r="F14" s="46" t="s">
        <v>25</v>
      </c>
      <c r="G14" s="45" t="s">
        <v>79</v>
      </c>
      <c r="H14" s="45" t="s">
        <v>73</v>
      </c>
      <c r="I14" s="45">
        <f>'MERCADO TE'!$U$11</f>
        <v>10.568</v>
      </c>
      <c r="J14" s="16"/>
      <c r="L14" s="43">
        <f>'TR TE'!$L$14*'TR TE'!$L$48</f>
        <v>0</v>
      </c>
      <c r="M14" s="43">
        <f>'TR TE'!$M$14*'TR TE'!$M$48</f>
        <v>16.043462855204801</v>
      </c>
      <c r="N14" s="43">
        <f>'TR TE'!$N$14*'TR TE'!$N$48</f>
        <v>0</v>
      </c>
      <c r="O14" s="43">
        <f>'TR TE'!$O$14*'TR TE'!$O$48</f>
        <v>0</v>
      </c>
      <c r="P14" s="43">
        <f>SUM($L$14:$O$14)</f>
        <v>16.043462855204801</v>
      </c>
      <c r="Q14" s="43">
        <f>'TR TE'!$Q$14*'TR TE'!$Q$48</f>
        <v>183.1190551320191</v>
      </c>
      <c r="R14" s="43">
        <f>SUM($Q$14:$Q$14)</f>
        <v>183.1190551320191</v>
      </c>
      <c r="S14" s="43">
        <f>'TR TE'!$S$14*'TR TE'!$S$48</f>
        <v>0</v>
      </c>
      <c r="T14" s="43">
        <f>'TR TE'!$T$14*'TR TE'!$T$48</f>
        <v>0</v>
      </c>
      <c r="U14" s="43">
        <f>'TR TE'!$U$14*'TR TE'!$U$48</f>
        <v>0</v>
      </c>
      <c r="V14" s="43">
        <f>SUM($S$14:$U$14)</f>
        <v>0</v>
      </c>
      <c r="W14" s="43"/>
      <c r="X14" s="43">
        <f>SUM($W$14:$W$14)</f>
        <v>0</v>
      </c>
      <c r="Y14" s="43">
        <f>'TR TE'!$Y$14*'TR TE'!$Y$48</f>
        <v>0</v>
      </c>
      <c r="Z14" s="43">
        <f>SUM($Y$14:$Y$14)</f>
        <v>0</v>
      </c>
      <c r="AA14" s="43">
        <f>SUMIF($L$4:$Z$4,"SUBTOTAL",$L$14:$Z$14)</f>
        <v>199.16251798722391</v>
      </c>
    </row>
    <row r="15" spans="1:27" ht="11.25" customHeight="1" x14ac:dyDescent="0.25">
      <c r="A15" s="141"/>
      <c r="B15" s="141" t="s">
        <v>88</v>
      </c>
      <c r="C15" s="141" t="s">
        <v>24</v>
      </c>
      <c r="D15" s="46" t="s">
        <v>24</v>
      </c>
      <c r="E15" s="46" t="s">
        <v>25</v>
      </c>
      <c r="F15" s="46" t="s">
        <v>25</v>
      </c>
      <c r="G15" s="45" t="s">
        <v>79</v>
      </c>
      <c r="H15" s="45" t="s">
        <v>73</v>
      </c>
      <c r="I15" s="45">
        <f>'MERCADO TE'!$U$12</f>
        <v>0</v>
      </c>
      <c r="J15" s="16"/>
      <c r="L15" s="43">
        <f>'TR TE'!$L$15*'TR TE'!$L$48</f>
        <v>0</v>
      </c>
      <c r="M15" s="43">
        <f>'TR TE'!$M$15*'TR TE'!$M$48</f>
        <v>16.043462855204801</v>
      </c>
      <c r="N15" s="43">
        <f>'TR TE'!$N$15*'TR TE'!$N$48</f>
        <v>0</v>
      </c>
      <c r="O15" s="43">
        <f>'TR TE'!$O$15*'TR TE'!$O$48</f>
        <v>0</v>
      </c>
      <c r="P15" s="43">
        <f>SUM($L$15:$O$15)</f>
        <v>16.043462855204801</v>
      </c>
      <c r="Q15" s="43">
        <f>'TR TE'!$Q$15*'TR TE'!$Q$48</f>
        <v>183.1190551320191</v>
      </c>
      <c r="R15" s="43">
        <f>SUM($Q$15:$Q$15)</f>
        <v>183.1190551320191</v>
      </c>
      <c r="S15" s="43">
        <f>'TR TE'!$S$15*'TR TE'!$S$48</f>
        <v>0</v>
      </c>
      <c r="T15" s="43">
        <f>'TR TE'!$T$15*'TR TE'!$T$48</f>
        <v>0</v>
      </c>
      <c r="U15" s="43">
        <f>'TR TE'!$U$15*'TR TE'!$U$48</f>
        <v>0</v>
      </c>
      <c r="V15" s="43">
        <f>SUM($S$15:$U$15)</f>
        <v>0</v>
      </c>
      <c r="W15" s="43"/>
      <c r="X15" s="43">
        <f>SUM($W$15:$W$15)</f>
        <v>0</v>
      </c>
      <c r="Y15" s="43">
        <f>'TR TE'!$Y$15*'TR TE'!$Y$48</f>
        <v>0</v>
      </c>
      <c r="Z15" s="43">
        <f>SUM($Y$15:$Y$15)</f>
        <v>0</v>
      </c>
      <c r="AA15" s="43">
        <f>SUMIF($L$4:$Z$4,"SUBTOTAL",$L$15:$Z$15)</f>
        <v>199.16251798722391</v>
      </c>
    </row>
    <row r="16" spans="1:27" ht="11.25" customHeight="1" x14ac:dyDescent="0.25">
      <c r="A16" s="141"/>
      <c r="B16" s="141"/>
      <c r="C16" s="141"/>
      <c r="D16" s="46" t="s">
        <v>29</v>
      </c>
      <c r="E16" s="46" t="s">
        <v>25</v>
      </c>
      <c r="F16" s="46" t="s">
        <v>25</v>
      </c>
      <c r="G16" s="45" t="s">
        <v>79</v>
      </c>
      <c r="H16" s="45" t="s">
        <v>73</v>
      </c>
      <c r="I16" s="45">
        <f>'MERCADO TE'!$U$13</f>
        <v>0</v>
      </c>
      <c r="J16" s="16"/>
      <c r="L16" s="43">
        <f>'TR TE'!$L$16*'TR TE'!$L$48</f>
        <v>0</v>
      </c>
      <c r="M16" s="43">
        <f>'TR TE'!$M$16*'TR TE'!$M$48</f>
        <v>16.043462855204801</v>
      </c>
      <c r="N16" s="43">
        <f>'TR TE'!$N$16*'TR TE'!$N$48</f>
        <v>0</v>
      </c>
      <c r="O16" s="43">
        <f>'TR TE'!$O$16*'TR TE'!$O$48</f>
        <v>0</v>
      </c>
      <c r="P16" s="43">
        <f>SUM($L$16:$O$16)</f>
        <v>16.043462855204801</v>
      </c>
      <c r="Q16" s="43">
        <f>'TR TE'!$Q$16*'TR TE'!$Q$48</f>
        <v>183.1190551320191</v>
      </c>
      <c r="R16" s="43">
        <f>SUM($Q$16:$Q$16)</f>
        <v>183.1190551320191</v>
      </c>
      <c r="S16" s="43">
        <f>'TR TE'!$S$16*'TR TE'!$S$48</f>
        <v>0</v>
      </c>
      <c r="T16" s="43">
        <f>'TR TE'!$T$16*'TR TE'!$T$48</f>
        <v>0</v>
      </c>
      <c r="U16" s="43">
        <f>'TR TE'!$U$16*'TR TE'!$U$48</f>
        <v>0</v>
      </c>
      <c r="V16" s="43">
        <f>SUM($S$16:$U$16)</f>
        <v>0</v>
      </c>
      <c r="W16" s="43"/>
      <c r="X16" s="43">
        <f>SUM($W$16:$W$16)</f>
        <v>0</v>
      </c>
      <c r="Y16" s="43">
        <f>'TR TE'!$Y$16*'TR TE'!$Y$48</f>
        <v>0</v>
      </c>
      <c r="Z16" s="43">
        <f>SUM($Y$16:$Y$16)</f>
        <v>0</v>
      </c>
      <c r="AA16" s="43">
        <f>SUMIF($L$4:$Z$4,"SUBTOTAL",$L$16:$Z$16)</f>
        <v>199.16251798722391</v>
      </c>
    </row>
    <row r="17" spans="1:27" ht="11.25" customHeight="1" x14ac:dyDescent="0.25">
      <c r="A17" s="141"/>
      <c r="B17" s="141"/>
      <c r="C17" s="141"/>
      <c r="D17" s="46" t="s">
        <v>30</v>
      </c>
      <c r="E17" s="46" t="s">
        <v>25</v>
      </c>
      <c r="F17" s="46" t="s">
        <v>25</v>
      </c>
      <c r="G17" s="45" t="s">
        <v>79</v>
      </c>
      <c r="H17" s="45" t="s">
        <v>73</v>
      </c>
      <c r="I17" s="45">
        <f>'MERCADO TE'!$U$14</f>
        <v>0</v>
      </c>
      <c r="J17" s="16"/>
      <c r="L17" s="43">
        <f>'TR TE'!$L$17*'TR TE'!$L$48</f>
        <v>0</v>
      </c>
      <c r="M17" s="43">
        <f>'TR TE'!$M$17*'TR TE'!$M$48</f>
        <v>16.043462855204801</v>
      </c>
      <c r="N17" s="43">
        <f>'TR TE'!$N$17*'TR TE'!$N$48</f>
        <v>0</v>
      </c>
      <c r="O17" s="43">
        <f>'TR TE'!$O$17*'TR TE'!$O$48</f>
        <v>0</v>
      </c>
      <c r="P17" s="43">
        <f>SUM($L$17:$O$17)</f>
        <v>16.043462855204801</v>
      </c>
      <c r="Q17" s="43">
        <f>'TR TE'!$Q$17*'TR TE'!$Q$48</f>
        <v>183.1190551320191</v>
      </c>
      <c r="R17" s="43">
        <f>SUM($Q$17:$Q$17)</f>
        <v>183.1190551320191</v>
      </c>
      <c r="S17" s="43">
        <f>'TR TE'!$S$17*'TR TE'!$S$48</f>
        <v>0</v>
      </c>
      <c r="T17" s="43">
        <f>'TR TE'!$T$17*'TR TE'!$T$48</f>
        <v>0</v>
      </c>
      <c r="U17" s="43">
        <f>'TR TE'!$U$17*'TR TE'!$U$48</f>
        <v>0</v>
      </c>
      <c r="V17" s="43">
        <f>SUM($S$17:$U$17)</f>
        <v>0</v>
      </c>
      <c r="W17" s="43"/>
      <c r="X17" s="43">
        <f>SUM($W$17:$W$17)</f>
        <v>0</v>
      </c>
      <c r="Y17" s="43">
        <f>'TR TE'!$Y$17*'TR TE'!$Y$48</f>
        <v>0</v>
      </c>
      <c r="Z17" s="43">
        <f>SUM($Y$17:$Y$17)</f>
        <v>0</v>
      </c>
      <c r="AA17" s="43">
        <f>SUMIF($L$4:$Z$4,"SUBTOTAL",$L$17:$Z$17)</f>
        <v>199.16251798722391</v>
      </c>
    </row>
    <row r="18" spans="1:27" ht="11.25" customHeight="1" x14ac:dyDescent="0.25">
      <c r="A18" s="141"/>
      <c r="B18" s="141"/>
      <c r="C18" s="141"/>
      <c r="D18" s="46" t="s">
        <v>31</v>
      </c>
      <c r="E18" s="46" t="s">
        <v>25</v>
      </c>
      <c r="F18" s="46" t="s">
        <v>25</v>
      </c>
      <c r="G18" s="45" t="s">
        <v>79</v>
      </c>
      <c r="H18" s="45" t="s">
        <v>73</v>
      </c>
      <c r="I18" s="45">
        <f>'MERCADO TE'!$U$15</f>
        <v>0</v>
      </c>
      <c r="J18" s="16"/>
      <c r="L18" s="43">
        <f>'TR TE'!$L$18*'TR TE'!$L$48</f>
        <v>0</v>
      </c>
      <c r="M18" s="43">
        <f>'TR TE'!$M$18*'TR TE'!$M$48</f>
        <v>16.043462855204801</v>
      </c>
      <c r="N18" s="43">
        <f>'TR TE'!$N$18*'TR TE'!$N$48</f>
        <v>0</v>
      </c>
      <c r="O18" s="43">
        <f>'TR TE'!$O$18*'TR TE'!$O$48</f>
        <v>0</v>
      </c>
      <c r="P18" s="43">
        <f>SUM($L$18:$O$18)</f>
        <v>16.043462855204801</v>
      </c>
      <c r="Q18" s="43">
        <f>'TR TE'!$Q$18*'TR TE'!$Q$48</f>
        <v>183.1190551320191</v>
      </c>
      <c r="R18" s="43">
        <f>SUM($Q$18:$Q$18)</f>
        <v>183.1190551320191</v>
      </c>
      <c r="S18" s="43">
        <f>'TR TE'!$S$18*'TR TE'!$S$48</f>
        <v>0</v>
      </c>
      <c r="T18" s="43">
        <f>'TR TE'!$T$18*'TR TE'!$T$48</f>
        <v>0</v>
      </c>
      <c r="U18" s="43">
        <f>'TR TE'!$U$18*'TR TE'!$U$48</f>
        <v>0</v>
      </c>
      <c r="V18" s="43">
        <f>SUM($S$18:$U$18)</f>
        <v>0</v>
      </c>
      <c r="W18" s="43"/>
      <c r="X18" s="43">
        <f>SUM($W$18:$W$18)</f>
        <v>0</v>
      </c>
      <c r="Y18" s="43">
        <f>'TR TE'!$Y$18*'TR TE'!$Y$48</f>
        <v>0</v>
      </c>
      <c r="Z18" s="43">
        <f>SUM($Y$18:$Y$18)</f>
        <v>0</v>
      </c>
      <c r="AA18" s="43">
        <f>SUMIF($L$4:$Z$4,"SUBTOTAL",$L$18:$Z$18)</f>
        <v>199.16251798722391</v>
      </c>
    </row>
    <row r="19" spans="1:27" ht="11.25" customHeight="1" x14ac:dyDescent="0.25">
      <c r="A19" s="141"/>
      <c r="B19" s="141"/>
      <c r="C19" s="141"/>
      <c r="D19" s="46" t="s">
        <v>32</v>
      </c>
      <c r="E19" s="46" t="s">
        <v>25</v>
      </c>
      <c r="F19" s="46" t="s">
        <v>25</v>
      </c>
      <c r="G19" s="45" t="s">
        <v>79</v>
      </c>
      <c r="H19" s="45" t="s">
        <v>73</v>
      </c>
      <c r="I19" s="45">
        <f>'MERCADO TE'!$U$16</f>
        <v>0</v>
      </c>
      <c r="J19" s="16"/>
      <c r="L19" s="43">
        <f>'TR TE'!$L$19*'TR TE'!$L$48</f>
        <v>0</v>
      </c>
      <c r="M19" s="43">
        <f>'TR TE'!$M$19*'TR TE'!$M$48</f>
        <v>16.043462855204801</v>
      </c>
      <c r="N19" s="43">
        <f>'TR TE'!$N$19*'TR TE'!$N$48</f>
        <v>0</v>
      </c>
      <c r="O19" s="43">
        <f>'TR TE'!$O$19*'TR TE'!$O$48</f>
        <v>0</v>
      </c>
      <c r="P19" s="43">
        <f>SUM($L$19:$O$19)</f>
        <v>16.043462855204801</v>
      </c>
      <c r="Q19" s="43">
        <f>'TR TE'!$Q$19*'TR TE'!$Q$48</f>
        <v>183.1190551320191</v>
      </c>
      <c r="R19" s="43">
        <f>SUM($Q$19:$Q$19)</f>
        <v>183.1190551320191</v>
      </c>
      <c r="S19" s="43">
        <f>'TR TE'!$S$19*'TR TE'!$S$48</f>
        <v>0</v>
      </c>
      <c r="T19" s="43">
        <f>'TR TE'!$T$19*'TR TE'!$T$48</f>
        <v>0</v>
      </c>
      <c r="U19" s="43">
        <f>'TR TE'!$U$19*'TR TE'!$U$48</f>
        <v>0</v>
      </c>
      <c r="V19" s="43">
        <f>SUM($S$19:$U$19)</f>
        <v>0</v>
      </c>
      <c r="W19" s="43"/>
      <c r="X19" s="43">
        <f>SUM($W$19:$W$19)</f>
        <v>0</v>
      </c>
      <c r="Y19" s="43">
        <f>'TR TE'!$Y$19*'TR TE'!$Y$48</f>
        <v>0</v>
      </c>
      <c r="Z19" s="43">
        <f>SUM($Y$19:$Y$19)</f>
        <v>0</v>
      </c>
      <c r="AA19" s="43">
        <f>SUMIF($L$4:$Z$4,"SUBTOTAL",$L$19:$Z$19)</f>
        <v>199.16251798722391</v>
      </c>
    </row>
    <row r="20" spans="1:27" ht="11.25" customHeight="1" x14ac:dyDescent="0.25">
      <c r="A20" s="141" t="s">
        <v>40</v>
      </c>
      <c r="B20" s="141" t="s">
        <v>72</v>
      </c>
      <c r="C20" s="141" t="s">
        <v>41</v>
      </c>
      <c r="D20" s="141" t="s">
        <v>25</v>
      </c>
      <c r="E20" s="141" t="s">
        <v>25</v>
      </c>
      <c r="F20" s="141" t="s">
        <v>25</v>
      </c>
      <c r="G20" s="45" t="s">
        <v>74</v>
      </c>
      <c r="H20" s="45" t="s">
        <v>73</v>
      </c>
      <c r="I20" s="45">
        <f>'MERCADO TE'!$U$17</f>
        <v>0</v>
      </c>
      <c r="J20" s="16"/>
      <c r="L20" s="43">
        <f>'TR TE'!$L$20*'TR TE'!$L$48</f>
        <v>0</v>
      </c>
      <c r="M20" s="43">
        <f>'TR TE'!$M$20*'TR TE'!$M$48</f>
        <v>16.043462855204801</v>
      </c>
      <c r="N20" s="43">
        <f>'TR TE'!$N$20*'TR TE'!$N$48</f>
        <v>0</v>
      </c>
      <c r="O20" s="43">
        <f>'TR TE'!$O$20*'TR TE'!$O$48</f>
        <v>0</v>
      </c>
      <c r="P20" s="43">
        <f>SUM($L$20:$O$20)</f>
        <v>16.043462855204801</v>
      </c>
      <c r="Q20" s="43">
        <f>'TR TE'!$Q$20*'TR TE'!$Q$48</f>
        <v>183.1190551320191</v>
      </c>
      <c r="R20" s="43">
        <f>SUM($Q$20:$Q$20)</f>
        <v>183.1190551320191</v>
      </c>
      <c r="S20" s="43">
        <f>'TR TE'!$S$20*'TR TE'!$S$48</f>
        <v>0</v>
      </c>
      <c r="T20" s="43">
        <f>'TR TE'!$T$20*'TR TE'!$T$48</f>
        <v>0</v>
      </c>
      <c r="U20" s="43">
        <f>'TR TE'!$U$20*'TR TE'!$U$48</f>
        <v>0</v>
      </c>
      <c r="V20" s="43">
        <f>SUM($S$20:$U$20)</f>
        <v>0</v>
      </c>
      <c r="W20" s="43"/>
      <c r="X20" s="43">
        <f>SUM($W$20:$W$20)</f>
        <v>0</v>
      </c>
      <c r="Y20" s="43">
        <f>'TR TE'!$Y$20*'TR TE'!$Y$48</f>
        <v>0</v>
      </c>
      <c r="Z20" s="43">
        <f>SUM($Y$20:$Y$20)</f>
        <v>0</v>
      </c>
      <c r="AA20" s="43">
        <f>SUMIF($L$4:$Z$4,"SUBTOTAL",$L$20:$Z$20)</f>
        <v>199.16251798722391</v>
      </c>
    </row>
    <row r="21" spans="1:27" ht="11.25" customHeight="1" x14ac:dyDescent="0.25">
      <c r="A21" s="141"/>
      <c r="B21" s="141"/>
      <c r="C21" s="141"/>
      <c r="D21" s="141"/>
      <c r="E21" s="141"/>
      <c r="F21" s="141"/>
      <c r="G21" s="45" t="s">
        <v>85</v>
      </c>
      <c r="H21" s="45" t="s">
        <v>73</v>
      </c>
      <c r="I21" s="45">
        <f>'MERCADO TE'!$U$18</f>
        <v>0</v>
      </c>
      <c r="J21" s="16"/>
      <c r="L21" s="43">
        <f>'TR TE'!$L$21*'TR TE'!$L$48</f>
        <v>0</v>
      </c>
      <c r="M21" s="43">
        <f>'TR TE'!$M$21*'TR TE'!$M$48</f>
        <v>16.043462855204801</v>
      </c>
      <c r="N21" s="43">
        <f>'TR TE'!$N$21*'TR TE'!$N$48</f>
        <v>0</v>
      </c>
      <c r="O21" s="43">
        <f>'TR TE'!$O$21*'TR TE'!$O$48</f>
        <v>0</v>
      </c>
      <c r="P21" s="43">
        <f>SUM($L$21:$O$21)</f>
        <v>16.043462855204801</v>
      </c>
      <c r="Q21" s="43">
        <f>'TR TE'!$Q$21*'TR TE'!$Q$48</f>
        <v>183.1190551320191</v>
      </c>
      <c r="R21" s="43">
        <f>SUM($Q$21:$Q$21)</f>
        <v>183.1190551320191</v>
      </c>
      <c r="S21" s="43">
        <f>'TR TE'!$S$21*'TR TE'!$S$48</f>
        <v>0</v>
      </c>
      <c r="T21" s="43">
        <f>'TR TE'!$T$21*'TR TE'!$T$48</f>
        <v>0</v>
      </c>
      <c r="U21" s="43">
        <f>'TR TE'!$U$21*'TR TE'!$U$48</f>
        <v>0</v>
      </c>
      <c r="V21" s="43">
        <f>SUM($S$21:$U$21)</f>
        <v>0</v>
      </c>
      <c r="W21" s="43"/>
      <c r="X21" s="43">
        <f>SUM($W$21:$W$21)</f>
        <v>0</v>
      </c>
      <c r="Y21" s="43">
        <f>'TR TE'!$Y$21*'TR TE'!$Y$48</f>
        <v>0</v>
      </c>
      <c r="Z21" s="43">
        <f>SUM($Y$21:$Y$21)</f>
        <v>0</v>
      </c>
      <c r="AA21" s="43">
        <f>SUMIF($L$4:$Z$4,"SUBTOTAL",$L$21:$Z$21)</f>
        <v>199.16251798722391</v>
      </c>
    </row>
    <row r="22" spans="1:27" ht="11.25" customHeight="1" x14ac:dyDescent="0.25">
      <c r="A22" s="141"/>
      <c r="B22" s="141"/>
      <c r="C22" s="141"/>
      <c r="D22" s="141"/>
      <c r="E22" s="141"/>
      <c r="F22" s="141"/>
      <c r="G22" s="45" t="s">
        <v>75</v>
      </c>
      <c r="H22" s="45" t="s">
        <v>73</v>
      </c>
      <c r="I22" s="45">
        <f>'MERCADO TE'!$U$19</f>
        <v>0</v>
      </c>
      <c r="J22" s="16"/>
      <c r="L22" s="43">
        <f>'TR TE'!$L$22*'TR TE'!$L$48</f>
        <v>0</v>
      </c>
      <c r="M22" s="43">
        <f>'TR TE'!$M$22*'TR TE'!$M$48</f>
        <v>16.043462855204801</v>
      </c>
      <c r="N22" s="43">
        <f>'TR TE'!$N$22*'TR TE'!$N$48</f>
        <v>0</v>
      </c>
      <c r="O22" s="43">
        <f>'TR TE'!$O$22*'TR TE'!$O$48</f>
        <v>0</v>
      </c>
      <c r="P22" s="43">
        <f>SUM($L$22:$O$22)</f>
        <v>16.043462855204801</v>
      </c>
      <c r="Q22" s="43">
        <f>'TR TE'!$Q$22*'TR TE'!$Q$48</f>
        <v>183.1190551320191</v>
      </c>
      <c r="R22" s="43">
        <f>SUM($Q$22:$Q$22)</f>
        <v>183.1190551320191</v>
      </c>
      <c r="S22" s="43">
        <f>'TR TE'!$S$22*'TR TE'!$S$48</f>
        <v>0</v>
      </c>
      <c r="T22" s="43">
        <f>'TR TE'!$T$22*'TR TE'!$T$48</f>
        <v>0</v>
      </c>
      <c r="U22" s="43">
        <f>'TR TE'!$U$22*'TR TE'!$U$48</f>
        <v>0</v>
      </c>
      <c r="V22" s="43">
        <f>SUM($S$22:$U$22)</f>
        <v>0</v>
      </c>
      <c r="W22" s="43"/>
      <c r="X22" s="43">
        <f>SUM($W$22:$W$22)</f>
        <v>0</v>
      </c>
      <c r="Y22" s="43">
        <f>'TR TE'!$Y$22*'TR TE'!$Y$48</f>
        <v>0</v>
      </c>
      <c r="Z22" s="43">
        <f>SUM($Y$22:$Y$22)</f>
        <v>0</v>
      </c>
      <c r="AA22" s="43">
        <f>SUMIF($L$4:$Z$4,"SUBTOTAL",$L$22:$Z$22)</f>
        <v>199.16251798722391</v>
      </c>
    </row>
    <row r="23" spans="1:27" ht="11.25" customHeight="1" x14ac:dyDescent="0.25">
      <c r="A23" s="141"/>
      <c r="B23" s="46" t="s">
        <v>86</v>
      </c>
      <c r="C23" s="46" t="s">
        <v>41</v>
      </c>
      <c r="D23" s="46" t="s">
        <v>25</v>
      </c>
      <c r="E23" s="46" t="s">
        <v>25</v>
      </c>
      <c r="F23" s="46" t="s">
        <v>25</v>
      </c>
      <c r="G23" s="45" t="s">
        <v>79</v>
      </c>
      <c r="H23" s="45" t="s">
        <v>73</v>
      </c>
      <c r="I23" s="45">
        <f>'MERCADO TE'!$U$20</f>
        <v>55907.260999999999</v>
      </c>
      <c r="J23" s="16"/>
      <c r="L23" s="43">
        <f>'TR TE'!$L$23*'TR TE'!$L$48</f>
        <v>0</v>
      </c>
      <c r="M23" s="43">
        <f>'TR TE'!$M$23*'TR TE'!$M$48</f>
        <v>16.043462855204801</v>
      </c>
      <c r="N23" s="43">
        <f>'TR TE'!$N$23*'TR TE'!$N$48</f>
        <v>0</v>
      </c>
      <c r="O23" s="43">
        <f>'TR TE'!$O$23*'TR TE'!$O$48</f>
        <v>0</v>
      </c>
      <c r="P23" s="43">
        <f>SUM($L$23:$O$23)</f>
        <v>16.043462855204801</v>
      </c>
      <c r="Q23" s="43">
        <f>'TR TE'!$Q$23*'TR TE'!$Q$48</f>
        <v>183.1190551320191</v>
      </c>
      <c r="R23" s="43">
        <f>SUM($Q$23:$Q$23)</f>
        <v>183.1190551320191</v>
      </c>
      <c r="S23" s="43">
        <f>'TR TE'!$S$23*'TR TE'!$S$48</f>
        <v>0</v>
      </c>
      <c r="T23" s="43">
        <f>'TR TE'!$T$23*'TR TE'!$T$48</f>
        <v>0</v>
      </c>
      <c r="U23" s="43">
        <f>'TR TE'!$U$23*'TR TE'!$U$48</f>
        <v>0</v>
      </c>
      <c r="V23" s="43">
        <f>SUM($S$23:$U$23)</f>
        <v>0</v>
      </c>
      <c r="W23" s="43"/>
      <c r="X23" s="43">
        <f>SUM($W$23:$W$23)</f>
        <v>0</v>
      </c>
      <c r="Y23" s="43">
        <f>'TR TE'!$Y$23*'TR TE'!$Y$48</f>
        <v>0</v>
      </c>
      <c r="Z23" s="43">
        <f>SUM($Y$23:$Y$23)</f>
        <v>0</v>
      </c>
      <c r="AA23" s="43">
        <f>SUMIF($L$4:$Z$4,"SUBTOTAL",$L$23:$Z$23)</f>
        <v>199.16251798722391</v>
      </c>
    </row>
    <row r="24" spans="1:27" ht="11.25" customHeight="1" x14ac:dyDescent="0.25">
      <c r="A24" s="141"/>
      <c r="B24" s="141" t="s">
        <v>72</v>
      </c>
      <c r="C24" s="141" t="s">
        <v>41</v>
      </c>
      <c r="D24" s="141" t="s">
        <v>90</v>
      </c>
      <c r="E24" s="141" t="s">
        <v>25</v>
      </c>
      <c r="F24" s="141" t="s">
        <v>25</v>
      </c>
      <c r="G24" s="45" t="s">
        <v>74</v>
      </c>
      <c r="H24" s="45" t="s">
        <v>73</v>
      </c>
      <c r="I24" s="45">
        <f>'MERCADO TE'!$U$21</f>
        <v>0</v>
      </c>
      <c r="J24" s="16"/>
      <c r="L24" s="43">
        <f>'TR TE'!$L$24*'TR TE'!$L$48</f>
        <v>0</v>
      </c>
      <c r="M24" s="43">
        <f>'TR TE'!$M$24*'TR TE'!$M$48</f>
        <v>16.043462855204801</v>
      </c>
      <c r="N24" s="43">
        <f>'TR TE'!$N$24*'TR TE'!$N$48</f>
        <v>0</v>
      </c>
      <c r="O24" s="43">
        <f>'TR TE'!$O$24*'TR TE'!$O$48</f>
        <v>0</v>
      </c>
      <c r="P24" s="43">
        <f>SUM($L$24:$O$24)</f>
        <v>16.043462855204801</v>
      </c>
      <c r="Q24" s="43">
        <f>'TR TE'!$Q$24*'TR TE'!$Q$48</f>
        <v>183.1190551320191</v>
      </c>
      <c r="R24" s="43">
        <f>SUM($Q$24:$Q$24)</f>
        <v>183.1190551320191</v>
      </c>
      <c r="S24" s="43">
        <f>'TR TE'!$S$24*'TR TE'!$S$48</f>
        <v>0</v>
      </c>
      <c r="T24" s="43">
        <f>'TR TE'!$T$24*'TR TE'!$T$48</f>
        <v>0</v>
      </c>
      <c r="U24" s="43">
        <f>'TR TE'!$U$24*'TR TE'!$U$48</f>
        <v>0</v>
      </c>
      <c r="V24" s="43">
        <f>SUM($S$24:$U$24)</f>
        <v>0</v>
      </c>
      <c r="W24" s="43"/>
      <c r="X24" s="43">
        <f>SUM($W$24:$W$24)</f>
        <v>0</v>
      </c>
      <c r="Y24" s="43">
        <f>'TR TE'!$Y$24*'TR TE'!$Y$48</f>
        <v>0</v>
      </c>
      <c r="Z24" s="43">
        <f>SUM($Y$24:$Y$24)</f>
        <v>0</v>
      </c>
      <c r="AA24" s="43">
        <f>SUMIF($L$4:$Z$4,"SUBTOTAL",$L$24:$Z$24)</f>
        <v>199.16251798722391</v>
      </c>
    </row>
    <row r="25" spans="1:27" ht="11.25" customHeight="1" x14ac:dyDescent="0.25">
      <c r="A25" s="141"/>
      <c r="B25" s="141"/>
      <c r="C25" s="141"/>
      <c r="D25" s="141"/>
      <c r="E25" s="141"/>
      <c r="F25" s="141"/>
      <c r="G25" s="45" t="s">
        <v>85</v>
      </c>
      <c r="H25" s="45" t="s">
        <v>73</v>
      </c>
      <c r="I25" s="45">
        <f>'MERCADO TE'!$U$22</f>
        <v>0</v>
      </c>
      <c r="J25" s="16"/>
      <c r="L25" s="43">
        <f>'TR TE'!$L$25*'TR TE'!$L$48</f>
        <v>0</v>
      </c>
      <c r="M25" s="43">
        <f>'TR TE'!$M$25*'TR TE'!$M$48</f>
        <v>16.043462855204801</v>
      </c>
      <c r="N25" s="43">
        <f>'TR TE'!$N$25*'TR TE'!$N$48</f>
        <v>0</v>
      </c>
      <c r="O25" s="43">
        <f>'TR TE'!$O$25*'TR TE'!$O$48</f>
        <v>0</v>
      </c>
      <c r="P25" s="43">
        <f>SUM($L$25:$O$25)</f>
        <v>16.043462855204801</v>
      </c>
      <c r="Q25" s="43">
        <f>'TR TE'!$Q$25*'TR TE'!$Q$48</f>
        <v>183.1190551320191</v>
      </c>
      <c r="R25" s="43">
        <f>SUM($Q$25:$Q$25)</f>
        <v>183.1190551320191</v>
      </c>
      <c r="S25" s="43">
        <f>'TR TE'!$S$25*'TR TE'!$S$48</f>
        <v>0</v>
      </c>
      <c r="T25" s="43">
        <f>'TR TE'!$T$25*'TR TE'!$T$48</f>
        <v>0</v>
      </c>
      <c r="U25" s="43">
        <f>'TR TE'!$U$25*'TR TE'!$U$48</f>
        <v>0</v>
      </c>
      <c r="V25" s="43">
        <f>SUM($S$25:$U$25)</f>
        <v>0</v>
      </c>
      <c r="W25" s="43"/>
      <c r="X25" s="43">
        <f>SUM($W$25:$W$25)</f>
        <v>0</v>
      </c>
      <c r="Y25" s="43">
        <f>'TR TE'!$Y$25*'TR TE'!$Y$48</f>
        <v>0</v>
      </c>
      <c r="Z25" s="43">
        <f>SUM($Y$25:$Y$25)</f>
        <v>0</v>
      </c>
      <c r="AA25" s="43">
        <f>SUMIF($L$4:$Z$4,"SUBTOTAL",$L$25:$Z$25)</f>
        <v>199.16251798722391</v>
      </c>
    </row>
    <row r="26" spans="1:27" ht="11.25" customHeight="1" x14ac:dyDescent="0.25">
      <c r="A26" s="141"/>
      <c r="B26" s="141"/>
      <c r="C26" s="141"/>
      <c r="D26" s="141"/>
      <c r="E26" s="141"/>
      <c r="F26" s="141"/>
      <c r="G26" s="45" t="s">
        <v>75</v>
      </c>
      <c r="H26" s="45" t="s">
        <v>73</v>
      </c>
      <c r="I26" s="45">
        <f>'MERCADO TE'!$U$23</f>
        <v>0</v>
      </c>
      <c r="J26" s="16"/>
      <c r="L26" s="43">
        <f>'TR TE'!$L$26*'TR TE'!$L$48</f>
        <v>0</v>
      </c>
      <c r="M26" s="43">
        <f>'TR TE'!$M$26*'TR TE'!$M$48</f>
        <v>16.043462855204801</v>
      </c>
      <c r="N26" s="43">
        <f>'TR TE'!$N$26*'TR TE'!$N$48</f>
        <v>0</v>
      </c>
      <c r="O26" s="43">
        <f>'TR TE'!$O$26*'TR TE'!$O$48</f>
        <v>0</v>
      </c>
      <c r="P26" s="43">
        <f>SUM($L$26:$O$26)</f>
        <v>16.043462855204801</v>
      </c>
      <c r="Q26" s="43">
        <f>'TR TE'!$Q$26*'TR TE'!$Q$48</f>
        <v>183.1190551320191</v>
      </c>
      <c r="R26" s="43">
        <f>SUM($Q$26:$Q$26)</f>
        <v>183.1190551320191</v>
      </c>
      <c r="S26" s="43">
        <f>'TR TE'!$S$26*'TR TE'!$S$48</f>
        <v>0</v>
      </c>
      <c r="T26" s="43">
        <f>'TR TE'!$T$26*'TR TE'!$T$48</f>
        <v>0</v>
      </c>
      <c r="U26" s="43">
        <f>'TR TE'!$U$26*'TR TE'!$U$48</f>
        <v>0</v>
      </c>
      <c r="V26" s="43">
        <f>SUM($S$26:$U$26)</f>
        <v>0</v>
      </c>
      <c r="W26" s="43"/>
      <c r="X26" s="43">
        <f>SUM($W$26:$W$26)</f>
        <v>0</v>
      </c>
      <c r="Y26" s="43">
        <f>'TR TE'!$Y$26*'TR TE'!$Y$48</f>
        <v>0</v>
      </c>
      <c r="Z26" s="43">
        <f>SUM($Y$26:$Y$26)</f>
        <v>0</v>
      </c>
      <c r="AA26" s="43">
        <f>SUMIF($L$4:$Z$4,"SUBTOTAL",$L$26:$Z$26)</f>
        <v>199.16251798722391</v>
      </c>
    </row>
    <row r="27" spans="1:27" ht="11.25" customHeight="1" x14ac:dyDescent="0.25">
      <c r="A27" s="141"/>
      <c r="B27" s="46" t="s">
        <v>86</v>
      </c>
      <c r="C27" s="46" t="s">
        <v>41</v>
      </c>
      <c r="D27" s="46" t="s">
        <v>90</v>
      </c>
      <c r="E27" s="46" t="s">
        <v>25</v>
      </c>
      <c r="F27" s="46" t="s">
        <v>25</v>
      </c>
      <c r="G27" s="45" t="s">
        <v>79</v>
      </c>
      <c r="H27" s="45" t="s">
        <v>73</v>
      </c>
      <c r="I27" s="45">
        <f>'MERCADO TE'!$U$24</f>
        <v>0</v>
      </c>
      <c r="J27" s="16"/>
      <c r="L27" s="43">
        <f>'TR TE'!$L$27*'TR TE'!$L$48</f>
        <v>0</v>
      </c>
      <c r="M27" s="43">
        <f>'TR TE'!$M$27*'TR TE'!$M$48</f>
        <v>16.043462855204801</v>
      </c>
      <c r="N27" s="43">
        <f>'TR TE'!$N$27*'TR TE'!$N$48</f>
        <v>0</v>
      </c>
      <c r="O27" s="43">
        <f>'TR TE'!$O$27*'TR TE'!$O$48</f>
        <v>0</v>
      </c>
      <c r="P27" s="43">
        <f>SUM($L$27:$O$27)</f>
        <v>16.043462855204801</v>
      </c>
      <c r="Q27" s="43">
        <f>'TR TE'!$Q$27*'TR TE'!$Q$48</f>
        <v>183.1190551320191</v>
      </c>
      <c r="R27" s="43">
        <f>SUM($Q$27:$Q$27)</f>
        <v>183.1190551320191</v>
      </c>
      <c r="S27" s="43">
        <f>'TR TE'!$S$27*'TR TE'!$S$48</f>
        <v>0</v>
      </c>
      <c r="T27" s="43">
        <f>'TR TE'!$T$27*'TR TE'!$T$48</f>
        <v>0</v>
      </c>
      <c r="U27" s="43">
        <f>'TR TE'!$U$27*'TR TE'!$U$48</f>
        <v>0</v>
      </c>
      <c r="V27" s="43">
        <f>SUM($S$27:$U$27)</f>
        <v>0</v>
      </c>
      <c r="W27" s="43"/>
      <c r="X27" s="43">
        <f>SUM($W$27:$W$27)</f>
        <v>0</v>
      </c>
      <c r="Y27" s="43">
        <f>'TR TE'!$Y$27*'TR TE'!$Y$48</f>
        <v>0</v>
      </c>
      <c r="Z27" s="43">
        <f>SUM($Y$27:$Y$27)</f>
        <v>0</v>
      </c>
      <c r="AA27" s="43">
        <f>SUMIF($L$4:$Z$4,"SUBTOTAL",$L$27:$Z$27)</f>
        <v>199.16251798722391</v>
      </c>
    </row>
    <row r="28" spans="1:27" ht="11.25" customHeight="1" x14ac:dyDescent="0.25">
      <c r="A28" s="141"/>
      <c r="B28" s="141" t="s">
        <v>72</v>
      </c>
      <c r="C28" s="141" t="s">
        <v>41</v>
      </c>
      <c r="D28" s="141" t="s">
        <v>91</v>
      </c>
      <c r="E28" s="141" t="s">
        <v>25</v>
      </c>
      <c r="F28" s="141" t="s">
        <v>25</v>
      </c>
      <c r="G28" s="45" t="s">
        <v>74</v>
      </c>
      <c r="H28" s="45" t="s">
        <v>73</v>
      </c>
      <c r="I28" s="45">
        <f>'MERCADO TE'!$U$25</f>
        <v>0</v>
      </c>
      <c r="J28" s="16"/>
      <c r="L28" s="43">
        <f>'TR TE'!$L$28*'TR TE'!$L$48</f>
        <v>0</v>
      </c>
      <c r="M28" s="43">
        <f>'TR TE'!$M$28*'TR TE'!$M$48</f>
        <v>16.043462855204801</v>
      </c>
      <c r="N28" s="43">
        <f>'TR TE'!$N$28*'TR TE'!$N$48</f>
        <v>0</v>
      </c>
      <c r="O28" s="43">
        <f>'TR TE'!$O$28*'TR TE'!$O$48</f>
        <v>0</v>
      </c>
      <c r="P28" s="43">
        <f>SUM($L$28:$O$28)</f>
        <v>16.043462855204801</v>
      </c>
      <c r="Q28" s="43">
        <f>'TR TE'!$Q$28*'TR TE'!$Q$48</f>
        <v>183.1190551320191</v>
      </c>
      <c r="R28" s="43">
        <f>SUM($Q$28:$Q$28)</f>
        <v>183.1190551320191</v>
      </c>
      <c r="S28" s="43">
        <f>'TR TE'!$S$28*'TR TE'!$S$48</f>
        <v>0</v>
      </c>
      <c r="T28" s="43">
        <f>'TR TE'!$T$28*'TR TE'!$T$48</f>
        <v>0</v>
      </c>
      <c r="U28" s="43">
        <f>'TR TE'!$U$28*'TR TE'!$U$48</f>
        <v>0</v>
      </c>
      <c r="V28" s="43">
        <f>SUM($S$28:$U$28)</f>
        <v>0</v>
      </c>
      <c r="W28" s="43"/>
      <c r="X28" s="43">
        <f>SUM($W$28:$W$28)</f>
        <v>0</v>
      </c>
      <c r="Y28" s="43">
        <f>'TR TE'!$Y$28*'TR TE'!$Y$48</f>
        <v>0</v>
      </c>
      <c r="Z28" s="43">
        <f>SUM($Y$28:$Y$28)</f>
        <v>0</v>
      </c>
      <c r="AA28" s="43">
        <f>SUMIF($L$4:$Z$4,"SUBTOTAL",$L$28:$Z$28)</f>
        <v>199.16251798722391</v>
      </c>
    </row>
    <row r="29" spans="1:27" ht="11.25" customHeight="1" x14ac:dyDescent="0.25">
      <c r="A29" s="141"/>
      <c r="B29" s="141"/>
      <c r="C29" s="141"/>
      <c r="D29" s="141"/>
      <c r="E29" s="141"/>
      <c r="F29" s="141"/>
      <c r="G29" s="45" t="s">
        <v>85</v>
      </c>
      <c r="H29" s="45" t="s">
        <v>73</v>
      </c>
      <c r="I29" s="45">
        <f>'MERCADO TE'!$U$26</f>
        <v>0</v>
      </c>
      <c r="J29" s="16"/>
      <c r="L29" s="43">
        <f>'TR TE'!$L$29*'TR TE'!$L$48</f>
        <v>0</v>
      </c>
      <c r="M29" s="43">
        <f>'TR TE'!$M$29*'TR TE'!$M$48</f>
        <v>16.043462855204801</v>
      </c>
      <c r="N29" s="43">
        <f>'TR TE'!$N$29*'TR TE'!$N$48</f>
        <v>0</v>
      </c>
      <c r="O29" s="43">
        <f>'TR TE'!$O$29*'TR TE'!$O$48</f>
        <v>0</v>
      </c>
      <c r="P29" s="43">
        <f>SUM($L$29:$O$29)</f>
        <v>16.043462855204801</v>
      </c>
      <c r="Q29" s="43">
        <f>'TR TE'!$Q$29*'TR TE'!$Q$48</f>
        <v>183.1190551320191</v>
      </c>
      <c r="R29" s="43">
        <f>SUM($Q$29:$Q$29)</f>
        <v>183.1190551320191</v>
      </c>
      <c r="S29" s="43">
        <f>'TR TE'!$S$29*'TR TE'!$S$48</f>
        <v>0</v>
      </c>
      <c r="T29" s="43">
        <f>'TR TE'!$T$29*'TR TE'!$T$48</f>
        <v>0</v>
      </c>
      <c r="U29" s="43">
        <f>'TR TE'!$U$29*'TR TE'!$U$48</f>
        <v>0</v>
      </c>
      <c r="V29" s="43">
        <f>SUM($S$29:$U$29)</f>
        <v>0</v>
      </c>
      <c r="W29" s="43"/>
      <c r="X29" s="43">
        <f>SUM($W$29:$W$29)</f>
        <v>0</v>
      </c>
      <c r="Y29" s="43">
        <f>'TR TE'!$Y$29*'TR TE'!$Y$48</f>
        <v>0</v>
      </c>
      <c r="Z29" s="43">
        <f>SUM($Y$29:$Y$29)</f>
        <v>0</v>
      </c>
      <c r="AA29" s="43">
        <f>SUMIF($L$4:$Z$4,"SUBTOTAL",$L$29:$Z$29)</f>
        <v>199.16251798722391</v>
      </c>
    </row>
    <row r="30" spans="1:27" ht="11.25" customHeight="1" x14ac:dyDescent="0.25">
      <c r="A30" s="141"/>
      <c r="B30" s="141"/>
      <c r="C30" s="141"/>
      <c r="D30" s="141"/>
      <c r="E30" s="141"/>
      <c r="F30" s="141"/>
      <c r="G30" s="45" t="s">
        <v>75</v>
      </c>
      <c r="H30" s="45" t="s">
        <v>73</v>
      </c>
      <c r="I30" s="45">
        <f>'MERCADO TE'!$U$27</f>
        <v>0</v>
      </c>
      <c r="J30" s="16"/>
      <c r="L30" s="43">
        <f>'TR TE'!$L$30*'TR TE'!$L$48</f>
        <v>0</v>
      </c>
      <c r="M30" s="43">
        <f>'TR TE'!$M$30*'TR TE'!$M$48</f>
        <v>16.043462855204801</v>
      </c>
      <c r="N30" s="43">
        <f>'TR TE'!$N$30*'TR TE'!$N$48</f>
        <v>0</v>
      </c>
      <c r="O30" s="43">
        <f>'TR TE'!$O$30*'TR TE'!$O$48</f>
        <v>0</v>
      </c>
      <c r="P30" s="43">
        <f>SUM($L$30:$O$30)</f>
        <v>16.043462855204801</v>
      </c>
      <c r="Q30" s="43">
        <f>'TR TE'!$Q$30*'TR TE'!$Q$48</f>
        <v>183.1190551320191</v>
      </c>
      <c r="R30" s="43">
        <f>SUM($Q$30:$Q$30)</f>
        <v>183.1190551320191</v>
      </c>
      <c r="S30" s="43">
        <f>'TR TE'!$S$30*'TR TE'!$S$48</f>
        <v>0</v>
      </c>
      <c r="T30" s="43">
        <f>'TR TE'!$T$30*'TR TE'!$T$48</f>
        <v>0</v>
      </c>
      <c r="U30" s="43">
        <f>'TR TE'!$U$30*'TR TE'!$U$48</f>
        <v>0</v>
      </c>
      <c r="V30" s="43">
        <f>SUM($S$30:$U$30)</f>
        <v>0</v>
      </c>
      <c r="W30" s="43"/>
      <c r="X30" s="43">
        <f>SUM($W$30:$W$30)</f>
        <v>0</v>
      </c>
      <c r="Y30" s="43">
        <f>'TR TE'!$Y$30*'TR TE'!$Y$48</f>
        <v>0</v>
      </c>
      <c r="Z30" s="43">
        <f>SUM($Y$30:$Y$30)</f>
        <v>0</v>
      </c>
      <c r="AA30" s="43">
        <f>SUMIF($L$4:$Z$4,"SUBTOTAL",$L$30:$Z$30)</f>
        <v>199.16251798722391</v>
      </c>
    </row>
    <row r="31" spans="1:27" ht="11.25" customHeight="1" x14ac:dyDescent="0.25">
      <c r="A31" s="141"/>
      <c r="B31" s="46" t="s">
        <v>86</v>
      </c>
      <c r="C31" s="46" t="s">
        <v>41</v>
      </c>
      <c r="D31" s="46" t="s">
        <v>91</v>
      </c>
      <c r="E31" s="46" t="s">
        <v>25</v>
      </c>
      <c r="F31" s="46" t="s">
        <v>25</v>
      </c>
      <c r="G31" s="45" t="s">
        <v>79</v>
      </c>
      <c r="H31" s="45" t="s">
        <v>73</v>
      </c>
      <c r="I31" s="45">
        <f>'MERCADO TE'!$U$28</f>
        <v>0</v>
      </c>
      <c r="J31" s="16"/>
      <c r="L31" s="43">
        <f>'TR TE'!$L$31*'TR TE'!$L$48</f>
        <v>0</v>
      </c>
      <c r="M31" s="43">
        <f>'TR TE'!$M$31*'TR TE'!$M$48</f>
        <v>16.043462855204801</v>
      </c>
      <c r="N31" s="43">
        <f>'TR TE'!$N$31*'TR TE'!$N$48</f>
        <v>0</v>
      </c>
      <c r="O31" s="43">
        <f>'TR TE'!$O$31*'TR TE'!$O$48</f>
        <v>0</v>
      </c>
      <c r="P31" s="43">
        <f>SUM($L$31:$O$31)</f>
        <v>16.043462855204801</v>
      </c>
      <c r="Q31" s="43">
        <f>'TR TE'!$Q$31*'TR TE'!$Q$48</f>
        <v>183.1190551320191</v>
      </c>
      <c r="R31" s="43">
        <f>SUM($Q$31:$Q$31)</f>
        <v>183.1190551320191</v>
      </c>
      <c r="S31" s="43">
        <f>'TR TE'!$S$31*'TR TE'!$S$48</f>
        <v>0</v>
      </c>
      <c r="T31" s="43">
        <f>'TR TE'!$T$31*'TR TE'!$T$48</f>
        <v>0</v>
      </c>
      <c r="U31" s="43">
        <f>'TR TE'!$U$31*'TR TE'!$U$48</f>
        <v>0</v>
      </c>
      <c r="V31" s="43">
        <f>SUM($S$31:$U$31)</f>
        <v>0</v>
      </c>
      <c r="W31" s="43"/>
      <c r="X31" s="43">
        <f>SUM($W$31:$W$31)</f>
        <v>0</v>
      </c>
      <c r="Y31" s="43">
        <f>'TR TE'!$Y$31*'TR TE'!$Y$48</f>
        <v>0</v>
      </c>
      <c r="Z31" s="43">
        <f>SUM($Y$31:$Y$31)</f>
        <v>0</v>
      </c>
      <c r="AA31" s="43">
        <f>SUMIF($L$4:$Z$4,"SUBTOTAL",$L$31:$Z$31)</f>
        <v>199.16251798722391</v>
      </c>
    </row>
    <row r="32" spans="1:27" ht="11.25" customHeight="1" x14ac:dyDescent="0.25">
      <c r="A32" s="141"/>
      <c r="B32" s="141" t="s">
        <v>88</v>
      </c>
      <c r="C32" s="141" t="s">
        <v>41</v>
      </c>
      <c r="D32" s="46" t="s">
        <v>25</v>
      </c>
      <c r="E32" s="46" t="s">
        <v>25</v>
      </c>
      <c r="F32" s="46" t="s">
        <v>25</v>
      </c>
      <c r="G32" s="45" t="s">
        <v>79</v>
      </c>
      <c r="H32" s="45" t="s">
        <v>73</v>
      </c>
      <c r="I32" s="45">
        <f>'MERCADO TE'!$U$29</f>
        <v>0</v>
      </c>
      <c r="J32" s="16"/>
      <c r="L32" s="43">
        <f>'TR TE'!$L$32*'TR TE'!$L$48</f>
        <v>0</v>
      </c>
      <c r="M32" s="43">
        <f>'TR TE'!$M$32*'TR TE'!$M$48</f>
        <v>16.043462855204801</v>
      </c>
      <c r="N32" s="43">
        <f>'TR TE'!$N$32*'TR TE'!$N$48</f>
        <v>0</v>
      </c>
      <c r="O32" s="43">
        <f>'TR TE'!$O$32*'TR TE'!$O$48</f>
        <v>0</v>
      </c>
      <c r="P32" s="43">
        <f>SUM($L$32:$O$32)</f>
        <v>16.043462855204801</v>
      </c>
      <c r="Q32" s="43">
        <f>'TR TE'!$Q$32*'TR TE'!$Q$48</f>
        <v>183.1190551320191</v>
      </c>
      <c r="R32" s="43">
        <f>SUM($Q$32:$Q$32)</f>
        <v>183.1190551320191</v>
      </c>
      <c r="S32" s="43">
        <f>'TR TE'!$S$32*'TR TE'!$S$48</f>
        <v>0</v>
      </c>
      <c r="T32" s="43">
        <f>'TR TE'!$T$32*'TR TE'!$T$48</f>
        <v>0</v>
      </c>
      <c r="U32" s="43">
        <f>'TR TE'!$U$32*'TR TE'!$U$48</f>
        <v>0</v>
      </c>
      <c r="V32" s="43">
        <f>SUM($S$32:$U$32)</f>
        <v>0</v>
      </c>
      <c r="W32" s="43"/>
      <c r="X32" s="43">
        <f>SUM($W$32:$W$32)</f>
        <v>0</v>
      </c>
      <c r="Y32" s="43">
        <f>'TR TE'!$Y$32*'TR TE'!$Y$48</f>
        <v>0</v>
      </c>
      <c r="Z32" s="43">
        <f>SUM($Y$32:$Y$32)</f>
        <v>0</v>
      </c>
      <c r="AA32" s="43">
        <f>SUMIF($L$4:$Z$4,"SUBTOTAL",$L$32:$Z$32)</f>
        <v>199.16251798722391</v>
      </c>
    </row>
    <row r="33" spans="1:27" ht="11.25" customHeight="1" x14ac:dyDescent="0.25">
      <c r="A33" s="141"/>
      <c r="B33" s="141"/>
      <c r="C33" s="141"/>
      <c r="D33" s="46" t="s">
        <v>90</v>
      </c>
      <c r="E33" s="46" t="s">
        <v>25</v>
      </c>
      <c r="F33" s="46" t="s">
        <v>25</v>
      </c>
      <c r="G33" s="45" t="s">
        <v>79</v>
      </c>
      <c r="H33" s="45" t="s">
        <v>73</v>
      </c>
      <c r="I33" s="45">
        <f>'MERCADO TE'!$U$30</f>
        <v>0</v>
      </c>
      <c r="J33" s="16"/>
      <c r="L33" s="43">
        <f>'TR TE'!$L$33*'TR TE'!$L$48</f>
        <v>0</v>
      </c>
      <c r="M33" s="43">
        <f>'TR TE'!$M$33*'TR TE'!$M$48</f>
        <v>16.043462855204801</v>
      </c>
      <c r="N33" s="43">
        <f>'TR TE'!$N$33*'TR TE'!$N$48</f>
        <v>0</v>
      </c>
      <c r="O33" s="43">
        <f>'TR TE'!$O$33*'TR TE'!$O$48</f>
        <v>0</v>
      </c>
      <c r="P33" s="43">
        <f>SUM($L$33:$O$33)</f>
        <v>16.043462855204801</v>
      </c>
      <c r="Q33" s="43">
        <f>'TR TE'!$Q$33*'TR TE'!$Q$48</f>
        <v>183.1190551320191</v>
      </c>
      <c r="R33" s="43">
        <f>SUM($Q$33:$Q$33)</f>
        <v>183.1190551320191</v>
      </c>
      <c r="S33" s="43">
        <f>'TR TE'!$S$33*'TR TE'!$S$48</f>
        <v>0</v>
      </c>
      <c r="T33" s="43">
        <f>'TR TE'!$T$33*'TR TE'!$T$48</f>
        <v>0</v>
      </c>
      <c r="U33" s="43">
        <f>'TR TE'!$U$33*'TR TE'!$U$48</f>
        <v>0</v>
      </c>
      <c r="V33" s="43">
        <f>SUM($S$33:$U$33)</f>
        <v>0</v>
      </c>
      <c r="W33" s="43"/>
      <c r="X33" s="43">
        <f>SUM($W$33:$W$33)</f>
        <v>0</v>
      </c>
      <c r="Y33" s="43">
        <f>'TR TE'!$Y$33*'TR TE'!$Y$48</f>
        <v>0</v>
      </c>
      <c r="Z33" s="43">
        <f>SUM($Y$33:$Y$33)</f>
        <v>0</v>
      </c>
      <c r="AA33" s="43">
        <f>SUMIF($L$4:$Z$4,"SUBTOTAL",$L$33:$Z$33)</f>
        <v>199.16251798722391</v>
      </c>
    </row>
    <row r="34" spans="1:27" ht="11.25" customHeight="1" x14ac:dyDescent="0.25">
      <c r="A34" s="141"/>
      <c r="B34" s="141"/>
      <c r="C34" s="141"/>
      <c r="D34" s="46" t="s">
        <v>91</v>
      </c>
      <c r="E34" s="46" t="s">
        <v>25</v>
      </c>
      <c r="F34" s="46" t="s">
        <v>25</v>
      </c>
      <c r="G34" s="45" t="s">
        <v>79</v>
      </c>
      <c r="H34" s="45" t="s">
        <v>73</v>
      </c>
      <c r="I34" s="45">
        <f>'MERCADO TE'!$U$31</f>
        <v>0</v>
      </c>
      <c r="J34" s="16"/>
      <c r="L34" s="43">
        <f>'TR TE'!$L$34*'TR TE'!$L$48</f>
        <v>0</v>
      </c>
      <c r="M34" s="43">
        <f>'TR TE'!$M$34*'TR TE'!$M$48</f>
        <v>16.043462855204801</v>
      </c>
      <c r="N34" s="43">
        <f>'TR TE'!$N$34*'TR TE'!$N$48</f>
        <v>0</v>
      </c>
      <c r="O34" s="43">
        <f>'TR TE'!$O$34*'TR TE'!$O$48</f>
        <v>0</v>
      </c>
      <c r="P34" s="43">
        <f>SUM($L$34:$O$34)</f>
        <v>16.043462855204801</v>
      </c>
      <c r="Q34" s="43">
        <f>'TR TE'!$Q$34*'TR TE'!$Q$48</f>
        <v>183.1190551320191</v>
      </c>
      <c r="R34" s="43">
        <f>SUM($Q$34:$Q$34)</f>
        <v>183.1190551320191</v>
      </c>
      <c r="S34" s="43">
        <f>'TR TE'!$S$34*'TR TE'!$S$48</f>
        <v>0</v>
      </c>
      <c r="T34" s="43">
        <f>'TR TE'!$T$34*'TR TE'!$T$48</f>
        <v>0</v>
      </c>
      <c r="U34" s="43">
        <f>'TR TE'!$U$34*'TR TE'!$U$48</f>
        <v>0</v>
      </c>
      <c r="V34" s="43">
        <f>SUM($S$34:$U$34)</f>
        <v>0</v>
      </c>
      <c r="W34" s="43"/>
      <c r="X34" s="43">
        <f>SUM($W$34:$W$34)</f>
        <v>0</v>
      </c>
      <c r="Y34" s="43">
        <f>'TR TE'!$Y$34*'TR TE'!$Y$48</f>
        <v>0</v>
      </c>
      <c r="Z34" s="43">
        <f>SUM($Y$34:$Y$34)</f>
        <v>0</v>
      </c>
      <c r="AA34" s="43">
        <f>SUMIF($L$4:$Z$4,"SUBTOTAL",$L$34:$Z$34)</f>
        <v>199.16251798722391</v>
      </c>
    </row>
    <row r="35" spans="1:27" ht="11.25" customHeight="1" x14ac:dyDescent="0.25">
      <c r="A35" s="141" t="s">
        <v>37</v>
      </c>
      <c r="B35" s="141" t="s">
        <v>72</v>
      </c>
      <c r="C35" s="141" t="s">
        <v>25</v>
      </c>
      <c r="D35" s="141" t="s">
        <v>25</v>
      </c>
      <c r="E35" s="141" t="s">
        <v>25</v>
      </c>
      <c r="F35" s="141" t="s">
        <v>25</v>
      </c>
      <c r="G35" s="45" t="s">
        <v>74</v>
      </c>
      <c r="H35" s="45" t="s">
        <v>73</v>
      </c>
      <c r="I35" s="45">
        <f>'MERCADO TE'!$U$32</f>
        <v>0</v>
      </c>
      <c r="J35" s="16"/>
      <c r="L35" s="43">
        <f>'TR TE'!$L$35*'TR TE'!$L$48</f>
        <v>0</v>
      </c>
      <c r="M35" s="43">
        <f>'TR TE'!$M$35*'TR TE'!$M$48</f>
        <v>16.043462855204801</v>
      </c>
      <c r="N35" s="43">
        <f>'TR TE'!$N$35*'TR TE'!$N$48</f>
        <v>0</v>
      </c>
      <c r="O35" s="43">
        <f>'TR TE'!$O$35*'TR TE'!$O$48</f>
        <v>0</v>
      </c>
      <c r="P35" s="43">
        <f>SUM($L$35:$O$35)</f>
        <v>16.043462855204801</v>
      </c>
      <c r="Q35" s="43">
        <f>'TR TE'!$Q$35*'TR TE'!$Q$48</f>
        <v>183.1190551320191</v>
      </c>
      <c r="R35" s="43">
        <f>SUM($Q$35:$Q$35)</f>
        <v>183.1190551320191</v>
      </c>
      <c r="S35" s="43">
        <f>'TR TE'!$S$35*'TR TE'!$S$48</f>
        <v>0</v>
      </c>
      <c r="T35" s="43">
        <f>'TR TE'!$T$35*'TR TE'!$T$48</f>
        <v>0</v>
      </c>
      <c r="U35" s="43">
        <f>'TR TE'!$U$35*'TR TE'!$U$48</f>
        <v>0</v>
      </c>
      <c r="V35" s="43">
        <f>SUM($S$35:$U$35)</f>
        <v>0</v>
      </c>
      <c r="W35" s="43"/>
      <c r="X35" s="43">
        <f>SUM($W$35:$W$35)</f>
        <v>0</v>
      </c>
      <c r="Y35" s="43">
        <f>'TR TE'!$Y$35*'TR TE'!$Y$48</f>
        <v>0</v>
      </c>
      <c r="Z35" s="43">
        <f>SUM($Y$35:$Y$35)</f>
        <v>0</v>
      </c>
      <c r="AA35" s="43">
        <f>SUMIF($L$4:$Z$4,"SUBTOTAL",$L$35:$Z$35)</f>
        <v>199.16251798722391</v>
      </c>
    </row>
    <row r="36" spans="1:27" ht="11.25" customHeight="1" x14ac:dyDescent="0.25">
      <c r="A36" s="141"/>
      <c r="B36" s="141"/>
      <c r="C36" s="141"/>
      <c r="D36" s="141"/>
      <c r="E36" s="141"/>
      <c r="F36" s="141"/>
      <c r="G36" s="45" t="s">
        <v>85</v>
      </c>
      <c r="H36" s="45" t="s">
        <v>73</v>
      </c>
      <c r="I36" s="45">
        <f>'MERCADO TE'!$U$33</f>
        <v>0</v>
      </c>
      <c r="J36" s="16"/>
      <c r="L36" s="43">
        <f>'TR TE'!$L$36*'TR TE'!$L$48</f>
        <v>0</v>
      </c>
      <c r="M36" s="43">
        <f>'TR TE'!$M$36*'TR TE'!$M$48</f>
        <v>16.043462855204801</v>
      </c>
      <c r="N36" s="43">
        <f>'TR TE'!$N$36*'TR TE'!$N$48</f>
        <v>0</v>
      </c>
      <c r="O36" s="43">
        <f>'TR TE'!$O$36*'TR TE'!$O$48</f>
        <v>0</v>
      </c>
      <c r="P36" s="43">
        <f>SUM($L$36:$O$36)</f>
        <v>16.043462855204801</v>
      </c>
      <c r="Q36" s="43">
        <f>'TR TE'!$Q$36*'TR TE'!$Q$48</f>
        <v>183.1190551320191</v>
      </c>
      <c r="R36" s="43">
        <f>SUM($Q$36:$Q$36)</f>
        <v>183.1190551320191</v>
      </c>
      <c r="S36" s="43">
        <f>'TR TE'!$S$36*'TR TE'!$S$48</f>
        <v>0</v>
      </c>
      <c r="T36" s="43">
        <f>'TR TE'!$T$36*'TR TE'!$T$48</f>
        <v>0</v>
      </c>
      <c r="U36" s="43">
        <f>'TR TE'!$U$36*'TR TE'!$U$48</f>
        <v>0</v>
      </c>
      <c r="V36" s="43">
        <f>SUM($S$36:$U$36)</f>
        <v>0</v>
      </c>
      <c r="W36" s="43"/>
      <c r="X36" s="43">
        <f>SUM($W$36:$W$36)</f>
        <v>0</v>
      </c>
      <c r="Y36" s="43">
        <f>'TR TE'!$Y$36*'TR TE'!$Y$48</f>
        <v>0</v>
      </c>
      <c r="Z36" s="43">
        <f>SUM($Y$36:$Y$36)</f>
        <v>0</v>
      </c>
      <c r="AA36" s="43">
        <f>SUMIF($L$4:$Z$4,"SUBTOTAL",$L$36:$Z$36)</f>
        <v>199.16251798722391</v>
      </c>
    </row>
    <row r="37" spans="1:27" ht="11.25" customHeight="1" x14ac:dyDescent="0.25">
      <c r="A37" s="141"/>
      <c r="B37" s="141"/>
      <c r="C37" s="141"/>
      <c r="D37" s="141"/>
      <c r="E37" s="141"/>
      <c r="F37" s="141"/>
      <c r="G37" s="45" t="s">
        <v>75</v>
      </c>
      <c r="H37" s="45" t="s">
        <v>73</v>
      </c>
      <c r="I37" s="45">
        <f>'MERCADO TE'!$U$34</f>
        <v>0</v>
      </c>
      <c r="J37" s="16"/>
      <c r="L37" s="43">
        <f>'TR TE'!$L$37*'TR TE'!$L$48</f>
        <v>0</v>
      </c>
      <c r="M37" s="43">
        <f>'TR TE'!$M$37*'TR TE'!$M$48</f>
        <v>16.043462855204801</v>
      </c>
      <c r="N37" s="43">
        <f>'TR TE'!$N$37*'TR TE'!$N$48</f>
        <v>0</v>
      </c>
      <c r="O37" s="43">
        <f>'TR TE'!$O$37*'TR TE'!$O$48</f>
        <v>0</v>
      </c>
      <c r="P37" s="43">
        <f>SUM($L$37:$O$37)</f>
        <v>16.043462855204801</v>
      </c>
      <c r="Q37" s="43">
        <f>'TR TE'!$Q$37*'TR TE'!$Q$48</f>
        <v>183.1190551320191</v>
      </c>
      <c r="R37" s="43">
        <f>SUM($Q$37:$Q$37)</f>
        <v>183.1190551320191</v>
      </c>
      <c r="S37" s="43">
        <f>'TR TE'!$S$37*'TR TE'!$S$48</f>
        <v>0</v>
      </c>
      <c r="T37" s="43">
        <f>'TR TE'!$T$37*'TR TE'!$T$48</f>
        <v>0</v>
      </c>
      <c r="U37" s="43">
        <f>'TR TE'!$U$37*'TR TE'!$U$48</f>
        <v>0</v>
      </c>
      <c r="V37" s="43">
        <f>SUM($S$37:$U$37)</f>
        <v>0</v>
      </c>
      <c r="W37" s="43"/>
      <c r="X37" s="43">
        <f>SUM($W$37:$W$37)</f>
        <v>0</v>
      </c>
      <c r="Y37" s="43">
        <f>'TR TE'!$Y$37*'TR TE'!$Y$48</f>
        <v>0</v>
      </c>
      <c r="Z37" s="43">
        <f>SUM($Y$37:$Y$37)</f>
        <v>0</v>
      </c>
      <c r="AA37" s="43">
        <f>SUMIF($L$4:$Z$4,"SUBTOTAL",$L$37:$Z$37)</f>
        <v>199.16251798722391</v>
      </c>
    </row>
    <row r="38" spans="1:27" ht="11.25" customHeight="1" x14ac:dyDescent="0.25">
      <c r="A38" s="141"/>
      <c r="B38" s="46" t="s">
        <v>86</v>
      </c>
      <c r="C38" s="46" t="s">
        <v>25</v>
      </c>
      <c r="D38" s="46" t="s">
        <v>25</v>
      </c>
      <c r="E38" s="46" t="s">
        <v>25</v>
      </c>
      <c r="F38" s="46" t="s">
        <v>25</v>
      </c>
      <c r="G38" s="45" t="s">
        <v>79</v>
      </c>
      <c r="H38" s="45" t="s">
        <v>73</v>
      </c>
      <c r="I38" s="45">
        <f>'MERCADO TE'!$U$35</f>
        <v>9351.1280000000006</v>
      </c>
      <c r="J38" s="16"/>
      <c r="L38" s="43">
        <f>'TR TE'!$L$38*'TR TE'!$L$48</f>
        <v>0</v>
      </c>
      <c r="M38" s="43">
        <f>'TR TE'!$M$38*'TR TE'!$M$48</f>
        <v>16.043462855204801</v>
      </c>
      <c r="N38" s="43">
        <f>'TR TE'!$N$38*'TR TE'!$N$48</f>
        <v>0</v>
      </c>
      <c r="O38" s="43">
        <f>'TR TE'!$O$38*'TR TE'!$O$48</f>
        <v>0</v>
      </c>
      <c r="P38" s="43">
        <f>SUM($L$38:$O$38)</f>
        <v>16.043462855204801</v>
      </c>
      <c r="Q38" s="43">
        <f>'TR TE'!$Q$38*'TR TE'!$Q$48</f>
        <v>183.1190551320191</v>
      </c>
      <c r="R38" s="43">
        <f>SUM($Q$38:$Q$38)</f>
        <v>183.1190551320191</v>
      </c>
      <c r="S38" s="43">
        <f>'TR TE'!$S$38*'TR TE'!$S$48</f>
        <v>0</v>
      </c>
      <c r="T38" s="43">
        <f>'TR TE'!$T$38*'TR TE'!$T$48</f>
        <v>0</v>
      </c>
      <c r="U38" s="43">
        <f>'TR TE'!$U$38*'TR TE'!$U$48</f>
        <v>0</v>
      </c>
      <c r="V38" s="43">
        <f>SUM($S$38:$U$38)</f>
        <v>0</v>
      </c>
      <c r="W38" s="43"/>
      <c r="X38" s="43">
        <f>SUM($W$38:$W$38)</f>
        <v>0</v>
      </c>
      <c r="Y38" s="43">
        <f>'TR TE'!$Y$38*'TR TE'!$Y$48</f>
        <v>0</v>
      </c>
      <c r="Z38" s="43">
        <f>SUM($Y$38:$Y$38)</f>
        <v>0</v>
      </c>
      <c r="AA38" s="43">
        <f>SUMIF($L$4:$Z$4,"SUBTOTAL",$L$38:$Z$38)</f>
        <v>199.16251798722391</v>
      </c>
    </row>
    <row r="39" spans="1:27" ht="11.25" customHeight="1" x14ac:dyDescent="0.25">
      <c r="A39" s="141"/>
      <c r="B39" s="46" t="s">
        <v>88</v>
      </c>
      <c r="C39" s="46" t="s">
        <v>25</v>
      </c>
      <c r="D39" s="46" t="s">
        <v>25</v>
      </c>
      <c r="E39" s="46" t="s">
        <v>25</v>
      </c>
      <c r="F39" s="46" t="s">
        <v>25</v>
      </c>
      <c r="G39" s="45" t="s">
        <v>79</v>
      </c>
      <c r="H39" s="45" t="s">
        <v>73</v>
      </c>
      <c r="I39" s="45">
        <f>'MERCADO TE'!$U$36</f>
        <v>0</v>
      </c>
      <c r="J39" s="16"/>
      <c r="L39" s="43">
        <f>'TR TE'!$L$39*'TR TE'!$L$48</f>
        <v>0</v>
      </c>
      <c r="M39" s="43">
        <f>'TR TE'!$M$39*'TR TE'!$M$48</f>
        <v>16.043462855204801</v>
      </c>
      <c r="N39" s="43">
        <f>'TR TE'!$N$39*'TR TE'!$N$48</f>
        <v>0</v>
      </c>
      <c r="O39" s="43">
        <f>'TR TE'!$O$39*'TR TE'!$O$48</f>
        <v>0</v>
      </c>
      <c r="P39" s="43">
        <f>SUM($L$39:$O$39)</f>
        <v>16.043462855204801</v>
      </c>
      <c r="Q39" s="43">
        <f>'TR TE'!$Q$39*'TR TE'!$Q$48</f>
        <v>183.1190551320191</v>
      </c>
      <c r="R39" s="43">
        <f>SUM($Q$39:$Q$39)</f>
        <v>183.1190551320191</v>
      </c>
      <c r="S39" s="43">
        <f>'TR TE'!$S$39*'TR TE'!$S$48</f>
        <v>0</v>
      </c>
      <c r="T39" s="43">
        <f>'TR TE'!$T$39*'TR TE'!$T$48</f>
        <v>0</v>
      </c>
      <c r="U39" s="43">
        <f>'TR TE'!$U$39*'TR TE'!$U$48</f>
        <v>0</v>
      </c>
      <c r="V39" s="43">
        <f>SUM($S$39:$U$39)</f>
        <v>0</v>
      </c>
      <c r="W39" s="43"/>
      <c r="X39" s="43">
        <f>SUM($W$39:$W$39)</f>
        <v>0</v>
      </c>
      <c r="Y39" s="43">
        <f>'TR TE'!$Y$39*'TR TE'!$Y$48</f>
        <v>0</v>
      </c>
      <c r="Z39" s="43">
        <f>SUM($Y$39:$Y$39)</f>
        <v>0</v>
      </c>
      <c r="AA39" s="43">
        <f>SUMIF($L$4:$Z$4,"SUBTOTAL",$L$39:$Z$39)</f>
        <v>199.16251798722391</v>
      </c>
    </row>
    <row r="40" spans="1:27" ht="11.25" customHeight="1" x14ac:dyDescent="0.25">
      <c r="A40" s="141" t="s">
        <v>44</v>
      </c>
      <c r="B40" s="141" t="s">
        <v>86</v>
      </c>
      <c r="C40" s="141" t="s">
        <v>45</v>
      </c>
      <c r="D40" s="46" t="s">
        <v>46</v>
      </c>
      <c r="E40" s="46" t="s">
        <v>25</v>
      </c>
      <c r="F40" s="46" t="s">
        <v>25</v>
      </c>
      <c r="G40" s="45" t="s">
        <v>79</v>
      </c>
      <c r="H40" s="45" t="s">
        <v>73</v>
      </c>
      <c r="I40" s="45">
        <f>'MERCADO TE'!$U$37</f>
        <v>121.60999999999999</v>
      </c>
      <c r="J40" s="16"/>
      <c r="L40" s="43">
        <f>'TR TE'!$L$40*'TR TE'!$L$48</f>
        <v>0</v>
      </c>
      <c r="M40" s="43">
        <f>'TR TE'!$M$40*'TR TE'!$M$48</f>
        <v>8.8239045703626413</v>
      </c>
      <c r="N40" s="43">
        <f>'TR TE'!$N$40*'TR TE'!$N$48</f>
        <v>0</v>
      </c>
      <c r="O40" s="43">
        <f>'TR TE'!$O$40*'TR TE'!$O$48</f>
        <v>0</v>
      </c>
      <c r="P40" s="43">
        <f>SUM($L$40:$O$40)</f>
        <v>8.8239045703626413</v>
      </c>
      <c r="Q40" s="43">
        <f>'TR TE'!$Q$40*'TR TE'!$Q$48</f>
        <v>100.71548032261052</v>
      </c>
      <c r="R40" s="43">
        <f>SUM($Q$40:$Q$40)</f>
        <v>100.71548032261052</v>
      </c>
      <c r="S40" s="43">
        <f>'TR TE'!$S$40*'TR TE'!$S$48</f>
        <v>0</v>
      </c>
      <c r="T40" s="43">
        <f>'TR TE'!$T$40*'TR TE'!$T$48</f>
        <v>0</v>
      </c>
      <c r="U40" s="43">
        <f>'TR TE'!$U$40*'TR TE'!$U$48</f>
        <v>0</v>
      </c>
      <c r="V40" s="43">
        <f>SUM($S$40:$U$40)</f>
        <v>0</v>
      </c>
      <c r="W40" s="43"/>
      <c r="X40" s="43">
        <f>SUM($W$40:$W$40)</f>
        <v>0</v>
      </c>
      <c r="Y40" s="43">
        <f>'TR TE'!$Y$40*'TR TE'!$Y$48</f>
        <v>0</v>
      </c>
      <c r="Z40" s="43">
        <f>SUM($Y$40:$Y$40)</f>
        <v>0</v>
      </c>
      <c r="AA40" s="43">
        <f>SUMIF($L$4:$Z$4,"SUBTOTAL",$L$40:$Z$40)</f>
        <v>109.53938489297316</v>
      </c>
    </row>
    <row r="41" spans="1:27" ht="11.25" customHeight="1" x14ac:dyDescent="0.25">
      <c r="A41" s="141"/>
      <c r="B41" s="141"/>
      <c r="C41" s="141"/>
      <c r="D41" s="45" t="s">
        <v>47</v>
      </c>
      <c r="E41" s="45" t="s">
        <v>25</v>
      </c>
      <c r="F41" s="45" t="s">
        <v>25</v>
      </c>
      <c r="G41" s="45" t="s">
        <v>79</v>
      </c>
      <c r="H41" s="45" t="s">
        <v>73</v>
      </c>
      <c r="I41" s="45">
        <f>'MERCADO TE'!$U$38</f>
        <v>2220.8670000000002</v>
      </c>
      <c r="J41" s="16"/>
      <c r="L41" s="43">
        <f>'TR TE'!$L$41*'TR TE'!$L$48</f>
        <v>0</v>
      </c>
      <c r="M41" s="43">
        <f>'TR TE'!$M$41*'TR TE'!$M$48</f>
        <v>9.6260777131228803</v>
      </c>
      <c r="N41" s="43">
        <f>'TR TE'!$N$41*'TR TE'!$N$48</f>
        <v>0</v>
      </c>
      <c r="O41" s="43">
        <f>'TR TE'!$O$41*'TR TE'!$O$48</f>
        <v>0</v>
      </c>
      <c r="P41" s="43">
        <f>SUM($L$41:$O$41)</f>
        <v>9.6260777131228803</v>
      </c>
      <c r="Q41" s="43">
        <f>'TR TE'!$Q$41*'TR TE'!$Q$48</f>
        <v>109.87143307921146</v>
      </c>
      <c r="R41" s="43">
        <f>SUM($Q$41:$Q$41)</f>
        <v>109.87143307921146</v>
      </c>
      <c r="S41" s="43">
        <f>'TR TE'!$S$41*'TR TE'!$S$48</f>
        <v>0</v>
      </c>
      <c r="T41" s="43">
        <f>'TR TE'!$T$41*'TR TE'!$T$48</f>
        <v>0</v>
      </c>
      <c r="U41" s="43">
        <f>'TR TE'!$U$41*'TR TE'!$U$48</f>
        <v>0</v>
      </c>
      <c r="V41" s="43">
        <f>SUM($S$41:$U$41)</f>
        <v>0</v>
      </c>
      <c r="W41" s="43"/>
      <c r="X41" s="43">
        <f>SUM($W$41:$W$41)</f>
        <v>0</v>
      </c>
      <c r="Y41" s="43">
        <f>'TR TE'!$Y$41*'TR TE'!$Y$48</f>
        <v>0</v>
      </c>
      <c r="Z41" s="43">
        <f>SUM($Y$41:$Y$41)</f>
        <v>0</v>
      </c>
      <c r="AA41" s="43">
        <f>SUMIF($L$4:$Z$4,"SUBTOTAL",$L$41:$Z$41)</f>
        <v>119.49751079233434</v>
      </c>
    </row>
    <row r="43" spans="1:27" ht="11.25" customHeight="1" x14ac:dyDescent="0.25">
      <c r="K43" s="48" t="s">
        <v>504</v>
      </c>
      <c r="L43" s="43">
        <f t="shared" ref="L43:AA43" si="0">SUMPRODUCT($I$5:$I$41,L$5:L$41)</f>
        <v>0</v>
      </c>
      <c r="M43" s="43">
        <f t="shared" si="0"/>
        <v>2692024.8775731926</v>
      </c>
      <c r="N43" s="43">
        <f t="shared" si="0"/>
        <v>0</v>
      </c>
      <c r="O43" s="43">
        <f t="shared" si="0"/>
        <v>0</v>
      </c>
      <c r="P43" s="43">
        <f t="shared" si="0"/>
        <v>2692024.8775731926</v>
      </c>
      <c r="Q43" s="43">
        <f t="shared" si="0"/>
        <v>30726599.140232779</v>
      </c>
      <c r="R43" s="43">
        <f t="shared" si="0"/>
        <v>30726599.140232779</v>
      </c>
      <c r="S43" s="43">
        <f t="shared" si="0"/>
        <v>0</v>
      </c>
      <c r="T43" s="43">
        <f t="shared" si="0"/>
        <v>0</v>
      </c>
      <c r="U43" s="43">
        <f t="shared" si="0"/>
        <v>0</v>
      </c>
      <c r="V43" s="43">
        <f t="shared" si="0"/>
        <v>0</v>
      </c>
      <c r="W43" s="43">
        <f t="shared" si="0"/>
        <v>0</v>
      </c>
      <c r="X43" s="43">
        <f t="shared" si="0"/>
        <v>0</v>
      </c>
      <c r="Y43" s="43">
        <f t="shared" si="0"/>
        <v>0</v>
      </c>
      <c r="Z43" s="43">
        <f t="shared" si="0"/>
        <v>0</v>
      </c>
      <c r="AA43" s="43">
        <f t="shared" si="0"/>
        <v>33418624.017805975</v>
      </c>
    </row>
    <row r="44" spans="1:27" ht="11.25" customHeight="1" x14ac:dyDescent="0.25">
      <c r="K44" s="48" t="s">
        <v>440</v>
      </c>
      <c r="L44" s="43">
        <f>CUSTOS!$D$30</f>
        <v>0</v>
      </c>
      <c r="M44" s="43">
        <f>CUSTOS!$D$31</f>
        <v>2692024.8775731921</v>
      </c>
      <c r="N44" s="43">
        <f>CUSTOS!$D$32</f>
        <v>0</v>
      </c>
      <c r="O44" s="43">
        <f>CUSTOS!$D$33</f>
        <v>0</v>
      </c>
      <c r="P44" s="43">
        <f>CUSTOS!$D$34</f>
        <v>2692024.8775731921</v>
      </c>
      <c r="Q44" s="43">
        <f>CUSTOS!$D$35</f>
        <v>30726599.140232779</v>
      </c>
      <c r="R44" s="43">
        <f>CUSTOS!$D$36</f>
        <v>30726599.140232779</v>
      </c>
      <c r="S44" s="43">
        <f>CUSTOS!$D$37</f>
        <v>0</v>
      </c>
      <c r="T44" s="43">
        <f>CUSTOS!$D$38</f>
        <v>0</v>
      </c>
      <c r="U44" s="43">
        <f>CUSTOS!$D$39</f>
        <v>0</v>
      </c>
      <c r="V44" s="43">
        <f>CUSTOS!$D$40</f>
        <v>0</v>
      </c>
      <c r="W44" s="43">
        <f>CUSTOS!$D$41</f>
        <v>0</v>
      </c>
      <c r="X44" s="43">
        <f>CUSTOS!$D$42</f>
        <v>0</v>
      </c>
      <c r="Y44" s="43">
        <f>CUSTOS!$D$43</f>
        <v>0</v>
      </c>
      <c r="Z44" s="43">
        <f>CUSTOS!$D$44</f>
        <v>0</v>
      </c>
      <c r="AA44" s="43">
        <f>CUSTOS!$D$45</f>
        <v>33418624.017805971</v>
      </c>
    </row>
    <row r="45" spans="1:27" ht="11.25" customHeight="1" x14ac:dyDescent="0.25">
      <c r="K45" s="48" t="s">
        <v>441</v>
      </c>
      <c r="L45" s="43">
        <f>CUSTOS!$E$30</f>
        <v>0</v>
      </c>
      <c r="M45" s="43">
        <f>CUSTOS!$E$31</f>
        <v>0</v>
      </c>
      <c r="N45" s="43">
        <f>CUSTOS!$E$32</f>
        <v>0</v>
      </c>
      <c r="O45" s="43">
        <f>CUSTOS!$E$33</f>
        <v>0</v>
      </c>
      <c r="P45" s="43">
        <f>CUSTOS!$E$34</f>
        <v>0</v>
      </c>
      <c r="Q45" s="43">
        <f>CUSTOS!$E$35</f>
        <v>3408888.599915761</v>
      </c>
      <c r="R45" s="43">
        <f>CUSTOS!$E$36</f>
        <v>3408888.599915761</v>
      </c>
      <c r="S45" s="43">
        <f>CUSTOS!$E$37</f>
        <v>0</v>
      </c>
      <c r="T45" s="43">
        <f>CUSTOS!$E$38</f>
        <v>0</v>
      </c>
      <c r="U45" s="43">
        <f>CUSTOS!$E$39</f>
        <v>0</v>
      </c>
      <c r="V45" s="43">
        <f>CUSTOS!$E$40</f>
        <v>0</v>
      </c>
      <c r="W45" s="43">
        <f>CUSTOS!$E$41</f>
        <v>-310224.42115196493</v>
      </c>
      <c r="X45" s="43">
        <f>CUSTOS!$E$42</f>
        <v>-310224.42115196493</v>
      </c>
      <c r="Y45" s="43">
        <f>CUSTOS!$E$43</f>
        <v>0</v>
      </c>
      <c r="Z45" s="43">
        <f>CUSTOS!$E$44</f>
        <v>0</v>
      </c>
      <c r="AA45" s="43">
        <f>CUSTOS!$E$45</f>
        <v>3098664.1787637961</v>
      </c>
    </row>
    <row r="46" spans="1:27" ht="11.25" customHeight="1" x14ac:dyDescent="0.25">
      <c r="K46" s="48" t="s">
        <v>442</v>
      </c>
      <c r="L46" s="43">
        <f>CUSTOS!$F$30</f>
        <v>0</v>
      </c>
      <c r="M46" s="43">
        <f>CUSTOS!$F$31</f>
        <v>0</v>
      </c>
      <c r="N46" s="43">
        <f>CUSTOS!$F$32</f>
        <v>0</v>
      </c>
      <c r="O46" s="43">
        <f>CUSTOS!$F$33</f>
        <v>0</v>
      </c>
      <c r="P46" s="43">
        <f>CUSTOS!$F$34</f>
        <v>0</v>
      </c>
      <c r="Q46" s="43">
        <f>CUSTOS!$F$35</f>
        <v>0</v>
      </c>
      <c r="R46" s="43">
        <f>CUSTOS!$F$36</f>
        <v>0</v>
      </c>
      <c r="S46" s="43">
        <f>CUSTOS!$F$37</f>
        <v>0</v>
      </c>
      <c r="T46" s="43">
        <f>CUSTOS!$F$38</f>
        <v>0</v>
      </c>
      <c r="U46" s="43">
        <f>CUSTOS!$F$39</f>
        <v>0</v>
      </c>
      <c r="V46" s="43">
        <f>CUSTOS!$F$40</f>
        <v>0</v>
      </c>
      <c r="W46" s="43">
        <f>CUSTOS!$F$41</f>
        <v>0</v>
      </c>
      <c r="X46" s="43">
        <f>CUSTOS!$F$42</f>
        <v>0</v>
      </c>
      <c r="Y46" s="43">
        <f>CUSTOS!$F$43</f>
        <v>0</v>
      </c>
      <c r="Z46" s="43">
        <f>CUSTOS!$F$44</f>
        <v>0</v>
      </c>
      <c r="AA46" s="43">
        <f>CUSTOS!$F$45</f>
        <v>0</v>
      </c>
    </row>
    <row r="47" spans="1:27" ht="11.25" customHeight="1" x14ac:dyDescent="0.25">
      <c r="K47" s="48" t="s">
        <v>505</v>
      </c>
      <c r="L47" s="43">
        <f>'TR TE'!$L$47*L48</f>
        <v>0</v>
      </c>
      <c r="M47" s="43">
        <f>'TR TE'!$M$47*M48</f>
        <v>0</v>
      </c>
      <c r="N47" s="43">
        <f>'TR TE'!$N$47*N48</f>
        <v>0</v>
      </c>
      <c r="O47" s="43">
        <f>'TR TE'!$O$47*O48</f>
        <v>0</v>
      </c>
      <c r="P47" s="43"/>
      <c r="Q47" s="43">
        <f>'TR TE'!$Q$47*Q48</f>
        <v>20.561220678337335</v>
      </c>
      <c r="R47" s="43"/>
      <c r="S47" s="43">
        <f>'TR TE'!$S$47*S48</f>
        <v>0</v>
      </c>
      <c r="T47" s="43">
        <f>'TR TE'!$T$47*T48</f>
        <v>0</v>
      </c>
      <c r="U47" s="43">
        <f>'TR TE'!$U$47*U48</f>
        <v>0</v>
      </c>
      <c r="V47" s="43"/>
      <c r="W47" s="43"/>
      <c r="X47" s="43"/>
      <c r="Y47" s="43">
        <f>'TR TE'!$Y$47*Y48</f>
        <v>0</v>
      </c>
      <c r="Z47" s="43"/>
      <c r="AA47" s="43"/>
    </row>
    <row r="48" spans="1:27" ht="11.25" customHeight="1" x14ac:dyDescent="0.25">
      <c r="K48" s="48" t="s">
        <v>498</v>
      </c>
      <c r="L48" s="43">
        <f>IF(L44&lt;&gt;0,L45/L44,0)</f>
        <v>0</v>
      </c>
      <c r="M48" s="43">
        <f>IF(M44&lt;&gt;0,M45/M44,0)</f>
        <v>0</v>
      </c>
      <c r="N48" s="43">
        <f>IF(N44&lt;&gt;0,N45/N44,0)</f>
        <v>0</v>
      </c>
      <c r="O48" s="43">
        <f>IF(O44&lt;&gt;0,O45/O44,0)</f>
        <v>0</v>
      </c>
      <c r="P48" s="43"/>
      <c r="Q48" s="43">
        <f>IF(Q44&lt;&gt;0,Q45/Q44,0)</f>
        <v>0.11094259356064669</v>
      </c>
      <c r="R48" s="43"/>
      <c r="S48" s="43">
        <f>IF(S44&lt;&gt;0,S45/S44,0)</f>
        <v>0</v>
      </c>
      <c r="T48" s="43">
        <f>IF(T44&lt;&gt;0,T45/T44,0)</f>
        <v>0</v>
      </c>
      <c r="U48" s="43">
        <f>IF(U44&lt;&gt;0,U45/U44,0)</f>
        <v>0</v>
      </c>
      <c r="V48" s="43"/>
      <c r="W48" s="43">
        <f>IF(($AA44-0)&lt;&gt;0,W45/($AA44-0),0)</f>
        <v>-9.2829800828027054E-3</v>
      </c>
      <c r="X48" s="43"/>
      <c r="Y48" s="43">
        <f>IF(Y44&lt;&gt;0,Y45/Y44,0)</f>
        <v>0</v>
      </c>
      <c r="Z48" s="43"/>
      <c r="AA48" s="43"/>
    </row>
    <row r="49" spans="11:27" ht="11.25" customHeight="1" x14ac:dyDescent="0.25">
      <c r="K49" s="48" t="s">
        <v>507</v>
      </c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</row>
  </sheetData>
  <mergeCells count="61">
    <mergeCell ref="E35:E37"/>
    <mergeCell ref="F35:F37"/>
    <mergeCell ref="A40:A41"/>
    <mergeCell ref="B40:B41"/>
    <mergeCell ref="C40:C41"/>
    <mergeCell ref="D35:D37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A7:A19"/>
    <mergeCell ref="B7:B9"/>
    <mergeCell ref="C7:C9"/>
    <mergeCell ref="D7:D9"/>
    <mergeCell ref="E7:E9"/>
    <mergeCell ref="F7:F9"/>
    <mergeCell ref="B10:B14"/>
    <mergeCell ref="C10:C14"/>
    <mergeCell ref="B15:B19"/>
    <mergeCell ref="C15:C19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  <mergeCell ref="A1:A4"/>
    <mergeCell ref="B1:B4"/>
    <mergeCell ref="C1:C4"/>
    <mergeCell ref="D1:D4"/>
    <mergeCell ref="E1:E4"/>
    <mergeCell ref="F1:F4"/>
  </mergeCells>
  <conditionalFormatting sqref="L43">
    <cfRule type="cellIs" dxfId="843" priority="31" operator="notEqual">
      <formula>$L$44</formula>
    </cfRule>
    <cfRule type="cellIs" dxfId="842" priority="32" operator="equal">
      <formula>$L$44</formula>
    </cfRule>
  </conditionalFormatting>
  <conditionalFormatting sqref="M43">
    <cfRule type="cellIs" dxfId="841" priority="29" operator="notEqual">
      <formula>$M$44</formula>
    </cfRule>
    <cfRule type="cellIs" dxfId="840" priority="30" operator="equal">
      <formula>$M$44</formula>
    </cfRule>
  </conditionalFormatting>
  <conditionalFormatting sqref="N43">
    <cfRule type="cellIs" dxfId="839" priority="27" operator="notEqual">
      <formula>$N$44</formula>
    </cfRule>
    <cfRule type="cellIs" dxfId="838" priority="28" operator="equal">
      <formula>$N$44</formula>
    </cfRule>
  </conditionalFormatting>
  <conditionalFormatting sqref="O43">
    <cfRule type="cellIs" dxfId="837" priority="25" operator="notEqual">
      <formula>$O$44</formula>
    </cfRule>
    <cfRule type="cellIs" dxfId="836" priority="26" operator="equal">
      <formula>$O$44</formula>
    </cfRule>
  </conditionalFormatting>
  <conditionalFormatting sqref="P43">
    <cfRule type="cellIs" dxfId="835" priority="23" operator="notEqual">
      <formula>$P$44</formula>
    </cfRule>
    <cfRule type="cellIs" dxfId="834" priority="24" operator="equal">
      <formula>$P$44</formula>
    </cfRule>
  </conditionalFormatting>
  <conditionalFormatting sqref="Q43">
    <cfRule type="cellIs" dxfId="833" priority="21" operator="notEqual">
      <formula>$Q$44</formula>
    </cfRule>
    <cfRule type="cellIs" dxfId="832" priority="22" operator="equal">
      <formula>$Q$44</formula>
    </cfRule>
  </conditionalFormatting>
  <conditionalFormatting sqref="R43">
    <cfRule type="cellIs" dxfId="831" priority="19" operator="notEqual">
      <formula>$R$44</formula>
    </cfRule>
    <cfRule type="cellIs" dxfId="830" priority="20" operator="equal">
      <formula>$R$44</formula>
    </cfRule>
  </conditionalFormatting>
  <conditionalFormatting sqref="S43">
    <cfRule type="cellIs" dxfId="829" priority="17" operator="notEqual">
      <formula>$S$44</formula>
    </cfRule>
    <cfRule type="cellIs" dxfId="828" priority="18" operator="equal">
      <formula>$S$44</formula>
    </cfRule>
  </conditionalFormatting>
  <conditionalFormatting sqref="T43">
    <cfRule type="cellIs" dxfId="827" priority="15" operator="notEqual">
      <formula>$T$44</formula>
    </cfRule>
    <cfRule type="cellIs" dxfId="826" priority="16" operator="equal">
      <formula>$T$44</formula>
    </cfRule>
  </conditionalFormatting>
  <conditionalFormatting sqref="U43">
    <cfRule type="cellIs" dxfId="825" priority="13" operator="notEqual">
      <formula>$U$44</formula>
    </cfRule>
    <cfRule type="cellIs" dxfId="824" priority="14" operator="equal">
      <formula>$U$44</formula>
    </cfRule>
  </conditionalFormatting>
  <conditionalFormatting sqref="V43">
    <cfRule type="cellIs" dxfId="823" priority="11" operator="notEqual">
      <formula>$V$44</formula>
    </cfRule>
    <cfRule type="cellIs" dxfId="822" priority="12" operator="equal">
      <formula>$V$44</formula>
    </cfRule>
  </conditionalFormatting>
  <conditionalFormatting sqref="W43">
    <cfRule type="cellIs" dxfId="821" priority="9" operator="notEqual">
      <formula>$W$44</formula>
    </cfRule>
    <cfRule type="cellIs" dxfId="820" priority="10" operator="equal">
      <formula>$W$44</formula>
    </cfRule>
  </conditionalFormatting>
  <conditionalFormatting sqref="X43">
    <cfRule type="cellIs" dxfId="819" priority="7" operator="notEqual">
      <formula>$X$44</formula>
    </cfRule>
    <cfRule type="cellIs" dxfId="818" priority="8" operator="equal">
      <formula>$X$44</formula>
    </cfRule>
  </conditionalFormatting>
  <conditionalFormatting sqref="Y43">
    <cfRule type="cellIs" dxfId="817" priority="5" operator="notEqual">
      <formula>$Y$44</formula>
    </cfRule>
    <cfRule type="cellIs" dxfId="816" priority="6" operator="equal">
      <formula>$Y$44</formula>
    </cfRule>
  </conditionalFormatting>
  <conditionalFormatting sqref="Z43">
    <cfRule type="cellIs" dxfId="815" priority="3" operator="notEqual">
      <formula>$Z$44</formula>
    </cfRule>
    <cfRule type="cellIs" dxfId="814" priority="4" operator="equal">
      <formula>$Z$44</formula>
    </cfRule>
  </conditionalFormatting>
  <conditionalFormatting sqref="AA43">
    <cfRule type="cellIs" dxfId="813" priority="1" operator="notEqual">
      <formula>$AA$44</formula>
    </cfRule>
    <cfRule type="cellIs" dxfId="812" priority="2" operator="equal">
      <formula>$AA$44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49A31-4630-43EE-A4D4-AFD365CE1DB9}">
  <sheetPr codeName="Planilha14"/>
  <dimension ref="A1:AA49"/>
  <sheetViews>
    <sheetView showGridLines="0" topLeftCell="J28" workbookViewId="0">
      <selection activeCell="AA43" sqref="AA43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0.855468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40" t="s">
        <v>63</v>
      </c>
      <c r="B1" s="140" t="s">
        <v>64</v>
      </c>
      <c r="C1" s="140" t="s">
        <v>65</v>
      </c>
      <c r="D1" s="140" t="s">
        <v>66</v>
      </c>
      <c r="E1" s="140" t="s">
        <v>67</v>
      </c>
      <c r="F1" s="140" t="s">
        <v>15</v>
      </c>
      <c r="G1" s="140" t="s">
        <v>69</v>
      </c>
      <c r="H1" s="140" t="s">
        <v>70</v>
      </c>
      <c r="I1" s="140" t="s">
        <v>488</v>
      </c>
      <c r="J1" s="124"/>
      <c r="L1" s="138" t="s">
        <v>509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</row>
    <row r="2" spans="1:27" ht="11.25" customHeight="1" x14ac:dyDescent="0.25">
      <c r="A2" s="140"/>
      <c r="B2" s="140"/>
      <c r="C2" s="140"/>
      <c r="D2" s="140"/>
      <c r="E2" s="140"/>
      <c r="F2" s="140"/>
      <c r="G2" s="140"/>
      <c r="H2" s="140"/>
      <c r="I2" s="140"/>
      <c r="J2" s="124"/>
      <c r="L2" s="138" t="s">
        <v>427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</row>
    <row r="3" spans="1:27" ht="11.25" customHeight="1" x14ac:dyDescent="0.25">
      <c r="A3" s="140"/>
      <c r="B3" s="140"/>
      <c r="C3" s="140"/>
      <c r="D3" s="140"/>
      <c r="E3" s="140"/>
      <c r="F3" s="140"/>
      <c r="G3" s="140"/>
      <c r="H3" s="140"/>
      <c r="I3" s="140"/>
      <c r="J3" s="124"/>
      <c r="L3" s="138" t="s">
        <v>400</v>
      </c>
      <c r="M3" s="138"/>
      <c r="N3" s="138"/>
      <c r="O3" s="138"/>
      <c r="P3" s="138"/>
      <c r="Q3" s="138" t="s">
        <v>430</v>
      </c>
      <c r="R3" s="138"/>
      <c r="S3" s="138" t="s">
        <v>409</v>
      </c>
      <c r="T3" s="138"/>
      <c r="U3" s="138"/>
      <c r="V3" s="138"/>
      <c r="W3" s="138" t="s">
        <v>419</v>
      </c>
      <c r="X3" s="138"/>
      <c r="Y3" s="138" t="s">
        <v>422</v>
      </c>
      <c r="Z3" s="138"/>
      <c r="AA3" s="138" t="s">
        <v>408</v>
      </c>
    </row>
    <row r="4" spans="1:27" ht="11.25" customHeight="1" x14ac:dyDescent="0.25">
      <c r="A4" s="140"/>
      <c r="B4" s="140"/>
      <c r="C4" s="140"/>
      <c r="D4" s="140"/>
      <c r="E4" s="140"/>
      <c r="F4" s="140"/>
      <c r="G4" s="140"/>
      <c r="H4" s="140"/>
      <c r="I4" s="140"/>
      <c r="J4" s="124"/>
      <c r="L4" s="49" t="s">
        <v>402</v>
      </c>
      <c r="M4" s="49" t="s">
        <v>428</v>
      </c>
      <c r="N4" s="49" t="s">
        <v>429</v>
      </c>
      <c r="O4" s="49" t="s">
        <v>487</v>
      </c>
      <c r="P4" s="49" t="s">
        <v>408</v>
      </c>
      <c r="Q4" s="49" t="s">
        <v>431</v>
      </c>
      <c r="R4" s="49" t="s">
        <v>408</v>
      </c>
      <c r="S4" s="49" t="s">
        <v>432</v>
      </c>
      <c r="T4" s="49" t="s">
        <v>433</v>
      </c>
      <c r="U4" s="49" t="s">
        <v>434</v>
      </c>
      <c r="V4" s="49" t="s">
        <v>408</v>
      </c>
      <c r="W4" s="49" t="s">
        <v>420</v>
      </c>
      <c r="X4" s="49" t="s">
        <v>408</v>
      </c>
      <c r="Y4" s="49" t="s">
        <v>435</v>
      </c>
      <c r="Z4" s="49" t="s">
        <v>408</v>
      </c>
      <c r="AA4" s="139"/>
    </row>
    <row r="5" spans="1:27" ht="11.25" customHeight="1" x14ac:dyDescent="0.25">
      <c r="A5" s="141" t="s">
        <v>33</v>
      </c>
      <c r="B5" s="141" t="s">
        <v>72</v>
      </c>
      <c r="C5" s="141" t="s">
        <v>25</v>
      </c>
      <c r="D5" s="141" t="s">
        <v>25</v>
      </c>
      <c r="E5" s="141" t="s">
        <v>25</v>
      </c>
      <c r="F5" s="141" t="s">
        <v>25</v>
      </c>
      <c r="G5" s="45" t="s">
        <v>74</v>
      </c>
      <c r="H5" s="45" t="s">
        <v>73</v>
      </c>
      <c r="I5" s="45">
        <f>'MERCADO TE'!$U$2</f>
        <v>1862.7550000000001</v>
      </c>
      <c r="J5" s="16"/>
      <c r="L5" s="43">
        <f>'TE BE'!$L$5*'TE BE'!$L$48</f>
        <v>0</v>
      </c>
      <c r="M5" s="43">
        <f>'TE BE'!$M$5*'TE BE'!$M$48</f>
        <v>0</v>
      </c>
      <c r="N5" s="43">
        <f>'TE BE'!$N$5*'TE BE'!$N$48</f>
        <v>0</v>
      </c>
      <c r="O5" s="43">
        <f>'TE BE'!$O$5*'TE BE'!$O$48</f>
        <v>0</v>
      </c>
      <c r="P5" s="43">
        <f>SUM($L$5:$O$5)</f>
        <v>0</v>
      </c>
      <c r="Q5" s="43">
        <f>'TE BE'!$Q$5*'TE BE'!$Q$48</f>
        <v>20.315702906721249</v>
      </c>
      <c r="R5" s="43">
        <f>SUM($Q$5:$Q$5)</f>
        <v>20.315702906721249</v>
      </c>
      <c r="S5" s="43">
        <f>'TE BE'!$S$5*'TE BE'!$S$48</f>
        <v>0</v>
      </c>
      <c r="T5" s="43">
        <f>'TE BE'!$T$5*'TE BE'!$T$48</f>
        <v>0</v>
      </c>
      <c r="U5" s="43">
        <f>'TE BE'!$U$5*'TE BE'!$U$48</f>
        <v>0</v>
      </c>
      <c r="V5" s="43">
        <f>SUM($S$5:$U$5)</f>
        <v>0</v>
      </c>
      <c r="W5" s="43">
        <f>'TE BE'!$AA$5*'TE BE'!$W$48</f>
        <v>-1.8488216877162351</v>
      </c>
      <c r="X5" s="43">
        <f>SUM($W$5:$W$5)</f>
        <v>-1.8488216877162351</v>
      </c>
      <c r="Y5" s="43">
        <f>'TE BE'!$Y$5*'TE BE'!$Y$48</f>
        <v>0</v>
      </c>
      <c r="Z5" s="43">
        <f>SUM($Y$5:$Y$5)</f>
        <v>0</v>
      </c>
      <c r="AA5" s="43">
        <f>SUMIF($L$4:$Z$4,"SUBTOTAL",$L$5:$Z$5)</f>
        <v>18.466881219005014</v>
      </c>
    </row>
    <row r="6" spans="1:27" ht="11.25" customHeight="1" x14ac:dyDescent="0.25">
      <c r="A6" s="141"/>
      <c r="B6" s="141"/>
      <c r="C6" s="141"/>
      <c r="D6" s="141"/>
      <c r="E6" s="141"/>
      <c r="F6" s="141"/>
      <c r="G6" s="45" t="s">
        <v>75</v>
      </c>
      <c r="H6" s="45" t="s">
        <v>73</v>
      </c>
      <c r="I6" s="45">
        <f>'MERCADO TE'!$U$3</f>
        <v>75274.775999999998</v>
      </c>
      <c r="J6" s="16"/>
      <c r="L6" s="43">
        <f>'TE BE'!$L$6*'TE BE'!$L$48</f>
        <v>0</v>
      </c>
      <c r="M6" s="43">
        <f>'TE BE'!$M$6*'TE BE'!$M$48</f>
        <v>0</v>
      </c>
      <c r="N6" s="43">
        <f>'TE BE'!$N$6*'TE BE'!$N$48</f>
        <v>0</v>
      </c>
      <c r="O6" s="43">
        <f>'TE BE'!$O$6*'TE BE'!$O$48</f>
        <v>0</v>
      </c>
      <c r="P6" s="43">
        <f>SUM($L$6:$O$6)</f>
        <v>0</v>
      </c>
      <c r="Q6" s="43">
        <f>'TE BE'!$Q$6*'TE BE'!$Q$48</f>
        <v>20.315702906721249</v>
      </c>
      <c r="R6" s="43">
        <f>SUM($Q$6:$Q$6)</f>
        <v>20.315702906721249</v>
      </c>
      <c r="S6" s="43">
        <f>'TE BE'!$S$6*'TE BE'!$S$48</f>
        <v>0</v>
      </c>
      <c r="T6" s="43">
        <f>'TE BE'!$T$6*'TE BE'!$T$48</f>
        <v>0</v>
      </c>
      <c r="U6" s="43">
        <f>'TE BE'!$U$6*'TE BE'!$U$48</f>
        <v>0</v>
      </c>
      <c r="V6" s="43">
        <f>SUM($S$6:$U$6)</f>
        <v>0</v>
      </c>
      <c r="W6" s="43">
        <f>'TE BE'!$AA$6*'TE BE'!$W$48</f>
        <v>-1.8488216877162351</v>
      </c>
      <c r="X6" s="43">
        <f>SUM($W$6:$W$6)</f>
        <v>-1.8488216877162351</v>
      </c>
      <c r="Y6" s="43">
        <f>'TE BE'!$Y$6*'TE BE'!$Y$48</f>
        <v>0</v>
      </c>
      <c r="Z6" s="43">
        <f>SUM($Y$6:$Y$6)</f>
        <v>0</v>
      </c>
      <c r="AA6" s="43">
        <f>SUMIF($L$4:$Z$4,"SUBTOTAL",$L$6:$Z$6)</f>
        <v>18.466881219005014</v>
      </c>
    </row>
    <row r="7" spans="1:27" ht="11.25" customHeight="1" x14ac:dyDescent="0.25">
      <c r="A7" s="141" t="s">
        <v>22</v>
      </c>
      <c r="B7" s="141" t="s">
        <v>72</v>
      </c>
      <c r="C7" s="141" t="s">
        <v>24</v>
      </c>
      <c r="D7" s="141" t="s">
        <v>24</v>
      </c>
      <c r="E7" s="141" t="s">
        <v>25</v>
      </c>
      <c r="F7" s="141" t="s">
        <v>25</v>
      </c>
      <c r="G7" s="45" t="s">
        <v>74</v>
      </c>
      <c r="H7" s="45" t="s">
        <v>73</v>
      </c>
      <c r="I7" s="45">
        <f>'MERCADO TE'!$U$4</f>
        <v>0</v>
      </c>
      <c r="J7" s="16"/>
      <c r="L7" s="43">
        <f>'TE BE'!$L$7*'TE BE'!$L$48</f>
        <v>0</v>
      </c>
      <c r="M7" s="43">
        <f>'TE BE'!$M$7*'TE BE'!$M$48</f>
        <v>0</v>
      </c>
      <c r="N7" s="43">
        <f>'TE BE'!$N$7*'TE BE'!$N$48</f>
        <v>0</v>
      </c>
      <c r="O7" s="43">
        <f>'TE BE'!$O$7*'TE BE'!$O$48</f>
        <v>0</v>
      </c>
      <c r="P7" s="43">
        <f>SUM($L$7:$O$7)</f>
        <v>0</v>
      </c>
      <c r="Q7" s="43">
        <f>'TE BE'!$Q$7*'TE BE'!$Q$48</f>
        <v>20.315702906721249</v>
      </c>
      <c r="R7" s="43">
        <f>SUM($Q$7:$Q$7)</f>
        <v>20.315702906721249</v>
      </c>
      <c r="S7" s="43">
        <f>'TE BE'!$S$7*'TE BE'!$S$48</f>
        <v>0</v>
      </c>
      <c r="T7" s="43">
        <f>'TE BE'!$T$7*'TE BE'!$T$48</f>
        <v>0</v>
      </c>
      <c r="U7" s="43">
        <f>'TE BE'!$U$7*'TE BE'!$U$48</f>
        <v>0</v>
      </c>
      <c r="V7" s="43">
        <f>SUM($S$7:$U$7)</f>
        <v>0</v>
      </c>
      <c r="W7" s="43">
        <f>'TE BE'!$AA$7*'TE BE'!$W$48</f>
        <v>-1.8488216877162351</v>
      </c>
      <c r="X7" s="43">
        <f>SUM($W$7:$W$7)</f>
        <v>-1.8488216877162351</v>
      </c>
      <c r="Y7" s="43">
        <f>'TE BE'!$Y$7*'TE BE'!$Y$48</f>
        <v>0</v>
      </c>
      <c r="Z7" s="43">
        <f>SUM($Y$7:$Y$7)</f>
        <v>0</v>
      </c>
      <c r="AA7" s="43">
        <f>SUMIF($L$4:$Z$4,"SUBTOTAL",$L$7:$Z$7)</f>
        <v>18.466881219005014</v>
      </c>
    </row>
    <row r="8" spans="1:27" ht="11.25" customHeight="1" x14ac:dyDescent="0.25">
      <c r="A8" s="141"/>
      <c r="B8" s="141"/>
      <c r="C8" s="141"/>
      <c r="D8" s="141"/>
      <c r="E8" s="141"/>
      <c r="F8" s="141"/>
      <c r="G8" s="45" t="s">
        <v>85</v>
      </c>
      <c r="H8" s="45" t="s">
        <v>73</v>
      </c>
      <c r="I8" s="45">
        <f>'MERCADO TE'!$U$5</f>
        <v>0</v>
      </c>
      <c r="J8" s="16"/>
      <c r="L8" s="43">
        <f>'TE BE'!$L$8*'TE BE'!$L$48</f>
        <v>0</v>
      </c>
      <c r="M8" s="43">
        <f>'TE BE'!$M$8*'TE BE'!$M$48</f>
        <v>0</v>
      </c>
      <c r="N8" s="43">
        <f>'TE BE'!$N$8*'TE BE'!$N$48</f>
        <v>0</v>
      </c>
      <c r="O8" s="43">
        <f>'TE BE'!$O$8*'TE BE'!$O$48</f>
        <v>0</v>
      </c>
      <c r="P8" s="43">
        <f>SUM($L$8:$O$8)</f>
        <v>0</v>
      </c>
      <c r="Q8" s="43">
        <f>'TE BE'!$Q$8*'TE BE'!$Q$48</f>
        <v>20.315702906721249</v>
      </c>
      <c r="R8" s="43">
        <f>SUM($Q$8:$Q$8)</f>
        <v>20.315702906721249</v>
      </c>
      <c r="S8" s="43">
        <f>'TE BE'!$S$8*'TE BE'!$S$48</f>
        <v>0</v>
      </c>
      <c r="T8" s="43">
        <f>'TE BE'!$T$8*'TE BE'!$T$48</f>
        <v>0</v>
      </c>
      <c r="U8" s="43">
        <f>'TE BE'!$U$8*'TE BE'!$U$48</f>
        <v>0</v>
      </c>
      <c r="V8" s="43">
        <f>SUM($S$8:$U$8)</f>
        <v>0</v>
      </c>
      <c r="W8" s="43">
        <f>'TE BE'!$AA$8*'TE BE'!$W$48</f>
        <v>-1.8488216877162351</v>
      </c>
      <c r="X8" s="43">
        <f>SUM($W$8:$W$8)</f>
        <v>-1.8488216877162351</v>
      </c>
      <c r="Y8" s="43">
        <f>'TE BE'!$Y$8*'TE BE'!$Y$48</f>
        <v>0</v>
      </c>
      <c r="Z8" s="43">
        <f>SUM($Y$8:$Y$8)</f>
        <v>0</v>
      </c>
      <c r="AA8" s="43">
        <f>SUMIF($L$4:$Z$4,"SUBTOTAL",$L$8:$Z$8)</f>
        <v>18.466881219005014</v>
      </c>
    </row>
    <row r="9" spans="1:27" ht="11.25" customHeight="1" x14ac:dyDescent="0.25">
      <c r="A9" s="141"/>
      <c r="B9" s="141"/>
      <c r="C9" s="141"/>
      <c r="D9" s="141"/>
      <c r="E9" s="141"/>
      <c r="F9" s="141"/>
      <c r="G9" s="45" t="s">
        <v>75</v>
      </c>
      <c r="H9" s="45" t="s">
        <v>73</v>
      </c>
      <c r="I9" s="45">
        <f>'MERCADO TE'!$U$6</f>
        <v>0</v>
      </c>
      <c r="J9" s="16"/>
      <c r="L9" s="43">
        <f>'TE BE'!$L$9*'TE BE'!$L$48</f>
        <v>0</v>
      </c>
      <c r="M9" s="43">
        <f>'TE BE'!$M$9*'TE BE'!$M$48</f>
        <v>0</v>
      </c>
      <c r="N9" s="43">
        <f>'TE BE'!$N$9*'TE BE'!$N$48</f>
        <v>0</v>
      </c>
      <c r="O9" s="43">
        <f>'TE BE'!$O$9*'TE BE'!$O$48</f>
        <v>0</v>
      </c>
      <c r="P9" s="43">
        <f>SUM($L$9:$O$9)</f>
        <v>0</v>
      </c>
      <c r="Q9" s="43">
        <f>'TE BE'!$Q$9*'TE BE'!$Q$48</f>
        <v>20.315702906721249</v>
      </c>
      <c r="R9" s="43">
        <f>SUM($Q$9:$Q$9)</f>
        <v>20.315702906721249</v>
      </c>
      <c r="S9" s="43">
        <f>'TE BE'!$S$9*'TE BE'!$S$48</f>
        <v>0</v>
      </c>
      <c r="T9" s="43">
        <f>'TE BE'!$T$9*'TE BE'!$T$48</f>
        <v>0</v>
      </c>
      <c r="U9" s="43">
        <f>'TE BE'!$U$9*'TE BE'!$U$48</f>
        <v>0</v>
      </c>
      <c r="V9" s="43">
        <f>SUM($S$9:$U$9)</f>
        <v>0</v>
      </c>
      <c r="W9" s="43">
        <f>'TE BE'!$AA$9*'TE BE'!$W$48</f>
        <v>-1.8488216877162351</v>
      </c>
      <c r="X9" s="43">
        <f>SUM($W$9:$W$9)</f>
        <v>-1.8488216877162351</v>
      </c>
      <c r="Y9" s="43">
        <f>'TE BE'!$Y$9*'TE BE'!$Y$48</f>
        <v>0</v>
      </c>
      <c r="Z9" s="43">
        <f>SUM($Y$9:$Y$9)</f>
        <v>0</v>
      </c>
      <c r="AA9" s="43">
        <f>SUMIF($L$4:$Z$4,"SUBTOTAL",$L$9:$Z$9)</f>
        <v>18.466881219005014</v>
      </c>
    </row>
    <row r="10" spans="1:27" ht="11.25" customHeight="1" x14ac:dyDescent="0.25">
      <c r="A10" s="141"/>
      <c r="B10" s="141" t="s">
        <v>86</v>
      </c>
      <c r="C10" s="141" t="s">
        <v>24</v>
      </c>
      <c r="D10" s="51" t="s">
        <v>24</v>
      </c>
      <c r="E10" s="51" t="s">
        <v>25</v>
      </c>
      <c r="F10" s="51" t="s">
        <v>25</v>
      </c>
      <c r="G10" s="45" t="s">
        <v>79</v>
      </c>
      <c r="H10" s="45" t="s">
        <v>73</v>
      </c>
      <c r="I10" s="45">
        <f>'MERCADO TE'!$U$7</f>
        <v>23903.932000000001</v>
      </c>
      <c r="J10" s="16"/>
      <c r="L10" s="43">
        <f>'TE BE'!$L$10*'TE BE'!$L$48</f>
        <v>0</v>
      </c>
      <c r="M10" s="43">
        <f>'TE BE'!$M$10*'TE BE'!$M$48</f>
        <v>0</v>
      </c>
      <c r="N10" s="43">
        <f>'TE BE'!$N$10*'TE BE'!$N$48</f>
        <v>0</v>
      </c>
      <c r="O10" s="43">
        <f>'TE BE'!$O$10*'TE BE'!$O$48</f>
        <v>0</v>
      </c>
      <c r="P10" s="43">
        <f>SUM($L$10:$O$10)</f>
        <v>0</v>
      </c>
      <c r="Q10" s="43">
        <f>'TE BE'!$Q$10*'TE BE'!$Q$48</f>
        <v>20.315702906721249</v>
      </c>
      <c r="R10" s="43">
        <f>SUM($Q$10:$Q$10)</f>
        <v>20.315702906721249</v>
      </c>
      <c r="S10" s="43">
        <f>'TE BE'!$S$10*'TE BE'!$S$48</f>
        <v>0</v>
      </c>
      <c r="T10" s="43">
        <f>'TE BE'!$T$10*'TE BE'!$T$48</f>
        <v>0</v>
      </c>
      <c r="U10" s="43">
        <f>'TE BE'!$U$10*'TE BE'!$U$48</f>
        <v>0</v>
      </c>
      <c r="V10" s="43">
        <f>SUM($S$10:$U$10)</f>
        <v>0</v>
      </c>
      <c r="W10" s="43">
        <f>'TE BE'!$AA$10*'TE BE'!$W$48</f>
        <v>-1.8488216877162351</v>
      </c>
      <c r="X10" s="43">
        <f>SUM($W$10:$W$10)</f>
        <v>-1.8488216877162351</v>
      </c>
      <c r="Y10" s="43">
        <f>'TE BE'!$Y$10*'TE BE'!$Y$48</f>
        <v>0</v>
      </c>
      <c r="Z10" s="43">
        <f>SUM($Y$10:$Y$10)</f>
        <v>0</v>
      </c>
      <c r="AA10" s="43">
        <f>SUMIF($L$4:$Z$4,"SUBTOTAL",$L$10:$Z$10)</f>
        <v>18.466881219005014</v>
      </c>
    </row>
    <row r="11" spans="1:27" ht="11.25" customHeight="1" x14ac:dyDescent="0.25">
      <c r="A11" s="141"/>
      <c r="B11" s="141"/>
      <c r="C11" s="141"/>
      <c r="D11" s="51" t="s">
        <v>29</v>
      </c>
      <c r="E11" s="51" t="s">
        <v>25</v>
      </c>
      <c r="F11" s="51" t="s">
        <v>25</v>
      </c>
      <c r="G11" s="45" t="s">
        <v>79</v>
      </c>
      <c r="H11" s="45" t="s">
        <v>73</v>
      </c>
      <c r="I11" s="45">
        <f>'MERCADO TE'!$U$8</f>
        <v>17.04</v>
      </c>
      <c r="J11" s="16"/>
      <c r="L11" s="43">
        <f>'TE BE'!$L$11*'TE BE'!$L$48</f>
        <v>0</v>
      </c>
      <c r="M11" s="43">
        <f>'TE BE'!$M$11*'TE BE'!$M$48</f>
        <v>0</v>
      </c>
      <c r="N11" s="43">
        <f>'TE BE'!$N$11*'TE BE'!$N$48</f>
        <v>0</v>
      </c>
      <c r="O11" s="43">
        <f>'TE BE'!$O$11*'TE BE'!$O$48</f>
        <v>0</v>
      </c>
      <c r="P11" s="43">
        <f>SUM($L$11:$O$11)</f>
        <v>0</v>
      </c>
      <c r="Q11" s="43">
        <f>'TE BE'!$Q$11*'TE BE'!$Q$48</f>
        <v>20.315702906721249</v>
      </c>
      <c r="R11" s="43">
        <f>SUM($Q$11:$Q$11)</f>
        <v>20.315702906721249</v>
      </c>
      <c r="S11" s="43">
        <f>'TE BE'!$S$11*'TE BE'!$S$48</f>
        <v>0</v>
      </c>
      <c r="T11" s="43">
        <f>'TE BE'!$T$11*'TE BE'!$T$48</f>
        <v>0</v>
      </c>
      <c r="U11" s="43">
        <f>'TE BE'!$U$11*'TE BE'!$U$48</f>
        <v>0</v>
      </c>
      <c r="V11" s="43">
        <f>SUM($S$11:$U$11)</f>
        <v>0</v>
      </c>
      <c r="W11" s="43">
        <f>'TE BE'!$AA$11*'TE BE'!$W$48</f>
        <v>-1.8488216877162351</v>
      </c>
      <c r="X11" s="43">
        <f>SUM($W$11:$W$11)</f>
        <v>-1.8488216877162351</v>
      </c>
      <c r="Y11" s="43">
        <f>'TE BE'!$Y$11*'TE BE'!$Y$48</f>
        <v>0</v>
      </c>
      <c r="Z11" s="43">
        <f>SUM($Y$11:$Y$11)</f>
        <v>0</v>
      </c>
      <c r="AA11" s="43">
        <f>SUMIF($L$4:$Z$4,"SUBTOTAL",$L$11:$Z$11)</f>
        <v>18.466881219005014</v>
      </c>
    </row>
    <row r="12" spans="1:27" ht="11.25" customHeight="1" x14ac:dyDescent="0.25">
      <c r="A12" s="141"/>
      <c r="B12" s="141"/>
      <c r="C12" s="141"/>
      <c r="D12" s="51" t="s">
        <v>30</v>
      </c>
      <c r="E12" s="51" t="s">
        <v>25</v>
      </c>
      <c r="F12" s="51" t="s">
        <v>25</v>
      </c>
      <c r="G12" s="45" t="s">
        <v>79</v>
      </c>
      <c r="H12" s="45" t="s">
        <v>73</v>
      </c>
      <c r="I12" s="45">
        <f>'MERCADO TE'!$U$9</f>
        <v>36.048999999999999</v>
      </c>
      <c r="J12" s="16"/>
      <c r="L12" s="43">
        <f>'TE BE'!$L$12*'TE BE'!$L$48</f>
        <v>0</v>
      </c>
      <c r="M12" s="43">
        <f>'TE BE'!$M$12*'TE BE'!$M$48</f>
        <v>0</v>
      </c>
      <c r="N12" s="43">
        <f>'TE BE'!$N$12*'TE BE'!$N$48</f>
        <v>0</v>
      </c>
      <c r="O12" s="43">
        <f>'TE BE'!$O$12*'TE BE'!$O$48</f>
        <v>0</v>
      </c>
      <c r="P12" s="43">
        <f>SUM($L$12:$O$12)</f>
        <v>0</v>
      </c>
      <c r="Q12" s="43">
        <f>'TE BE'!$Q$12*'TE BE'!$Q$48</f>
        <v>20.315702906721249</v>
      </c>
      <c r="R12" s="43">
        <f>SUM($Q$12:$Q$12)</f>
        <v>20.315702906721249</v>
      </c>
      <c r="S12" s="43">
        <f>'TE BE'!$S$12*'TE BE'!$S$48</f>
        <v>0</v>
      </c>
      <c r="T12" s="43">
        <f>'TE BE'!$T$12*'TE BE'!$T$48</f>
        <v>0</v>
      </c>
      <c r="U12" s="43">
        <f>'TE BE'!$U$12*'TE BE'!$U$48</f>
        <v>0</v>
      </c>
      <c r="V12" s="43">
        <f>SUM($S$12:$U$12)</f>
        <v>0</v>
      </c>
      <c r="W12" s="43">
        <f>'TE BE'!$AA$12*'TE BE'!$W$48</f>
        <v>-1.8488216877162351</v>
      </c>
      <c r="X12" s="43">
        <f>SUM($W$12:$W$12)</f>
        <v>-1.8488216877162351</v>
      </c>
      <c r="Y12" s="43">
        <f>'TE BE'!$Y$12*'TE BE'!$Y$48</f>
        <v>0</v>
      </c>
      <c r="Z12" s="43">
        <f>SUM($Y$12:$Y$12)</f>
        <v>0</v>
      </c>
      <c r="AA12" s="43">
        <f>SUMIF($L$4:$Z$4,"SUBTOTAL",$L$12:$Z$12)</f>
        <v>18.466881219005014</v>
      </c>
    </row>
    <row r="13" spans="1:27" ht="11.25" customHeight="1" x14ac:dyDescent="0.25">
      <c r="A13" s="141"/>
      <c r="B13" s="141"/>
      <c r="C13" s="141"/>
      <c r="D13" s="51" t="s">
        <v>31</v>
      </c>
      <c r="E13" s="51" t="s">
        <v>25</v>
      </c>
      <c r="F13" s="51" t="s">
        <v>25</v>
      </c>
      <c r="G13" s="45" t="s">
        <v>79</v>
      </c>
      <c r="H13" s="45" t="s">
        <v>73</v>
      </c>
      <c r="I13" s="45">
        <f>'MERCADO TE'!$U$10</f>
        <v>32.835000000000001</v>
      </c>
      <c r="J13" s="16"/>
      <c r="L13" s="43">
        <f>'TE BE'!$L$13*'TE BE'!$L$48</f>
        <v>0</v>
      </c>
      <c r="M13" s="43">
        <f>'TE BE'!$M$13*'TE BE'!$M$48</f>
        <v>0</v>
      </c>
      <c r="N13" s="43">
        <f>'TE BE'!$N$13*'TE BE'!$N$48</f>
        <v>0</v>
      </c>
      <c r="O13" s="43">
        <f>'TE BE'!$O$13*'TE BE'!$O$48</f>
        <v>0</v>
      </c>
      <c r="P13" s="43">
        <f>SUM($L$13:$O$13)</f>
        <v>0</v>
      </c>
      <c r="Q13" s="43">
        <f>'TE BE'!$Q$13*'TE BE'!$Q$48</f>
        <v>20.315702906721249</v>
      </c>
      <c r="R13" s="43">
        <f>SUM($Q$13:$Q$13)</f>
        <v>20.315702906721249</v>
      </c>
      <c r="S13" s="43">
        <f>'TE BE'!$S$13*'TE BE'!$S$48</f>
        <v>0</v>
      </c>
      <c r="T13" s="43">
        <f>'TE BE'!$T$13*'TE BE'!$T$48</f>
        <v>0</v>
      </c>
      <c r="U13" s="43">
        <f>'TE BE'!$U$13*'TE BE'!$U$48</f>
        <v>0</v>
      </c>
      <c r="V13" s="43">
        <f>SUM($S$13:$U$13)</f>
        <v>0</v>
      </c>
      <c r="W13" s="43">
        <f>'TE BE'!$AA$13*'TE BE'!$W$48</f>
        <v>-1.8488216877162351</v>
      </c>
      <c r="X13" s="43">
        <f>SUM($W$13:$W$13)</f>
        <v>-1.8488216877162351</v>
      </c>
      <c r="Y13" s="43">
        <f>'TE BE'!$Y$13*'TE BE'!$Y$48</f>
        <v>0</v>
      </c>
      <c r="Z13" s="43">
        <f>SUM($Y$13:$Y$13)</f>
        <v>0</v>
      </c>
      <c r="AA13" s="43">
        <f>SUMIF($L$4:$Z$4,"SUBTOTAL",$L$13:$Z$13)</f>
        <v>18.466881219005014</v>
      </c>
    </row>
    <row r="14" spans="1:27" ht="11.25" customHeight="1" x14ac:dyDescent="0.25">
      <c r="A14" s="141"/>
      <c r="B14" s="141"/>
      <c r="C14" s="141"/>
      <c r="D14" s="51" t="s">
        <v>32</v>
      </c>
      <c r="E14" s="51" t="s">
        <v>25</v>
      </c>
      <c r="F14" s="51" t="s">
        <v>25</v>
      </c>
      <c r="G14" s="45" t="s">
        <v>79</v>
      </c>
      <c r="H14" s="45" t="s">
        <v>73</v>
      </c>
      <c r="I14" s="45">
        <f>'MERCADO TE'!$U$11</f>
        <v>10.568</v>
      </c>
      <c r="J14" s="16"/>
      <c r="L14" s="43">
        <f>'TE BE'!$L$14*'TE BE'!$L$48</f>
        <v>0</v>
      </c>
      <c r="M14" s="43">
        <f>'TE BE'!$M$14*'TE BE'!$M$48</f>
        <v>0</v>
      </c>
      <c r="N14" s="43">
        <f>'TE BE'!$N$14*'TE BE'!$N$48</f>
        <v>0</v>
      </c>
      <c r="O14" s="43">
        <f>'TE BE'!$O$14*'TE BE'!$O$48</f>
        <v>0</v>
      </c>
      <c r="P14" s="43">
        <f>SUM($L$14:$O$14)</f>
        <v>0</v>
      </c>
      <c r="Q14" s="43">
        <f>'TE BE'!$Q$14*'TE BE'!$Q$48</f>
        <v>20.315702906721249</v>
      </c>
      <c r="R14" s="43">
        <f>SUM($Q$14:$Q$14)</f>
        <v>20.315702906721249</v>
      </c>
      <c r="S14" s="43">
        <f>'TE BE'!$S$14*'TE BE'!$S$48</f>
        <v>0</v>
      </c>
      <c r="T14" s="43">
        <f>'TE BE'!$T$14*'TE BE'!$T$48</f>
        <v>0</v>
      </c>
      <c r="U14" s="43">
        <f>'TE BE'!$U$14*'TE BE'!$U$48</f>
        <v>0</v>
      </c>
      <c r="V14" s="43">
        <f>SUM($S$14:$U$14)</f>
        <v>0</v>
      </c>
      <c r="W14" s="43">
        <f>'TE BE'!$AA$14*'TE BE'!$W$48</f>
        <v>-1.8488216877162351</v>
      </c>
      <c r="X14" s="43">
        <f>SUM($W$14:$W$14)</f>
        <v>-1.8488216877162351</v>
      </c>
      <c r="Y14" s="43">
        <f>'TE BE'!$Y$14*'TE BE'!$Y$48</f>
        <v>0</v>
      </c>
      <c r="Z14" s="43">
        <f>SUM($Y$14:$Y$14)</f>
        <v>0</v>
      </c>
      <c r="AA14" s="43">
        <f>SUMIF($L$4:$Z$4,"SUBTOTAL",$L$14:$Z$14)</f>
        <v>18.466881219005014</v>
      </c>
    </row>
    <row r="15" spans="1:27" ht="11.25" customHeight="1" x14ac:dyDescent="0.25">
      <c r="A15" s="141"/>
      <c r="B15" s="141" t="s">
        <v>88</v>
      </c>
      <c r="C15" s="141" t="s">
        <v>24</v>
      </c>
      <c r="D15" s="51" t="s">
        <v>24</v>
      </c>
      <c r="E15" s="51" t="s">
        <v>25</v>
      </c>
      <c r="F15" s="51" t="s">
        <v>25</v>
      </c>
      <c r="G15" s="45" t="s">
        <v>79</v>
      </c>
      <c r="H15" s="45" t="s">
        <v>73</v>
      </c>
      <c r="I15" s="45">
        <f>'MERCADO TE'!$U$12</f>
        <v>0</v>
      </c>
      <c r="J15" s="16"/>
      <c r="L15" s="43">
        <f>'TE BE'!$L$15*'TE BE'!$L$48</f>
        <v>0</v>
      </c>
      <c r="M15" s="43">
        <f>'TE BE'!$M$15*'TE BE'!$M$48</f>
        <v>0</v>
      </c>
      <c r="N15" s="43">
        <f>'TE BE'!$N$15*'TE BE'!$N$48</f>
        <v>0</v>
      </c>
      <c r="O15" s="43">
        <f>'TE BE'!$O$15*'TE BE'!$O$48</f>
        <v>0</v>
      </c>
      <c r="P15" s="43">
        <f>SUM($L$15:$O$15)</f>
        <v>0</v>
      </c>
      <c r="Q15" s="43">
        <f>'TE BE'!$Q$15*'TE BE'!$Q$48</f>
        <v>20.315702906721249</v>
      </c>
      <c r="R15" s="43">
        <f>SUM($Q$15:$Q$15)</f>
        <v>20.315702906721249</v>
      </c>
      <c r="S15" s="43">
        <f>'TE BE'!$S$15*'TE BE'!$S$48</f>
        <v>0</v>
      </c>
      <c r="T15" s="43">
        <f>'TE BE'!$T$15*'TE BE'!$T$48</f>
        <v>0</v>
      </c>
      <c r="U15" s="43">
        <f>'TE BE'!$U$15*'TE BE'!$U$48</f>
        <v>0</v>
      </c>
      <c r="V15" s="43">
        <f>SUM($S$15:$U$15)</f>
        <v>0</v>
      </c>
      <c r="W15" s="43">
        <f>'TE BE'!$AA$15*'TE BE'!$W$48</f>
        <v>-1.8488216877162351</v>
      </c>
      <c r="X15" s="43">
        <f>SUM($W$15:$W$15)</f>
        <v>-1.8488216877162351</v>
      </c>
      <c r="Y15" s="43">
        <f>'TE BE'!$Y$15*'TE BE'!$Y$48</f>
        <v>0</v>
      </c>
      <c r="Z15" s="43">
        <f>SUM($Y$15:$Y$15)</f>
        <v>0</v>
      </c>
      <c r="AA15" s="43">
        <f>SUMIF($L$4:$Z$4,"SUBTOTAL",$L$15:$Z$15)</f>
        <v>18.466881219005014</v>
      </c>
    </row>
    <row r="16" spans="1:27" ht="11.25" customHeight="1" x14ac:dyDescent="0.25">
      <c r="A16" s="141"/>
      <c r="B16" s="141"/>
      <c r="C16" s="141"/>
      <c r="D16" s="51" t="s">
        <v>29</v>
      </c>
      <c r="E16" s="51" t="s">
        <v>25</v>
      </c>
      <c r="F16" s="51" t="s">
        <v>25</v>
      </c>
      <c r="G16" s="45" t="s">
        <v>79</v>
      </c>
      <c r="H16" s="45" t="s">
        <v>73</v>
      </c>
      <c r="I16" s="45">
        <f>'MERCADO TE'!$U$13</f>
        <v>0</v>
      </c>
      <c r="J16" s="16"/>
      <c r="L16" s="43">
        <f>'TE BE'!$L$16*'TE BE'!$L$48</f>
        <v>0</v>
      </c>
      <c r="M16" s="43">
        <f>'TE BE'!$M$16*'TE BE'!$M$48</f>
        <v>0</v>
      </c>
      <c r="N16" s="43">
        <f>'TE BE'!$N$16*'TE BE'!$N$48</f>
        <v>0</v>
      </c>
      <c r="O16" s="43">
        <f>'TE BE'!$O$16*'TE BE'!$O$48</f>
        <v>0</v>
      </c>
      <c r="P16" s="43">
        <f>SUM($L$16:$O$16)</f>
        <v>0</v>
      </c>
      <c r="Q16" s="43">
        <f>'TE BE'!$Q$16*'TE BE'!$Q$48</f>
        <v>20.315702906721249</v>
      </c>
      <c r="R16" s="43">
        <f>SUM($Q$16:$Q$16)</f>
        <v>20.315702906721249</v>
      </c>
      <c r="S16" s="43">
        <f>'TE BE'!$S$16*'TE BE'!$S$48</f>
        <v>0</v>
      </c>
      <c r="T16" s="43">
        <f>'TE BE'!$T$16*'TE BE'!$T$48</f>
        <v>0</v>
      </c>
      <c r="U16" s="43">
        <f>'TE BE'!$U$16*'TE BE'!$U$48</f>
        <v>0</v>
      </c>
      <c r="V16" s="43">
        <f>SUM($S$16:$U$16)</f>
        <v>0</v>
      </c>
      <c r="W16" s="43">
        <f>'TE BE'!$AA$16*'TE BE'!$W$48</f>
        <v>-1.8488216877162351</v>
      </c>
      <c r="X16" s="43">
        <f>SUM($W$16:$W$16)</f>
        <v>-1.8488216877162351</v>
      </c>
      <c r="Y16" s="43">
        <f>'TE BE'!$Y$16*'TE BE'!$Y$48</f>
        <v>0</v>
      </c>
      <c r="Z16" s="43">
        <f>SUM($Y$16:$Y$16)</f>
        <v>0</v>
      </c>
      <c r="AA16" s="43">
        <f>SUMIF($L$4:$Z$4,"SUBTOTAL",$L$16:$Z$16)</f>
        <v>18.466881219005014</v>
      </c>
    </row>
    <row r="17" spans="1:27" ht="11.25" customHeight="1" x14ac:dyDescent="0.25">
      <c r="A17" s="141"/>
      <c r="B17" s="141"/>
      <c r="C17" s="141"/>
      <c r="D17" s="51" t="s">
        <v>30</v>
      </c>
      <c r="E17" s="51" t="s">
        <v>25</v>
      </c>
      <c r="F17" s="51" t="s">
        <v>25</v>
      </c>
      <c r="G17" s="45" t="s">
        <v>79</v>
      </c>
      <c r="H17" s="45" t="s">
        <v>73</v>
      </c>
      <c r="I17" s="45">
        <f>'MERCADO TE'!$U$14</f>
        <v>0</v>
      </c>
      <c r="J17" s="16"/>
      <c r="L17" s="43">
        <f>'TE BE'!$L$17*'TE BE'!$L$48</f>
        <v>0</v>
      </c>
      <c r="M17" s="43">
        <f>'TE BE'!$M$17*'TE BE'!$M$48</f>
        <v>0</v>
      </c>
      <c r="N17" s="43">
        <f>'TE BE'!$N$17*'TE BE'!$N$48</f>
        <v>0</v>
      </c>
      <c r="O17" s="43">
        <f>'TE BE'!$O$17*'TE BE'!$O$48</f>
        <v>0</v>
      </c>
      <c r="P17" s="43">
        <f>SUM($L$17:$O$17)</f>
        <v>0</v>
      </c>
      <c r="Q17" s="43">
        <f>'TE BE'!$Q$17*'TE BE'!$Q$48</f>
        <v>20.315702906721249</v>
      </c>
      <c r="R17" s="43">
        <f>SUM($Q$17:$Q$17)</f>
        <v>20.315702906721249</v>
      </c>
      <c r="S17" s="43">
        <f>'TE BE'!$S$17*'TE BE'!$S$48</f>
        <v>0</v>
      </c>
      <c r="T17" s="43">
        <f>'TE BE'!$T$17*'TE BE'!$T$48</f>
        <v>0</v>
      </c>
      <c r="U17" s="43">
        <f>'TE BE'!$U$17*'TE BE'!$U$48</f>
        <v>0</v>
      </c>
      <c r="V17" s="43">
        <f>SUM($S$17:$U$17)</f>
        <v>0</v>
      </c>
      <c r="W17" s="43">
        <f>'TE BE'!$AA$17*'TE BE'!$W$48</f>
        <v>-1.8488216877162351</v>
      </c>
      <c r="X17" s="43">
        <f>SUM($W$17:$W$17)</f>
        <v>-1.8488216877162351</v>
      </c>
      <c r="Y17" s="43">
        <f>'TE BE'!$Y$17*'TE BE'!$Y$48</f>
        <v>0</v>
      </c>
      <c r="Z17" s="43">
        <f>SUM($Y$17:$Y$17)</f>
        <v>0</v>
      </c>
      <c r="AA17" s="43">
        <f>SUMIF($L$4:$Z$4,"SUBTOTAL",$L$17:$Z$17)</f>
        <v>18.466881219005014</v>
      </c>
    </row>
    <row r="18" spans="1:27" ht="11.25" customHeight="1" x14ac:dyDescent="0.25">
      <c r="A18" s="141"/>
      <c r="B18" s="141"/>
      <c r="C18" s="141"/>
      <c r="D18" s="51" t="s">
        <v>31</v>
      </c>
      <c r="E18" s="51" t="s">
        <v>25</v>
      </c>
      <c r="F18" s="51" t="s">
        <v>25</v>
      </c>
      <c r="G18" s="45" t="s">
        <v>79</v>
      </c>
      <c r="H18" s="45" t="s">
        <v>73</v>
      </c>
      <c r="I18" s="45">
        <f>'MERCADO TE'!$U$15</f>
        <v>0</v>
      </c>
      <c r="J18" s="16"/>
      <c r="L18" s="43">
        <f>'TE BE'!$L$18*'TE BE'!$L$48</f>
        <v>0</v>
      </c>
      <c r="M18" s="43">
        <f>'TE BE'!$M$18*'TE BE'!$M$48</f>
        <v>0</v>
      </c>
      <c r="N18" s="43">
        <f>'TE BE'!$N$18*'TE BE'!$N$48</f>
        <v>0</v>
      </c>
      <c r="O18" s="43">
        <f>'TE BE'!$O$18*'TE BE'!$O$48</f>
        <v>0</v>
      </c>
      <c r="P18" s="43">
        <f>SUM($L$18:$O$18)</f>
        <v>0</v>
      </c>
      <c r="Q18" s="43">
        <f>'TE BE'!$Q$18*'TE BE'!$Q$48</f>
        <v>20.315702906721249</v>
      </c>
      <c r="R18" s="43">
        <f>SUM($Q$18:$Q$18)</f>
        <v>20.315702906721249</v>
      </c>
      <c r="S18" s="43">
        <f>'TE BE'!$S$18*'TE BE'!$S$48</f>
        <v>0</v>
      </c>
      <c r="T18" s="43">
        <f>'TE BE'!$T$18*'TE BE'!$T$48</f>
        <v>0</v>
      </c>
      <c r="U18" s="43">
        <f>'TE BE'!$U$18*'TE BE'!$U$48</f>
        <v>0</v>
      </c>
      <c r="V18" s="43">
        <f>SUM($S$18:$U$18)</f>
        <v>0</v>
      </c>
      <c r="W18" s="43">
        <f>'TE BE'!$AA$18*'TE BE'!$W$48</f>
        <v>-1.8488216877162351</v>
      </c>
      <c r="X18" s="43">
        <f>SUM($W$18:$W$18)</f>
        <v>-1.8488216877162351</v>
      </c>
      <c r="Y18" s="43">
        <f>'TE BE'!$Y$18*'TE BE'!$Y$48</f>
        <v>0</v>
      </c>
      <c r="Z18" s="43">
        <f>SUM($Y$18:$Y$18)</f>
        <v>0</v>
      </c>
      <c r="AA18" s="43">
        <f>SUMIF($L$4:$Z$4,"SUBTOTAL",$L$18:$Z$18)</f>
        <v>18.466881219005014</v>
      </c>
    </row>
    <row r="19" spans="1:27" ht="11.25" customHeight="1" x14ac:dyDescent="0.25">
      <c r="A19" s="141"/>
      <c r="B19" s="141"/>
      <c r="C19" s="141"/>
      <c r="D19" s="51" t="s">
        <v>32</v>
      </c>
      <c r="E19" s="51" t="s">
        <v>25</v>
      </c>
      <c r="F19" s="51" t="s">
        <v>25</v>
      </c>
      <c r="G19" s="45" t="s">
        <v>79</v>
      </c>
      <c r="H19" s="45" t="s">
        <v>73</v>
      </c>
      <c r="I19" s="45">
        <f>'MERCADO TE'!$U$16</f>
        <v>0</v>
      </c>
      <c r="J19" s="16"/>
      <c r="L19" s="43">
        <f>'TE BE'!$L$19*'TE BE'!$L$48</f>
        <v>0</v>
      </c>
      <c r="M19" s="43">
        <f>'TE BE'!$M$19*'TE BE'!$M$48</f>
        <v>0</v>
      </c>
      <c r="N19" s="43">
        <f>'TE BE'!$N$19*'TE BE'!$N$48</f>
        <v>0</v>
      </c>
      <c r="O19" s="43">
        <f>'TE BE'!$O$19*'TE BE'!$O$48</f>
        <v>0</v>
      </c>
      <c r="P19" s="43">
        <f>SUM($L$19:$O$19)</f>
        <v>0</v>
      </c>
      <c r="Q19" s="43">
        <f>'TE BE'!$Q$19*'TE BE'!$Q$48</f>
        <v>20.315702906721249</v>
      </c>
      <c r="R19" s="43">
        <f>SUM($Q$19:$Q$19)</f>
        <v>20.315702906721249</v>
      </c>
      <c r="S19" s="43">
        <f>'TE BE'!$S$19*'TE BE'!$S$48</f>
        <v>0</v>
      </c>
      <c r="T19" s="43">
        <f>'TE BE'!$T$19*'TE BE'!$T$48</f>
        <v>0</v>
      </c>
      <c r="U19" s="43">
        <f>'TE BE'!$U$19*'TE BE'!$U$48</f>
        <v>0</v>
      </c>
      <c r="V19" s="43">
        <f>SUM($S$19:$U$19)</f>
        <v>0</v>
      </c>
      <c r="W19" s="43">
        <f>'TE BE'!$AA$19*'TE BE'!$W$48</f>
        <v>-1.8488216877162351</v>
      </c>
      <c r="X19" s="43">
        <f>SUM($W$19:$W$19)</f>
        <v>-1.8488216877162351</v>
      </c>
      <c r="Y19" s="43">
        <f>'TE BE'!$Y$19*'TE BE'!$Y$48</f>
        <v>0</v>
      </c>
      <c r="Z19" s="43">
        <f>SUM($Y$19:$Y$19)</f>
        <v>0</v>
      </c>
      <c r="AA19" s="43">
        <f>SUMIF($L$4:$Z$4,"SUBTOTAL",$L$19:$Z$19)</f>
        <v>18.466881219005014</v>
      </c>
    </row>
    <row r="20" spans="1:27" ht="11.25" customHeight="1" x14ac:dyDescent="0.25">
      <c r="A20" s="141" t="s">
        <v>40</v>
      </c>
      <c r="B20" s="141" t="s">
        <v>72</v>
      </c>
      <c r="C20" s="141" t="s">
        <v>41</v>
      </c>
      <c r="D20" s="141" t="s">
        <v>25</v>
      </c>
      <c r="E20" s="141" t="s">
        <v>25</v>
      </c>
      <c r="F20" s="141" t="s">
        <v>25</v>
      </c>
      <c r="G20" s="45" t="s">
        <v>74</v>
      </c>
      <c r="H20" s="45" t="s">
        <v>73</v>
      </c>
      <c r="I20" s="45">
        <f>'MERCADO TE'!$U$17</f>
        <v>0</v>
      </c>
      <c r="J20" s="16"/>
      <c r="L20" s="43">
        <f>'TE BE'!$L$20*'TE BE'!$L$48</f>
        <v>0</v>
      </c>
      <c r="M20" s="43">
        <f>'TE BE'!$M$20*'TE BE'!$M$48</f>
        <v>0</v>
      </c>
      <c r="N20" s="43">
        <f>'TE BE'!$N$20*'TE BE'!$N$48</f>
        <v>0</v>
      </c>
      <c r="O20" s="43">
        <f>'TE BE'!$O$20*'TE BE'!$O$48</f>
        <v>0</v>
      </c>
      <c r="P20" s="43">
        <f>SUM($L$20:$O$20)</f>
        <v>0</v>
      </c>
      <c r="Q20" s="43">
        <f>'TE BE'!$Q$20*'TE BE'!$Q$48</f>
        <v>20.315702906721249</v>
      </c>
      <c r="R20" s="43">
        <f>SUM($Q$20:$Q$20)</f>
        <v>20.315702906721249</v>
      </c>
      <c r="S20" s="43">
        <f>'TE BE'!$S$20*'TE BE'!$S$48</f>
        <v>0</v>
      </c>
      <c r="T20" s="43">
        <f>'TE BE'!$T$20*'TE BE'!$T$48</f>
        <v>0</v>
      </c>
      <c r="U20" s="43">
        <f>'TE BE'!$U$20*'TE BE'!$U$48</f>
        <v>0</v>
      </c>
      <c r="V20" s="43">
        <f>SUM($S$20:$U$20)</f>
        <v>0</v>
      </c>
      <c r="W20" s="43">
        <f>'TE BE'!$AA$20*'TE BE'!$W$48</f>
        <v>-1.8488216877162351</v>
      </c>
      <c r="X20" s="43">
        <f>SUM($W$20:$W$20)</f>
        <v>-1.8488216877162351</v>
      </c>
      <c r="Y20" s="43">
        <f>'TE BE'!$Y$20*'TE BE'!$Y$48</f>
        <v>0</v>
      </c>
      <c r="Z20" s="43">
        <f>SUM($Y$20:$Y$20)</f>
        <v>0</v>
      </c>
      <c r="AA20" s="43">
        <f>SUMIF($L$4:$Z$4,"SUBTOTAL",$L$20:$Z$20)</f>
        <v>18.466881219005014</v>
      </c>
    </row>
    <row r="21" spans="1:27" ht="11.25" customHeight="1" x14ac:dyDescent="0.25">
      <c r="A21" s="141"/>
      <c r="B21" s="141"/>
      <c r="C21" s="141"/>
      <c r="D21" s="141"/>
      <c r="E21" s="141"/>
      <c r="F21" s="141"/>
      <c r="G21" s="45" t="s">
        <v>85</v>
      </c>
      <c r="H21" s="45" t="s">
        <v>73</v>
      </c>
      <c r="I21" s="45">
        <f>'MERCADO TE'!$U$18</f>
        <v>0</v>
      </c>
      <c r="J21" s="16"/>
      <c r="L21" s="43">
        <f>'TE BE'!$L$21*'TE BE'!$L$48</f>
        <v>0</v>
      </c>
      <c r="M21" s="43">
        <f>'TE BE'!$M$21*'TE BE'!$M$48</f>
        <v>0</v>
      </c>
      <c r="N21" s="43">
        <f>'TE BE'!$N$21*'TE BE'!$N$48</f>
        <v>0</v>
      </c>
      <c r="O21" s="43">
        <f>'TE BE'!$O$21*'TE BE'!$O$48</f>
        <v>0</v>
      </c>
      <c r="P21" s="43">
        <f>SUM($L$21:$O$21)</f>
        <v>0</v>
      </c>
      <c r="Q21" s="43">
        <f>'TE BE'!$Q$21*'TE BE'!$Q$48</f>
        <v>20.315702906721249</v>
      </c>
      <c r="R21" s="43">
        <f>SUM($Q$21:$Q$21)</f>
        <v>20.315702906721249</v>
      </c>
      <c r="S21" s="43">
        <f>'TE BE'!$S$21*'TE BE'!$S$48</f>
        <v>0</v>
      </c>
      <c r="T21" s="43">
        <f>'TE BE'!$T$21*'TE BE'!$T$48</f>
        <v>0</v>
      </c>
      <c r="U21" s="43">
        <f>'TE BE'!$U$21*'TE BE'!$U$48</f>
        <v>0</v>
      </c>
      <c r="V21" s="43">
        <f>SUM($S$21:$U$21)</f>
        <v>0</v>
      </c>
      <c r="W21" s="43">
        <f>'TE BE'!$AA$21*'TE BE'!$W$48</f>
        <v>-1.8488216877162351</v>
      </c>
      <c r="X21" s="43">
        <f>SUM($W$21:$W$21)</f>
        <v>-1.8488216877162351</v>
      </c>
      <c r="Y21" s="43">
        <f>'TE BE'!$Y$21*'TE BE'!$Y$48</f>
        <v>0</v>
      </c>
      <c r="Z21" s="43">
        <f>SUM($Y$21:$Y$21)</f>
        <v>0</v>
      </c>
      <c r="AA21" s="43">
        <f>SUMIF($L$4:$Z$4,"SUBTOTAL",$L$21:$Z$21)</f>
        <v>18.466881219005014</v>
      </c>
    </row>
    <row r="22" spans="1:27" ht="11.25" customHeight="1" x14ac:dyDescent="0.25">
      <c r="A22" s="141"/>
      <c r="B22" s="141"/>
      <c r="C22" s="141"/>
      <c r="D22" s="141"/>
      <c r="E22" s="141"/>
      <c r="F22" s="141"/>
      <c r="G22" s="45" t="s">
        <v>75</v>
      </c>
      <c r="H22" s="45" t="s">
        <v>73</v>
      </c>
      <c r="I22" s="45">
        <f>'MERCADO TE'!$U$19</f>
        <v>0</v>
      </c>
      <c r="J22" s="16"/>
      <c r="L22" s="43">
        <f>'TE BE'!$L$22*'TE BE'!$L$48</f>
        <v>0</v>
      </c>
      <c r="M22" s="43">
        <f>'TE BE'!$M$22*'TE BE'!$M$48</f>
        <v>0</v>
      </c>
      <c r="N22" s="43">
        <f>'TE BE'!$N$22*'TE BE'!$N$48</f>
        <v>0</v>
      </c>
      <c r="O22" s="43">
        <f>'TE BE'!$O$22*'TE BE'!$O$48</f>
        <v>0</v>
      </c>
      <c r="P22" s="43">
        <f>SUM($L$22:$O$22)</f>
        <v>0</v>
      </c>
      <c r="Q22" s="43">
        <f>'TE BE'!$Q$22*'TE BE'!$Q$48</f>
        <v>20.315702906721249</v>
      </c>
      <c r="R22" s="43">
        <f>SUM($Q$22:$Q$22)</f>
        <v>20.315702906721249</v>
      </c>
      <c r="S22" s="43">
        <f>'TE BE'!$S$22*'TE BE'!$S$48</f>
        <v>0</v>
      </c>
      <c r="T22" s="43">
        <f>'TE BE'!$T$22*'TE BE'!$T$48</f>
        <v>0</v>
      </c>
      <c r="U22" s="43">
        <f>'TE BE'!$U$22*'TE BE'!$U$48</f>
        <v>0</v>
      </c>
      <c r="V22" s="43">
        <f>SUM($S$22:$U$22)</f>
        <v>0</v>
      </c>
      <c r="W22" s="43">
        <f>'TE BE'!$AA$22*'TE BE'!$W$48</f>
        <v>-1.8488216877162351</v>
      </c>
      <c r="X22" s="43">
        <f>SUM($W$22:$W$22)</f>
        <v>-1.8488216877162351</v>
      </c>
      <c r="Y22" s="43">
        <f>'TE BE'!$Y$22*'TE BE'!$Y$48</f>
        <v>0</v>
      </c>
      <c r="Z22" s="43">
        <f>SUM($Y$22:$Y$22)</f>
        <v>0</v>
      </c>
      <c r="AA22" s="43">
        <f>SUMIF($L$4:$Z$4,"SUBTOTAL",$L$22:$Z$22)</f>
        <v>18.466881219005014</v>
      </c>
    </row>
    <row r="23" spans="1:27" ht="11.25" customHeight="1" x14ac:dyDescent="0.25">
      <c r="A23" s="141"/>
      <c r="B23" s="51" t="s">
        <v>86</v>
      </c>
      <c r="C23" s="51" t="s">
        <v>41</v>
      </c>
      <c r="D23" s="51" t="s">
        <v>25</v>
      </c>
      <c r="E23" s="51" t="s">
        <v>25</v>
      </c>
      <c r="F23" s="51" t="s">
        <v>25</v>
      </c>
      <c r="G23" s="45" t="s">
        <v>79</v>
      </c>
      <c r="H23" s="45" t="s">
        <v>73</v>
      </c>
      <c r="I23" s="45">
        <f>'MERCADO TE'!$U$20</f>
        <v>55907.260999999999</v>
      </c>
      <c r="J23" s="16"/>
      <c r="L23" s="43">
        <f>'TE BE'!$L$23*'TE BE'!$L$48</f>
        <v>0</v>
      </c>
      <c r="M23" s="43">
        <f>'TE BE'!$M$23*'TE BE'!$M$48</f>
        <v>0</v>
      </c>
      <c r="N23" s="43">
        <f>'TE BE'!$N$23*'TE BE'!$N$48</f>
        <v>0</v>
      </c>
      <c r="O23" s="43">
        <f>'TE BE'!$O$23*'TE BE'!$O$48</f>
        <v>0</v>
      </c>
      <c r="P23" s="43">
        <f>SUM($L$23:$O$23)</f>
        <v>0</v>
      </c>
      <c r="Q23" s="43">
        <f>'TE BE'!$Q$23*'TE BE'!$Q$48</f>
        <v>20.315702906721249</v>
      </c>
      <c r="R23" s="43">
        <f>SUM($Q$23:$Q$23)</f>
        <v>20.315702906721249</v>
      </c>
      <c r="S23" s="43">
        <f>'TE BE'!$S$23*'TE BE'!$S$48</f>
        <v>0</v>
      </c>
      <c r="T23" s="43">
        <f>'TE BE'!$T$23*'TE BE'!$T$48</f>
        <v>0</v>
      </c>
      <c r="U23" s="43">
        <f>'TE BE'!$U$23*'TE BE'!$U$48</f>
        <v>0</v>
      </c>
      <c r="V23" s="43">
        <f>SUM($S$23:$U$23)</f>
        <v>0</v>
      </c>
      <c r="W23" s="43">
        <f>'TE BE'!$AA$23*'TE BE'!$W$48</f>
        <v>-1.8488216877162351</v>
      </c>
      <c r="X23" s="43">
        <f>SUM($W$23:$W$23)</f>
        <v>-1.8488216877162351</v>
      </c>
      <c r="Y23" s="43">
        <f>'TE BE'!$Y$23*'TE BE'!$Y$48</f>
        <v>0</v>
      </c>
      <c r="Z23" s="43">
        <f>SUM($Y$23:$Y$23)</f>
        <v>0</v>
      </c>
      <c r="AA23" s="43">
        <f>SUMIF($L$4:$Z$4,"SUBTOTAL",$L$23:$Z$23)</f>
        <v>18.466881219005014</v>
      </c>
    </row>
    <row r="24" spans="1:27" ht="11.25" customHeight="1" x14ac:dyDescent="0.25">
      <c r="A24" s="141"/>
      <c r="B24" s="141" t="s">
        <v>72</v>
      </c>
      <c r="C24" s="141" t="s">
        <v>41</v>
      </c>
      <c r="D24" s="141" t="s">
        <v>90</v>
      </c>
      <c r="E24" s="141" t="s">
        <v>25</v>
      </c>
      <c r="F24" s="141" t="s">
        <v>25</v>
      </c>
      <c r="G24" s="45" t="s">
        <v>74</v>
      </c>
      <c r="H24" s="45" t="s">
        <v>73</v>
      </c>
      <c r="I24" s="45">
        <f>'MERCADO TE'!$U$21</f>
        <v>0</v>
      </c>
      <c r="J24" s="16"/>
      <c r="L24" s="43">
        <f>'TE BE'!$L$24*'TE BE'!$L$48</f>
        <v>0</v>
      </c>
      <c r="M24" s="43">
        <f>'TE BE'!$M$24*'TE BE'!$M$48</f>
        <v>0</v>
      </c>
      <c r="N24" s="43">
        <f>'TE BE'!$N$24*'TE BE'!$N$48</f>
        <v>0</v>
      </c>
      <c r="O24" s="43">
        <f>'TE BE'!$O$24*'TE BE'!$O$48</f>
        <v>0</v>
      </c>
      <c r="P24" s="43">
        <f>SUM($L$24:$O$24)</f>
        <v>0</v>
      </c>
      <c r="Q24" s="43">
        <f>'TE BE'!$Q$24*'TE BE'!$Q$48</f>
        <v>20.315702906721249</v>
      </c>
      <c r="R24" s="43">
        <f>SUM($Q$24:$Q$24)</f>
        <v>20.315702906721249</v>
      </c>
      <c r="S24" s="43">
        <f>'TE BE'!$S$24*'TE BE'!$S$48</f>
        <v>0</v>
      </c>
      <c r="T24" s="43">
        <f>'TE BE'!$T$24*'TE BE'!$T$48</f>
        <v>0</v>
      </c>
      <c r="U24" s="43">
        <f>'TE BE'!$U$24*'TE BE'!$U$48</f>
        <v>0</v>
      </c>
      <c r="V24" s="43">
        <f>SUM($S$24:$U$24)</f>
        <v>0</v>
      </c>
      <c r="W24" s="43">
        <f>'TE BE'!$AA$24*'TE BE'!$W$48</f>
        <v>-1.8488216877162351</v>
      </c>
      <c r="X24" s="43">
        <f>SUM($W$24:$W$24)</f>
        <v>-1.8488216877162351</v>
      </c>
      <c r="Y24" s="43">
        <f>'TE BE'!$Y$24*'TE BE'!$Y$48</f>
        <v>0</v>
      </c>
      <c r="Z24" s="43">
        <f>SUM($Y$24:$Y$24)</f>
        <v>0</v>
      </c>
      <c r="AA24" s="43">
        <f>SUMIF($L$4:$Z$4,"SUBTOTAL",$L$24:$Z$24)</f>
        <v>18.466881219005014</v>
      </c>
    </row>
    <row r="25" spans="1:27" ht="11.25" customHeight="1" x14ac:dyDescent="0.25">
      <c r="A25" s="141"/>
      <c r="B25" s="141"/>
      <c r="C25" s="141"/>
      <c r="D25" s="141"/>
      <c r="E25" s="141"/>
      <c r="F25" s="141"/>
      <c r="G25" s="45" t="s">
        <v>85</v>
      </c>
      <c r="H25" s="45" t="s">
        <v>73</v>
      </c>
      <c r="I25" s="45">
        <f>'MERCADO TE'!$U$22</f>
        <v>0</v>
      </c>
      <c r="J25" s="16"/>
      <c r="L25" s="43">
        <f>'TE BE'!$L$25*'TE BE'!$L$48</f>
        <v>0</v>
      </c>
      <c r="M25" s="43">
        <f>'TE BE'!$M$25*'TE BE'!$M$48</f>
        <v>0</v>
      </c>
      <c r="N25" s="43">
        <f>'TE BE'!$N$25*'TE BE'!$N$48</f>
        <v>0</v>
      </c>
      <c r="O25" s="43">
        <f>'TE BE'!$O$25*'TE BE'!$O$48</f>
        <v>0</v>
      </c>
      <c r="P25" s="43">
        <f>SUM($L$25:$O$25)</f>
        <v>0</v>
      </c>
      <c r="Q25" s="43">
        <f>'TE BE'!$Q$25*'TE BE'!$Q$48</f>
        <v>20.315702906721249</v>
      </c>
      <c r="R25" s="43">
        <f>SUM($Q$25:$Q$25)</f>
        <v>20.315702906721249</v>
      </c>
      <c r="S25" s="43">
        <f>'TE BE'!$S$25*'TE BE'!$S$48</f>
        <v>0</v>
      </c>
      <c r="T25" s="43">
        <f>'TE BE'!$T$25*'TE BE'!$T$48</f>
        <v>0</v>
      </c>
      <c r="U25" s="43">
        <f>'TE BE'!$U$25*'TE BE'!$U$48</f>
        <v>0</v>
      </c>
      <c r="V25" s="43">
        <f>SUM($S$25:$U$25)</f>
        <v>0</v>
      </c>
      <c r="W25" s="43">
        <f>'TE BE'!$AA$25*'TE BE'!$W$48</f>
        <v>-1.8488216877162351</v>
      </c>
      <c r="X25" s="43">
        <f>SUM($W$25:$W$25)</f>
        <v>-1.8488216877162351</v>
      </c>
      <c r="Y25" s="43">
        <f>'TE BE'!$Y$25*'TE BE'!$Y$48</f>
        <v>0</v>
      </c>
      <c r="Z25" s="43">
        <f>SUM($Y$25:$Y$25)</f>
        <v>0</v>
      </c>
      <c r="AA25" s="43">
        <f>SUMIF($L$4:$Z$4,"SUBTOTAL",$L$25:$Z$25)</f>
        <v>18.466881219005014</v>
      </c>
    </row>
    <row r="26" spans="1:27" ht="11.25" customHeight="1" x14ac:dyDescent="0.25">
      <c r="A26" s="141"/>
      <c r="B26" s="141"/>
      <c r="C26" s="141"/>
      <c r="D26" s="141"/>
      <c r="E26" s="141"/>
      <c r="F26" s="141"/>
      <c r="G26" s="45" t="s">
        <v>75</v>
      </c>
      <c r="H26" s="45" t="s">
        <v>73</v>
      </c>
      <c r="I26" s="45">
        <f>'MERCADO TE'!$U$23</f>
        <v>0</v>
      </c>
      <c r="J26" s="16"/>
      <c r="L26" s="43">
        <f>'TE BE'!$L$26*'TE BE'!$L$48</f>
        <v>0</v>
      </c>
      <c r="M26" s="43">
        <f>'TE BE'!$M$26*'TE BE'!$M$48</f>
        <v>0</v>
      </c>
      <c r="N26" s="43">
        <f>'TE BE'!$N$26*'TE BE'!$N$48</f>
        <v>0</v>
      </c>
      <c r="O26" s="43">
        <f>'TE BE'!$O$26*'TE BE'!$O$48</f>
        <v>0</v>
      </c>
      <c r="P26" s="43">
        <f>SUM($L$26:$O$26)</f>
        <v>0</v>
      </c>
      <c r="Q26" s="43">
        <f>'TE BE'!$Q$26*'TE BE'!$Q$48</f>
        <v>20.315702906721249</v>
      </c>
      <c r="R26" s="43">
        <f>SUM($Q$26:$Q$26)</f>
        <v>20.315702906721249</v>
      </c>
      <c r="S26" s="43">
        <f>'TE BE'!$S$26*'TE BE'!$S$48</f>
        <v>0</v>
      </c>
      <c r="T26" s="43">
        <f>'TE BE'!$T$26*'TE BE'!$T$48</f>
        <v>0</v>
      </c>
      <c r="U26" s="43">
        <f>'TE BE'!$U$26*'TE BE'!$U$48</f>
        <v>0</v>
      </c>
      <c r="V26" s="43">
        <f>SUM($S$26:$U$26)</f>
        <v>0</v>
      </c>
      <c r="W26" s="43">
        <f>'TE BE'!$AA$26*'TE BE'!$W$48</f>
        <v>-1.8488216877162351</v>
      </c>
      <c r="X26" s="43">
        <f>SUM($W$26:$W$26)</f>
        <v>-1.8488216877162351</v>
      </c>
      <c r="Y26" s="43">
        <f>'TE BE'!$Y$26*'TE BE'!$Y$48</f>
        <v>0</v>
      </c>
      <c r="Z26" s="43">
        <f>SUM($Y$26:$Y$26)</f>
        <v>0</v>
      </c>
      <c r="AA26" s="43">
        <f>SUMIF($L$4:$Z$4,"SUBTOTAL",$L$26:$Z$26)</f>
        <v>18.466881219005014</v>
      </c>
    </row>
    <row r="27" spans="1:27" ht="11.25" customHeight="1" x14ac:dyDescent="0.25">
      <c r="A27" s="141"/>
      <c r="B27" s="51" t="s">
        <v>86</v>
      </c>
      <c r="C27" s="51" t="s">
        <v>41</v>
      </c>
      <c r="D27" s="51" t="s">
        <v>90</v>
      </c>
      <c r="E27" s="51" t="s">
        <v>25</v>
      </c>
      <c r="F27" s="51" t="s">
        <v>25</v>
      </c>
      <c r="G27" s="45" t="s">
        <v>79</v>
      </c>
      <c r="H27" s="45" t="s">
        <v>73</v>
      </c>
      <c r="I27" s="45">
        <f>'MERCADO TE'!$U$24</f>
        <v>0</v>
      </c>
      <c r="J27" s="16"/>
      <c r="L27" s="43">
        <f>'TE BE'!$L$27*'TE BE'!$L$48</f>
        <v>0</v>
      </c>
      <c r="M27" s="43">
        <f>'TE BE'!$M$27*'TE BE'!$M$48</f>
        <v>0</v>
      </c>
      <c r="N27" s="43">
        <f>'TE BE'!$N$27*'TE BE'!$N$48</f>
        <v>0</v>
      </c>
      <c r="O27" s="43">
        <f>'TE BE'!$O$27*'TE BE'!$O$48</f>
        <v>0</v>
      </c>
      <c r="P27" s="43">
        <f>SUM($L$27:$O$27)</f>
        <v>0</v>
      </c>
      <c r="Q27" s="43">
        <f>'TE BE'!$Q$27*'TE BE'!$Q$48</f>
        <v>20.315702906721249</v>
      </c>
      <c r="R27" s="43">
        <f>SUM($Q$27:$Q$27)</f>
        <v>20.315702906721249</v>
      </c>
      <c r="S27" s="43">
        <f>'TE BE'!$S$27*'TE BE'!$S$48</f>
        <v>0</v>
      </c>
      <c r="T27" s="43">
        <f>'TE BE'!$T$27*'TE BE'!$T$48</f>
        <v>0</v>
      </c>
      <c r="U27" s="43">
        <f>'TE BE'!$U$27*'TE BE'!$U$48</f>
        <v>0</v>
      </c>
      <c r="V27" s="43">
        <f>SUM($S$27:$U$27)</f>
        <v>0</v>
      </c>
      <c r="W27" s="43">
        <f>'TE BE'!$AA$27*'TE BE'!$W$48</f>
        <v>-1.8488216877162351</v>
      </c>
      <c r="X27" s="43">
        <f>SUM($W$27:$W$27)</f>
        <v>-1.8488216877162351</v>
      </c>
      <c r="Y27" s="43">
        <f>'TE BE'!$Y$27*'TE BE'!$Y$48</f>
        <v>0</v>
      </c>
      <c r="Z27" s="43">
        <f>SUM($Y$27:$Y$27)</f>
        <v>0</v>
      </c>
      <c r="AA27" s="43">
        <f>SUMIF($L$4:$Z$4,"SUBTOTAL",$L$27:$Z$27)</f>
        <v>18.466881219005014</v>
      </c>
    </row>
    <row r="28" spans="1:27" ht="11.25" customHeight="1" x14ac:dyDescent="0.25">
      <c r="A28" s="141"/>
      <c r="B28" s="141" t="s">
        <v>72</v>
      </c>
      <c r="C28" s="141" t="s">
        <v>41</v>
      </c>
      <c r="D28" s="141" t="s">
        <v>91</v>
      </c>
      <c r="E28" s="141" t="s">
        <v>25</v>
      </c>
      <c r="F28" s="141" t="s">
        <v>25</v>
      </c>
      <c r="G28" s="45" t="s">
        <v>74</v>
      </c>
      <c r="H28" s="45" t="s">
        <v>73</v>
      </c>
      <c r="I28" s="45">
        <f>'MERCADO TE'!$U$25</f>
        <v>0</v>
      </c>
      <c r="J28" s="16"/>
      <c r="L28" s="43">
        <f>'TE BE'!$L$28*'TE BE'!$L$48</f>
        <v>0</v>
      </c>
      <c r="M28" s="43">
        <f>'TE BE'!$M$28*'TE BE'!$M$48</f>
        <v>0</v>
      </c>
      <c r="N28" s="43">
        <f>'TE BE'!$N$28*'TE BE'!$N$48</f>
        <v>0</v>
      </c>
      <c r="O28" s="43">
        <f>'TE BE'!$O$28*'TE BE'!$O$48</f>
        <v>0</v>
      </c>
      <c r="P28" s="43">
        <f>SUM($L$28:$O$28)</f>
        <v>0</v>
      </c>
      <c r="Q28" s="43">
        <f>'TE BE'!$Q$28*'TE BE'!$Q$48</f>
        <v>20.315702906721249</v>
      </c>
      <c r="R28" s="43">
        <f>SUM($Q$28:$Q$28)</f>
        <v>20.315702906721249</v>
      </c>
      <c r="S28" s="43">
        <f>'TE BE'!$S$28*'TE BE'!$S$48</f>
        <v>0</v>
      </c>
      <c r="T28" s="43">
        <f>'TE BE'!$T$28*'TE BE'!$T$48</f>
        <v>0</v>
      </c>
      <c r="U28" s="43">
        <f>'TE BE'!$U$28*'TE BE'!$U$48</f>
        <v>0</v>
      </c>
      <c r="V28" s="43">
        <f>SUM($S$28:$U$28)</f>
        <v>0</v>
      </c>
      <c r="W28" s="43">
        <f>'TE BE'!$AA$28*'TE BE'!$W$48</f>
        <v>-1.8488216877162351</v>
      </c>
      <c r="X28" s="43">
        <f>SUM($W$28:$W$28)</f>
        <v>-1.8488216877162351</v>
      </c>
      <c r="Y28" s="43">
        <f>'TE BE'!$Y$28*'TE BE'!$Y$48</f>
        <v>0</v>
      </c>
      <c r="Z28" s="43">
        <f>SUM($Y$28:$Y$28)</f>
        <v>0</v>
      </c>
      <c r="AA28" s="43">
        <f>SUMIF($L$4:$Z$4,"SUBTOTAL",$L$28:$Z$28)</f>
        <v>18.466881219005014</v>
      </c>
    </row>
    <row r="29" spans="1:27" ht="11.25" customHeight="1" x14ac:dyDescent="0.25">
      <c r="A29" s="141"/>
      <c r="B29" s="141"/>
      <c r="C29" s="141"/>
      <c r="D29" s="141"/>
      <c r="E29" s="141"/>
      <c r="F29" s="141"/>
      <c r="G29" s="45" t="s">
        <v>85</v>
      </c>
      <c r="H29" s="45" t="s">
        <v>73</v>
      </c>
      <c r="I29" s="45">
        <f>'MERCADO TE'!$U$26</f>
        <v>0</v>
      </c>
      <c r="J29" s="16"/>
      <c r="L29" s="43">
        <f>'TE BE'!$L$29*'TE BE'!$L$48</f>
        <v>0</v>
      </c>
      <c r="M29" s="43">
        <f>'TE BE'!$M$29*'TE BE'!$M$48</f>
        <v>0</v>
      </c>
      <c r="N29" s="43">
        <f>'TE BE'!$N$29*'TE BE'!$N$48</f>
        <v>0</v>
      </c>
      <c r="O29" s="43">
        <f>'TE BE'!$O$29*'TE BE'!$O$48</f>
        <v>0</v>
      </c>
      <c r="P29" s="43">
        <f>SUM($L$29:$O$29)</f>
        <v>0</v>
      </c>
      <c r="Q29" s="43">
        <f>'TE BE'!$Q$29*'TE BE'!$Q$48</f>
        <v>20.315702906721249</v>
      </c>
      <c r="R29" s="43">
        <f>SUM($Q$29:$Q$29)</f>
        <v>20.315702906721249</v>
      </c>
      <c r="S29" s="43">
        <f>'TE BE'!$S$29*'TE BE'!$S$48</f>
        <v>0</v>
      </c>
      <c r="T29" s="43">
        <f>'TE BE'!$T$29*'TE BE'!$T$48</f>
        <v>0</v>
      </c>
      <c r="U29" s="43">
        <f>'TE BE'!$U$29*'TE BE'!$U$48</f>
        <v>0</v>
      </c>
      <c r="V29" s="43">
        <f>SUM($S$29:$U$29)</f>
        <v>0</v>
      </c>
      <c r="W29" s="43">
        <f>'TE BE'!$AA$29*'TE BE'!$W$48</f>
        <v>-1.8488216877162351</v>
      </c>
      <c r="X29" s="43">
        <f>SUM($W$29:$W$29)</f>
        <v>-1.8488216877162351</v>
      </c>
      <c r="Y29" s="43">
        <f>'TE BE'!$Y$29*'TE BE'!$Y$48</f>
        <v>0</v>
      </c>
      <c r="Z29" s="43">
        <f>SUM($Y$29:$Y$29)</f>
        <v>0</v>
      </c>
      <c r="AA29" s="43">
        <f>SUMIF($L$4:$Z$4,"SUBTOTAL",$L$29:$Z$29)</f>
        <v>18.466881219005014</v>
      </c>
    </row>
    <row r="30" spans="1:27" ht="11.25" customHeight="1" x14ac:dyDescent="0.25">
      <c r="A30" s="141"/>
      <c r="B30" s="141"/>
      <c r="C30" s="141"/>
      <c r="D30" s="141"/>
      <c r="E30" s="141"/>
      <c r="F30" s="141"/>
      <c r="G30" s="45" t="s">
        <v>75</v>
      </c>
      <c r="H30" s="45" t="s">
        <v>73</v>
      </c>
      <c r="I30" s="45">
        <f>'MERCADO TE'!$U$27</f>
        <v>0</v>
      </c>
      <c r="J30" s="16"/>
      <c r="L30" s="43">
        <f>'TE BE'!$L$30*'TE BE'!$L$48</f>
        <v>0</v>
      </c>
      <c r="M30" s="43">
        <f>'TE BE'!$M$30*'TE BE'!$M$48</f>
        <v>0</v>
      </c>
      <c r="N30" s="43">
        <f>'TE BE'!$N$30*'TE BE'!$N$48</f>
        <v>0</v>
      </c>
      <c r="O30" s="43">
        <f>'TE BE'!$O$30*'TE BE'!$O$48</f>
        <v>0</v>
      </c>
      <c r="P30" s="43">
        <f>SUM($L$30:$O$30)</f>
        <v>0</v>
      </c>
      <c r="Q30" s="43">
        <f>'TE BE'!$Q$30*'TE BE'!$Q$48</f>
        <v>20.315702906721249</v>
      </c>
      <c r="R30" s="43">
        <f>SUM($Q$30:$Q$30)</f>
        <v>20.315702906721249</v>
      </c>
      <c r="S30" s="43">
        <f>'TE BE'!$S$30*'TE BE'!$S$48</f>
        <v>0</v>
      </c>
      <c r="T30" s="43">
        <f>'TE BE'!$T$30*'TE BE'!$T$48</f>
        <v>0</v>
      </c>
      <c r="U30" s="43">
        <f>'TE BE'!$U$30*'TE BE'!$U$48</f>
        <v>0</v>
      </c>
      <c r="V30" s="43">
        <f>SUM($S$30:$U$30)</f>
        <v>0</v>
      </c>
      <c r="W30" s="43">
        <f>'TE BE'!$AA$30*'TE BE'!$W$48</f>
        <v>-1.8488216877162351</v>
      </c>
      <c r="X30" s="43">
        <f>SUM($W$30:$W$30)</f>
        <v>-1.8488216877162351</v>
      </c>
      <c r="Y30" s="43">
        <f>'TE BE'!$Y$30*'TE BE'!$Y$48</f>
        <v>0</v>
      </c>
      <c r="Z30" s="43">
        <f>SUM($Y$30:$Y$30)</f>
        <v>0</v>
      </c>
      <c r="AA30" s="43">
        <f>SUMIF($L$4:$Z$4,"SUBTOTAL",$L$30:$Z$30)</f>
        <v>18.466881219005014</v>
      </c>
    </row>
    <row r="31" spans="1:27" ht="11.25" customHeight="1" x14ac:dyDescent="0.25">
      <c r="A31" s="141"/>
      <c r="B31" s="51" t="s">
        <v>86</v>
      </c>
      <c r="C31" s="51" t="s">
        <v>41</v>
      </c>
      <c r="D31" s="51" t="s">
        <v>91</v>
      </c>
      <c r="E31" s="51" t="s">
        <v>25</v>
      </c>
      <c r="F31" s="51" t="s">
        <v>25</v>
      </c>
      <c r="G31" s="45" t="s">
        <v>79</v>
      </c>
      <c r="H31" s="45" t="s">
        <v>73</v>
      </c>
      <c r="I31" s="45">
        <f>'MERCADO TE'!$U$28</f>
        <v>0</v>
      </c>
      <c r="J31" s="16"/>
      <c r="L31" s="43">
        <f>'TE BE'!$L$31*'TE BE'!$L$48</f>
        <v>0</v>
      </c>
      <c r="M31" s="43">
        <f>'TE BE'!$M$31*'TE BE'!$M$48</f>
        <v>0</v>
      </c>
      <c r="N31" s="43">
        <f>'TE BE'!$N$31*'TE BE'!$N$48</f>
        <v>0</v>
      </c>
      <c r="O31" s="43">
        <f>'TE BE'!$O$31*'TE BE'!$O$48</f>
        <v>0</v>
      </c>
      <c r="P31" s="43">
        <f>SUM($L$31:$O$31)</f>
        <v>0</v>
      </c>
      <c r="Q31" s="43">
        <f>'TE BE'!$Q$31*'TE BE'!$Q$48</f>
        <v>20.315702906721249</v>
      </c>
      <c r="R31" s="43">
        <f>SUM($Q$31:$Q$31)</f>
        <v>20.315702906721249</v>
      </c>
      <c r="S31" s="43">
        <f>'TE BE'!$S$31*'TE BE'!$S$48</f>
        <v>0</v>
      </c>
      <c r="T31" s="43">
        <f>'TE BE'!$T$31*'TE BE'!$T$48</f>
        <v>0</v>
      </c>
      <c r="U31" s="43">
        <f>'TE BE'!$U$31*'TE BE'!$U$48</f>
        <v>0</v>
      </c>
      <c r="V31" s="43">
        <f>SUM($S$31:$U$31)</f>
        <v>0</v>
      </c>
      <c r="W31" s="43">
        <f>'TE BE'!$AA$31*'TE BE'!$W$48</f>
        <v>-1.8488216877162351</v>
      </c>
      <c r="X31" s="43">
        <f>SUM($W$31:$W$31)</f>
        <v>-1.8488216877162351</v>
      </c>
      <c r="Y31" s="43">
        <f>'TE BE'!$Y$31*'TE BE'!$Y$48</f>
        <v>0</v>
      </c>
      <c r="Z31" s="43">
        <f>SUM($Y$31:$Y$31)</f>
        <v>0</v>
      </c>
      <c r="AA31" s="43">
        <f>SUMIF($L$4:$Z$4,"SUBTOTAL",$L$31:$Z$31)</f>
        <v>18.466881219005014</v>
      </c>
    </row>
    <row r="32" spans="1:27" ht="11.25" customHeight="1" x14ac:dyDescent="0.25">
      <c r="A32" s="141"/>
      <c r="B32" s="141" t="s">
        <v>88</v>
      </c>
      <c r="C32" s="141" t="s">
        <v>41</v>
      </c>
      <c r="D32" s="51" t="s">
        <v>25</v>
      </c>
      <c r="E32" s="51" t="s">
        <v>25</v>
      </c>
      <c r="F32" s="51" t="s">
        <v>25</v>
      </c>
      <c r="G32" s="45" t="s">
        <v>79</v>
      </c>
      <c r="H32" s="45" t="s">
        <v>73</v>
      </c>
      <c r="I32" s="45">
        <f>'MERCADO TE'!$U$29</f>
        <v>0</v>
      </c>
      <c r="J32" s="16"/>
      <c r="L32" s="43">
        <f>'TE BE'!$L$32*'TE BE'!$L$48</f>
        <v>0</v>
      </c>
      <c r="M32" s="43">
        <f>'TE BE'!$M$32*'TE BE'!$M$48</f>
        <v>0</v>
      </c>
      <c r="N32" s="43">
        <f>'TE BE'!$N$32*'TE BE'!$N$48</f>
        <v>0</v>
      </c>
      <c r="O32" s="43">
        <f>'TE BE'!$O$32*'TE BE'!$O$48</f>
        <v>0</v>
      </c>
      <c r="P32" s="43">
        <f>SUM($L$32:$O$32)</f>
        <v>0</v>
      </c>
      <c r="Q32" s="43">
        <f>'TE BE'!$Q$32*'TE BE'!$Q$48</f>
        <v>20.315702906721249</v>
      </c>
      <c r="R32" s="43">
        <f>SUM($Q$32:$Q$32)</f>
        <v>20.315702906721249</v>
      </c>
      <c r="S32" s="43">
        <f>'TE BE'!$S$32*'TE BE'!$S$48</f>
        <v>0</v>
      </c>
      <c r="T32" s="43">
        <f>'TE BE'!$T$32*'TE BE'!$T$48</f>
        <v>0</v>
      </c>
      <c r="U32" s="43">
        <f>'TE BE'!$U$32*'TE BE'!$U$48</f>
        <v>0</v>
      </c>
      <c r="V32" s="43">
        <f>SUM($S$32:$U$32)</f>
        <v>0</v>
      </c>
      <c r="W32" s="43">
        <f>'TE BE'!$AA$32*'TE BE'!$W$48</f>
        <v>-1.8488216877162351</v>
      </c>
      <c r="X32" s="43">
        <f>SUM($W$32:$W$32)</f>
        <v>-1.8488216877162351</v>
      </c>
      <c r="Y32" s="43">
        <f>'TE BE'!$Y$32*'TE BE'!$Y$48</f>
        <v>0</v>
      </c>
      <c r="Z32" s="43">
        <f>SUM($Y$32:$Y$32)</f>
        <v>0</v>
      </c>
      <c r="AA32" s="43">
        <f>SUMIF($L$4:$Z$4,"SUBTOTAL",$L$32:$Z$32)</f>
        <v>18.466881219005014</v>
      </c>
    </row>
    <row r="33" spans="1:27" ht="11.25" customHeight="1" x14ac:dyDescent="0.25">
      <c r="A33" s="141"/>
      <c r="B33" s="141"/>
      <c r="C33" s="141"/>
      <c r="D33" s="51" t="s">
        <v>90</v>
      </c>
      <c r="E33" s="51" t="s">
        <v>25</v>
      </c>
      <c r="F33" s="51" t="s">
        <v>25</v>
      </c>
      <c r="G33" s="45" t="s">
        <v>79</v>
      </c>
      <c r="H33" s="45" t="s">
        <v>73</v>
      </c>
      <c r="I33" s="45">
        <f>'MERCADO TE'!$U$30</f>
        <v>0</v>
      </c>
      <c r="J33" s="16"/>
      <c r="L33" s="43">
        <f>'TE BE'!$L$33*'TE BE'!$L$48</f>
        <v>0</v>
      </c>
      <c r="M33" s="43">
        <f>'TE BE'!$M$33*'TE BE'!$M$48</f>
        <v>0</v>
      </c>
      <c r="N33" s="43">
        <f>'TE BE'!$N$33*'TE BE'!$N$48</f>
        <v>0</v>
      </c>
      <c r="O33" s="43">
        <f>'TE BE'!$O$33*'TE BE'!$O$48</f>
        <v>0</v>
      </c>
      <c r="P33" s="43">
        <f>SUM($L$33:$O$33)</f>
        <v>0</v>
      </c>
      <c r="Q33" s="43">
        <f>'TE BE'!$Q$33*'TE BE'!$Q$48</f>
        <v>20.315702906721249</v>
      </c>
      <c r="R33" s="43">
        <f>SUM($Q$33:$Q$33)</f>
        <v>20.315702906721249</v>
      </c>
      <c r="S33" s="43">
        <f>'TE BE'!$S$33*'TE BE'!$S$48</f>
        <v>0</v>
      </c>
      <c r="T33" s="43">
        <f>'TE BE'!$T$33*'TE BE'!$T$48</f>
        <v>0</v>
      </c>
      <c r="U33" s="43">
        <f>'TE BE'!$U$33*'TE BE'!$U$48</f>
        <v>0</v>
      </c>
      <c r="V33" s="43">
        <f>SUM($S$33:$U$33)</f>
        <v>0</v>
      </c>
      <c r="W33" s="43">
        <f>'TE BE'!$AA$33*'TE BE'!$W$48</f>
        <v>-1.8488216877162351</v>
      </c>
      <c r="X33" s="43">
        <f>SUM($W$33:$W$33)</f>
        <v>-1.8488216877162351</v>
      </c>
      <c r="Y33" s="43">
        <f>'TE BE'!$Y$33*'TE BE'!$Y$48</f>
        <v>0</v>
      </c>
      <c r="Z33" s="43">
        <f>SUM($Y$33:$Y$33)</f>
        <v>0</v>
      </c>
      <c r="AA33" s="43">
        <f>SUMIF($L$4:$Z$4,"SUBTOTAL",$L$33:$Z$33)</f>
        <v>18.466881219005014</v>
      </c>
    </row>
    <row r="34" spans="1:27" ht="11.25" customHeight="1" x14ac:dyDescent="0.25">
      <c r="A34" s="141"/>
      <c r="B34" s="141"/>
      <c r="C34" s="141"/>
      <c r="D34" s="51" t="s">
        <v>91</v>
      </c>
      <c r="E34" s="51" t="s">
        <v>25</v>
      </c>
      <c r="F34" s="51" t="s">
        <v>25</v>
      </c>
      <c r="G34" s="45" t="s">
        <v>79</v>
      </c>
      <c r="H34" s="45" t="s">
        <v>73</v>
      </c>
      <c r="I34" s="45">
        <f>'MERCADO TE'!$U$31</f>
        <v>0</v>
      </c>
      <c r="J34" s="16"/>
      <c r="L34" s="43">
        <f>'TE BE'!$L$34*'TE BE'!$L$48</f>
        <v>0</v>
      </c>
      <c r="M34" s="43">
        <f>'TE BE'!$M$34*'TE BE'!$M$48</f>
        <v>0</v>
      </c>
      <c r="N34" s="43">
        <f>'TE BE'!$N$34*'TE BE'!$N$48</f>
        <v>0</v>
      </c>
      <c r="O34" s="43">
        <f>'TE BE'!$O$34*'TE BE'!$O$48</f>
        <v>0</v>
      </c>
      <c r="P34" s="43">
        <f>SUM($L$34:$O$34)</f>
        <v>0</v>
      </c>
      <c r="Q34" s="43">
        <f>'TE BE'!$Q$34*'TE BE'!$Q$48</f>
        <v>20.315702906721249</v>
      </c>
      <c r="R34" s="43">
        <f>SUM($Q$34:$Q$34)</f>
        <v>20.315702906721249</v>
      </c>
      <c r="S34" s="43">
        <f>'TE BE'!$S$34*'TE BE'!$S$48</f>
        <v>0</v>
      </c>
      <c r="T34" s="43">
        <f>'TE BE'!$T$34*'TE BE'!$T$48</f>
        <v>0</v>
      </c>
      <c r="U34" s="43">
        <f>'TE BE'!$U$34*'TE BE'!$U$48</f>
        <v>0</v>
      </c>
      <c r="V34" s="43">
        <f>SUM($S$34:$U$34)</f>
        <v>0</v>
      </c>
      <c r="W34" s="43">
        <f>'TE BE'!$AA$34*'TE BE'!$W$48</f>
        <v>-1.8488216877162351</v>
      </c>
      <c r="X34" s="43">
        <f>SUM($W$34:$W$34)</f>
        <v>-1.8488216877162351</v>
      </c>
      <c r="Y34" s="43">
        <f>'TE BE'!$Y$34*'TE BE'!$Y$48</f>
        <v>0</v>
      </c>
      <c r="Z34" s="43">
        <f>SUM($Y$34:$Y$34)</f>
        <v>0</v>
      </c>
      <c r="AA34" s="43">
        <f>SUMIF($L$4:$Z$4,"SUBTOTAL",$L$34:$Z$34)</f>
        <v>18.466881219005014</v>
      </c>
    </row>
    <row r="35" spans="1:27" ht="11.25" customHeight="1" x14ac:dyDescent="0.25">
      <c r="A35" s="141" t="s">
        <v>37</v>
      </c>
      <c r="B35" s="141" t="s">
        <v>72</v>
      </c>
      <c r="C35" s="141" t="s">
        <v>25</v>
      </c>
      <c r="D35" s="141" t="s">
        <v>25</v>
      </c>
      <c r="E35" s="141" t="s">
        <v>25</v>
      </c>
      <c r="F35" s="141" t="s">
        <v>25</v>
      </c>
      <c r="G35" s="45" t="s">
        <v>74</v>
      </c>
      <c r="H35" s="45" t="s">
        <v>73</v>
      </c>
      <c r="I35" s="45">
        <f>'MERCADO TE'!$U$32</f>
        <v>0</v>
      </c>
      <c r="J35" s="16"/>
      <c r="L35" s="43">
        <f>'TE BE'!$L$35*'TE BE'!$L$48</f>
        <v>0</v>
      </c>
      <c r="M35" s="43">
        <f>'TE BE'!$M$35*'TE BE'!$M$48</f>
        <v>0</v>
      </c>
      <c r="N35" s="43">
        <f>'TE BE'!$N$35*'TE BE'!$N$48</f>
        <v>0</v>
      </c>
      <c r="O35" s="43">
        <f>'TE BE'!$O$35*'TE BE'!$O$48</f>
        <v>0</v>
      </c>
      <c r="P35" s="43">
        <f>SUM($L$35:$O$35)</f>
        <v>0</v>
      </c>
      <c r="Q35" s="43">
        <f>'TE BE'!$Q$35*'TE BE'!$Q$48</f>
        <v>20.315702906721249</v>
      </c>
      <c r="R35" s="43">
        <f>SUM($Q$35:$Q$35)</f>
        <v>20.315702906721249</v>
      </c>
      <c r="S35" s="43">
        <f>'TE BE'!$S$35*'TE BE'!$S$48</f>
        <v>0</v>
      </c>
      <c r="T35" s="43">
        <f>'TE BE'!$T$35*'TE BE'!$T$48</f>
        <v>0</v>
      </c>
      <c r="U35" s="43">
        <f>'TE BE'!$U$35*'TE BE'!$U$48</f>
        <v>0</v>
      </c>
      <c r="V35" s="43">
        <f>SUM($S$35:$U$35)</f>
        <v>0</v>
      </c>
      <c r="W35" s="43">
        <f>'TE BE'!$AA$35*'TE BE'!$W$48</f>
        <v>-1.8488216877162351</v>
      </c>
      <c r="X35" s="43">
        <f>SUM($W$35:$W$35)</f>
        <v>-1.8488216877162351</v>
      </c>
      <c r="Y35" s="43">
        <f>'TE BE'!$Y$35*'TE BE'!$Y$48</f>
        <v>0</v>
      </c>
      <c r="Z35" s="43">
        <f>SUM($Y$35:$Y$35)</f>
        <v>0</v>
      </c>
      <c r="AA35" s="43">
        <f>SUMIF($L$4:$Z$4,"SUBTOTAL",$L$35:$Z$35)</f>
        <v>18.466881219005014</v>
      </c>
    </row>
    <row r="36" spans="1:27" ht="11.25" customHeight="1" x14ac:dyDescent="0.25">
      <c r="A36" s="141"/>
      <c r="B36" s="141"/>
      <c r="C36" s="141"/>
      <c r="D36" s="141"/>
      <c r="E36" s="141"/>
      <c r="F36" s="141"/>
      <c r="G36" s="45" t="s">
        <v>85</v>
      </c>
      <c r="H36" s="45" t="s">
        <v>73</v>
      </c>
      <c r="I36" s="45">
        <f>'MERCADO TE'!$U$33</f>
        <v>0</v>
      </c>
      <c r="J36" s="16"/>
      <c r="L36" s="43">
        <f>'TE BE'!$L$36*'TE BE'!$L$48</f>
        <v>0</v>
      </c>
      <c r="M36" s="43">
        <f>'TE BE'!$M$36*'TE BE'!$M$48</f>
        <v>0</v>
      </c>
      <c r="N36" s="43">
        <f>'TE BE'!$N$36*'TE BE'!$N$48</f>
        <v>0</v>
      </c>
      <c r="O36" s="43">
        <f>'TE BE'!$O$36*'TE BE'!$O$48</f>
        <v>0</v>
      </c>
      <c r="P36" s="43">
        <f>SUM($L$36:$O$36)</f>
        <v>0</v>
      </c>
      <c r="Q36" s="43">
        <f>'TE BE'!$Q$36*'TE BE'!$Q$48</f>
        <v>20.315702906721249</v>
      </c>
      <c r="R36" s="43">
        <f>SUM($Q$36:$Q$36)</f>
        <v>20.315702906721249</v>
      </c>
      <c r="S36" s="43">
        <f>'TE BE'!$S$36*'TE BE'!$S$48</f>
        <v>0</v>
      </c>
      <c r="T36" s="43">
        <f>'TE BE'!$T$36*'TE BE'!$T$48</f>
        <v>0</v>
      </c>
      <c r="U36" s="43">
        <f>'TE BE'!$U$36*'TE BE'!$U$48</f>
        <v>0</v>
      </c>
      <c r="V36" s="43">
        <f>SUM($S$36:$U$36)</f>
        <v>0</v>
      </c>
      <c r="W36" s="43">
        <f>'TE BE'!$AA$36*'TE BE'!$W$48</f>
        <v>-1.8488216877162351</v>
      </c>
      <c r="X36" s="43">
        <f>SUM($W$36:$W$36)</f>
        <v>-1.8488216877162351</v>
      </c>
      <c r="Y36" s="43">
        <f>'TE BE'!$Y$36*'TE BE'!$Y$48</f>
        <v>0</v>
      </c>
      <c r="Z36" s="43">
        <f>SUM($Y$36:$Y$36)</f>
        <v>0</v>
      </c>
      <c r="AA36" s="43">
        <f>SUMIF($L$4:$Z$4,"SUBTOTAL",$L$36:$Z$36)</f>
        <v>18.466881219005014</v>
      </c>
    </row>
    <row r="37" spans="1:27" ht="11.25" customHeight="1" x14ac:dyDescent="0.25">
      <c r="A37" s="141"/>
      <c r="B37" s="141"/>
      <c r="C37" s="141"/>
      <c r="D37" s="141"/>
      <c r="E37" s="141"/>
      <c r="F37" s="141"/>
      <c r="G37" s="45" t="s">
        <v>75</v>
      </c>
      <c r="H37" s="45" t="s">
        <v>73</v>
      </c>
      <c r="I37" s="45">
        <f>'MERCADO TE'!$U$34</f>
        <v>0</v>
      </c>
      <c r="J37" s="16"/>
      <c r="L37" s="43">
        <f>'TE BE'!$L$37*'TE BE'!$L$48</f>
        <v>0</v>
      </c>
      <c r="M37" s="43">
        <f>'TE BE'!$M$37*'TE BE'!$M$48</f>
        <v>0</v>
      </c>
      <c r="N37" s="43">
        <f>'TE BE'!$N$37*'TE BE'!$N$48</f>
        <v>0</v>
      </c>
      <c r="O37" s="43">
        <f>'TE BE'!$O$37*'TE BE'!$O$48</f>
        <v>0</v>
      </c>
      <c r="P37" s="43">
        <f>SUM($L$37:$O$37)</f>
        <v>0</v>
      </c>
      <c r="Q37" s="43">
        <f>'TE BE'!$Q$37*'TE BE'!$Q$48</f>
        <v>20.315702906721249</v>
      </c>
      <c r="R37" s="43">
        <f>SUM($Q$37:$Q$37)</f>
        <v>20.315702906721249</v>
      </c>
      <c r="S37" s="43">
        <f>'TE BE'!$S$37*'TE BE'!$S$48</f>
        <v>0</v>
      </c>
      <c r="T37" s="43">
        <f>'TE BE'!$T$37*'TE BE'!$T$48</f>
        <v>0</v>
      </c>
      <c r="U37" s="43">
        <f>'TE BE'!$U$37*'TE BE'!$U$48</f>
        <v>0</v>
      </c>
      <c r="V37" s="43">
        <f>SUM($S$37:$U$37)</f>
        <v>0</v>
      </c>
      <c r="W37" s="43">
        <f>'TE BE'!$AA$37*'TE BE'!$W$48</f>
        <v>-1.8488216877162351</v>
      </c>
      <c r="X37" s="43">
        <f>SUM($W$37:$W$37)</f>
        <v>-1.8488216877162351</v>
      </c>
      <c r="Y37" s="43">
        <f>'TE BE'!$Y$37*'TE BE'!$Y$48</f>
        <v>0</v>
      </c>
      <c r="Z37" s="43">
        <f>SUM($Y$37:$Y$37)</f>
        <v>0</v>
      </c>
      <c r="AA37" s="43">
        <f>SUMIF($L$4:$Z$4,"SUBTOTAL",$L$37:$Z$37)</f>
        <v>18.466881219005014</v>
      </c>
    </row>
    <row r="38" spans="1:27" ht="11.25" customHeight="1" x14ac:dyDescent="0.25">
      <c r="A38" s="141"/>
      <c r="B38" s="51" t="s">
        <v>86</v>
      </c>
      <c r="C38" s="51" t="s">
        <v>25</v>
      </c>
      <c r="D38" s="51" t="s">
        <v>25</v>
      </c>
      <c r="E38" s="51" t="s">
        <v>25</v>
      </c>
      <c r="F38" s="51" t="s">
        <v>25</v>
      </c>
      <c r="G38" s="45" t="s">
        <v>79</v>
      </c>
      <c r="H38" s="45" t="s">
        <v>73</v>
      </c>
      <c r="I38" s="45">
        <f>'MERCADO TE'!$U$35</f>
        <v>9351.1280000000006</v>
      </c>
      <c r="J38" s="16"/>
      <c r="L38" s="43">
        <f>'TE BE'!$L$38*'TE BE'!$L$48</f>
        <v>0</v>
      </c>
      <c r="M38" s="43">
        <f>'TE BE'!$M$38*'TE BE'!$M$48</f>
        <v>0</v>
      </c>
      <c r="N38" s="43">
        <f>'TE BE'!$N$38*'TE BE'!$N$48</f>
        <v>0</v>
      </c>
      <c r="O38" s="43">
        <f>'TE BE'!$O$38*'TE BE'!$O$48</f>
        <v>0</v>
      </c>
      <c r="P38" s="43">
        <f>SUM($L$38:$O$38)</f>
        <v>0</v>
      </c>
      <c r="Q38" s="43">
        <f>'TE BE'!$Q$38*'TE BE'!$Q$48</f>
        <v>20.315702906721249</v>
      </c>
      <c r="R38" s="43">
        <f>SUM($Q$38:$Q$38)</f>
        <v>20.315702906721249</v>
      </c>
      <c r="S38" s="43">
        <f>'TE BE'!$S$38*'TE BE'!$S$48</f>
        <v>0</v>
      </c>
      <c r="T38" s="43">
        <f>'TE BE'!$T$38*'TE BE'!$T$48</f>
        <v>0</v>
      </c>
      <c r="U38" s="43">
        <f>'TE BE'!$U$38*'TE BE'!$U$48</f>
        <v>0</v>
      </c>
      <c r="V38" s="43">
        <f>SUM($S$38:$U$38)</f>
        <v>0</v>
      </c>
      <c r="W38" s="43">
        <f>'TE BE'!$AA$38*'TE BE'!$W$48</f>
        <v>-1.8488216877162351</v>
      </c>
      <c r="X38" s="43">
        <f>SUM($W$38:$W$38)</f>
        <v>-1.8488216877162351</v>
      </c>
      <c r="Y38" s="43">
        <f>'TE BE'!$Y$38*'TE BE'!$Y$48</f>
        <v>0</v>
      </c>
      <c r="Z38" s="43">
        <f>SUM($Y$38:$Y$38)</f>
        <v>0</v>
      </c>
      <c r="AA38" s="43">
        <f>SUMIF($L$4:$Z$4,"SUBTOTAL",$L$38:$Z$38)</f>
        <v>18.466881219005014</v>
      </c>
    </row>
    <row r="39" spans="1:27" ht="11.25" customHeight="1" x14ac:dyDescent="0.25">
      <c r="A39" s="141"/>
      <c r="B39" s="51" t="s">
        <v>88</v>
      </c>
      <c r="C39" s="51" t="s">
        <v>25</v>
      </c>
      <c r="D39" s="51" t="s">
        <v>25</v>
      </c>
      <c r="E39" s="51" t="s">
        <v>25</v>
      </c>
      <c r="F39" s="51" t="s">
        <v>25</v>
      </c>
      <c r="G39" s="45" t="s">
        <v>79</v>
      </c>
      <c r="H39" s="45" t="s">
        <v>73</v>
      </c>
      <c r="I39" s="45">
        <f>'MERCADO TE'!$U$36</f>
        <v>0</v>
      </c>
      <c r="J39" s="16"/>
      <c r="L39" s="43">
        <f>'TE BE'!$L$39*'TE BE'!$L$48</f>
        <v>0</v>
      </c>
      <c r="M39" s="43">
        <f>'TE BE'!$M$39*'TE BE'!$M$48</f>
        <v>0</v>
      </c>
      <c r="N39" s="43">
        <f>'TE BE'!$N$39*'TE BE'!$N$48</f>
        <v>0</v>
      </c>
      <c r="O39" s="43">
        <f>'TE BE'!$O$39*'TE BE'!$O$48</f>
        <v>0</v>
      </c>
      <c r="P39" s="43">
        <f>SUM($L$39:$O$39)</f>
        <v>0</v>
      </c>
      <c r="Q39" s="43">
        <f>'TE BE'!$Q$39*'TE BE'!$Q$48</f>
        <v>20.315702906721249</v>
      </c>
      <c r="R39" s="43">
        <f>SUM($Q$39:$Q$39)</f>
        <v>20.315702906721249</v>
      </c>
      <c r="S39" s="43">
        <f>'TE BE'!$S$39*'TE BE'!$S$48</f>
        <v>0</v>
      </c>
      <c r="T39" s="43">
        <f>'TE BE'!$T$39*'TE BE'!$T$48</f>
        <v>0</v>
      </c>
      <c r="U39" s="43">
        <f>'TE BE'!$U$39*'TE BE'!$U$48</f>
        <v>0</v>
      </c>
      <c r="V39" s="43">
        <f>SUM($S$39:$U$39)</f>
        <v>0</v>
      </c>
      <c r="W39" s="43">
        <f>'TE BE'!$AA$39*'TE BE'!$W$48</f>
        <v>-1.8488216877162351</v>
      </c>
      <c r="X39" s="43">
        <f>SUM($W$39:$W$39)</f>
        <v>-1.8488216877162351</v>
      </c>
      <c r="Y39" s="43">
        <f>'TE BE'!$Y$39*'TE BE'!$Y$48</f>
        <v>0</v>
      </c>
      <c r="Z39" s="43">
        <f>SUM($Y$39:$Y$39)</f>
        <v>0</v>
      </c>
      <c r="AA39" s="43">
        <f>SUMIF($L$4:$Z$4,"SUBTOTAL",$L$39:$Z$39)</f>
        <v>18.466881219005014</v>
      </c>
    </row>
    <row r="40" spans="1:27" ht="11.25" customHeight="1" x14ac:dyDescent="0.25">
      <c r="A40" s="141" t="s">
        <v>44</v>
      </c>
      <c r="B40" s="141" t="s">
        <v>86</v>
      </c>
      <c r="C40" s="141" t="s">
        <v>45</v>
      </c>
      <c r="D40" s="51" t="s">
        <v>46</v>
      </c>
      <c r="E40" s="51" t="s">
        <v>25</v>
      </c>
      <c r="F40" s="51" t="s">
        <v>25</v>
      </c>
      <c r="G40" s="45" t="s">
        <v>79</v>
      </c>
      <c r="H40" s="45" t="s">
        <v>73</v>
      </c>
      <c r="I40" s="45">
        <f>'MERCADO TE'!$U$37</f>
        <v>121.60999999999999</v>
      </c>
      <c r="J40" s="16"/>
      <c r="L40" s="43">
        <f>'TE BE'!$L$40*'TE BE'!$L$48</f>
        <v>0</v>
      </c>
      <c r="M40" s="43">
        <f>'TE BE'!$M$40*'TE BE'!$M$48</f>
        <v>0</v>
      </c>
      <c r="N40" s="43">
        <f>'TE BE'!$N$40*'TE BE'!$N$48</f>
        <v>0</v>
      </c>
      <c r="O40" s="43">
        <f>'TE BE'!$O$40*'TE BE'!$O$48</f>
        <v>0</v>
      </c>
      <c r="P40" s="43">
        <f>SUM($L$40:$O$40)</f>
        <v>0</v>
      </c>
      <c r="Q40" s="43">
        <f>'TE BE'!$Q$40*'TE BE'!$Q$48</f>
        <v>11.173636598696687</v>
      </c>
      <c r="R40" s="43">
        <f>SUM($Q$40:$Q$40)</f>
        <v>11.173636598696687</v>
      </c>
      <c r="S40" s="43">
        <f>'TE BE'!$S$40*'TE BE'!$S$48</f>
        <v>0</v>
      </c>
      <c r="T40" s="43">
        <f>'TE BE'!$T$40*'TE BE'!$T$48</f>
        <v>0</v>
      </c>
      <c r="U40" s="43">
        <f>'TE BE'!$U$40*'TE BE'!$U$48</f>
        <v>0</v>
      </c>
      <c r="V40" s="43">
        <f>SUM($S$40:$U$40)</f>
        <v>0</v>
      </c>
      <c r="W40" s="43">
        <f>'TE BE'!$AA$40*'TE BE'!$W$48</f>
        <v>-1.0168519282439294</v>
      </c>
      <c r="X40" s="43">
        <f>SUM($W$40:$W$40)</f>
        <v>-1.0168519282439294</v>
      </c>
      <c r="Y40" s="43">
        <f>'TE BE'!$Y$40*'TE BE'!$Y$48</f>
        <v>0</v>
      </c>
      <c r="Z40" s="43">
        <f>SUM($Y$40:$Y$40)</f>
        <v>0</v>
      </c>
      <c r="AA40" s="43">
        <f>SUMIF($L$4:$Z$4,"SUBTOTAL",$L$40:$Z$40)</f>
        <v>10.156784670452758</v>
      </c>
    </row>
    <row r="41" spans="1:27" ht="11.25" customHeight="1" x14ac:dyDescent="0.25">
      <c r="A41" s="141"/>
      <c r="B41" s="141"/>
      <c r="C41" s="141"/>
      <c r="D41" s="45" t="s">
        <v>47</v>
      </c>
      <c r="E41" s="45" t="s">
        <v>25</v>
      </c>
      <c r="F41" s="45" t="s">
        <v>25</v>
      </c>
      <c r="G41" s="45" t="s">
        <v>79</v>
      </c>
      <c r="H41" s="45" t="s">
        <v>73</v>
      </c>
      <c r="I41" s="45">
        <f>'MERCADO TE'!$U$38</f>
        <v>2220.8670000000002</v>
      </c>
      <c r="J41" s="16"/>
      <c r="L41" s="43">
        <f>'TE BE'!$L$41*'TE BE'!$L$48</f>
        <v>0</v>
      </c>
      <c r="M41" s="43">
        <f>'TE BE'!$M$41*'TE BE'!$M$48</f>
        <v>0</v>
      </c>
      <c r="N41" s="43">
        <f>'TE BE'!$N$41*'TE BE'!$N$48</f>
        <v>0</v>
      </c>
      <c r="O41" s="43">
        <f>'TE BE'!$O$41*'TE BE'!$O$48</f>
        <v>0</v>
      </c>
      <c r="P41" s="43">
        <f>SUM($L$41:$O$41)</f>
        <v>0</v>
      </c>
      <c r="Q41" s="43">
        <f>'TE BE'!$Q$41*'TE BE'!$Q$48</f>
        <v>12.189421744032748</v>
      </c>
      <c r="R41" s="43">
        <f>SUM($Q$41:$Q$41)</f>
        <v>12.189421744032748</v>
      </c>
      <c r="S41" s="43">
        <f>'TE BE'!$S$41*'TE BE'!$S$48</f>
        <v>0</v>
      </c>
      <c r="T41" s="43">
        <f>'TE BE'!$T$41*'TE BE'!$T$48</f>
        <v>0</v>
      </c>
      <c r="U41" s="43">
        <f>'TE BE'!$U$41*'TE BE'!$U$48</f>
        <v>0</v>
      </c>
      <c r="V41" s="43">
        <f>SUM($S$41:$U$41)</f>
        <v>0</v>
      </c>
      <c r="W41" s="43">
        <f>'TE BE'!$AA$41*'TE BE'!$W$48</f>
        <v>-1.1092930126297409</v>
      </c>
      <c r="X41" s="43">
        <f>SUM($W$41:$W$41)</f>
        <v>-1.1092930126297409</v>
      </c>
      <c r="Y41" s="43">
        <f>'TE BE'!$Y$41*'TE BE'!$Y$48</f>
        <v>0</v>
      </c>
      <c r="Z41" s="43">
        <f>SUM($Y$41:$Y$41)</f>
        <v>0</v>
      </c>
      <c r="AA41" s="43">
        <f>SUMIF($L$4:$Z$4,"SUBTOTAL",$L$41:$Z$41)</f>
        <v>11.080128731403008</v>
      </c>
    </row>
    <row r="43" spans="1:27" ht="11.25" customHeight="1" x14ac:dyDescent="0.25">
      <c r="K43" s="50" t="s">
        <v>504</v>
      </c>
      <c r="L43" s="43">
        <f t="shared" ref="L43:AA43" si="0">SUMPRODUCT($I$5:$I$41,L$5:L$41)</f>
        <v>0</v>
      </c>
      <c r="M43" s="43">
        <f t="shared" si="0"/>
        <v>0</v>
      </c>
      <c r="N43" s="43">
        <f t="shared" si="0"/>
        <v>0</v>
      </c>
      <c r="O43" s="43">
        <f t="shared" si="0"/>
        <v>0</v>
      </c>
      <c r="P43" s="43">
        <f t="shared" si="0"/>
        <v>0</v>
      </c>
      <c r="Q43" s="43">
        <f t="shared" si="0"/>
        <v>3408888.599915761</v>
      </c>
      <c r="R43" s="43">
        <f t="shared" si="0"/>
        <v>3408888.599915761</v>
      </c>
      <c r="S43" s="43">
        <f t="shared" si="0"/>
        <v>0</v>
      </c>
      <c r="T43" s="43">
        <f t="shared" si="0"/>
        <v>0</v>
      </c>
      <c r="U43" s="43">
        <f t="shared" si="0"/>
        <v>0</v>
      </c>
      <c r="V43" s="43">
        <f t="shared" si="0"/>
        <v>0</v>
      </c>
      <c r="W43" s="43">
        <f t="shared" si="0"/>
        <v>-310224.42115196493</v>
      </c>
      <c r="X43" s="43">
        <f t="shared" si="0"/>
        <v>-310224.42115196493</v>
      </c>
      <c r="Y43" s="43">
        <f t="shared" si="0"/>
        <v>0</v>
      </c>
      <c r="Z43" s="43">
        <f t="shared" si="0"/>
        <v>0</v>
      </c>
      <c r="AA43" s="43">
        <f t="shared" si="0"/>
        <v>3098664.1787637961</v>
      </c>
    </row>
    <row r="44" spans="1:27" ht="11.25" customHeight="1" x14ac:dyDescent="0.25">
      <c r="K44" s="50" t="s">
        <v>440</v>
      </c>
      <c r="L44" s="43">
        <f>CUSTOS!$D$30</f>
        <v>0</v>
      </c>
      <c r="M44" s="43">
        <f>CUSTOS!$D$31</f>
        <v>2692024.8775731921</v>
      </c>
      <c r="N44" s="43">
        <f>CUSTOS!$D$32</f>
        <v>0</v>
      </c>
      <c r="O44" s="43">
        <f>CUSTOS!$D$33</f>
        <v>0</v>
      </c>
      <c r="P44" s="43">
        <f>CUSTOS!$D$34</f>
        <v>2692024.8775731921</v>
      </c>
      <c r="Q44" s="43">
        <f>CUSTOS!$D$35</f>
        <v>30726599.140232779</v>
      </c>
      <c r="R44" s="43">
        <f>CUSTOS!$D$36</f>
        <v>30726599.140232779</v>
      </c>
      <c r="S44" s="43">
        <f>CUSTOS!$D$37</f>
        <v>0</v>
      </c>
      <c r="T44" s="43">
        <f>CUSTOS!$D$38</f>
        <v>0</v>
      </c>
      <c r="U44" s="43">
        <f>CUSTOS!$D$39</f>
        <v>0</v>
      </c>
      <c r="V44" s="43">
        <f>CUSTOS!$D$40</f>
        <v>0</v>
      </c>
      <c r="W44" s="43">
        <f>CUSTOS!$D$41</f>
        <v>0</v>
      </c>
      <c r="X44" s="43">
        <f>CUSTOS!$D$42</f>
        <v>0</v>
      </c>
      <c r="Y44" s="43">
        <f>CUSTOS!$D$43</f>
        <v>0</v>
      </c>
      <c r="Z44" s="43">
        <f>CUSTOS!$D$44</f>
        <v>0</v>
      </c>
      <c r="AA44" s="43">
        <f>CUSTOS!$D$45</f>
        <v>33418624.017805971</v>
      </c>
    </row>
    <row r="45" spans="1:27" ht="11.25" customHeight="1" x14ac:dyDescent="0.25">
      <c r="K45" s="50" t="s">
        <v>441</v>
      </c>
      <c r="L45" s="43">
        <f>CUSTOS!$E$30</f>
        <v>0</v>
      </c>
      <c r="M45" s="43">
        <f>CUSTOS!$E$31</f>
        <v>0</v>
      </c>
      <c r="N45" s="43">
        <f>CUSTOS!$E$32</f>
        <v>0</v>
      </c>
      <c r="O45" s="43">
        <f>CUSTOS!$E$33</f>
        <v>0</v>
      </c>
      <c r="P45" s="43">
        <f>CUSTOS!$E$34</f>
        <v>0</v>
      </c>
      <c r="Q45" s="43">
        <f>CUSTOS!$E$35</f>
        <v>3408888.599915761</v>
      </c>
      <c r="R45" s="43">
        <f>CUSTOS!$E$36</f>
        <v>3408888.599915761</v>
      </c>
      <c r="S45" s="43">
        <f>CUSTOS!$E$37</f>
        <v>0</v>
      </c>
      <c r="T45" s="43">
        <f>CUSTOS!$E$38</f>
        <v>0</v>
      </c>
      <c r="U45" s="43">
        <f>CUSTOS!$E$39</f>
        <v>0</v>
      </c>
      <c r="V45" s="43">
        <f>CUSTOS!$E$40</f>
        <v>0</v>
      </c>
      <c r="W45" s="43">
        <f>CUSTOS!$E$41</f>
        <v>-310224.42115196493</v>
      </c>
      <c r="X45" s="43">
        <f>CUSTOS!$E$42</f>
        <v>-310224.42115196493</v>
      </c>
      <c r="Y45" s="43">
        <f>CUSTOS!$E$43</f>
        <v>0</v>
      </c>
      <c r="Z45" s="43">
        <f>CUSTOS!$E$44</f>
        <v>0</v>
      </c>
      <c r="AA45" s="43">
        <f>CUSTOS!$E$45</f>
        <v>3098664.1787637961</v>
      </c>
    </row>
    <row r="46" spans="1:27" ht="11.25" customHeight="1" x14ac:dyDescent="0.25">
      <c r="K46" s="50" t="s">
        <v>442</v>
      </c>
      <c r="L46" s="43">
        <f>CUSTOS!$F$30</f>
        <v>0</v>
      </c>
      <c r="M46" s="43">
        <f>CUSTOS!$F$31</f>
        <v>0</v>
      </c>
      <c r="N46" s="43">
        <f>CUSTOS!$F$32</f>
        <v>0</v>
      </c>
      <c r="O46" s="43">
        <f>CUSTOS!$F$33</f>
        <v>0</v>
      </c>
      <c r="P46" s="43">
        <f>CUSTOS!$F$34</f>
        <v>0</v>
      </c>
      <c r="Q46" s="43">
        <f>CUSTOS!$F$35</f>
        <v>0</v>
      </c>
      <c r="R46" s="43">
        <f>CUSTOS!$F$36</f>
        <v>0</v>
      </c>
      <c r="S46" s="43">
        <f>CUSTOS!$F$37</f>
        <v>0</v>
      </c>
      <c r="T46" s="43">
        <f>CUSTOS!$F$38</f>
        <v>0</v>
      </c>
      <c r="U46" s="43">
        <f>CUSTOS!$F$39</f>
        <v>0</v>
      </c>
      <c r="V46" s="43">
        <f>CUSTOS!$F$40</f>
        <v>0</v>
      </c>
      <c r="W46" s="43">
        <f>CUSTOS!$F$41</f>
        <v>0</v>
      </c>
      <c r="X46" s="43">
        <f>CUSTOS!$F$42</f>
        <v>0</v>
      </c>
      <c r="Y46" s="43">
        <f>CUSTOS!$F$43</f>
        <v>0</v>
      </c>
      <c r="Z46" s="43">
        <f>CUSTOS!$F$44</f>
        <v>0</v>
      </c>
      <c r="AA46" s="43">
        <f>CUSTOS!$F$45</f>
        <v>0</v>
      </c>
    </row>
    <row r="47" spans="1:27" ht="11.25" customHeight="1" x14ac:dyDescent="0.25">
      <c r="K47" s="50" t="s">
        <v>505</v>
      </c>
      <c r="L47" s="43">
        <f>'TR TE'!$L$47*L48</f>
        <v>0</v>
      </c>
      <c r="M47" s="43">
        <f>'TR TE'!$M$47*M48</f>
        <v>0</v>
      </c>
      <c r="N47" s="43">
        <f>'TR TE'!$N$47*N48</f>
        <v>0</v>
      </c>
      <c r="O47" s="43">
        <f>'TR TE'!$O$47*O48</f>
        <v>0</v>
      </c>
      <c r="P47" s="43"/>
      <c r="Q47" s="43">
        <f>'TR TE'!$Q$47*Q48</f>
        <v>0</v>
      </c>
      <c r="R47" s="43"/>
      <c r="S47" s="43">
        <f>'TR TE'!$S$47*S48</f>
        <v>0</v>
      </c>
      <c r="T47" s="43">
        <f>'TR TE'!$T$47*T48</f>
        <v>0</v>
      </c>
      <c r="U47" s="43">
        <f>'TR TE'!$U$47*U48</f>
        <v>0</v>
      </c>
      <c r="V47" s="43"/>
      <c r="W47" s="43"/>
      <c r="X47" s="43"/>
      <c r="Y47" s="43">
        <f>'TR TE'!$Y$47*Y48</f>
        <v>0</v>
      </c>
      <c r="Z47" s="43"/>
      <c r="AA47" s="43"/>
    </row>
    <row r="48" spans="1:27" ht="11.25" customHeight="1" x14ac:dyDescent="0.25">
      <c r="K48" s="50" t="s">
        <v>500</v>
      </c>
      <c r="L48" s="43">
        <f>IF(L44&lt;&gt;0,L46/L44,0)</f>
        <v>0</v>
      </c>
      <c r="M48" s="43">
        <f>IF(M44&lt;&gt;0,M46/M44,0)</f>
        <v>0</v>
      </c>
      <c r="N48" s="43">
        <f>IF(N44&lt;&gt;0,N46/N44,0)</f>
        <v>0</v>
      </c>
      <c r="O48" s="43">
        <f>IF(O44&lt;&gt;0,O46/O44,0)</f>
        <v>0</v>
      </c>
      <c r="P48" s="43"/>
      <c r="Q48" s="43">
        <f>IF(Q44&lt;&gt;0,Q46/Q44,0)</f>
        <v>0</v>
      </c>
      <c r="R48" s="43"/>
      <c r="S48" s="43">
        <f>IF(S44&lt;&gt;0,S46/S44,0)</f>
        <v>0</v>
      </c>
      <c r="T48" s="43">
        <f>IF(T44&lt;&gt;0,T46/T44,0)</f>
        <v>0</v>
      </c>
      <c r="U48" s="43">
        <f>IF(U44&lt;&gt;0,U46/U44,0)</f>
        <v>0</v>
      </c>
      <c r="V48" s="43"/>
      <c r="W48" s="43">
        <f>IF($AA44&lt;&gt;0,W46/($AA44-SUM('TR TE'!$L47:'TR TE'!$Z47)*0),0)</f>
        <v>0</v>
      </c>
      <c r="X48" s="43"/>
      <c r="Y48" s="43">
        <f>IF(Y44&lt;&gt;0,Y46/Y44,0)</f>
        <v>0</v>
      </c>
      <c r="Z48" s="43"/>
      <c r="AA48" s="43"/>
    </row>
    <row r="49" spans="11:27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</row>
  </sheetData>
  <mergeCells count="61">
    <mergeCell ref="S3:V3"/>
    <mergeCell ref="W3:X3"/>
    <mergeCell ref="A1:A4"/>
    <mergeCell ref="B1:B4"/>
    <mergeCell ref="C1:C4"/>
    <mergeCell ref="D1:D4"/>
    <mergeCell ref="E1:E4"/>
    <mergeCell ref="F1:F4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E35:E37"/>
    <mergeCell ref="F35:F37"/>
    <mergeCell ref="A40:A41"/>
    <mergeCell ref="B40:B41"/>
    <mergeCell ref="C40:C41"/>
    <mergeCell ref="D35:D37"/>
  </mergeCells>
  <conditionalFormatting sqref="L43">
    <cfRule type="cellIs" dxfId="811" priority="31" operator="notEqual">
      <formula>$L$45</formula>
    </cfRule>
    <cfRule type="cellIs" dxfId="810" priority="32" operator="equal">
      <formula>$L$45</formula>
    </cfRule>
  </conditionalFormatting>
  <conditionalFormatting sqref="M43">
    <cfRule type="cellIs" dxfId="809" priority="29" operator="notEqual">
      <formula>$M$45</formula>
    </cfRule>
    <cfRule type="cellIs" dxfId="808" priority="30" operator="equal">
      <formula>$M$45</formula>
    </cfRule>
  </conditionalFormatting>
  <conditionalFormatting sqref="N43">
    <cfRule type="cellIs" dxfId="807" priority="27" operator="notEqual">
      <formula>$N$45</formula>
    </cfRule>
    <cfRule type="cellIs" dxfId="806" priority="28" operator="equal">
      <formula>$N$45</formula>
    </cfRule>
  </conditionalFormatting>
  <conditionalFormatting sqref="O43">
    <cfRule type="cellIs" dxfId="805" priority="25" operator="notEqual">
      <formula>$O$45</formula>
    </cfRule>
    <cfRule type="cellIs" dxfId="804" priority="26" operator="equal">
      <formula>$O$45</formula>
    </cfRule>
  </conditionalFormatting>
  <conditionalFormatting sqref="P43">
    <cfRule type="cellIs" dxfId="803" priority="23" operator="notEqual">
      <formula>$P$45</formula>
    </cfRule>
    <cfRule type="cellIs" dxfId="802" priority="24" operator="equal">
      <formula>$P$45</formula>
    </cfRule>
  </conditionalFormatting>
  <conditionalFormatting sqref="Q43">
    <cfRule type="cellIs" dxfId="801" priority="21" operator="notEqual">
      <formula>$Q$45</formula>
    </cfRule>
    <cfRule type="cellIs" dxfId="800" priority="22" operator="equal">
      <formula>$Q$45</formula>
    </cfRule>
  </conditionalFormatting>
  <conditionalFormatting sqref="R43">
    <cfRule type="cellIs" dxfId="799" priority="19" operator="notEqual">
      <formula>$R$45</formula>
    </cfRule>
    <cfRule type="cellIs" dxfId="798" priority="20" operator="equal">
      <formula>$R$45</formula>
    </cfRule>
  </conditionalFormatting>
  <conditionalFormatting sqref="S43">
    <cfRule type="cellIs" dxfId="797" priority="17" operator="notEqual">
      <formula>$S$45</formula>
    </cfRule>
    <cfRule type="cellIs" dxfId="796" priority="18" operator="equal">
      <formula>$S$45</formula>
    </cfRule>
  </conditionalFormatting>
  <conditionalFormatting sqref="T43">
    <cfRule type="cellIs" dxfId="795" priority="15" operator="notEqual">
      <formula>$T$45</formula>
    </cfRule>
    <cfRule type="cellIs" dxfId="794" priority="16" operator="equal">
      <formula>$T$45</formula>
    </cfRule>
  </conditionalFormatting>
  <conditionalFormatting sqref="U43">
    <cfRule type="cellIs" dxfId="793" priority="13" operator="notEqual">
      <formula>$U$45</formula>
    </cfRule>
    <cfRule type="cellIs" dxfId="792" priority="14" operator="equal">
      <formula>$U$45</formula>
    </cfRule>
  </conditionalFormatting>
  <conditionalFormatting sqref="V43">
    <cfRule type="cellIs" dxfId="791" priority="11" operator="notEqual">
      <formula>$V$45</formula>
    </cfRule>
    <cfRule type="cellIs" dxfId="790" priority="12" operator="equal">
      <formula>$V$45</formula>
    </cfRule>
  </conditionalFormatting>
  <conditionalFormatting sqref="W43">
    <cfRule type="cellIs" dxfId="789" priority="9" operator="notEqual">
      <formula>$W$45</formula>
    </cfRule>
    <cfRule type="cellIs" dxfId="788" priority="10" operator="equal">
      <formula>$W$45</formula>
    </cfRule>
  </conditionalFormatting>
  <conditionalFormatting sqref="X43">
    <cfRule type="cellIs" dxfId="787" priority="7" operator="notEqual">
      <formula>$X$45</formula>
    </cfRule>
    <cfRule type="cellIs" dxfId="786" priority="8" operator="equal">
      <formula>$X$45</formula>
    </cfRule>
  </conditionalFormatting>
  <conditionalFormatting sqref="Y43">
    <cfRule type="cellIs" dxfId="785" priority="5" operator="notEqual">
      <formula>$Y$45</formula>
    </cfRule>
    <cfRule type="cellIs" dxfId="784" priority="6" operator="equal">
      <formula>$Y$45</formula>
    </cfRule>
  </conditionalFormatting>
  <conditionalFormatting sqref="Z43">
    <cfRule type="cellIs" dxfId="783" priority="3" operator="notEqual">
      <formula>$Z$45</formula>
    </cfRule>
    <cfRule type="cellIs" dxfId="782" priority="4" operator="equal">
      <formula>$Z$45</formula>
    </cfRule>
  </conditionalFormatting>
  <conditionalFormatting sqref="AA43">
    <cfRule type="cellIs" dxfId="781" priority="1" operator="notEqual">
      <formula>$AA$45</formula>
    </cfRule>
    <cfRule type="cellIs" dxfId="780" priority="2" operator="equal">
      <formula>$AA$45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21C2E-B927-4471-8404-A9ED8312FA95}">
  <sheetPr codeName="Planilha15"/>
  <dimension ref="A1:AA49"/>
  <sheetViews>
    <sheetView showGridLines="0" topLeftCell="J28" workbookViewId="0">
      <selection activeCell="AA43" sqref="AA43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0.855468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40" t="s">
        <v>63</v>
      </c>
      <c r="B1" s="140" t="s">
        <v>64</v>
      </c>
      <c r="C1" s="140" t="s">
        <v>65</v>
      </c>
      <c r="D1" s="140" t="s">
        <v>66</v>
      </c>
      <c r="E1" s="140" t="s">
        <v>67</v>
      </c>
      <c r="F1" s="140" t="s">
        <v>15</v>
      </c>
      <c r="G1" s="140" t="s">
        <v>69</v>
      </c>
      <c r="H1" s="140" t="s">
        <v>70</v>
      </c>
      <c r="I1" s="140" t="s">
        <v>488</v>
      </c>
      <c r="J1" s="124"/>
      <c r="L1" s="138" t="s">
        <v>510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</row>
    <row r="2" spans="1:27" ht="11.25" customHeight="1" x14ac:dyDescent="0.25">
      <c r="A2" s="140"/>
      <c r="B2" s="140"/>
      <c r="C2" s="140"/>
      <c r="D2" s="140"/>
      <c r="E2" s="140"/>
      <c r="F2" s="140"/>
      <c r="G2" s="140"/>
      <c r="H2" s="140"/>
      <c r="I2" s="140"/>
      <c r="J2" s="124"/>
      <c r="L2" s="138" t="s">
        <v>427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</row>
    <row r="3" spans="1:27" ht="11.25" customHeight="1" x14ac:dyDescent="0.25">
      <c r="A3" s="140"/>
      <c r="B3" s="140"/>
      <c r="C3" s="140"/>
      <c r="D3" s="140"/>
      <c r="E3" s="140"/>
      <c r="F3" s="140"/>
      <c r="G3" s="140"/>
      <c r="H3" s="140"/>
      <c r="I3" s="140"/>
      <c r="J3" s="124"/>
      <c r="L3" s="138" t="s">
        <v>400</v>
      </c>
      <c r="M3" s="138"/>
      <c r="N3" s="138"/>
      <c r="O3" s="138"/>
      <c r="P3" s="138"/>
      <c r="Q3" s="138" t="s">
        <v>430</v>
      </c>
      <c r="R3" s="138"/>
      <c r="S3" s="138" t="s">
        <v>409</v>
      </c>
      <c r="T3" s="138"/>
      <c r="U3" s="138"/>
      <c r="V3" s="138"/>
      <c r="W3" s="138" t="s">
        <v>419</v>
      </c>
      <c r="X3" s="138"/>
      <c r="Y3" s="138" t="s">
        <v>422</v>
      </c>
      <c r="Z3" s="138"/>
      <c r="AA3" s="138" t="s">
        <v>408</v>
      </c>
    </row>
    <row r="4" spans="1:27" ht="11.25" customHeight="1" x14ac:dyDescent="0.25">
      <c r="A4" s="140"/>
      <c r="B4" s="140"/>
      <c r="C4" s="140"/>
      <c r="D4" s="140"/>
      <c r="E4" s="140"/>
      <c r="F4" s="140"/>
      <c r="G4" s="140"/>
      <c r="H4" s="140"/>
      <c r="I4" s="140"/>
      <c r="J4" s="124"/>
      <c r="L4" s="49" t="s">
        <v>402</v>
      </c>
      <c r="M4" s="49" t="s">
        <v>428</v>
      </c>
      <c r="N4" s="49" t="s">
        <v>429</v>
      </c>
      <c r="O4" s="49" t="s">
        <v>487</v>
      </c>
      <c r="P4" s="49" t="s">
        <v>408</v>
      </c>
      <c r="Q4" s="49" t="s">
        <v>431</v>
      </c>
      <c r="R4" s="49" t="s">
        <v>408</v>
      </c>
      <c r="S4" s="49" t="s">
        <v>432</v>
      </c>
      <c r="T4" s="49" t="s">
        <v>433</v>
      </c>
      <c r="U4" s="49" t="s">
        <v>434</v>
      </c>
      <c r="V4" s="49" t="s">
        <v>408</v>
      </c>
      <c r="W4" s="49" t="s">
        <v>420</v>
      </c>
      <c r="X4" s="49" t="s">
        <v>408</v>
      </c>
      <c r="Y4" s="49" t="s">
        <v>435</v>
      </c>
      <c r="Z4" s="49" t="s">
        <v>408</v>
      </c>
      <c r="AA4" s="139"/>
    </row>
    <row r="5" spans="1:27" ht="11.25" customHeight="1" x14ac:dyDescent="0.25">
      <c r="A5" s="141" t="s">
        <v>33</v>
      </c>
      <c r="B5" s="141" t="s">
        <v>72</v>
      </c>
      <c r="C5" s="141" t="s">
        <v>25</v>
      </c>
      <c r="D5" s="141" t="s">
        <v>25</v>
      </c>
      <c r="E5" s="141" t="s">
        <v>25</v>
      </c>
      <c r="F5" s="141" t="s">
        <v>25</v>
      </c>
      <c r="G5" s="45" t="s">
        <v>74</v>
      </c>
      <c r="H5" s="45" t="s">
        <v>73</v>
      </c>
      <c r="I5" s="45">
        <f>'MERCADO TE'!$U$2</f>
        <v>1862.7550000000001</v>
      </c>
      <c r="J5" s="16"/>
      <c r="L5" s="43">
        <f>'TE BE'!$L$5*'TE BF'!$L$48</f>
        <v>0</v>
      </c>
      <c r="M5" s="43">
        <f>'TE BE'!$M$5*'TE BF'!$M$48</f>
        <v>0</v>
      </c>
      <c r="N5" s="43">
        <f>'TE BE'!$N$5*'TE BF'!$N$48</f>
        <v>0</v>
      </c>
      <c r="O5" s="43">
        <f>'TE BE'!$O$5*'TE BF'!$O$48</f>
        <v>0</v>
      </c>
      <c r="P5" s="43">
        <f>SUM($L$5:$O$5)</f>
        <v>0</v>
      </c>
      <c r="Q5" s="43">
        <f>'TE BE'!$Q$5*'TE BF'!$Q$48</f>
        <v>0</v>
      </c>
      <c r="R5" s="43">
        <f>SUM($Q$5:$Q$5)</f>
        <v>0</v>
      </c>
      <c r="S5" s="43">
        <f>'TE BE'!$S$5*'TE BF'!$S$48</f>
        <v>0</v>
      </c>
      <c r="T5" s="43">
        <f>'TE BE'!$T$5*'TE BF'!$T$48</f>
        <v>0</v>
      </c>
      <c r="U5" s="43">
        <f>'TE BE'!$U$5*'TE BF'!$U$48</f>
        <v>0</v>
      </c>
      <c r="V5" s="43">
        <f>SUM($S$5:$U$5)</f>
        <v>0</v>
      </c>
      <c r="W5" s="43">
        <f>'TE BE'!$AA$5*'TE BF'!$W$48</f>
        <v>0</v>
      </c>
      <c r="X5" s="43">
        <f>SUM($W$5:$W$5)</f>
        <v>0</v>
      </c>
      <c r="Y5" s="43">
        <f>'TE BE'!$Y$5*'TE BF'!$Y$48</f>
        <v>0</v>
      </c>
      <c r="Z5" s="43">
        <f>SUM($Y$5:$Y$5)</f>
        <v>0</v>
      </c>
      <c r="AA5" s="43">
        <f>SUMIF($L$4:$Z$4,"SUBTOTAL",$L$5:$Z$5)</f>
        <v>0</v>
      </c>
    </row>
    <row r="6" spans="1:27" ht="11.25" customHeight="1" x14ac:dyDescent="0.25">
      <c r="A6" s="141"/>
      <c r="B6" s="141"/>
      <c r="C6" s="141"/>
      <c r="D6" s="141"/>
      <c r="E6" s="141"/>
      <c r="F6" s="141"/>
      <c r="G6" s="45" t="s">
        <v>75</v>
      </c>
      <c r="H6" s="45" t="s">
        <v>73</v>
      </c>
      <c r="I6" s="45">
        <f>'MERCADO TE'!$U$3</f>
        <v>75274.775999999998</v>
      </c>
      <c r="J6" s="16"/>
      <c r="L6" s="43">
        <f>'TE BE'!$L$6*'TE BF'!$L$48</f>
        <v>0</v>
      </c>
      <c r="M6" s="43">
        <f>'TE BE'!$M$6*'TE BF'!$M$48</f>
        <v>0</v>
      </c>
      <c r="N6" s="43">
        <f>'TE BE'!$N$6*'TE BF'!$N$48</f>
        <v>0</v>
      </c>
      <c r="O6" s="43">
        <f>'TE BE'!$O$6*'TE BF'!$O$48</f>
        <v>0</v>
      </c>
      <c r="P6" s="43">
        <f>SUM($L$6:$O$6)</f>
        <v>0</v>
      </c>
      <c r="Q6" s="43">
        <f>'TE BE'!$Q$6*'TE BF'!$Q$48</f>
        <v>0</v>
      </c>
      <c r="R6" s="43">
        <f>SUM($Q$6:$Q$6)</f>
        <v>0</v>
      </c>
      <c r="S6" s="43">
        <f>'TE BE'!$S$6*'TE BF'!$S$48</f>
        <v>0</v>
      </c>
      <c r="T6" s="43">
        <f>'TE BE'!$T$6*'TE BF'!$T$48</f>
        <v>0</v>
      </c>
      <c r="U6" s="43">
        <f>'TE BE'!$U$6*'TE BF'!$U$48</f>
        <v>0</v>
      </c>
      <c r="V6" s="43">
        <f>SUM($S$6:$U$6)</f>
        <v>0</v>
      </c>
      <c r="W6" s="43">
        <f>'TE BE'!$AA$6*'TE BF'!$W$48</f>
        <v>0</v>
      </c>
      <c r="X6" s="43">
        <f>SUM($W$6:$W$6)</f>
        <v>0</v>
      </c>
      <c r="Y6" s="43">
        <f>'TE BE'!$Y$6*'TE BF'!$Y$48</f>
        <v>0</v>
      </c>
      <c r="Z6" s="43">
        <f>SUM($Y$6:$Y$6)</f>
        <v>0</v>
      </c>
      <c r="AA6" s="43">
        <f>SUMIF($L$4:$Z$4,"SUBTOTAL",$L$6:$Z$6)</f>
        <v>0</v>
      </c>
    </row>
    <row r="7" spans="1:27" ht="11.25" customHeight="1" x14ac:dyDescent="0.25">
      <c r="A7" s="141" t="s">
        <v>22</v>
      </c>
      <c r="B7" s="141" t="s">
        <v>72</v>
      </c>
      <c r="C7" s="141" t="s">
        <v>24</v>
      </c>
      <c r="D7" s="141" t="s">
        <v>24</v>
      </c>
      <c r="E7" s="141" t="s">
        <v>25</v>
      </c>
      <c r="F7" s="141" t="s">
        <v>25</v>
      </c>
      <c r="G7" s="45" t="s">
        <v>74</v>
      </c>
      <c r="H7" s="45" t="s">
        <v>73</v>
      </c>
      <c r="I7" s="45">
        <f>'MERCADO TE'!$U$4</f>
        <v>0</v>
      </c>
      <c r="J7" s="16"/>
      <c r="L7" s="43">
        <f>'TE BE'!$L$7*'TE BF'!$L$48</f>
        <v>0</v>
      </c>
      <c r="M7" s="43">
        <f>'TE BE'!$M$7*'TE BF'!$M$48</f>
        <v>0</v>
      </c>
      <c r="N7" s="43">
        <f>'TE BE'!$N$7*'TE BF'!$N$48</f>
        <v>0</v>
      </c>
      <c r="O7" s="43">
        <f>'TE BE'!$O$7*'TE BF'!$O$48</f>
        <v>0</v>
      </c>
      <c r="P7" s="43">
        <f>SUM($L$7:$O$7)</f>
        <v>0</v>
      </c>
      <c r="Q7" s="43">
        <f>'TE BE'!$Q$7*'TE BF'!$Q$48</f>
        <v>0</v>
      </c>
      <c r="R7" s="43">
        <f>SUM($Q$7:$Q$7)</f>
        <v>0</v>
      </c>
      <c r="S7" s="43">
        <f>'TE BE'!$S$7*'TE BF'!$S$48</f>
        <v>0</v>
      </c>
      <c r="T7" s="43">
        <f>'TE BE'!$T$7*'TE BF'!$T$48</f>
        <v>0</v>
      </c>
      <c r="U7" s="43">
        <f>'TE BE'!$U$7*'TE BF'!$U$48</f>
        <v>0</v>
      </c>
      <c r="V7" s="43">
        <f>SUM($S$7:$U$7)</f>
        <v>0</v>
      </c>
      <c r="W7" s="43">
        <f>'TE BE'!$AA$7*'TE BF'!$W$48</f>
        <v>0</v>
      </c>
      <c r="X7" s="43">
        <f>SUM($W$7:$W$7)</f>
        <v>0</v>
      </c>
      <c r="Y7" s="43">
        <f>'TE BE'!$Y$7*'TE BF'!$Y$48</f>
        <v>0</v>
      </c>
      <c r="Z7" s="43">
        <f>SUM($Y$7:$Y$7)</f>
        <v>0</v>
      </c>
      <c r="AA7" s="43">
        <f>SUMIF($L$4:$Z$4,"SUBTOTAL",$L$7:$Z$7)</f>
        <v>0</v>
      </c>
    </row>
    <row r="8" spans="1:27" ht="11.25" customHeight="1" x14ac:dyDescent="0.25">
      <c r="A8" s="141"/>
      <c r="B8" s="141"/>
      <c r="C8" s="141"/>
      <c r="D8" s="141"/>
      <c r="E8" s="141"/>
      <c r="F8" s="141"/>
      <c r="G8" s="45" t="s">
        <v>85</v>
      </c>
      <c r="H8" s="45" t="s">
        <v>73</v>
      </c>
      <c r="I8" s="45">
        <f>'MERCADO TE'!$U$5</f>
        <v>0</v>
      </c>
      <c r="J8" s="16"/>
      <c r="L8" s="43">
        <f>'TE BE'!$L$8*'TE BF'!$L$48</f>
        <v>0</v>
      </c>
      <c r="M8" s="43">
        <f>'TE BE'!$M$8*'TE BF'!$M$48</f>
        <v>0</v>
      </c>
      <c r="N8" s="43">
        <f>'TE BE'!$N$8*'TE BF'!$N$48</f>
        <v>0</v>
      </c>
      <c r="O8" s="43">
        <f>'TE BE'!$O$8*'TE BF'!$O$48</f>
        <v>0</v>
      </c>
      <c r="P8" s="43">
        <f>SUM($L$8:$O$8)</f>
        <v>0</v>
      </c>
      <c r="Q8" s="43">
        <f>'TE BE'!$Q$8*'TE BF'!$Q$48</f>
        <v>0</v>
      </c>
      <c r="R8" s="43">
        <f>SUM($Q$8:$Q$8)</f>
        <v>0</v>
      </c>
      <c r="S8" s="43">
        <f>'TE BE'!$S$8*'TE BF'!$S$48</f>
        <v>0</v>
      </c>
      <c r="T8" s="43">
        <f>'TE BE'!$T$8*'TE BF'!$T$48</f>
        <v>0</v>
      </c>
      <c r="U8" s="43">
        <f>'TE BE'!$U$8*'TE BF'!$U$48</f>
        <v>0</v>
      </c>
      <c r="V8" s="43">
        <f>SUM($S$8:$U$8)</f>
        <v>0</v>
      </c>
      <c r="W8" s="43">
        <f>'TE BE'!$AA$8*'TE BF'!$W$48</f>
        <v>0</v>
      </c>
      <c r="X8" s="43">
        <f>SUM($W$8:$W$8)</f>
        <v>0</v>
      </c>
      <c r="Y8" s="43">
        <f>'TE BE'!$Y$8*'TE BF'!$Y$48</f>
        <v>0</v>
      </c>
      <c r="Z8" s="43">
        <f>SUM($Y$8:$Y$8)</f>
        <v>0</v>
      </c>
      <c r="AA8" s="43">
        <f>SUMIF($L$4:$Z$4,"SUBTOTAL",$L$8:$Z$8)</f>
        <v>0</v>
      </c>
    </row>
    <row r="9" spans="1:27" ht="11.25" customHeight="1" x14ac:dyDescent="0.25">
      <c r="A9" s="141"/>
      <c r="B9" s="141"/>
      <c r="C9" s="141"/>
      <c r="D9" s="141"/>
      <c r="E9" s="141"/>
      <c r="F9" s="141"/>
      <c r="G9" s="45" t="s">
        <v>75</v>
      </c>
      <c r="H9" s="45" t="s">
        <v>73</v>
      </c>
      <c r="I9" s="45">
        <f>'MERCADO TE'!$U$6</f>
        <v>0</v>
      </c>
      <c r="J9" s="16"/>
      <c r="L9" s="43">
        <f>'TE BE'!$L$9*'TE BF'!$L$48</f>
        <v>0</v>
      </c>
      <c r="M9" s="43">
        <f>'TE BE'!$M$9*'TE BF'!$M$48</f>
        <v>0</v>
      </c>
      <c r="N9" s="43">
        <f>'TE BE'!$N$9*'TE BF'!$N$48</f>
        <v>0</v>
      </c>
      <c r="O9" s="43">
        <f>'TE BE'!$O$9*'TE BF'!$O$48</f>
        <v>0</v>
      </c>
      <c r="P9" s="43">
        <f>SUM($L$9:$O$9)</f>
        <v>0</v>
      </c>
      <c r="Q9" s="43">
        <f>'TE BE'!$Q$9*'TE BF'!$Q$48</f>
        <v>0</v>
      </c>
      <c r="R9" s="43">
        <f>SUM($Q$9:$Q$9)</f>
        <v>0</v>
      </c>
      <c r="S9" s="43">
        <f>'TE BE'!$S$9*'TE BF'!$S$48</f>
        <v>0</v>
      </c>
      <c r="T9" s="43">
        <f>'TE BE'!$T$9*'TE BF'!$T$48</f>
        <v>0</v>
      </c>
      <c r="U9" s="43">
        <f>'TE BE'!$U$9*'TE BF'!$U$48</f>
        <v>0</v>
      </c>
      <c r="V9" s="43">
        <f>SUM($S$9:$U$9)</f>
        <v>0</v>
      </c>
      <c r="W9" s="43">
        <f>'TE BE'!$AA$9*'TE BF'!$W$48</f>
        <v>0</v>
      </c>
      <c r="X9" s="43">
        <f>SUM($W$9:$W$9)</f>
        <v>0</v>
      </c>
      <c r="Y9" s="43">
        <f>'TE BE'!$Y$9*'TE BF'!$Y$48</f>
        <v>0</v>
      </c>
      <c r="Z9" s="43">
        <f>SUM($Y$9:$Y$9)</f>
        <v>0</v>
      </c>
      <c r="AA9" s="43">
        <f>SUMIF($L$4:$Z$4,"SUBTOTAL",$L$9:$Z$9)</f>
        <v>0</v>
      </c>
    </row>
    <row r="10" spans="1:27" ht="11.25" customHeight="1" x14ac:dyDescent="0.25">
      <c r="A10" s="141"/>
      <c r="B10" s="141" t="s">
        <v>86</v>
      </c>
      <c r="C10" s="141" t="s">
        <v>24</v>
      </c>
      <c r="D10" s="51" t="s">
        <v>24</v>
      </c>
      <c r="E10" s="51" t="s">
        <v>25</v>
      </c>
      <c r="F10" s="51" t="s">
        <v>25</v>
      </c>
      <c r="G10" s="45" t="s">
        <v>79</v>
      </c>
      <c r="H10" s="45" t="s">
        <v>73</v>
      </c>
      <c r="I10" s="45">
        <f>'MERCADO TE'!$U$7</f>
        <v>23903.932000000001</v>
      </c>
      <c r="J10" s="16"/>
      <c r="L10" s="43">
        <f>'TE BE'!$L$10*'TE BF'!$L$48</f>
        <v>0</v>
      </c>
      <c r="M10" s="43">
        <f>'TE BE'!$M$10*'TE BF'!$M$48</f>
        <v>0</v>
      </c>
      <c r="N10" s="43">
        <f>'TE BE'!$N$10*'TE BF'!$N$48</f>
        <v>0</v>
      </c>
      <c r="O10" s="43">
        <f>'TE BE'!$O$10*'TE BF'!$O$48</f>
        <v>0</v>
      </c>
      <c r="P10" s="43">
        <f>SUM($L$10:$O$10)</f>
        <v>0</v>
      </c>
      <c r="Q10" s="43">
        <f>'TE BE'!$Q$10*'TE BF'!$Q$48</f>
        <v>0</v>
      </c>
      <c r="R10" s="43">
        <f>SUM($Q$10:$Q$10)</f>
        <v>0</v>
      </c>
      <c r="S10" s="43">
        <f>'TE BE'!$S$10*'TE BF'!$S$48</f>
        <v>0</v>
      </c>
      <c r="T10" s="43">
        <f>'TE BE'!$T$10*'TE BF'!$T$48</f>
        <v>0</v>
      </c>
      <c r="U10" s="43">
        <f>'TE BE'!$U$10*'TE BF'!$U$48</f>
        <v>0</v>
      </c>
      <c r="V10" s="43">
        <f>SUM($S$10:$U$10)</f>
        <v>0</v>
      </c>
      <c r="W10" s="43">
        <f>'TE BE'!$AA$10*'TE BF'!$W$48</f>
        <v>0</v>
      </c>
      <c r="X10" s="43">
        <f>SUM($W$10:$W$10)</f>
        <v>0</v>
      </c>
      <c r="Y10" s="43">
        <f>'TE BE'!$Y$10*'TE BF'!$Y$48</f>
        <v>0</v>
      </c>
      <c r="Z10" s="43">
        <f>SUM($Y$10:$Y$10)</f>
        <v>0</v>
      </c>
      <c r="AA10" s="43">
        <f>SUMIF($L$4:$Z$4,"SUBTOTAL",$L$10:$Z$10)</f>
        <v>0</v>
      </c>
    </row>
    <row r="11" spans="1:27" ht="11.25" customHeight="1" x14ac:dyDescent="0.25">
      <c r="A11" s="141"/>
      <c r="B11" s="141"/>
      <c r="C11" s="141"/>
      <c r="D11" s="51" t="s">
        <v>29</v>
      </c>
      <c r="E11" s="51" t="s">
        <v>25</v>
      </c>
      <c r="F11" s="51" t="s">
        <v>25</v>
      </c>
      <c r="G11" s="45" t="s">
        <v>79</v>
      </c>
      <c r="H11" s="45" t="s">
        <v>73</v>
      </c>
      <c r="I11" s="45">
        <f>'MERCADO TE'!$U$8</f>
        <v>17.04</v>
      </c>
      <c r="J11" s="16"/>
      <c r="L11" s="43">
        <f>'TE BE'!$L$11*'TE BF'!$L$48</f>
        <v>0</v>
      </c>
      <c r="M11" s="43">
        <f>'TE BE'!$M$11*'TE BF'!$M$48</f>
        <v>0</v>
      </c>
      <c r="N11" s="43">
        <f>'TE BE'!$N$11*'TE BF'!$N$48</f>
        <v>0</v>
      </c>
      <c r="O11" s="43">
        <f>'TE BE'!$O$11*'TE BF'!$O$48</f>
        <v>0</v>
      </c>
      <c r="P11" s="43">
        <f>SUM($L$11:$O$11)</f>
        <v>0</v>
      </c>
      <c r="Q11" s="43">
        <f>'TE BE'!$Q$11*'TE BF'!$Q$48</f>
        <v>0</v>
      </c>
      <c r="R11" s="43">
        <f>SUM($Q$11:$Q$11)</f>
        <v>0</v>
      </c>
      <c r="S11" s="43">
        <f>'TE BE'!$S$11*'TE BF'!$S$48</f>
        <v>0</v>
      </c>
      <c r="T11" s="43">
        <f>'TE BE'!$T$11*'TE BF'!$T$48</f>
        <v>0</v>
      </c>
      <c r="U11" s="43">
        <f>'TE BE'!$U$11*'TE BF'!$U$48</f>
        <v>0</v>
      </c>
      <c r="V11" s="43">
        <f>SUM($S$11:$U$11)</f>
        <v>0</v>
      </c>
      <c r="W11" s="43">
        <f>'TE BE'!$AA$11*'TE BF'!$W$48</f>
        <v>0</v>
      </c>
      <c r="X11" s="43">
        <f>SUM($W$11:$W$11)</f>
        <v>0</v>
      </c>
      <c r="Y11" s="43">
        <f>'TE BE'!$Y$11*'TE BF'!$Y$48</f>
        <v>0</v>
      </c>
      <c r="Z11" s="43">
        <f>SUM($Y$11:$Y$11)</f>
        <v>0</v>
      </c>
      <c r="AA11" s="43">
        <f>SUMIF($L$4:$Z$4,"SUBTOTAL",$L$11:$Z$11)</f>
        <v>0</v>
      </c>
    </row>
    <row r="12" spans="1:27" ht="11.25" customHeight="1" x14ac:dyDescent="0.25">
      <c r="A12" s="141"/>
      <c r="B12" s="141"/>
      <c r="C12" s="141"/>
      <c r="D12" s="51" t="s">
        <v>30</v>
      </c>
      <c r="E12" s="51" t="s">
        <v>25</v>
      </c>
      <c r="F12" s="51" t="s">
        <v>25</v>
      </c>
      <c r="G12" s="45" t="s">
        <v>79</v>
      </c>
      <c r="H12" s="45" t="s">
        <v>73</v>
      </c>
      <c r="I12" s="45">
        <f>'MERCADO TE'!$U$9</f>
        <v>36.048999999999999</v>
      </c>
      <c r="J12" s="16"/>
      <c r="L12" s="43">
        <f>'TE BE'!$L$12*'TE BF'!$L$48</f>
        <v>0</v>
      </c>
      <c r="M12" s="43">
        <f>'TE BE'!$M$12*'TE BF'!$M$48</f>
        <v>0</v>
      </c>
      <c r="N12" s="43">
        <f>'TE BE'!$N$12*'TE BF'!$N$48</f>
        <v>0</v>
      </c>
      <c r="O12" s="43">
        <f>'TE BE'!$O$12*'TE BF'!$O$48</f>
        <v>0</v>
      </c>
      <c r="P12" s="43">
        <f>SUM($L$12:$O$12)</f>
        <v>0</v>
      </c>
      <c r="Q12" s="43">
        <f>'TE BE'!$Q$12*'TE BF'!$Q$48</f>
        <v>0</v>
      </c>
      <c r="R12" s="43">
        <f>SUM($Q$12:$Q$12)</f>
        <v>0</v>
      </c>
      <c r="S12" s="43">
        <f>'TE BE'!$S$12*'TE BF'!$S$48</f>
        <v>0</v>
      </c>
      <c r="T12" s="43">
        <f>'TE BE'!$T$12*'TE BF'!$T$48</f>
        <v>0</v>
      </c>
      <c r="U12" s="43">
        <f>'TE BE'!$U$12*'TE BF'!$U$48</f>
        <v>0</v>
      </c>
      <c r="V12" s="43">
        <f>SUM($S$12:$U$12)</f>
        <v>0</v>
      </c>
      <c r="W12" s="43">
        <f>'TE BE'!$AA$12*'TE BF'!$W$48</f>
        <v>0</v>
      </c>
      <c r="X12" s="43">
        <f>SUM($W$12:$W$12)</f>
        <v>0</v>
      </c>
      <c r="Y12" s="43">
        <f>'TE BE'!$Y$12*'TE BF'!$Y$48</f>
        <v>0</v>
      </c>
      <c r="Z12" s="43">
        <f>SUM($Y$12:$Y$12)</f>
        <v>0</v>
      </c>
      <c r="AA12" s="43">
        <f>SUMIF($L$4:$Z$4,"SUBTOTAL",$L$12:$Z$12)</f>
        <v>0</v>
      </c>
    </row>
    <row r="13" spans="1:27" ht="11.25" customHeight="1" x14ac:dyDescent="0.25">
      <c r="A13" s="141"/>
      <c r="B13" s="141"/>
      <c r="C13" s="141"/>
      <c r="D13" s="51" t="s">
        <v>31</v>
      </c>
      <c r="E13" s="51" t="s">
        <v>25</v>
      </c>
      <c r="F13" s="51" t="s">
        <v>25</v>
      </c>
      <c r="G13" s="45" t="s">
        <v>79</v>
      </c>
      <c r="H13" s="45" t="s">
        <v>73</v>
      </c>
      <c r="I13" s="45">
        <f>'MERCADO TE'!$U$10</f>
        <v>32.835000000000001</v>
      </c>
      <c r="J13" s="16"/>
      <c r="L13" s="43">
        <f>'TE BE'!$L$13*'TE BF'!$L$48</f>
        <v>0</v>
      </c>
      <c r="M13" s="43">
        <f>'TE BE'!$M$13*'TE BF'!$M$48</f>
        <v>0</v>
      </c>
      <c r="N13" s="43">
        <f>'TE BE'!$N$13*'TE BF'!$N$48</f>
        <v>0</v>
      </c>
      <c r="O13" s="43">
        <f>'TE BE'!$O$13*'TE BF'!$O$48</f>
        <v>0</v>
      </c>
      <c r="P13" s="43">
        <f>SUM($L$13:$O$13)</f>
        <v>0</v>
      </c>
      <c r="Q13" s="43">
        <f>'TE BE'!$Q$13*'TE BF'!$Q$48</f>
        <v>0</v>
      </c>
      <c r="R13" s="43">
        <f>SUM($Q$13:$Q$13)</f>
        <v>0</v>
      </c>
      <c r="S13" s="43">
        <f>'TE BE'!$S$13*'TE BF'!$S$48</f>
        <v>0</v>
      </c>
      <c r="T13" s="43">
        <f>'TE BE'!$T$13*'TE BF'!$T$48</f>
        <v>0</v>
      </c>
      <c r="U13" s="43">
        <f>'TE BE'!$U$13*'TE BF'!$U$48</f>
        <v>0</v>
      </c>
      <c r="V13" s="43">
        <f>SUM($S$13:$U$13)</f>
        <v>0</v>
      </c>
      <c r="W13" s="43">
        <f>'TE BE'!$AA$13*'TE BF'!$W$48</f>
        <v>0</v>
      </c>
      <c r="X13" s="43">
        <f>SUM($W$13:$W$13)</f>
        <v>0</v>
      </c>
      <c r="Y13" s="43">
        <f>'TE BE'!$Y$13*'TE BF'!$Y$48</f>
        <v>0</v>
      </c>
      <c r="Z13" s="43">
        <f>SUM($Y$13:$Y$13)</f>
        <v>0</v>
      </c>
      <c r="AA13" s="43">
        <f>SUMIF($L$4:$Z$4,"SUBTOTAL",$L$13:$Z$13)</f>
        <v>0</v>
      </c>
    </row>
    <row r="14" spans="1:27" ht="11.25" customHeight="1" x14ac:dyDescent="0.25">
      <c r="A14" s="141"/>
      <c r="B14" s="141"/>
      <c r="C14" s="141"/>
      <c r="D14" s="51" t="s">
        <v>32</v>
      </c>
      <c r="E14" s="51" t="s">
        <v>25</v>
      </c>
      <c r="F14" s="51" t="s">
        <v>25</v>
      </c>
      <c r="G14" s="45" t="s">
        <v>79</v>
      </c>
      <c r="H14" s="45" t="s">
        <v>73</v>
      </c>
      <c r="I14" s="45">
        <f>'MERCADO TE'!$U$11</f>
        <v>10.568</v>
      </c>
      <c r="J14" s="16"/>
      <c r="L14" s="43">
        <f>'TE BE'!$L$14*'TE BF'!$L$48</f>
        <v>0</v>
      </c>
      <c r="M14" s="43">
        <f>'TE BE'!$M$14*'TE BF'!$M$48</f>
        <v>0</v>
      </c>
      <c r="N14" s="43">
        <f>'TE BE'!$N$14*'TE BF'!$N$48</f>
        <v>0</v>
      </c>
      <c r="O14" s="43">
        <f>'TE BE'!$O$14*'TE BF'!$O$48</f>
        <v>0</v>
      </c>
      <c r="P14" s="43">
        <f>SUM($L$14:$O$14)</f>
        <v>0</v>
      </c>
      <c r="Q14" s="43">
        <f>'TE BE'!$Q$14*'TE BF'!$Q$48</f>
        <v>0</v>
      </c>
      <c r="R14" s="43">
        <f>SUM($Q$14:$Q$14)</f>
        <v>0</v>
      </c>
      <c r="S14" s="43">
        <f>'TE BE'!$S$14*'TE BF'!$S$48</f>
        <v>0</v>
      </c>
      <c r="T14" s="43">
        <f>'TE BE'!$T$14*'TE BF'!$T$48</f>
        <v>0</v>
      </c>
      <c r="U14" s="43">
        <f>'TE BE'!$U$14*'TE BF'!$U$48</f>
        <v>0</v>
      </c>
      <c r="V14" s="43">
        <f>SUM($S$14:$U$14)</f>
        <v>0</v>
      </c>
      <c r="W14" s="43">
        <f>'TE BE'!$AA$14*'TE BF'!$W$48</f>
        <v>0</v>
      </c>
      <c r="X14" s="43">
        <f>SUM($W$14:$W$14)</f>
        <v>0</v>
      </c>
      <c r="Y14" s="43">
        <f>'TE BE'!$Y$14*'TE BF'!$Y$48</f>
        <v>0</v>
      </c>
      <c r="Z14" s="43">
        <f>SUM($Y$14:$Y$14)</f>
        <v>0</v>
      </c>
      <c r="AA14" s="43">
        <f>SUMIF($L$4:$Z$4,"SUBTOTAL",$L$14:$Z$14)</f>
        <v>0</v>
      </c>
    </row>
    <row r="15" spans="1:27" ht="11.25" customHeight="1" x14ac:dyDescent="0.25">
      <c r="A15" s="141"/>
      <c r="B15" s="141" t="s">
        <v>88</v>
      </c>
      <c r="C15" s="141" t="s">
        <v>24</v>
      </c>
      <c r="D15" s="51" t="s">
        <v>24</v>
      </c>
      <c r="E15" s="51" t="s">
        <v>25</v>
      </c>
      <c r="F15" s="51" t="s">
        <v>25</v>
      </c>
      <c r="G15" s="45" t="s">
        <v>79</v>
      </c>
      <c r="H15" s="45" t="s">
        <v>73</v>
      </c>
      <c r="I15" s="45">
        <f>'MERCADO TE'!$U$12</f>
        <v>0</v>
      </c>
      <c r="J15" s="16"/>
      <c r="L15" s="43">
        <f>'TE BE'!$L$15*'TE BF'!$L$48</f>
        <v>0</v>
      </c>
      <c r="M15" s="43">
        <f>'TE BE'!$M$15*'TE BF'!$M$48</f>
        <v>0</v>
      </c>
      <c r="N15" s="43">
        <f>'TE BE'!$N$15*'TE BF'!$N$48</f>
        <v>0</v>
      </c>
      <c r="O15" s="43">
        <f>'TE BE'!$O$15*'TE BF'!$O$48</f>
        <v>0</v>
      </c>
      <c r="P15" s="43">
        <f>SUM($L$15:$O$15)</f>
        <v>0</v>
      </c>
      <c r="Q15" s="43">
        <f>'TE BE'!$Q$15*'TE BF'!$Q$48</f>
        <v>0</v>
      </c>
      <c r="R15" s="43">
        <f>SUM($Q$15:$Q$15)</f>
        <v>0</v>
      </c>
      <c r="S15" s="43">
        <f>'TE BE'!$S$15*'TE BF'!$S$48</f>
        <v>0</v>
      </c>
      <c r="T15" s="43">
        <f>'TE BE'!$T$15*'TE BF'!$T$48</f>
        <v>0</v>
      </c>
      <c r="U15" s="43">
        <f>'TE BE'!$U$15*'TE BF'!$U$48</f>
        <v>0</v>
      </c>
      <c r="V15" s="43">
        <f>SUM($S$15:$U$15)</f>
        <v>0</v>
      </c>
      <c r="W15" s="43">
        <f>'TE BE'!$AA$15*'TE BF'!$W$48</f>
        <v>0</v>
      </c>
      <c r="X15" s="43">
        <f>SUM($W$15:$W$15)</f>
        <v>0</v>
      </c>
      <c r="Y15" s="43">
        <f>'TE BE'!$Y$15*'TE BF'!$Y$48</f>
        <v>0</v>
      </c>
      <c r="Z15" s="43">
        <f>SUM($Y$15:$Y$15)</f>
        <v>0</v>
      </c>
      <c r="AA15" s="43">
        <f>SUMIF($L$4:$Z$4,"SUBTOTAL",$L$15:$Z$15)</f>
        <v>0</v>
      </c>
    </row>
    <row r="16" spans="1:27" ht="11.25" customHeight="1" x14ac:dyDescent="0.25">
      <c r="A16" s="141"/>
      <c r="B16" s="141"/>
      <c r="C16" s="141"/>
      <c r="D16" s="51" t="s">
        <v>29</v>
      </c>
      <c r="E16" s="51" t="s">
        <v>25</v>
      </c>
      <c r="F16" s="51" t="s">
        <v>25</v>
      </c>
      <c r="G16" s="45" t="s">
        <v>79</v>
      </c>
      <c r="H16" s="45" t="s">
        <v>73</v>
      </c>
      <c r="I16" s="45">
        <f>'MERCADO TE'!$U$13</f>
        <v>0</v>
      </c>
      <c r="J16" s="16"/>
      <c r="L16" s="43">
        <f>'TE BE'!$L$16*'TE BF'!$L$48</f>
        <v>0</v>
      </c>
      <c r="M16" s="43">
        <f>'TE BE'!$M$16*'TE BF'!$M$48</f>
        <v>0</v>
      </c>
      <c r="N16" s="43">
        <f>'TE BE'!$N$16*'TE BF'!$N$48</f>
        <v>0</v>
      </c>
      <c r="O16" s="43">
        <f>'TE BE'!$O$16*'TE BF'!$O$48</f>
        <v>0</v>
      </c>
      <c r="P16" s="43">
        <f>SUM($L$16:$O$16)</f>
        <v>0</v>
      </c>
      <c r="Q16" s="43">
        <f>'TE BE'!$Q$16*'TE BF'!$Q$48</f>
        <v>0</v>
      </c>
      <c r="R16" s="43">
        <f>SUM($Q$16:$Q$16)</f>
        <v>0</v>
      </c>
      <c r="S16" s="43">
        <f>'TE BE'!$S$16*'TE BF'!$S$48</f>
        <v>0</v>
      </c>
      <c r="T16" s="43">
        <f>'TE BE'!$T$16*'TE BF'!$T$48</f>
        <v>0</v>
      </c>
      <c r="U16" s="43">
        <f>'TE BE'!$U$16*'TE BF'!$U$48</f>
        <v>0</v>
      </c>
      <c r="V16" s="43">
        <f>SUM($S$16:$U$16)</f>
        <v>0</v>
      </c>
      <c r="W16" s="43">
        <f>'TE BE'!$AA$16*'TE BF'!$W$48</f>
        <v>0</v>
      </c>
      <c r="X16" s="43">
        <f>SUM($W$16:$W$16)</f>
        <v>0</v>
      </c>
      <c r="Y16" s="43">
        <f>'TE BE'!$Y$16*'TE BF'!$Y$48</f>
        <v>0</v>
      </c>
      <c r="Z16" s="43">
        <f>SUM($Y$16:$Y$16)</f>
        <v>0</v>
      </c>
      <c r="AA16" s="43">
        <f>SUMIF($L$4:$Z$4,"SUBTOTAL",$L$16:$Z$16)</f>
        <v>0</v>
      </c>
    </row>
    <row r="17" spans="1:27" ht="11.25" customHeight="1" x14ac:dyDescent="0.25">
      <c r="A17" s="141"/>
      <c r="B17" s="141"/>
      <c r="C17" s="141"/>
      <c r="D17" s="51" t="s">
        <v>30</v>
      </c>
      <c r="E17" s="51" t="s">
        <v>25</v>
      </c>
      <c r="F17" s="51" t="s">
        <v>25</v>
      </c>
      <c r="G17" s="45" t="s">
        <v>79</v>
      </c>
      <c r="H17" s="45" t="s">
        <v>73</v>
      </c>
      <c r="I17" s="45">
        <f>'MERCADO TE'!$U$14</f>
        <v>0</v>
      </c>
      <c r="J17" s="16"/>
      <c r="L17" s="43">
        <f>'TE BE'!$L$17*'TE BF'!$L$48</f>
        <v>0</v>
      </c>
      <c r="M17" s="43">
        <f>'TE BE'!$M$17*'TE BF'!$M$48</f>
        <v>0</v>
      </c>
      <c r="N17" s="43">
        <f>'TE BE'!$N$17*'TE BF'!$N$48</f>
        <v>0</v>
      </c>
      <c r="O17" s="43">
        <f>'TE BE'!$O$17*'TE BF'!$O$48</f>
        <v>0</v>
      </c>
      <c r="P17" s="43">
        <f>SUM($L$17:$O$17)</f>
        <v>0</v>
      </c>
      <c r="Q17" s="43">
        <f>'TE BE'!$Q$17*'TE BF'!$Q$48</f>
        <v>0</v>
      </c>
      <c r="R17" s="43">
        <f>SUM($Q$17:$Q$17)</f>
        <v>0</v>
      </c>
      <c r="S17" s="43">
        <f>'TE BE'!$S$17*'TE BF'!$S$48</f>
        <v>0</v>
      </c>
      <c r="T17" s="43">
        <f>'TE BE'!$T$17*'TE BF'!$T$48</f>
        <v>0</v>
      </c>
      <c r="U17" s="43">
        <f>'TE BE'!$U$17*'TE BF'!$U$48</f>
        <v>0</v>
      </c>
      <c r="V17" s="43">
        <f>SUM($S$17:$U$17)</f>
        <v>0</v>
      </c>
      <c r="W17" s="43">
        <f>'TE BE'!$AA$17*'TE BF'!$W$48</f>
        <v>0</v>
      </c>
      <c r="X17" s="43">
        <f>SUM($W$17:$W$17)</f>
        <v>0</v>
      </c>
      <c r="Y17" s="43">
        <f>'TE BE'!$Y$17*'TE BF'!$Y$48</f>
        <v>0</v>
      </c>
      <c r="Z17" s="43">
        <f>SUM($Y$17:$Y$17)</f>
        <v>0</v>
      </c>
      <c r="AA17" s="43">
        <f>SUMIF($L$4:$Z$4,"SUBTOTAL",$L$17:$Z$17)</f>
        <v>0</v>
      </c>
    </row>
    <row r="18" spans="1:27" ht="11.25" customHeight="1" x14ac:dyDescent="0.25">
      <c r="A18" s="141"/>
      <c r="B18" s="141"/>
      <c r="C18" s="141"/>
      <c r="D18" s="51" t="s">
        <v>31</v>
      </c>
      <c r="E18" s="51" t="s">
        <v>25</v>
      </c>
      <c r="F18" s="51" t="s">
        <v>25</v>
      </c>
      <c r="G18" s="45" t="s">
        <v>79</v>
      </c>
      <c r="H18" s="45" t="s">
        <v>73</v>
      </c>
      <c r="I18" s="45">
        <f>'MERCADO TE'!$U$15</f>
        <v>0</v>
      </c>
      <c r="J18" s="16"/>
      <c r="L18" s="43">
        <f>'TE BE'!$L$18*'TE BF'!$L$48</f>
        <v>0</v>
      </c>
      <c r="M18" s="43">
        <f>'TE BE'!$M$18*'TE BF'!$M$48</f>
        <v>0</v>
      </c>
      <c r="N18" s="43">
        <f>'TE BE'!$N$18*'TE BF'!$N$48</f>
        <v>0</v>
      </c>
      <c r="O18" s="43">
        <f>'TE BE'!$O$18*'TE BF'!$O$48</f>
        <v>0</v>
      </c>
      <c r="P18" s="43">
        <f>SUM($L$18:$O$18)</f>
        <v>0</v>
      </c>
      <c r="Q18" s="43">
        <f>'TE BE'!$Q$18*'TE BF'!$Q$48</f>
        <v>0</v>
      </c>
      <c r="R18" s="43">
        <f>SUM($Q$18:$Q$18)</f>
        <v>0</v>
      </c>
      <c r="S18" s="43">
        <f>'TE BE'!$S$18*'TE BF'!$S$48</f>
        <v>0</v>
      </c>
      <c r="T18" s="43">
        <f>'TE BE'!$T$18*'TE BF'!$T$48</f>
        <v>0</v>
      </c>
      <c r="U18" s="43">
        <f>'TE BE'!$U$18*'TE BF'!$U$48</f>
        <v>0</v>
      </c>
      <c r="V18" s="43">
        <f>SUM($S$18:$U$18)</f>
        <v>0</v>
      </c>
      <c r="W18" s="43">
        <f>'TE BE'!$AA$18*'TE BF'!$W$48</f>
        <v>0</v>
      </c>
      <c r="X18" s="43">
        <f>SUM($W$18:$W$18)</f>
        <v>0</v>
      </c>
      <c r="Y18" s="43">
        <f>'TE BE'!$Y$18*'TE BF'!$Y$48</f>
        <v>0</v>
      </c>
      <c r="Z18" s="43">
        <f>SUM($Y$18:$Y$18)</f>
        <v>0</v>
      </c>
      <c r="AA18" s="43">
        <f>SUMIF($L$4:$Z$4,"SUBTOTAL",$L$18:$Z$18)</f>
        <v>0</v>
      </c>
    </row>
    <row r="19" spans="1:27" ht="11.25" customHeight="1" x14ac:dyDescent="0.25">
      <c r="A19" s="141"/>
      <c r="B19" s="141"/>
      <c r="C19" s="141"/>
      <c r="D19" s="51" t="s">
        <v>32</v>
      </c>
      <c r="E19" s="51" t="s">
        <v>25</v>
      </c>
      <c r="F19" s="51" t="s">
        <v>25</v>
      </c>
      <c r="G19" s="45" t="s">
        <v>79</v>
      </c>
      <c r="H19" s="45" t="s">
        <v>73</v>
      </c>
      <c r="I19" s="45">
        <f>'MERCADO TE'!$U$16</f>
        <v>0</v>
      </c>
      <c r="J19" s="16"/>
      <c r="L19" s="43">
        <f>'TE BE'!$L$19*'TE BF'!$L$48</f>
        <v>0</v>
      </c>
      <c r="M19" s="43">
        <f>'TE BE'!$M$19*'TE BF'!$M$48</f>
        <v>0</v>
      </c>
      <c r="N19" s="43">
        <f>'TE BE'!$N$19*'TE BF'!$N$48</f>
        <v>0</v>
      </c>
      <c r="O19" s="43">
        <f>'TE BE'!$O$19*'TE BF'!$O$48</f>
        <v>0</v>
      </c>
      <c r="P19" s="43">
        <f>SUM($L$19:$O$19)</f>
        <v>0</v>
      </c>
      <c r="Q19" s="43">
        <f>'TE BE'!$Q$19*'TE BF'!$Q$48</f>
        <v>0</v>
      </c>
      <c r="R19" s="43">
        <f>SUM($Q$19:$Q$19)</f>
        <v>0</v>
      </c>
      <c r="S19" s="43">
        <f>'TE BE'!$S$19*'TE BF'!$S$48</f>
        <v>0</v>
      </c>
      <c r="T19" s="43">
        <f>'TE BE'!$T$19*'TE BF'!$T$48</f>
        <v>0</v>
      </c>
      <c r="U19" s="43">
        <f>'TE BE'!$U$19*'TE BF'!$U$48</f>
        <v>0</v>
      </c>
      <c r="V19" s="43">
        <f>SUM($S$19:$U$19)</f>
        <v>0</v>
      </c>
      <c r="W19" s="43">
        <f>'TE BE'!$AA$19*'TE BF'!$W$48</f>
        <v>0</v>
      </c>
      <c r="X19" s="43">
        <f>SUM($W$19:$W$19)</f>
        <v>0</v>
      </c>
      <c r="Y19" s="43">
        <f>'TE BE'!$Y$19*'TE BF'!$Y$48</f>
        <v>0</v>
      </c>
      <c r="Z19" s="43">
        <f>SUM($Y$19:$Y$19)</f>
        <v>0</v>
      </c>
      <c r="AA19" s="43">
        <f>SUMIF($L$4:$Z$4,"SUBTOTAL",$L$19:$Z$19)</f>
        <v>0</v>
      </c>
    </row>
    <row r="20" spans="1:27" ht="11.25" customHeight="1" x14ac:dyDescent="0.25">
      <c r="A20" s="141" t="s">
        <v>40</v>
      </c>
      <c r="B20" s="141" t="s">
        <v>72</v>
      </c>
      <c r="C20" s="141" t="s">
        <v>41</v>
      </c>
      <c r="D20" s="141" t="s">
        <v>25</v>
      </c>
      <c r="E20" s="141" t="s">
        <v>25</v>
      </c>
      <c r="F20" s="141" t="s">
        <v>25</v>
      </c>
      <c r="G20" s="45" t="s">
        <v>74</v>
      </c>
      <c r="H20" s="45" t="s">
        <v>73</v>
      </c>
      <c r="I20" s="45">
        <f>'MERCADO TE'!$U$17</f>
        <v>0</v>
      </c>
      <c r="J20" s="16"/>
      <c r="L20" s="43">
        <f>'TE BE'!$L$20*'TE BF'!$L$48</f>
        <v>0</v>
      </c>
      <c r="M20" s="43">
        <f>'TE BE'!$M$20*'TE BF'!$M$48</f>
        <v>0</v>
      </c>
      <c r="N20" s="43">
        <f>'TE BE'!$N$20*'TE BF'!$N$48</f>
        <v>0</v>
      </c>
      <c r="O20" s="43">
        <f>'TE BE'!$O$20*'TE BF'!$O$48</f>
        <v>0</v>
      </c>
      <c r="P20" s="43">
        <f>SUM($L$20:$O$20)</f>
        <v>0</v>
      </c>
      <c r="Q20" s="43">
        <f>'TE BE'!$Q$20*'TE BF'!$Q$48</f>
        <v>0</v>
      </c>
      <c r="R20" s="43">
        <f>SUM($Q$20:$Q$20)</f>
        <v>0</v>
      </c>
      <c r="S20" s="43">
        <f>'TE BE'!$S$20*'TE BF'!$S$48</f>
        <v>0</v>
      </c>
      <c r="T20" s="43">
        <f>'TE BE'!$T$20*'TE BF'!$T$48</f>
        <v>0</v>
      </c>
      <c r="U20" s="43">
        <f>'TE BE'!$U$20*'TE BF'!$U$48</f>
        <v>0</v>
      </c>
      <c r="V20" s="43">
        <f>SUM($S$20:$U$20)</f>
        <v>0</v>
      </c>
      <c r="W20" s="43">
        <f>'TE BE'!$AA$20*'TE BF'!$W$48</f>
        <v>0</v>
      </c>
      <c r="X20" s="43">
        <f>SUM($W$20:$W$20)</f>
        <v>0</v>
      </c>
      <c r="Y20" s="43">
        <f>'TE BE'!$Y$20*'TE BF'!$Y$48</f>
        <v>0</v>
      </c>
      <c r="Z20" s="43">
        <f>SUM($Y$20:$Y$20)</f>
        <v>0</v>
      </c>
      <c r="AA20" s="43">
        <f>SUMIF($L$4:$Z$4,"SUBTOTAL",$L$20:$Z$20)</f>
        <v>0</v>
      </c>
    </row>
    <row r="21" spans="1:27" ht="11.25" customHeight="1" x14ac:dyDescent="0.25">
      <c r="A21" s="141"/>
      <c r="B21" s="141"/>
      <c r="C21" s="141"/>
      <c r="D21" s="141"/>
      <c r="E21" s="141"/>
      <c r="F21" s="141"/>
      <c r="G21" s="45" t="s">
        <v>85</v>
      </c>
      <c r="H21" s="45" t="s">
        <v>73</v>
      </c>
      <c r="I21" s="45">
        <f>'MERCADO TE'!$U$18</f>
        <v>0</v>
      </c>
      <c r="J21" s="16"/>
      <c r="L21" s="43">
        <f>'TE BE'!$L$21*'TE BF'!$L$48</f>
        <v>0</v>
      </c>
      <c r="M21" s="43">
        <f>'TE BE'!$M$21*'TE BF'!$M$48</f>
        <v>0</v>
      </c>
      <c r="N21" s="43">
        <f>'TE BE'!$N$21*'TE BF'!$N$48</f>
        <v>0</v>
      </c>
      <c r="O21" s="43">
        <f>'TE BE'!$O$21*'TE BF'!$O$48</f>
        <v>0</v>
      </c>
      <c r="P21" s="43">
        <f>SUM($L$21:$O$21)</f>
        <v>0</v>
      </c>
      <c r="Q21" s="43">
        <f>'TE BE'!$Q$21*'TE BF'!$Q$48</f>
        <v>0</v>
      </c>
      <c r="R21" s="43">
        <f>SUM($Q$21:$Q$21)</f>
        <v>0</v>
      </c>
      <c r="S21" s="43">
        <f>'TE BE'!$S$21*'TE BF'!$S$48</f>
        <v>0</v>
      </c>
      <c r="T21" s="43">
        <f>'TE BE'!$T$21*'TE BF'!$T$48</f>
        <v>0</v>
      </c>
      <c r="U21" s="43">
        <f>'TE BE'!$U$21*'TE BF'!$U$48</f>
        <v>0</v>
      </c>
      <c r="V21" s="43">
        <f>SUM($S$21:$U$21)</f>
        <v>0</v>
      </c>
      <c r="W21" s="43">
        <f>'TE BE'!$AA$21*'TE BF'!$W$48</f>
        <v>0</v>
      </c>
      <c r="X21" s="43">
        <f>SUM($W$21:$W$21)</f>
        <v>0</v>
      </c>
      <c r="Y21" s="43">
        <f>'TE BE'!$Y$21*'TE BF'!$Y$48</f>
        <v>0</v>
      </c>
      <c r="Z21" s="43">
        <f>SUM($Y$21:$Y$21)</f>
        <v>0</v>
      </c>
      <c r="AA21" s="43">
        <f>SUMIF($L$4:$Z$4,"SUBTOTAL",$L$21:$Z$21)</f>
        <v>0</v>
      </c>
    </row>
    <row r="22" spans="1:27" ht="11.25" customHeight="1" x14ac:dyDescent="0.25">
      <c r="A22" s="141"/>
      <c r="B22" s="141"/>
      <c r="C22" s="141"/>
      <c r="D22" s="141"/>
      <c r="E22" s="141"/>
      <c r="F22" s="141"/>
      <c r="G22" s="45" t="s">
        <v>75</v>
      </c>
      <c r="H22" s="45" t="s">
        <v>73</v>
      </c>
      <c r="I22" s="45">
        <f>'MERCADO TE'!$U$19</f>
        <v>0</v>
      </c>
      <c r="J22" s="16"/>
      <c r="L22" s="43">
        <f>'TE BE'!$L$22*'TE BF'!$L$48</f>
        <v>0</v>
      </c>
      <c r="M22" s="43">
        <f>'TE BE'!$M$22*'TE BF'!$M$48</f>
        <v>0</v>
      </c>
      <c r="N22" s="43">
        <f>'TE BE'!$N$22*'TE BF'!$N$48</f>
        <v>0</v>
      </c>
      <c r="O22" s="43">
        <f>'TE BE'!$O$22*'TE BF'!$O$48</f>
        <v>0</v>
      </c>
      <c r="P22" s="43">
        <f>SUM($L$22:$O$22)</f>
        <v>0</v>
      </c>
      <c r="Q22" s="43">
        <f>'TE BE'!$Q$22*'TE BF'!$Q$48</f>
        <v>0</v>
      </c>
      <c r="R22" s="43">
        <f>SUM($Q$22:$Q$22)</f>
        <v>0</v>
      </c>
      <c r="S22" s="43">
        <f>'TE BE'!$S$22*'TE BF'!$S$48</f>
        <v>0</v>
      </c>
      <c r="T22" s="43">
        <f>'TE BE'!$T$22*'TE BF'!$T$48</f>
        <v>0</v>
      </c>
      <c r="U22" s="43">
        <f>'TE BE'!$U$22*'TE BF'!$U$48</f>
        <v>0</v>
      </c>
      <c r="V22" s="43">
        <f>SUM($S$22:$U$22)</f>
        <v>0</v>
      </c>
      <c r="W22" s="43">
        <f>'TE BE'!$AA$22*'TE BF'!$W$48</f>
        <v>0</v>
      </c>
      <c r="X22" s="43">
        <f>SUM($W$22:$W$22)</f>
        <v>0</v>
      </c>
      <c r="Y22" s="43">
        <f>'TE BE'!$Y$22*'TE BF'!$Y$48</f>
        <v>0</v>
      </c>
      <c r="Z22" s="43">
        <f>SUM($Y$22:$Y$22)</f>
        <v>0</v>
      </c>
      <c r="AA22" s="43">
        <f>SUMIF($L$4:$Z$4,"SUBTOTAL",$L$22:$Z$22)</f>
        <v>0</v>
      </c>
    </row>
    <row r="23" spans="1:27" ht="11.25" customHeight="1" x14ac:dyDescent="0.25">
      <c r="A23" s="141"/>
      <c r="B23" s="51" t="s">
        <v>86</v>
      </c>
      <c r="C23" s="51" t="s">
        <v>41</v>
      </c>
      <c r="D23" s="51" t="s">
        <v>25</v>
      </c>
      <c r="E23" s="51" t="s">
        <v>25</v>
      </c>
      <c r="F23" s="51" t="s">
        <v>25</v>
      </c>
      <c r="G23" s="45" t="s">
        <v>79</v>
      </c>
      <c r="H23" s="45" t="s">
        <v>73</v>
      </c>
      <c r="I23" s="45">
        <f>'MERCADO TE'!$U$20</f>
        <v>55907.260999999999</v>
      </c>
      <c r="J23" s="16"/>
      <c r="L23" s="43">
        <f>'TE BE'!$L$23*'TE BF'!$L$48</f>
        <v>0</v>
      </c>
      <c r="M23" s="43">
        <f>'TE BE'!$M$23*'TE BF'!$M$48</f>
        <v>0</v>
      </c>
      <c r="N23" s="43">
        <f>'TE BE'!$N$23*'TE BF'!$N$48</f>
        <v>0</v>
      </c>
      <c r="O23" s="43">
        <f>'TE BE'!$O$23*'TE BF'!$O$48</f>
        <v>0</v>
      </c>
      <c r="P23" s="43">
        <f>SUM($L$23:$O$23)</f>
        <v>0</v>
      </c>
      <c r="Q23" s="43">
        <f>'TE BE'!$Q$23*'TE BF'!$Q$48</f>
        <v>0</v>
      </c>
      <c r="R23" s="43">
        <f>SUM($Q$23:$Q$23)</f>
        <v>0</v>
      </c>
      <c r="S23" s="43">
        <f>'TE BE'!$S$23*'TE BF'!$S$48</f>
        <v>0</v>
      </c>
      <c r="T23" s="43">
        <f>'TE BE'!$T$23*'TE BF'!$T$48</f>
        <v>0</v>
      </c>
      <c r="U23" s="43">
        <f>'TE BE'!$U$23*'TE BF'!$U$48</f>
        <v>0</v>
      </c>
      <c r="V23" s="43">
        <f>SUM($S$23:$U$23)</f>
        <v>0</v>
      </c>
      <c r="W23" s="43">
        <f>'TE BE'!$AA$23*'TE BF'!$W$48</f>
        <v>0</v>
      </c>
      <c r="X23" s="43">
        <f>SUM($W$23:$W$23)</f>
        <v>0</v>
      </c>
      <c r="Y23" s="43">
        <f>'TE BE'!$Y$23*'TE BF'!$Y$48</f>
        <v>0</v>
      </c>
      <c r="Z23" s="43">
        <f>SUM($Y$23:$Y$23)</f>
        <v>0</v>
      </c>
      <c r="AA23" s="43">
        <f>SUMIF($L$4:$Z$4,"SUBTOTAL",$L$23:$Z$23)</f>
        <v>0</v>
      </c>
    </row>
    <row r="24" spans="1:27" ht="11.25" customHeight="1" x14ac:dyDescent="0.25">
      <c r="A24" s="141"/>
      <c r="B24" s="141" t="s">
        <v>72</v>
      </c>
      <c r="C24" s="141" t="s">
        <v>41</v>
      </c>
      <c r="D24" s="141" t="s">
        <v>90</v>
      </c>
      <c r="E24" s="141" t="s">
        <v>25</v>
      </c>
      <c r="F24" s="141" t="s">
        <v>25</v>
      </c>
      <c r="G24" s="45" t="s">
        <v>74</v>
      </c>
      <c r="H24" s="45" t="s">
        <v>73</v>
      </c>
      <c r="I24" s="45">
        <f>'MERCADO TE'!$U$21</f>
        <v>0</v>
      </c>
      <c r="J24" s="16"/>
      <c r="L24" s="43">
        <f>'TE BE'!$L$24*'TE BF'!$L$48</f>
        <v>0</v>
      </c>
      <c r="M24" s="43">
        <f>'TE BE'!$M$24*'TE BF'!$M$48</f>
        <v>0</v>
      </c>
      <c r="N24" s="43">
        <f>'TE BE'!$N$24*'TE BF'!$N$48</f>
        <v>0</v>
      </c>
      <c r="O24" s="43">
        <f>'TE BE'!$O$24*'TE BF'!$O$48</f>
        <v>0</v>
      </c>
      <c r="P24" s="43">
        <f>SUM($L$24:$O$24)</f>
        <v>0</v>
      </c>
      <c r="Q24" s="43">
        <f>'TE BE'!$Q$24*'TE BF'!$Q$48</f>
        <v>0</v>
      </c>
      <c r="R24" s="43">
        <f>SUM($Q$24:$Q$24)</f>
        <v>0</v>
      </c>
      <c r="S24" s="43">
        <f>'TE BE'!$S$24*'TE BF'!$S$48</f>
        <v>0</v>
      </c>
      <c r="T24" s="43">
        <f>'TE BE'!$T$24*'TE BF'!$T$48</f>
        <v>0</v>
      </c>
      <c r="U24" s="43">
        <f>'TE BE'!$U$24*'TE BF'!$U$48</f>
        <v>0</v>
      </c>
      <c r="V24" s="43">
        <f>SUM($S$24:$U$24)</f>
        <v>0</v>
      </c>
      <c r="W24" s="43">
        <f>'TE BE'!$AA$24*'TE BF'!$W$48</f>
        <v>0</v>
      </c>
      <c r="X24" s="43">
        <f>SUM($W$24:$W$24)</f>
        <v>0</v>
      </c>
      <c r="Y24" s="43">
        <f>'TE BE'!$Y$24*'TE BF'!$Y$48</f>
        <v>0</v>
      </c>
      <c r="Z24" s="43">
        <f>SUM($Y$24:$Y$24)</f>
        <v>0</v>
      </c>
      <c r="AA24" s="43">
        <f>SUMIF($L$4:$Z$4,"SUBTOTAL",$L$24:$Z$24)</f>
        <v>0</v>
      </c>
    </row>
    <row r="25" spans="1:27" ht="11.25" customHeight="1" x14ac:dyDescent="0.25">
      <c r="A25" s="141"/>
      <c r="B25" s="141"/>
      <c r="C25" s="141"/>
      <c r="D25" s="141"/>
      <c r="E25" s="141"/>
      <c r="F25" s="141"/>
      <c r="G25" s="45" t="s">
        <v>85</v>
      </c>
      <c r="H25" s="45" t="s">
        <v>73</v>
      </c>
      <c r="I25" s="45">
        <f>'MERCADO TE'!$U$22</f>
        <v>0</v>
      </c>
      <c r="J25" s="16"/>
      <c r="L25" s="43">
        <f>'TE BE'!$L$25*'TE BF'!$L$48</f>
        <v>0</v>
      </c>
      <c r="M25" s="43">
        <f>'TE BE'!$M$25*'TE BF'!$M$48</f>
        <v>0</v>
      </c>
      <c r="N25" s="43">
        <f>'TE BE'!$N$25*'TE BF'!$N$48</f>
        <v>0</v>
      </c>
      <c r="O25" s="43">
        <f>'TE BE'!$O$25*'TE BF'!$O$48</f>
        <v>0</v>
      </c>
      <c r="P25" s="43">
        <f>SUM($L$25:$O$25)</f>
        <v>0</v>
      </c>
      <c r="Q25" s="43">
        <f>'TE BE'!$Q$25*'TE BF'!$Q$48</f>
        <v>0</v>
      </c>
      <c r="R25" s="43">
        <f>SUM($Q$25:$Q$25)</f>
        <v>0</v>
      </c>
      <c r="S25" s="43">
        <f>'TE BE'!$S$25*'TE BF'!$S$48</f>
        <v>0</v>
      </c>
      <c r="T25" s="43">
        <f>'TE BE'!$T$25*'TE BF'!$T$48</f>
        <v>0</v>
      </c>
      <c r="U25" s="43">
        <f>'TE BE'!$U$25*'TE BF'!$U$48</f>
        <v>0</v>
      </c>
      <c r="V25" s="43">
        <f>SUM($S$25:$U$25)</f>
        <v>0</v>
      </c>
      <c r="W25" s="43">
        <f>'TE BE'!$AA$25*'TE BF'!$W$48</f>
        <v>0</v>
      </c>
      <c r="X25" s="43">
        <f>SUM($W$25:$W$25)</f>
        <v>0</v>
      </c>
      <c r="Y25" s="43">
        <f>'TE BE'!$Y$25*'TE BF'!$Y$48</f>
        <v>0</v>
      </c>
      <c r="Z25" s="43">
        <f>SUM($Y$25:$Y$25)</f>
        <v>0</v>
      </c>
      <c r="AA25" s="43">
        <f>SUMIF($L$4:$Z$4,"SUBTOTAL",$L$25:$Z$25)</f>
        <v>0</v>
      </c>
    </row>
    <row r="26" spans="1:27" ht="11.25" customHeight="1" x14ac:dyDescent="0.25">
      <c r="A26" s="141"/>
      <c r="B26" s="141"/>
      <c r="C26" s="141"/>
      <c r="D26" s="141"/>
      <c r="E26" s="141"/>
      <c r="F26" s="141"/>
      <c r="G26" s="45" t="s">
        <v>75</v>
      </c>
      <c r="H26" s="45" t="s">
        <v>73</v>
      </c>
      <c r="I26" s="45">
        <f>'MERCADO TE'!$U$23</f>
        <v>0</v>
      </c>
      <c r="J26" s="16"/>
      <c r="L26" s="43">
        <f>'TE BE'!$L$26*'TE BF'!$L$48</f>
        <v>0</v>
      </c>
      <c r="M26" s="43">
        <f>'TE BE'!$M$26*'TE BF'!$M$48</f>
        <v>0</v>
      </c>
      <c r="N26" s="43">
        <f>'TE BE'!$N$26*'TE BF'!$N$48</f>
        <v>0</v>
      </c>
      <c r="O26" s="43">
        <f>'TE BE'!$O$26*'TE BF'!$O$48</f>
        <v>0</v>
      </c>
      <c r="P26" s="43">
        <f>SUM($L$26:$O$26)</f>
        <v>0</v>
      </c>
      <c r="Q26" s="43">
        <f>'TE BE'!$Q$26*'TE BF'!$Q$48</f>
        <v>0</v>
      </c>
      <c r="R26" s="43">
        <f>SUM($Q$26:$Q$26)</f>
        <v>0</v>
      </c>
      <c r="S26" s="43">
        <f>'TE BE'!$S$26*'TE BF'!$S$48</f>
        <v>0</v>
      </c>
      <c r="T26" s="43">
        <f>'TE BE'!$T$26*'TE BF'!$T$48</f>
        <v>0</v>
      </c>
      <c r="U26" s="43">
        <f>'TE BE'!$U$26*'TE BF'!$U$48</f>
        <v>0</v>
      </c>
      <c r="V26" s="43">
        <f>SUM($S$26:$U$26)</f>
        <v>0</v>
      </c>
      <c r="W26" s="43">
        <f>'TE BE'!$AA$26*'TE BF'!$W$48</f>
        <v>0</v>
      </c>
      <c r="X26" s="43">
        <f>SUM($W$26:$W$26)</f>
        <v>0</v>
      </c>
      <c r="Y26" s="43">
        <f>'TE BE'!$Y$26*'TE BF'!$Y$48</f>
        <v>0</v>
      </c>
      <c r="Z26" s="43">
        <f>SUM($Y$26:$Y$26)</f>
        <v>0</v>
      </c>
      <c r="AA26" s="43">
        <f>SUMIF($L$4:$Z$4,"SUBTOTAL",$L$26:$Z$26)</f>
        <v>0</v>
      </c>
    </row>
    <row r="27" spans="1:27" ht="11.25" customHeight="1" x14ac:dyDescent="0.25">
      <c r="A27" s="141"/>
      <c r="B27" s="51" t="s">
        <v>86</v>
      </c>
      <c r="C27" s="51" t="s">
        <v>41</v>
      </c>
      <c r="D27" s="51" t="s">
        <v>90</v>
      </c>
      <c r="E27" s="51" t="s">
        <v>25</v>
      </c>
      <c r="F27" s="51" t="s">
        <v>25</v>
      </c>
      <c r="G27" s="45" t="s">
        <v>79</v>
      </c>
      <c r="H27" s="45" t="s">
        <v>73</v>
      </c>
      <c r="I27" s="45">
        <f>'MERCADO TE'!$U$24</f>
        <v>0</v>
      </c>
      <c r="J27" s="16"/>
      <c r="L27" s="43">
        <f>'TE BE'!$L$27*'TE BF'!$L$48</f>
        <v>0</v>
      </c>
      <c r="M27" s="43">
        <f>'TE BE'!$M$27*'TE BF'!$M$48</f>
        <v>0</v>
      </c>
      <c r="N27" s="43">
        <f>'TE BE'!$N$27*'TE BF'!$N$48</f>
        <v>0</v>
      </c>
      <c r="O27" s="43">
        <f>'TE BE'!$O$27*'TE BF'!$O$48</f>
        <v>0</v>
      </c>
      <c r="P27" s="43">
        <f>SUM($L$27:$O$27)</f>
        <v>0</v>
      </c>
      <c r="Q27" s="43">
        <f>'TE BE'!$Q$27*'TE BF'!$Q$48</f>
        <v>0</v>
      </c>
      <c r="R27" s="43">
        <f>SUM($Q$27:$Q$27)</f>
        <v>0</v>
      </c>
      <c r="S27" s="43">
        <f>'TE BE'!$S$27*'TE BF'!$S$48</f>
        <v>0</v>
      </c>
      <c r="T27" s="43">
        <f>'TE BE'!$T$27*'TE BF'!$T$48</f>
        <v>0</v>
      </c>
      <c r="U27" s="43">
        <f>'TE BE'!$U$27*'TE BF'!$U$48</f>
        <v>0</v>
      </c>
      <c r="V27" s="43">
        <f>SUM($S$27:$U$27)</f>
        <v>0</v>
      </c>
      <c r="W27" s="43">
        <f>'TE BE'!$AA$27*'TE BF'!$W$48</f>
        <v>0</v>
      </c>
      <c r="X27" s="43">
        <f>SUM($W$27:$W$27)</f>
        <v>0</v>
      </c>
      <c r="Y27" s="43">
        <f>'TE BE'!$Y$27*'TE BF'!$Y$48</f>
        <v>0</v>
      </c>
      <c r="Z27" s="43">
        <f>SUM($Y$27:$Y$27)</f>
        <v>0</v>
      </c>
      <c r="AA27" s="43">
        <f>SUMIF($L$4:$Z$4,"SUBTOTAL",$L$27:$Z$27)</f>
        <v>0</v>
      </c>
    </row>
    <row r="28" spans="1:27" ht="11.25" customHeight="1" x14ac:dyDescent="0.25">
      <c r="A28" s="141"/>
      <c r="B28" s="141" t="s">
        <v>72</v>
      </c>
      <c r="C28" s="141" t="s">
        <v>41</v>
      </c>
      <c r="D28" s="141" t="s">
        <v>91</v>
      </c>
      <c r="E28" s="141" t="s">
        <v>25</v>
      </c>
      <c r="F28" s="141" t="s">
        <v>25</v>
      </c>
      <c r="G28" s="45" t="s">
        <v>74</v>
      </c>
      <c r="H28" s="45" t="s">
        <v>73</v>
      </c>
      <c r="I28" s="45">
        <f>'MERCADO TE'!$U$25</f>
        <v>0</v>
      </c>
      <c r="J28" s="16"/>
      <c r="L28" s="43">
        <f>'TE BE'!$L$28*'TE BF'!$L$48</f>
        <v>0</v>
      </c>
      <c r="M28" s="43">
        <f>'TE BE'!$M$28*'TE BF'!$M$48</f>
        <v>0</v>
      </c>
      <c r="N28" s="43">
        <f>'TE BE'!$N$28*'TE BF'!$N$48</f>
        <v>0</v>
      </c>
      <c r="O28" s="43">
        <f>'TE BE'!$O$28*'TE BF'!$O$48</f>
        <v>0</v>
      </c>
      <c r="P28" s="43">
        <f>SUM($L$28:$O$28)</f>
        <v>0</v>
      </c>
      <c r="Q28" s="43">
        <f>'TE BE'!$Q$28*'TE BF'!$Q$48</f>
        <v>0</v>
      </c>
      <c r="R28" s="43">
        <f>SUM($Q$28:$Q$28)</f>
        <v>0</v>
      </c>
      <c r="S28" s="43">
        <f>'TE BE'!$S$28*'TE BF'!$S$48</f>
        <v>0</v>
      </c>
      <c r="T28" s="43">
        <f>'TE BE'!$T$28*'TE BF'!$T$48</f>
        <v>0</v>
      </c>
      <c r="U28" s="43">
        <f>'TE BE'!$U$28*'TE BF'!$U$48</f>
        <v>0</v>
      </c>
      <c r="V28" s="43">
        <f>SUM($S$28:$U$28)</f>
        <v>0</v>
      </c>
      <c r="W28" s="43">
        <f>'TE BE'!$AA$28*'TE BF'!$W$48</f>
        <v>0</v>
      </c>
      <c r="X28" s="43">
        <f>SUM($W$28:$W$28)</f>
        <v>0</v>
      </c>
      <c r="Y28" s="43">
        <f>'TE BE'!$Y$28*'TE BF'!$Y$48</f>
        <v>0</v>
      </c>
      <c r="Z28" s="43">
        <f>SUM($Y$28:$Y$28)</f>
        <v>0</v>
      </c>
      <c r="AA28" s="43">
        <f>SUMIF($L$4:$Z$4,"SUBTOTAL",$L$28:$Z$28)</f>
        <v>0</v>
      </c>
    </row>
    <row r="29" spans="1:27" ht="11.25" customHeight="1" x14ac:dyDescent="0.25">
      <c r="A29" s="141"/>
      <c r="B29" s="141"/>
      <c r="C29" s="141"/>
      <c r="D29" s="141"/>
      <c r="E29" s="141"/>
      <c r="F29" s="141"/>
      <c r="G29" s="45" t="s">
        <v>85</v>
      </c>
      <c r="H29" s="45" t="s">
        <v>73</v>
      </c>
      <c r="I29" s="45">
        <f>'MERCADO TE'!$U$26</f>
        <v>0</v>
      </c>
      <c r="J29" s="16"/>
      <c r="L29" s="43">
        <f>'TE BE'!$L$29*'TE BF'!$L$48</f>
        <v>0</v>
      </c>
      <c r="M29" s="43">
        <f>'TE BE'!$M$29*'TE BF'!$M$48</f>
        <v>0</v>
      </c>
      <c r="N29" s="43">
        <f>'TE BE'!$N$29*'TE BF'!$N$48</f>
        <v>0</v>
      </c>
      <c r="O29" s="43">
        <f>'TE BE'!$O$29*'TE BF'!$O$48</f>
        <v>0</v>
      </c>
      <c r="P29" s="43">
        <f>SUM($L$29:$O$29)</f>
        <v>0</v>
      </c>
      <c r="Q29" s="43">
        <f>'TE BE'!$Q$29*'TE BF'!$Q$48</f>
        <v>0</v>
      </c>
      <c r="R29" s="43">
        <f>SUM($Q$29:$Q$29)</f>
        <v>0</v>
      </c>
      <c r="S29" s="43">
        <f>'TE BE'!$S$29*'TE BF'!$S$48</f>
        <v>0</v>
      </c>
      <c r="T29" s="43">
        <f>'TE BE'!$T$29*'TE BF'!$T$48</f>
        <v>0</v>
      </c>
      <c r="U29" s="43">
        <f>'TE BE'!$U$29*'TE BF'!$U$48</f>
        <v>0</v>
      </c>
      <c r="V29" s="43">
        <f>SUM($S$29:$U$29)</f>
        <v>0</v>
      </c>
      <c r="W29" s="43">
        <f>'TE BE'!$AA$29*'TE BF'!$W$48</f>
        <v>0</v>
      </c>
      <c r="X29" s="43">
        <f>SUM($W$29:$W$29)</f>
        <v>0</v>
      </c>
      <c r="Y29" s="43">
        <f>'TE BE'!$Y$29*'TE BF'!$Y$48</f>
        <v>0</v>
      </c>
      <c r="Z29" s="43">
        <f>SUM($Y$29:$Y$29)</f>
        <v>0</v>
      </c>
      <c r="AA29" s="43">
        <f>SUMIF($L$4:$Z$4,"SUBTOTAL",$L$29:$Z$29)</f>
        <v>0</v>
      </c>
    </row>
    <row r="30" spans="1:27" ht="11.25" customHeight="1" x14ac:dyDescent="0.25">
      <c r="A30" s="141"/>
      <c r="B30" s="141"/>
      <c r="C30" s="141"/>
      <c r="D30" s="141"/>
      <c r="E30" s="141"/>
      <c r="F30" s="141"/>
      <c r="G30" s="45" t="s">
        <v>75</v>
      </c>
      <c r="H30" s="45" t="s">
        <v>73</v>
      </c>
      <c r="I30" s="45">
        <f>'MERCADO TE'!$U$27</f>
        <v>0</v>
      </c>
      <c r="J30" s="16"/>
      <c r="L30" s="43">
        <f>'TE BE'!$L$30*'TE BF'!$L$48</f>
        <v>0</v>
      </c>
      <c r="M30" s="43">
        <f>'TE BE'!$M$30*'TE BF'!$M$48</f>
        <v>0</v>
      </c>
      <c r="N30" s="43">
        <f>'TE BE'!$N$30*'TE BF'!$N$48</f>
        <v>0</v>
      </c>
      <c r="O30" s="43">
        <f>'TE BE'!$O$30*'TE BF'!$O$48</f>
        <v>0</v>
      </c>
      <c r="P30" s="43">
        <f>SUM($L$30:$O$30)</f>
        <v>0</v>
      </c>
      <c r="Q30" s="43">
        <f>'TE BE'!$Q$30*'TE BF'!$Q$48</f>
        <v>0</v>
      </c>
      <c r="R30" s="43">
        <f>SUM($Q$30:$Q$30)</f>
        <v>0</v>
      </c>
      <c r="S30" s="43">
        <f>'TE BE'!$S$30*'TE BF'!$S$48</f>
        <v>0</v>
      </c>
      <c r="T30" s="43">
        <f>'TE BE'!$T$30*'TE BF'!$T$48</f>
        <v>0</v>
      </c>
      <c r="U30" s="43">
        <f>'TE BE'!$U$30*'TE BF'!$U$48</f>
        <v>0</v>
      </c>
      <c r="V30" s="43">
        <f>SUM($S$30:$U$30)</f>
        <v>0</v>
      </c>
      <c r="W30" s="43">
        <f>'TE BE'!$AA$30*'TE BF'!$W$48</f>
        <v>0</v>
      </c>
      <c r="X30" s="43">
        <f>SUM($W$30:$W$30)</f>
        <v>0</v>
      </c>
      <c r="Y30" s="43">
        <f>'TE BE'!$Y$30*'TE BF'!$Y$48</f>
        <v>0</v>
      </c>
      <c r="Z30" s="43">
        <f>SUM($Y$30:$Y$30)</f>
        <v>0</v>
      </c>
      <c r="AA30" s="43">
        <f>SUMIF($L$4:$Z$4,"SUBTOTAL",$L$30:$Z$30)</f>
        <v>0</v>
      </c>
    </row>
    <row r="31" spans="1:27" ht="11.25" customHeight="1" x14ac:dyDescent="0.25">
      <c r="A31" s="141"/>
      <c r="B31" s="51" t="s">
        <v>86</v>
      </c>
      <c r="C31" s="51" t="s">
        <v>41</v>
      </c>
      <c r="D31" s="51" t="s">
        <v>91</v>
      </c>
      <c r="E31" s="51" t="s">
        <v>25</v>
      </c>
      <c r="F31" s="51" t="s">
        <v>25</v>
      </c>
      <c r="G31" s="45" t="s">
        <v>79</v>
      </c>
      <c r="H31" s="45" t="s">
        <v>73</v>
      </c>
      <c r="I31" s="45">
        <f>'MERCADO TE'!$U$28</f>
        <v>0</v>
      </c>
      <c r="J31" s="16"/>
      <c r="L31" s="43">
        <f>'TE BE'!$L$31*'TE BF'!$L$48</f>
        <v>0</v>
      </c>
      <c r="M31" s="43">
        <f>'TE BE'!$M$31*'TE BF'!$M$48</f>
        <v>0</v>
      </c>
      <c r="N31" s="43">
        <f>'TE BE'!$N$31*'TE BF'!$N$48</f>
        <v>0</v>
      </c>
      <c r="O31" s="43">
        <f>'TE BE'!$O$31*'TE BF'!$O$48</f>
        <v>0</v>
      </c>
      <c r="P31" s="43">
        <f>SUM($L$31:$O$31)</f>
        <v>0</v>
      </c>
      <c r="Q31" s="43">
        <f>'TE BE'!$Q$31*'TE BF'!$Q$48</f>
        <v>0</v>
      </c>
      <c r="R31" s="43">
        <f>SUM($Q$31:$Q$31)</f>
        <v>0</v>
      </c>
      <c r="S31" s="43">
        <f>'TE BE'!$S$31*'TE BF'!$S$48</f>
        <v>0</v>
      </c>
      <c r="T31" s="43">
        <f>'TE BE'!$T$31*'TE BF'!$T$48</f>
        <v>0</v>
      </c>
      <c r="U31" s="43">
        <f>'TE BE'!$U$31*'TE BF'!$U$48</f>
        <v>0</v>
      </c>
      <c r="V31" s="43">
        <f>SUM($S$31:$U$31)</f>
        <v>0</v>
      </c>
      <c r="W31" s="43">
        <f>'TE BE'!$AA$31*'TE BF'!$W$48</f>
        <v>0</v>
      </c>
      <c r="X31" s="43">
        <f>SUM($W$31:$W$31)</f>
        <v>0</v>
      </c>
      <c r="Y31" s="43">
        <f>'TE BE'!$Y$31*'TE BF'!$Y$48</f>
        <v>0</v>
      </c>
      <c r="Z31" s="43">
        <f>SUM($Y$31:$Y$31)</f>
        <v>0</v>
      </c>
      <c r="AA31" s="43">
        <f>SUMIF($L$4:$Z$4,"SUBTOTAL",$L$31:$Z$31)</f>
        <v>0</v>
      </c>
    </row>
    <row r="32" spans="1:27" ht="11.25" customHeight="1" x14ac:dyDescent="0.25">
      <c r="A32" s="141"/>
      <c r="B32" s="141" t="s">
        <v>88</v>
      </c>
      <c r="C32" s="141" t="s">
        <v>41</v>
      </c>
      <c r="D32" s="51" t="s">
        <v>25</v>
      </c>
      <c r="E32" s="51" t="s">
        <v>25</v>
      </c>
      <c r="F32" s="51" t="s">
        <v>25</v>
      </c>
      <c r="G32" s="45" t="s">
        <v>79</v>
      </c>
      <c r="H32" s="45" t="s">
        <v>73</v>
      </c>
      <c r="I32" s="45">
        <f>'MERCADO TE'!$U$29</f>
        <v>0</v>
      </c>
      <c r="J32" s="16"/>
      <c r="L32" s="43">
        <f>'TE BE'!$L$32*'TE BF'!$L$48</f>
        <v>0</v>
      </c>
      <c r="M32" s="43">
        <f>'TE BE'!$M$32*'TE BF'!$M$48</f>
        <v>0</v>
      </c>
      <c r="N32" s="43">
        <f>'TE BE'!$N$32*'TE BF'!$N$48</f>
        <v>0</v>
      </c>
      <c r="O32" s="43">
        <f>'TE BE'!$O$32*'TE BF'!$O$48</f>
        <v>0</v>
      </c>
      <c r="P32" s="43">
        <f>SUM($L$32:$O$32)</f>
        <v>0</v>
      </c>
      <c r="Q32" s="43">
        <f>'TE BE'!$Q$32*'TE BF'!$Q$48</f>
        <v>0</v>
      </c>
      <c r="R32" s="43">
        <f>SUM($Q$32:$Q$32)</f>
        <v>0</v>
      </c>
      <c r="S32" s="43">
        <f>'TE BE'!$S$32*'TE BF'!$S$48</f>
        <v>0</v>
      </c>
      <c r="T32" s="43">
        <f>'TE BE'!$T$32*'TE BF'!$T$48</f>
        <v>0</v>
      </c>
      <c r="U32" s="43">
        <f>'TE BE'!$U$32*'TE BF'!$U$48</f>
        <v>0</v>
      </c>
      <c r="V32" s="43">
        <f>SUM($S$32:$U$32)</f>
        <v>0</v>
      </c>
      <c r="W32" s="43">
        <f>'TE BE'!$AA$32*'TE BF'!$W$48</f>
        <v>0</v>
      </c>
      <c r="X32" s="43">
        <f>SUM($W$32:$W$32)</f>
        <v>0</v>
      </c>
      <c r="Y32" s="43">
        <f>'TE BE'!$Y$32*'TE BF'!$Y$48</f>
        <v>0</v>
      </c>
      <c r="Z32" s="43">
        <f>SUM($Y$32:$Y$32)</f>
        <v>0</v>
      </c>
      <c r="AA32" s="43">
        <f>SUMIF($L$4:$Z$4,"SUBTOTAL",$L$32:$Z$32)</f>
        <v>0</v>
      </c>
    </row>
    <row r="33" spans="1:27" ht="11.25" customHeight="1" x14ac:dyDescent="0.25">
      <c r="A33" s="141"/>
      <c r="B33" s="141"/>
      <c r="C33" s="141"/>
      <c r="D33" s="51" t="s">
        <v>90</v>
      </c>
      <c r="E33" s="51" t="s">
        <v>25</v>
      </c>
      <c r="F33" s="51" t="s">
        <v>25</v>
      </c>
      <c r="G33" s="45" t="s">
        <v>79</v>
      </c>
      <c r="H33" s="45" t="s">
        <v>73</v>
      </c>
      <c r="I33" s="45">
        <f>'MERCADO TE'!$U$30</f>
        <v>0</v>
      </c>
      <c r="J33" s="16"/>
      <c r="L33" s="43">
        <f>'TE BE'!$L$33*'TE BF'!$L$48</f>
        <v>0</v>
      </c>
      <c r="M33" s="43">
        <f>'TE BE'!$M$33*'TE BF'!$M$48</f>
        <v>0</v>
      </c>
      <c r="N33" s="43">
        <f>'TE BE'!$N$33*'TE BF'!$N$48</f>
        <v>0</v>
      </c>
      <c r="O33" s="43">
        <f>'TE BE'!$O$33*'TE BF'!$O$48</f>
        <v>0</v>
      </c>
      <c r="P33" s="43">
        <f>SUM($L$33:$O$33)</f>
        <v>0</v>
      </c>
      <c r="Q33" s="43">
        <f>'TE BE'!$Q$33*'TE BF'!$Q$48</f>
        <v>0</v>
      </c>
      <c r="R33" s="43">
        <f>SUM($Q$33:$Q$33)</f>
        <v>0</v>
      </c>
      <c r="S33" s="43">
        <f>'TE BE'!$S$33*'TE BF'!$S$48</f>
        <v>0</v>
      </c>
      <c r="T33" s="43">
        <f>'TE BE'!$T$33*'TE BF'!$T$48</f>
        <v>0</v>
      </c>
      <c r="U33" s="43">
        <f>'TE BE'!$U$33*'TE BF'!$U$48</f>
        <v>0</v>
      </c>
      <c r="V33" s="43">
        <f>SUM($S$33:$U$33)</f>
        <v>0</v>
      </c>
      <c r="W33" s="43">
        <f>'TE BE'!$AA$33*'TE BF'!$W$48</f>
        <v>0</v>
      </c>
      <c r="X33" s="43">
        <f>SUM($W$33:$W$33)</f>
        <v>0</v>
      </c>
      <c r="Y33" s="43">
        <f>'TE BE'!$Y$33*'TE BF'!$Y$48</f>
        <v>0</v>
      </c>
      <c r="Z33" s="43">
        <f>SUM($Y$33:$Y$33)</f>
        <v>0</v>
      </c>
      <c r="AA33" s="43">
        <f>SUMIF($L$4:$Z$4,"SUBTOTAL",$L$33:$Z$33)</f>
        <v>0</v>
      </c>
    </row>
    <row r="34" spans="1:27" ht="11.25" customHeight="1" x14ac:dyDescent="0.25">
      <c r="A34" s="141"/>
      <c r="B34" s="141"/>
      <c r="C34" s="141"/>
      <c r="D34" s="51" t="s">
        <v>91</v>
      </c>
      <c r="E34" s="51" t="s">
        <v>25</v>
      </c>
      <c r="F34" s="51" t="s">
        <v>25</v>
      </c>
      <c r="G34" s="45" t="s">
        <v>79</v>
      </c>
      <c r="H34" s="45" t="s">
        <v>73</v>
      </c>
      <c r="I34" s="45">
        <f>'MERCADO TE'!$U$31</f>
        <v>0</v>
      </c>
      <c r="J34" s="16"/>
      <c r="L34" s="43">
        <f>'TE BE'!$L$34*'TE BF'!$L$48</f>
        <v>0</v>
      </c>
      <c r="M34" s="43">
        <f>'TE BE'!$M$34*'TE BF'!$M$48</f>
        <v>0</v>
      </c>
      <c r="N34" s="43">
        <f>'TE BE'!$N$34*'TE BF'!$N$48</f>
        <v>0</v>
      </c>
      <c r="O34" s="43">
        <f>'TE BE'!$O$34*'TE BF'!$O$48</f>
        <v>0</v>
      </c>
      <c r="P34" s="43">
        <f>SUM($L$34:$O$34)</f>
        <v>0</v>
      </c>
      <c r="Q34" s="43">
        <f>'TE BE'!$Q$34*'TE BF'!$Q$48</f>
        <v>0</v>
      </c>
      <c r="R34" s="43">
        <f>SUM($Q$34:$Q$34)</f>
        <v>0</v>
      </c>
      <c r="S34" s="43">
        <f>'TE BE'!$S$34*'TE BF'!$S$48</f>
        <v>0</v>
      </c>
      <c r="T34" s="43">
        <f>'TE BE'!$T$34*'TE BF'!$T$48</f>
        <v>0</v>
      </c>
      <c r="U34" s="43">
        <f>'TE BE'!$U$34*'TE BF'!$U$48</f>
        <v>0</v>
      </c>
      <c r="V34" s="43">
        <f>SUM($S$34:$U$34)</f>
        <v>0</v>
      </c>
      <c r="W34" s="43">
        <f>'TE BE'!$AA$34*'TE BF'!$W$48</f>
        <v>0</v>
      </c>
      <c r="X34" s="43">
        <f>SUM($W$34:$W$34)</f>
        <v>0</v>
      </c>
      <c r="Y34" s="43">
        <f>'TE BE'!$Y$34*'TE BF'!$Y$48</f>
        <v>0</v>
      </c>
      <c r="Z34" s="43">
        <f>SUM($Y$34:$Y$34)</f>
        <v>0</v>
      </c>
      <c r="AA34" s="43">
        <f>SUMIF($L$4:$Z$4,"SUBTOTAL",$L$34:$Z$34)</f>
        <v>0</v>
      </c>
    </row>
    <row r="35" spans="1:27" ht="11.25" customHeight="1" x14ac:dyDescent="0.25">
      <c r="A35" s="141" t="s">
        <v>37</v>
      </c>
      <c r="B35" s="141" t="s">
        <v>72</v>
      </c>
      <c r="C35" s="141" t="s">
        <v>25</v>
      </c>
      <c r="D35" s="141" t="s">
        <v>25</v>
      </c>
      <c r="E35" s="141" t="s">
        <v>25</v>
      </c>
      <c r="F35" s="141" t="s">
        <v>25</v>
      </c>
      <c r="G35" s="45" t="s">
        <v>74</v>
      </c>
      <c r="H35" s="45" t="s">
        <v>73</v>
      </c>
      <c r="I35" s="45">
        <f>'MERCADO TE'!$U$32</f>
        <v>0</v>
      </c>
      <c r="J35" s="16"/>
      <c r="L35" s="43">
        <f>'TE BE'!$L$35*'TE BF'!$L$48</f>
        <v>0</v>
      </c>
      <c r="M35" s="43">
        <f>'TE BE'!$M$35*'TE BF'!$M$48</f>
        <v>0</v>
      </c>
      <c r="N35" s="43">
        <f>'TE BE'!$N$35*'TE BF'!$N$48</f>
        <v>0</v>
      </c>
      <c r="O35" s="43">
        <f>'TE BE'!$O$35*'TE BF'!$O$48</f>
        <v>0</v>
      </c>
      <c r="P35" s="43">
        <f>SUM($L$35:$O$35)</f>
        <v>0</v>
      </c>
      <c r="Q35" s="43">
        <f>'TE BE'!$Q$35*'TE BF'!$Q$48</f>
        <v>0</v>
      </c>
      <c r="R35" s="43">
        <f>SUM($Q$35:$Q$35)</f>
        <v>0</v>
      </c>
      <c r="S35" s="43">
        <f>'TE BE'!$S$35*'TE BF'!$S$48</f>
        <v>0</v>
      </c>
      <c r="T35" s="43">
        <f>'TE BE'!$T$35*'TE BF'!$T$48</f>
        <v>0</v>
      </c>
      <c r="U35" s="43">
        <f>'TE BE'!$U$35*'TE BF'!$U$48</f>
        <v>0</v>
      </c>
      <c r="V35" s="43">
        <f>SUM($S$35:$U$35)</f>
        <v>0</v>
      </c>
      <c r="W35" s="43">
        <f>'TE BE'!$AA$35*'TE BF'!$W$48</f>
        <v>0</v>
      </c>
      <c r="X35" s="43">
        <f>SUM($W$35:$W$35)</f>
        <v>0</v>
      </c>
      <c r="Y35" s="43">
        <f>'TE BE'!$Y$35*'TE BF'!$Y$48</f>
        <v>0</v>
      </c>
      <c r="Z35" s="43">
        <f>SUM($Y$35:$Y$35)</f>
        <v>0</v>
      </c>
      <c r="AA35" s="43">
        <f>SUMIF($L$4:$Z$4,"SUBTOTAL",$L$35:$Z$35)</f>
        <v>0</v>
      </c>
    </row>
    <row r="36" spans="1:27" ht="11.25" customHeight="1" x14ac:dyDescent="0.25">
      <c r="A36" s="141"/>
      <c r="B36" s="141"/>
      <c r="C36" s="141"/>
      <c r="D36" s="141"/>
      <c r="E36" s="141"/>
      <c r="F36" s="141"/>
      <c r="G36" s="45" t="s">
        <v>85</v>
      </c>
      <c r="H36" s="45" t="s">
        <v>73</v>
      </c>
      <c r="I36" s="45">
        <f>'MERCADO TE'!$U$33</f>
        <v>0</v>
      </c>
      <c r="J36" s="16"/>
      <c r="L36" s="43">
        <f>'TE BE'!$L$36*'TE BF'!$L$48</f>
        <v>0</v>
      </c>
      <c r="M36" s="43">
        <f>'TE BE'!$M$36*'TE BF'!$M$48</f>
        <v>0</v>
      </c>
      <c r="N36" s="43">
        <f>'TE BE'!$N$36*'TE BF'!$N$48</f>
        <v>0</v>
      </c>
      <c r="O36" s="43">
        <f>'TE BE'!$O$36*'TE BF'!$O$48</f>
        <v>0</v>
      </c>
      <c r="P36" s="43">
        <f>SUM($L$36:$O$36)</f>
        <v>0</v>
      </c>
      <c r="Q36" s="43">
        <f>'TE BE'!$Q$36*'TE BF'!$Q$48</f>
        <v>0</v>
      </c>
      <c r="R36" s="43">
        <f>SUM($Q$36:$Q$36)</f>
        <v>0</v>
      </c>
      <c r="S36" s="43">
        <f>'TE BE'!$S$36*'TE BF'!$S$48</f>
        <v>0</v>
      </c>
      <c r="T36" s="43">
        <f>'TE BE'!$T$36*'TE BF'!$T$48</f>
        <v>0</v>
      </c>
      <c r="U36" s="43">
        <f>'TE BE'!$U$36*'TE BF'!$U$48</f>
        <v>0</v>
      </c>
      <c r="V36" s="43">
        <f>SUM($S$36:$U$36)</f>
        <v>0</v>
      </c>
      <c r="W36" s="43">
        <f>'TE BE'!$AA$36*'TE BF'!$W$48</f>
        <v>0</v>
      </c>
      <c r="X36" s="43">
        <f>SUM($W$36:$W$36)</f>
        <v>0</v>
      </c>
      <c r="Y36" s="43">
        <f>'TE BE'!$Y$36*'TE BF'!$Y$48</f>
        <v>0</v>
      </c>
      <c r="Z36" s="43">
        <f>SUM($Y$36:$Y$36)</f>
        <v>0</v>
      </c>
      <c r="AA36" s="43">
        <f>SUMIF($L$4:$Z$4,"SUBTOTAL",$L$36:$Z$36)</f>
        <v>0</v>
      </c>
    </row>
    <row r="37" spans="1:27" ht="11.25" customHeight="1" x14ac:dyDescent="0.25">
      <c r="A37" s="141"/>
      <c r="B37" s="141"/>
      <c r="C37" s="141"/>
      <c r="D37" s="141"/>
      <c r="E37" s="141"/>
      <c r="F37" s="141"/>
      <c r="G37" s="45" t="s">
        <v>75</v>
      </c>
      <c r="H37" s="45" t="s">
        <v>73</v>
      </c>
      <c r="I37" s="45">
        <f>'MERCADO TE'!$U$34</f>
        <v>0</v>
      </c>
      <c r="J37" s="16"/>
      <c r="L37" s="43">
        <f>'TE BE'!$L$37*'TE BF'!$L$48</f>
        <v>0</v>
      </c>
      <c r="M37" s="43">
        <f>'TE BE'!$M$37*'TE BF'!$M$48</f>
        <v>0</v>
      </c>
      <c r="N37" s="43">
        <f>'TE BE'!$N$37*'TE BF'!$N$48</f>
        <v>0</v>
      </c>
      <c r="O37" s="43">
        <f>'TE BE'!$O$37*'TE BF'!$O$48</f>
        <v>0</v>
      </c>
      <c r="P37" s="43">
        <f>SUM($L$37:$O$37)</f>
        <v>0</v>
      </c>
      <c r="Q37" s="43">
        <f>'TE BE'!$Q$37*'TE BF'!$Q$48</f>
        <v>0</v>
      </c>
      <c r="R37" s="43">
        <f>SUM($Q$37:$Q$37)</f>
        <v>0</v>
      </c>
      <c r="S37" s="43">
        <f>'TE BE'!$S$37*'TE BF'!$S$48</f>
        <v>0</v>
      </c>
      <c r="T37" s="43">
        <f>'TE BE'!$T$37*'TE BF'!$T$48</f>
        <v>0</v>
      </c>
      <c r="U37" s="43">
        <f>'TE BE'!$U$37*'TE BF'!$U$48</f>
        <v>0</v>
      </c>
      <c r="V37" s="43">
        <f>SUM($S$37:$U$37)</f>
        <v>0</v>
      </c>
      <c r="W37" s="43">
        <f>'TE BE'!$AA$37*'TE BF'!$W$48</f>
        <v>0</v>
      </c>
      <c r="X37" s="43">
        <f>SUM($W$37:$W$37)</f>
        <v>0</v>
      </c>
      <c r="Y37" s="43">
        <f>'TE BE'!$Y$37*'TE BF'!$Y$48</f>
        <v>0</v>
      </c>
      <c r="Z37" s="43">
        <f>SUM($Y$37:$Y$37)</f>
        <v>0</v>
      </c>
      <c r="AA37" s="43">
        <f>SUMIF($L$4:$Z$4,"SUBTOTAL",$L$37:$Z$37)</f>
        <v>0</v>
      </c>
    </row>
    <row r="38" spans="1:27" ht="11.25" customHeight="1" x14ac:dyDescent="0.25">
      <c r="A38" s="141"/>
      <c r="B38" s="51" t="s">
        <v>86</v>
      </c>
      <c r="C38" s="51" t="s">
        <v>25</v>
      </c>
      <c r="D38" s="51" t="s">
        <v>25</v>
      </c>
      <c r="E38" s="51" t="s">
        <v>25</v>
      </c>
      <c r="F38" s="51" t="s">
        <v>25</v>
      </c>
      <c r="G38" s="45" t="s">
        <v>79</v>
      </c>
      <c r="H38" s="45" t="s">
        <v>73</v>
      </c>
      <c r="I38" s="45">
        <f>'MERCADO TE'!$U$35</f>
        <v>9351.1280000000006</v>
      </c>
      <c r="J38" s="16"/>
      <c r="L38" s="43">
        <f>'TE BE'!$L$38*'TE BF'!$L$48</f>
        <v>0</v>
      </c>
      <c r="M38" s="43">
        <f>'TE BE'!$M$38*'TE BF'!$M$48</f>
        <v>0</v>
      </c>
      <c r="N38" s="43">
        <f>'TE BE'!$N$38*'TE BF'!$N$48</f>
        <v>0</v>
      </c>
      <c r="O38" s="43">
        <f>'TE BE'!$O$38*'TE BF'!$O$48</f>
        <v>0</v>
      </c>
      <c r="P38" s="43">
        <f>SUM($L$38:$O$38)</f>
        <v>0</v>
      </c>
      <c r="Q38" s="43">
        <f>'TE BE'!$Q$38*'TE BF'!$Q$48</f>
        <v>0</v>
      </c>
      <c r="R38" s="43">
        <f>SUM($Q$38:$Q$38)</f>
        <v>0</v>
      </c>
      <c r="S38" s="43">
        <f>'TE BE'!$S$38*'TE BF'!$S$48</f>
        <v>0</v>
      </c>
      <c r="T38" s="43">
        <f>'TE BE'!$T$38*'TE BF'!$T$48</f>
        <v>0</v>
      </c>
      <c r="U38" s="43">
        <f>'TE BE'!$U$38*'TE BF'!$U$48</f>
        <v>0</v>
      </c>
      <c r="V38" s="43">
        <f>SUM($S$38:$U$38)</f>
        <v>0</v>
      </c>
      <c r="W38" s="43">
        <f>'TE BE'!$AA$38*'TE BF'!$W$48</f>
        <v>0</v>
      </c>
      <c r="X38" s="43">
        <f>SUM($W$38:$W$38)</f>
        <v>0</v>
      </c>
      <c r="Y38" s="43">
        <f>'TE BE'!$Y$38*'TE BF'!$Y$48</f>
        <v>0</v>
      </c>
      <c r="Z38" s="43">
        <f>SUM($Y$38:$Y$38)</f>
        <v>0</v>
      </c>
      <c r="AA38" s="43">
        <f>SUMIF($L$4:$Z$4,"SUBTOTAL",$L$38:$Z$38)</f>
        <v>0</v>
      </c>
    </row>
    <row r="39" spans="1:27" ht="11.25" customHeight="1" x14ac:dyDescent="0.25">
      <c r="A39" s="141"/>
      <c r="B39" s="51" t="s">
        <v>88</v>
      </c>
      <c r="C39" s="51" t="s">
        <v>25</v>
      </c>
      <c r="D39" s="51" t="s">
        <v>25</v>
      </c>
      <c r="E39" s="51" t="s">
        <v>25</v>
      </c>
      <c r="F39" s="51" t="s">
        <v>25</v>
      </c>
      <c r="G39" s="45" t="s">
        <v>79</v>
      </c>
      <c r="H39" s="45" t="s">
        <v>73</v>
      </c>
      <c r="I39" s="45">
        <f>'MERCADO TE'!$U$36</f>
        <v>0</v>
      </c>
      <c r="J39" s="16"/>
      <c r="L39" s="43">
        <f>'TE BE'!$L$39*'TE BF'!$L$48</f>
        <v>0</v>
      </c>
      <c r="M39" s="43">
        <f>'TE BE'!$M$39*'TE BF'!$M$48</f>
        <v>0</v>
      </c>
      <c r="N39" s="43">
        <f>'TE BE'!$N$39*'TE BF'!$N$48</f>
        <v>0</v>
      </c>
      <c r="O39" s="43">
        <f>'TE BE'!$O$39*'TE BF'!$O$48</f>
        <v>0</v>
      </c>
      <c r="P39" s="43">
        <f>SUM($L$39:$O$39)</f>
        <v>0</v>
      </c>
      <c r="Q39" s="43">
        <f>'TE BE'!$Q$39*'TE BF'!$Q$48</f>
        <v>0</v>
      </c>
      <c r="R39" s="43">
        <f>SUM($Q$39:$Q$39)</f>
        <v>0</v>
      </c>
      <c r="S39" s="43">
        <f>'TE BE'!$S$39*'TE BF'!$S$48</f>
        <v>0</v>
      </c>
      <c r="T39" s="43">
        <f>'TE BE'!$T$39*'TE BF'!$T$48</f>
        <v>0</v>
      </c>
      <c r="U39" s="43">
        <f>'TE BE'!$U$39*'TE BF'!$U$48</f>
        <v>0</v>
      </c>
      <c r="V39" s="43">
        <f>SUM($S$39:$U$39)</f>
        <v>0</v>
      </c>
      <c r="W39" s="43">
        <f>'TE BE'!$AA$39*'TE BF'!$W$48</f>
        <v>0</v>
      </c>
      <c r="X39" s="43">
        <f>SUM($W$39:$W$39)</f>
        <v>0</v>
      </c>
      <c r="Y39" s="43">
        <f>'TE BE'!$Y$39*'TE BF'!$Y$48</f>
        <v>0</v>
      </c>
      <c r="Z39" s="43">
        <f>SUM($Y$39:$Y$39)</f>
        <v>0</v>
      </c>
      <c r="AA39" s="43">
        <f>SUMIF($L$4:$Z$4,"SUBTOTAL",$L$39:$Z$39)</f>
        <v>0</v>
      </c>
    </row>
    <row r="40" spans="1:27" ht="11.25" customHeight="1" x14ac:dyDescent="0.25">
      <c r="A40" s="141" t="s">
        <v>44</v>
      </c>
      <c r="B40" s="141" t="s">
        <v>86</v>
      </c>
      <c r="C40" s="141" t="s">
        <v>45</v>
      </c>
      <c r="D40" s="51" t="s">
        <v>46</v>
      </c>
      <c r="E40" s="51" t="s">
        <v>25</v>
      </c>
      <c r="F40" s="51" t="s">
        <v>25</v>
      </c>
      <c r="G40" s="45" t="s">
        <v>79</v>
      </c>
      <c r="H40" s="45" t="s">
        <v>73</v>
      </c>
      <c r="I40" s="45">
        <f>'MERCADO TE'!$U$37</f>
        <v>121.60999999999999</v>
      </c>
      <c r="J40" s="16"/>
      <c r="L40" s="43">
        <f>'TE BE'!$L$40*'TE BF'!$L$48</f>
        <v>0</v>
      </c>
      <c r="M40" s="43">
        <f>'TE BE'!$M$40*'TE BF'!$M$48</f>
        <v>0</v>
      </c>
      <c r="N40" s="43">
        <f>'TE BE'!$N$40*'TE BF'!$N$48</f>
        <v>0</v>
      </c>
      <c r="O40" s="43">
        <f>'TE BE'!$O$40*'TE BF'!$O$48</f>
        <v>0</v>
      </c>
      <c r="P40" s="43">
        <f>SUM($L$40:$O$40)</f>
        <v>0</v>
      </c>
      <c r="Q40" s="43">
        <f>'TE BE'!$Q$40*'TE BF'!$Q$48</f>
        <v>0</v>
      </c>
      <c r="R40" s="43">
        <f>SUM($Q$40:$Q$40)</f>
        <v>0</v>
      </c>
      <c r="S40" s="43">
        <f>'TE BE'!$S$40*'TE BF'!$S$48</f>
        <v>0</v>
      </c>
      <c r="T40" s="43">
        <f>'TE BE'!$T$40*'TE BF'!$T$48</f>
        <v>0</v>
      </c>
      <c r="U40" s="43">
        <f>'TE BE'!$U$40*'TE BF'!$U$48</f>
        <v>0</v>
      </c>
      <c r="V40" s="43">
        <f>SUM($S$40:$U$40)</f>
        <v>0</v>
      </c>
      <c r="W40" s="43">
        <f>'TE BE'!$AA$40*'TE BF'!$W$48</f>
        <v>0</v>
      </c>
      <c r="X40" s="43">
        <f>SUM($W$40:$W$40)</f>
        <v>0</v>
      </c>
      <c r="Y40" s="43">
        <f>'TE BE'!$Y$40*'TE BF'!$Y$48</f>
        <v>0</v>
      </c>
      <c r="Z40" s="43">
        <f>SUM($Y$40:$Y$40)</f>
        <v>0</v>
      </c>
      <c r="AA40" s="43">
        <f>SUMIF($L$4:$Z$4,"SUBTOTAL",$L$40:$Z$40)</f>
        <v>0</v>
      </c>
    </row>
    <row r="41" spans="1:27" ht="11.25" customHeight="1" x14ac:dyDescent="0.25">
      <c r="A41" s="141"/>
      <c r="B41" s="141"/>
      <c r="C41" s="141"/>
      <c r="D41" s="45" t="s">
        <v>47</v>
      </c>
      <c r="E41" s="45" t="s">
        <v>25</v>
      </c>
      <c r="F41" s="45" t="s">
        <v>25</v>
      </c>
      <c r="G41" s="45" t="s">
        <v>79</v>
      </c>
      <c r="H41" s="45" t="s">
        <v>73</v>
      </c>
      <c r="I41" s="45">
        <f>'MERCADO TE'!$U$38</f>
        <v>2220.8670000000002</v>
      </c>
      <c r="J41" s="16"/>
      <c r="L41" s="43">
        <f>'TE BE'!$L$41*'TE BF'!$L$48</f>
        <v>0</v>
      </c>
      <c r="M41" s="43">
        <f>'TE BE'!$M$41*'TE BF'!$M$48</f>
        <v>0</v>
      </c>
      <c r="N41" s="43">
        <f>'TE BE'!$N$41*'TE BF'!$N$48</f>
        <v>0</v>
      </c>
      <c r="O41" s="43">
        <f>'TE BE'!$O$41*'TE BF'!$O$48</f>
        <v>0</v>
      </c>
      <c r="P41" s="43">
        <f>SUM($L$41:$O$41)</f>
        <v>0</v>
      </c>
      <c r="Q41" s="43">
        <f>'TE BE'!$Q$41*'TE BF'!$Q$48</f>
        <v>0</v>
      </c>
      <c r="R41" s="43">
        <f>SUM($Q$41:$Q$41)</f>
        <v>0</v>
      </c>
      <c r="S41" s="43">
        <f>'TE BE'!$S$41*'TE BF'!$S$48</f>
        <v>0</v>
      </c>
      <c r="T41" s="43">
        <f>'TE BE'!$T$41*'TE BF'!$T$48</f>
        <v>0</v>
      </c>
      <c r="U41" s="43">
        <f>'TE BE'!$U$41*'TE BF'!$U$48</f>
        <v>0</v>
      </c>
      <c r="V41" s="43">
        <f>SUM($S$41:$U$41)</f>
        <v>0</v>
      </c>
      <c r="W41" s="43">
        <f>'TE BE'!$AA$41*'TE BF'!$W$48</f>
        <v>0</v>
      </c>
      <c r="X41" s="43">
        <f>SUM($W$41:$W$41)</f>
        <v>0</v>
      </c>
      <c r="Y41" s="43">
        <f>'TE BE'!$Y$41*'TE BF'!$Y$48</f>
        <v>0</v>
      </c>
      <c r="Z41" s="43">
        <f>SUM($Y$41:$Y$41)</f>
        <v>0</v>
      </c>
      <c r="AA41" s="43">
        <f>SUMIF($L$4:$Z$4,"SUBTOTAL",$L$41:$Z$41)</f>
        <v>0</v>
      </c>
    </row>
    <row r="43" spans="1:27" ht="11.25" customHeight="1" x14ac:dyDescent="0.25">
      <c r="K43" s="50" t="s">
        <v>504</v>
      </c>
      <c r="L43" s="43">
        <f t="shared" ref="L43:AA43" si="0">SUMPRODUCT($I$5:$I$41,L$5:L$41)</f>
        <v>0</v>
      </c>
      <c r="M43" s="43">
        <f t="shared" si="0"/>
        <v>0</v>
      </c>
      <c r="N43" s="43">
        <f t="shared" si="0"/>
        <v>0</v>
      </c>
      <c r="O43" s="43">
        <f t="shared" si="0"/>
        <v>0</v>
      </c>
      <c r="P43" s="43">
        <f t="shared" si="0"/>
        <v>0</v>
      </c>
      <c r="Q43" s="43">
        <f t="shared" si="0"/>
        <v>0</v>
      </c>
      <c r="R43" s="43">
        <f t="shared" si="0"/>
        <v>0</v>
      </c>
      <c r="S43" s="43">
        <f t="shared" si="0"/>
        <v>0</v>
      </c>
      <c r="T43" s="43">
        <f t="shared" si="0"/>
        <v>0</v>
      </c>
      <c r="U43" s="43">
        <f t="shared" si="0"/>
        <v>0</v>
      </c>
      <c r="V43" s="43">
        <f t="shared" si="0"/>
        <v>0</v>
      </c>
      <c r="W43" s="43">
        <f t="shared" si="0"/>
        <v>0</v>
      </c>
      <c r="X43" s="43">
        <f t="shared" si="0"/>
        <v>0</v>
      </c>
      <c r="Y43" s="43">
        <f t="shared" si="0"/>
        <v>0</v>
      </c>
      <c r="Z43" s="43">
        <f t="shared" si="0"/>
        <v>0</v>
      </c>
      <c r="AA43" s="43">
        <f t="shared" si="0"/>
        <v>0</v>
      </c>
    </row>
    <row r="44" spans="1:27" ht="11.25" customHeight="1" x14ac:dyDescent="0.25">
      <c r="K44" s="50" t="s">
        <v>440</v>
      </c>
      <c r="L44" s="43">
        <f>CUSTOS!$D$30</f>
        <v>0</v>
      </c>
      <c r="M44" s="43">
        <f>CUSTOS!$D$31</f>
        <v>2692024.8775731921</v>
      </c>
      <c r="N44" s="43">
        <f>CUSTOS!$D$32</f>
        <v>0</v>
      </c>
      <c r="O44" s="43">
        <f>CUSTOS!$D$33</f>
        <v>0</v>
      </c>
      <c r="P44" s="43">
        <f>CUSTOS!$D$34</f>
        <v>2692024.8775731921</v>
      </c>
      <c r="Q44" s="43">
        <f>CUSTOS!$D$35</f>
        <v>30726599.140232779</v>
      </c>
      <c r="R44" s="43">
        <f>CUSTOS!$D$36</f>
        <v>30726599.140232779</v>
      </c>
      <c r="S44" s="43">
        <f>CUSTOS!$D$37</f>
        <v>0</v>
      </c>
      <c r="T44" s="43">
        <f>CUSTOS!$D$38</f>
        <v>0</v>
      </c>
      <c r="U44" s="43">
        <f>CUSTOS!$D$39</f>
        <v>0</v>
      </c>
      <c r="V44" s="43">
        <f>CUSTOS!$D$40</f>
        <v>0</v>
      </c>
      <c r="W44" s="43">
        <f>CUSTOS!$D$41</f>
        <v>0</v>
      </c>
      <c r="X44" s="43">
        <f>CUSTOS!$D$42</f>
        <v>0</v>
      </c>
      <c r="Y44" s="43">
        <f>CUSTOS!$D$43</f>
        <v>0</v>
      </c>
      <c r="Z44" s="43">
        <f>CUSTOS!$D$44</f>
        <v>0</v>
      </c>
      <c r="AA44" s="43">
        <f>CUSTOS!$D$45</f>
        <v>33418624.017805971</v>
      </c>
    </row>
    <row r="45" spans="1:27" ht="11.25" customHeight="1" x14ac:dyDescent="0.25">
      <c r="K45" s="50" t="s">
        <v>441</v>
      </c>
      <c r="L45" s="43">
        <f>CUSTOS!$E$30</f>
        <v>0</v>
      </c>
      <c r="M45" s="43">
        <f>CUSTOS!$E$31</f>
        <v>0</v>
      </c>
      <c r="N45" s="43">
        <f>CUSTOS!$E$32</f>
        <v>0</v>
      </c>
      <c r="O45" s="43">
        <f>CUSTOS!$E$33</f>
        <v>0</v>
      </c>
      <c r="P45" s="43">
        <f>CUSTOS!$E$34</f>
        <v>0</v>
      </c>
      <c r="Q45" s="43">
        <f>CUSTOS!$E$35</f>
        <v>3408888.599915761</v>
      </c>
      <c r="R45" s="43">
        <f>CUSTOS!$E$36</f>
        <v>3408888.599915761</v>
      </c>
      <c r="S45" s="43">
        <f>CUSTOS!$E$37</f>
        <v>0</v>
      </c>
      <c r="T45" s="43">
        <f>CUSTOS!$E$38</f>
        <v>0</v>
      </c>
      <c r="U45" s="43">
        <f>CUSTOS!$E$39</f>
        <v>0</v>
      </c>
      <c r="V45" s="43">
        <f>CUSTOS!$E$40</f>
        <v>0</v>
      </c>
      <c r="W45" s="43">
        <f>CUSTOS!$E$41</f>
        <v>-310224.42115196493</v>
      </c>
      <c r="X45" s="43">
        <f>CUSTOS!$E$42</f>
        <v>-310224.42115196493</v>
      </c>
      <c r="Y45" s="43">
        <f>CUSTOS!$E$43</f>
        <v>0</v>
      </c>
      <c r="Z45" s="43">
        <f>CUSTOS!$E$44</f>
        <v>0</v>
      </c>
      <c r="AA45" s="43">
        <f>CUSTOS!$E$45</f>
        <v>3098664.1787637961</v>
      </c>
    </row>
    <row r="46" spans="1:27" ht="11.25" customHeight="1" x14ac:dyDescent="0.25">
      <c r="K46" s="50" t="s">
        <v>442</v>
      </c>
      <c r="L46" s="43">
        <f>CUSTOS!$F$30</f>
        <v>0</v>
      </c>
      <c r="M46" s="43">
        <f>CUSTOS!$F$31</f>
        <v>0</v>
      </c>
      <c r="N46" s="43">
        <f>CUSTOS!$F$32</f>
        <v>0</v>
      </c>
      <c r="O46" s="43">
        <f>CUSTOS!$F$33</f>
        <v>0</v>
      </c>
      <c r="P46" s="43">
        <f>CUSTOS!$F$34</f>
        <v>0</v>
      </c>
      <c r="Q46" s="43">
        <f>CUSTOS!$F$35</f>
        <v>0</v>
      </c>
      <c r="R46" s="43">
        <f>CUSTOS!$F$36</f>
        <v>0</v>
      </c>
      <c r="S46" s="43">
        <f>CUSTOS!$F$37</f>
        <v>0</v>
      </c>
      <c r="T46" s="43">
        <f>CUSTOS!$F$38</f>
        <v>0</v>
      </c>
      <c r="U46" s="43">
        <f>CUSTOS!$F$39</f>
        <v>0</v>
      </c>
      <c r="V46" s="43">
        <f>CUSTOS!$F$40</f>
        <v>0</v>
      </c>
      <c r="W46" s="43">
        <f>CUSTOS!$F$41</f>
        <v>0</v>
      </c>
      <c r="X46" s="43">
        <f>CUSTOS!$F$42</f>
        <v>0</v>
      </c>
      <c r="Y46" s="43">
        <f>CUSTOS!$F$43</f>
        <v>0</v>
      </c>
      <c r="Z46" s="43">
        <f>CUSTOS!$F$44</f>
        <v>0</v>
      </c>
      <c r="AA46" s="43">
        <f>CUSTOS!$F$45</f>
        <v>0</v>
      </c>
    </row>
    <row r="47" spans="1:27" ht="11.25" customHeight="1" x14ac:dyDescent="0.25"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 spans="1:27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</row>
    <row r="49" spans="11:27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</row>
  </sheetData>
  <mergeCells count="61">
    <mergeCell ref="S3:V3"/>
    <mergeCell ref="W3:X3"/>
    <mergeCell ref="A1:A4"/>
    <mergeCell ref="B1:B4"/>
    <mergeCell ref="C1:C4"/>
    <mergeCell ref="D1:D4"/>
    <mergeCell ref="E1:E4"/>
    <mergeCell ref="F1:F4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E35:E37"/>
    <mergeCell ref="F35:F37"/>
    <mergeCell ref="A40:A41"/>
    <mergeCell ref="B40:B41"/>
    <mergeCell ref="C40:C41"/>
    <mergeCell ref="D35:D37"/>
  </mergeCells>
  <conditionalFormatting sqref="L43">
    <cfRule type="cellIs" dxfId="779" priority="31" operator="notEqual">
      <formula>$L$46</formula>
    </cfRule>
    <cfRule type="cellIs" dxfId="778" priority="32" operator="equal">
      <formula>$L$46</formula>
    </cfRule>
  </conditionalFormatting>
  <conditionalFormatting sqref="M43">
    <cfRule type="cellIs" dxfId="777" priority="29" operator="notEqual">
      <formula>$M$46</formula>
    </cfRule>
    <cfRule type="cellIs" dxfId="776" priority="30" operator="equal">
      <formula>$M$46</formula>
    </cfRule>
  </conditionalFormatting>
  <conditionalFormatting sqref="N43">
    <cfRule type="cellIs" dxfId="775" priority="27" operator="notEqual">
      <formula>$N$46</formula>
    </cfRule>
    <cfRule type="cellIs" dxfId="774" priority="28" operator="equal">
      <formula>$N$46</formula>
    </cfRule>
  </conditionalFormatting>
  <conditionalFormatting sqref="O43">
    <cfRule type="cellIs" dxfId="773" priority="25" operator="notEqual">
      <formula>$O$46</formula>
    </cfRule>
    <cfRule type="cellIs" dxfId="772" priority="26" operator="equal">
      <formula>$O$46</formula>
    </cfRule>
  </conditionalFormatting>
  <conditionalFormatting sqref="P43">
    <cfRule type="cellIs" dxfId="771" priority="23" operator="notEqual">
      <formula>$P$46</formula>
    </cfRule>
    <cfRule type="cellIs" dxfId="770" priority="24" operator="equal">
      <formula>$P$46</formula>
    </cfRule>
  </conditionalFormatting>
  <conditionalFormatting sqref="Q43">
    <cfRule type="cellIs" dxfId="769" priority="21" operator="notEqual">
      <formula>$Q$46</formula>
    </cfRule>
    <cfRule type="cellIs" dxfId="768" priority="22" operator="equal">
      <formula>$Q$46</formula>
    </cfRule>
  </conditionalFormatting>
  <conditionalFormatting sqref="R43">
    <cfRule type="cellIs" dxfId="767" priority="19" operator="notEqual">
      <formula>$R$46</formula>
    </cfRule>
    <cfRule type="cellIs" dxfId="766" priority="20" operator="equal">
      <formula>$R$46</formula>
    </cfRule>
  </conditionalFormatting>
  <conditionalFormatting sqref="S43">
    <cfRule type="cellIs" dxfId="765" priority="17" operator="notEqual">
      <formula>$S$46</formula>
    </cfRule>
    <cfRule type="cellIs" dxfId="764" priority="18" operator="equal">
      <formula>$S$46</formula>
    </cfRule>
  </conditionalFormatting>
  <conditionalFormatting sqref="T43">
    <cfRule type="cellIs" dxfId="763" priority="15" operator="notEqual">
      <formula>$T$46</formula>
    </cfRule>
    <cfRule type="cellIs" dxfId="762" priority="16" operator="equal">
      <formula>$T$46</formula>
    </cfRule>
  </conditionalFormatting>
  <conditionalFormatting sqref="U43">
    <cfRule type="cellIs" dxfId="761" priority="13" operator="notEqual">
      <formula>$U$46</formula>
    </cfRule>
    <cfRule type="cellIs" dxfId="760" priority="14" operator="equal">
      <formula>$U$46</formula>
    </cfRule>
  </conditionalFormatting>
  <conditionalFormatting sqref="V43">
    <cfRule type="cellIs" dxfId="759" priority="11" operator="notEqual">
      <formula>$V$46</formula>
    </cfRule>
    <cfRule type="cellIs" dxfId="758" priority="12" operator="equal">
      <formula>$V$46</formula>
    </cfRule>
  </conditionalFormatting>
  <conditionalFormatting sqref="W43">
    <cfRule type="cellIs" dxfId="757" priority="9" operator="notEqual">
      <formula>$W$46</formula>
    </cfRule>
    <cfRule type="cellIs" dxfId="756" priority="10" operator="equal">
      <formula>$W$46</formula>
    </cfRule>
  </conditionalFormatting>
  <conditionalFormatting sqref="X43">
    <cfRule type="cellIs" dxfId="755" priority="7" operator="notEqual">
      <formula>$X$46</formula>
    </cfRule>
    <cfRule type="cellIs" dxfId="754" priority="8" operator="equal">
      <formula>$X$46</formula>
    </cfRule>
  </conditionalFormatting>
  <conditionalFormatting sqref="Y43">
    <cfRule type="cellIs" dxfId="753" priority="5" operator="notEqual">
      <formula>$Y$46</formula>
    </cfRule>
    <cfRule type="cellIs" dxfId="752" priority="6" operator="equal">
      <formula>$Y$46</formula>
    </cfRule>
  </conditionalFormatting>
  <conditionalFormatting sqref="Z43">
    <cfRule type="cellIs" dxfId="751" priority="3" operator="notEqual">
      <formula>$Z$46</formula>
    </cfRule>
    <cfRule type="cellIs" dxfId="750" priority="4" operator="equal">
      <formula>$Z$46</formula>
    </cfRule>
  </conditionalFormatting>
  <conditionalFormatting sqref="AA43">
    <cfRule type="cellIs" dxfId="749" priority="1" operator="notEqual">
      <formula>$AA$46</formula>
    </cfRule>
    <cfRule type="cellIs" dxfId="748" priority="2" operator="equal">
      <formula>$AA$46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7925F-708E-4835-9A89-52CB25F05953}">
  <sheetPr codeName="Planilha16"/>
  <dimension ref="A1:AV693"/>
  <sheetViews>
    <sheetView showGridLines="0" topLeftCell="AI1" workbookViewId="0">
      <selection activeCell="AU12" sqref="AU12"/>
    </sheetView>
  </sheetViews>
  <sheetFormatPr defaultColWidth="9.140625"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0.855468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526</v>
      </c>
      <c r="W1" s="1" t="s">
        <v>527</v>
      </c>
      <c r="X1" s="1" t="s">
        <v>528</v>
      </c>
      <c r="Y1" s="1" t="s">
        <v>529</v>
      </c>
      <c r="Z1" s="1" t="s">
        <v>530</v>
      </c>
      <c r="AA1" s="1" t="s">
        <v>531</v>
      </c>
      <c r="AB1" s="1" t="s">
        <v>532</v>
      </c>
      <c r="AC1" s="1" t="s">
        <v>533</v>
      </c>
      <c r="AD1" s="1" t="s">
        <v>534</v>
      </c>
      <c r="AE1" s="1" t="s">
        <v>535</v>
      </c>
      <c r="AF1" s="1" t="s">
        <v>536</v>
      </c>
      <c r="AG1" s="1" t="s">
        <v>537</v>
      </c>
      <c r="AI1" s="64" t="s">
        <v>63</v>
      </c>
      <c r="AJ1" s="64" t="s">
        <v>538</v>
      </c>
      <c r="AK1" s="64" t="s">
        <v>539</v>
      </c>
      <c r="AL1" s="64" t="s">
        <v>540</v>
      </c>
      <c r="AN1" s="64" t="s">
        <v>63</v>
      </c>
      <c r="AO1" s="64" t="s">
        <v>541</v>
      </c>
      <c r="AP1" s="64" t="s">
        <v>542</v>
      </c>
      <c r="AQ1" s="64" t="s">
        <v>540</v>
      </c>
      <c r="AS1" s="64" t="s">
        <v>63</v>
      </c>
      <c r="AT1" s="64" t="s">
        <v>543</v>
      </c>
      <c r="AU1" s="64" t="s">
        <v>544</v>
      </c>
      <c r="AV1" s="64" t="s">
        <v>540</v>
      </c>
    </row>
    <row r="2" spans="1:48" ht="11.25" customHeight="1" x14ac:dyDescent="0.25">
      <c r="A2" s="4" t="s">
        <v>21</v>
      </c>
      <c r="B2" s="4" t="s">
        <v>33</v>
      </c>
      <c r="C2" s="4" t="s">
        <v>43</v>
      </c>
      <c r="D2" s="4" t="s">
        <v>42</v>
      </c>
      <c r="E2" s="4" t="s">
        <v>25</v>
      </c>
      <c r="F2" s="4" t="s">
        <v>25</v>
      </c>
      <c r="G2" s="4" t="s">
        <v>25</v>
      </c>
      <c r="H2" s="4" t="s">
        <v>36</v>
      </c>
      <c r="I2" s="5">
        <v>44287</v>
      </c>
      <c r="J2" s="6">
        <v>144</v>
      </c>
      <c r="K2" s="6">
        <v>144</v>
      </c>
      <c r="L2" s="6">
        <v>49.137999999999998</v>
      </c>
      <c r="M2" s="6">
        <v>49.137999999999998</v>
      </c>
      <c r="N2" s="6">
        <v>49.137999999999998</v>
      </c>
      <c r="O2" s="6">
        <v>49.137999999999998</v>
      </c>
      <c r="P2" s="6">
        <v>0</v>
      </c>
      <c r="Q2" s="4" t="s">
        <v>26</v>
      </c>
      <c r="R2" s="4">
        <v>0</v>
      </c>
      <c r="S2" s="6">
        <v>43</v>
      </c>
      <c r="T2" s="6">
        <v>44</v>
      </c>
      <c r="U2" s="6">
        <v>27</v>
      </c>
      <c r="V2" s="6">
        <f>IF(ISERROR(VLOOKUP($S$2,'TAR FIN'!$A$1:$O$85,15,0)),0,VLOOKUP($S$2,'TAR FIN'!$A$1:$O$85,15,0))</f>
        <v>23.41</v>
      </c>
      <c r="W2" s="6">
        <f>IF(ISERROR(VLOOKUP($T$2,'TAR FIN'!$A$1:$O$85,15,0)),0,VLOOKUP($T$2,'TAR FIN'!$A$1:$O$85,15,0))</f>
        <v>72.23</v>
      </c>
      <c r="X2" s="6">
        <f>IF(ISERROR(VLOOKUP($U$2,'TAR FIN'!$A$1:$O$85,15,0)),0,VLOOKUP($U$2,'TAR FIN'!$A$1:$O$85,15,0))</f>
        <v>223.72</v>
      </c>
      <c r="Y2" s="6">
        <f ca="1">('TUSD BE'!$AM$6+'TUSD BF'!$AM$6+'TUSD CVA'!$AM$6)*1</f>
        <v>24.267918723282428</v>
      </c>
      <c r="Z2" s="6">
        <f ca="1">('TUSD BE'!$AM$7+'TUSD BF'!$AM$7+'TUSD CVA'!$AM$7)*1</f>
        <v>103.30505917577378</v>
      </c>
      <c r="AA2" s="6">
        <f>('TE BE'!$AA$6+'TE BF'!$AA$6+'TE CVA'!$AA$6)*1</f>
        <v>217.62939920622892</v>
      </c>
      <c r="AB2" s="6">
        <f>$K$2*$V$2</f>
        <v>3371.04</v>
      </c>
      <c r="AC2" s="6">
        <f>$M$2*$W$2</f>
        <v>3549.23774</v>
      </c>
      <c r="AD2" s="6">
        <f>$O$2*$X$2</f>
        <v>10993.15336</v>
      </c>
      <c r="AE2" s="6">
        <f ca="1">$K$2*$Y$2</f>
        <v>3494.5802961526697</v>
      </c>
      <c r="AF2" s="6">
        <f ca="1">$M$2*$Z$2</f>
        <v>5076.2039977791719</v>
      </c>
      <c r="AG2" s="6">
        <f>$O$2*$AA$2</f>
        <v>10693.873418195677</v>
      </c>
      <c r="AI2" s="65" t="s">
        <v>33</v>
      </c>
      <c r="AJ2" s="66">
        <f>SUMIF($B$2:$B$693,AI2,$AB$2:$AB$693)+SUMIF($B$2:$B$693,AI2,$AC$2:$AC$693)</f>
        <v>23741168.955847807</v>
      </c>
      <c r="AK2" s="66">
        <f ca="1">SUMIF($B$2:$B$693,AI2,$AE$2:$AE$693)+SUMIF($B$2:$B$693,AI2,$AF$2:$AF$693)</f>
        <v>26776135.829754896</v>
      </c>
      <c r="AL2" s="67">
        <f t="shared" ref="AL2:AL9" ca="1" si="0">IF(AJ2&lt;&gt;0,AK2/AJ2-1,0)</f>
        <v>0.127835612456628</v>
      </c>
      <c r="AN2" s="65" t="s">
        <v>33</v>
      </c>
      <c r="AO2" s="66">
        <f>SUMIF($B$2:$B$693,AN2,$AD$2:$AD$693)</f>
        <v>12848054.0376832</v>
      </c>
      <c r="AP2" s="66">
        <f>SUMIF($B$2:$B$693,AN2,$AG$2:$AG$693)</f>
        <v>12679801.464395892</v>
      </c>
      <c r="AQ2" s="67">
        <f t="shared" ref="AQ2:AQ9" si="1">IF(AO2&lt;&gt;0,AP2/AO2-1,0)</f>
        <v>-1.3095568620261511E-2</v>
      </c>
      <c r="AS2" s="65" t="s">
        <v>33</v>
      </c>
      <c r="AT2" s="66">
        <f>SUMIF($B$2:$B$693,AS2,$AB$2:$AB$693)+SUMIF($B$2:$B$693,AS2,$AC$2:$AC$693)+SUMIF($B$2:$B$693,AS2,$AD$2:$AD$693)</f>
        <v>36589222.993531004</v>
      </c>
      <c r="AU2" s="66">
        <f ca="1">SUMIF($B$2:$B$693,AS2,$AE$2:$AE$693)+SUMIF($B$2:$B$693,AS2,$AF$2:$AF$693)+SUMIF($B$2:$B$693,AS2,$AG$2:$AG$693)</f>
        <v>39455937.294150785</v>
      </c>
      <c r="AV2" s="67">
        <f t="shared" ref="AV2:AV9" ca="1" si="2">IF(AT2&lt;&gt;0,AU2/AT2-1,0)</f>
        <v>7.8348597375970996E-2</v>
      </c>
    </row>
    <row r="3" spans="1:48" ht="11.25" customHeight="1" x14ac:dyDescent="0.25">
      <c r="A3" s="4" t="s">
        <v>21</v>
      </c>
      <c r="B3" s="4" t="s">
        <v>33</v>
      </c>
      <c r="C3" s="4" t="s">
        <v>43</v>
      </c>
      <c r="D3" s="4" t="s">
        <v>42</v>
      </c>
      <c r="E3" s="4" t="s">
        <v>25</v>
      </c>
      <c r="F3" s="4" t="s">
        <v>25</v>
      </c>
      <c r="G3" s="4" t="s">
        <v>25</v>
      </c>
      <c r="H3" s="4" t="s">
        <v>36</v>
      </c>
      <c r="I3" s="5">
        <v>44317</v>
      </c>
      <c r="J3" s="6">
        <v>141</v>
      </c>
      <c r="K3" s="6">
        <v>141</v>
      </c>
      <c r="L3" s="6">
        <v>46.371000000000002</v>
      </c>
      <c r="M3" s="6">
        <v>46.371000000000002</v>
      </c>
      <c r="N3" s="6">
        <v>46.371000000000002</v>
      </c>
      <c r="O3" s="6">
        <v>46.371000000000002</v>
      </c>
      <c r="P3" s="6">
        <v>0</v>
      </c>
      <c r="Q3" s="4" t="s">
        <v>26</v>
      </c>
      <c r="R3" s="4">
        <v>0</v>
      </c>
      <c r="S3" s="6">
        <v>43</v>
      </c>
      <c r="T3" s="6">
        <v>44</v>
      </c>
      <c r="U3" s="6">
        <v>27</v>
      </c>
      <c r="V3" s="6">
        <f>IF(ISERROR(VLOOKUP($S$3,'TAR FIN'!$A$1:$O$85,15,0)),0,VLOOKUP($S$3,'TAR FIN'!$A$1:$O$85,15,0))</f>
        <v>23.41</v>
      </c>
      <c r="W3" s="6">
        <f>IF(ISERROR(VLOOKUP($T$3,'TAR FIN'!$A$1:$O$85,15,0)),0,VLOOKUP($T$3,'TAR FIN'!$A$1:$O$85,15,0))</f>
        <v>72.23</v>
      </c>
      <c r="X3" s="6">
        <f>IF(ISERROR(VLOOKUP($U$3,'TAR FIN'!$A$1:$O$85,15,0)),0,VLOOKUP($U$3,'TAR FIN'!$A$1:$O$85,15,0))</f>
        <v>223.72</v>
      </c>
      <c r="Y3" s="6">
        <f ca="1">('TUSD BE'!$AM$6+'TUSD BF'!$AM$6+'TUSD CVA'!$AM$6)*1</f>
        <v>24.267918723282428</v>
      </c>
      <c r="Z3" s="6">
        <f ca="1">('TUSD BE'!$AM$7+'TUSD BF'!$AM$7+'TUSD CVA'!$AM$7)*1</f>
        <v>103.30505917577378</v>
      </c>
      <c r="AA3" s="6">
        <f>('TE BE'!$AA$6+'TE BF'!$AA$6+'TE CVA'!$AA$6)*1</f>
        <v>217.62939920622892</v>
      </c>
      <c r="AB3" s="6">
        <f>$K$3*$V$3</f>
        <v>3300.81</v>
      </c>
      <c r="AC3" s="6">
        <f>$M$3*$W$3</f>
        <v>3349.3773300000003</v>
      </c>
      <c r="AD3" s="6">
        <f>$O$3*$X$3</f>
        <v>10374.12012</v>
      </c>
      <c r="AE3" s="6">
        <f ca="1">$K$3*$Y$3</f>
        <v>3421.7765399828222</v>
      </c>
      <c r="AF3" s="6">
        <f ca="1">$M$3*$Z$3</f>
        <v>4790.3588990398057</v>
      </c>
      <c r="AG3" s="6">
        <f>$O$3*$AA$3</f>
        <v>10091.692870592042</v>
      </c>
      <c r="AI3" s="65" t="s">
        <v>22</v>
      </c>
      <c r="AJ3" s="66">
        <f>SUMIF($B$2:$B$693,AI3,$AB$2:$AB$693)+SUMIF($B$2:$B$693,AI3,$AC$2:$AC$693)</f>
        <v>10545608.042790007</v>
      </c>
      <c r="AK3" s="66">
        <f ca="1">SUMIF($B$2:$B$693,AI3,$AE$2:$AE$693)+SUMIF($B$2:$B$693,AI3,$AF$2:$AF$693)</f>
        <v>11844775.142690407</v>
      </c>
      <c r="AL3" s="67">
        <f t="shared" ca="1" si="0"/>
        <v>0.12319508696216297</v>
      </c>
      <c r="AN3" s="65" t="s">
        <v>22</v>
      </c>
      <c r="AO3" s="66">
        <f>SUMIF($B$2:$B$693,AN3,$AD$2:$AD$693)</f>
        <v>5362936.3565200008</v>
      </c>
      <c r="AP3" s="66">
        <f>SUMIF($B$2:$B$693,AN3,$AG$2:$AG$693)</f>
        <v>5216934.677572065</v>
      </c>
      <c r="AQ3" s="67">
        <f t="shared" si="1"/>
        <v>-2.7224205032833182E-2</v>
      </c>
      <c r="AS3" s="65" t="s">
        <v>22</v>
      </c>
      <c r="AT3" s="66">
        <f>SUMIF($B$2:$B$693,AS3,$AB$2:$AB$693)+SUMIF($B$2:$B$693,AS3,$AC$2:$AC$693)+SUMIF($B$2:$B$693,AS3,$AD$2:$AD$693)</f>
        <v>15908544.399310008</v>
      </c>
      <c r="AU3" s="66">
        <f ca="1">SUMIF($B$2:$B$693,AS3,$AE$2:$AE$693)+SUMIF($B$2:$B$693,AS3,$AF$2:$AF$693)+SUMIF($B$2:$B$693,AS3,$AG$2:$AG$693)</f>
        <v>17061709.820262473</v>
      </c>
      <c r="AV3" s="67">
        <f t="shared" ca="1" si="2"/>
        <v>7.2487173685260586E-2</v>
      </c>
    </row>
    <row r="4" spans="1:48" ht="11.25" customHeight="1" x14ac:dyDescent="0.25">
      <c r="A4" s="4" t="s">
        <v>21</v>
      </c>
      <c r="B4" s="4" t="s">
        <v>33</v>
      </c>
      <c r="C4" s="4" t="s">
        <v>43</v>
      </c>
      <c r="D4" s="4" t="s">
        <v>42</v>
      </c>
      <c r="E4" s="4" t="s">
        <v>25</v>
      </c>
      <c r="F4" s="4" t="s">
        <v>25</v>
      </c>
      <c r="G4" s="4" t="s">
        <v>25</v>
      </c>
      <c r="H4" s="4" t="s">
        <v>36</v>
      </c>
      <c r="I4" s="5">
        <v>44348</v>
      </c>
      <c r="J4" s="6">
        <v>133</v>
      </c>
      <c r="K4" s="6">
        <v>133</v>
      </c>
      <c r="L4" s="6">
        <v>47.781999999999996</v>
      </c>
      <c r="M4" s="6">
        <v>47.781999999999996</v>
      </c>
      <c r="N4" s="6">
        <v>47.781999999999996</v>
      </c>
      <c r="O4" s="6">
        <v>47.781999999999996</v>
      </c>
      <c r="P4" s="6">
        <v>0</v>
      </c>
      <c r="Q4" s="4" t="s">
        <v>26</v>
      </c>
      <c r="R4" s="4">
        <v>0</v>
      </c>
      <c r="S4" s="6">
        <v>43</v>
      </c>
      <c r="T4" s="6">
        <v>44</v>
      </c>
      <c r="U4" s="6">
        <v>27</v>
      </c>
      <c r="V4" s="6">
        <f>IF(ISERROR(VLOOKUP($S$4,'TAR FIN'!$A$1:$O$85,15,0)),0,VLOOKUP($S$4,'TAR FIN'!$A$1:$O$85,15,0))</f>
        <v>23.41</v>
      </c>
      <c r="W4" s="6">
        <f>IF(ISERROR(VLOOKUP($T$4,'TAR FIN'!$A$1:$O$85,15,0)),0,VLOOKUP($T$4,'TAR FIN'!$A$1:$O$85,15,0))</f>
        <v>72.23</v>
      </c>
      <c r="X4" s="6">
        <f>IF(ISERROR(VLOOKUP($U$4,'TAR FIN'!$A$1:$O$85,15,0)),0,VLOOKUP($U$4,'TAR FIN'!$A$1:$O$85,15,0))</f>
        <v>223.72</v>
      </c>
      <c r="Y4" s="6">
        <f ca="1">('TUSD BE'!$AM$6+'TUSD BF'!$AM$6+'TUSD CVA'!$AM$6)*1</f>
        <v>24.267918723282428</v>
      </c>
      <c r="Z4" s="6">
        <f ca="1">('TUSD BE'!$AM$7+'TUSD BF'!$AM$7+'TUSD CVA'!$AM$7)*1</f>
        <v>103.30505917577378</v>
      </c>
      <c r="AA4" s="6">
        <f>('TE BE'!$AA$6+'TE BF'!$AA$6+'TE CVA'!$AA$6)*1</f>
        <v>217.62939920622892</v>
      </c>
      <c r="AB4" s="6">
        <f>$K$4*$V$4</f>
        <v>3113.53</v>
      </c>
      <c r="AC4" s="6">
        <f>$M$4*$W$4</f>
        <v>3451.2938599999998</v>
      </c>
      <c r="AD4" s="6">
        <f>$O$4*$X$4</f>
        <v>10689.78904</v>
      </c>
      <c r="AE4" s="6">
        <f ca="1">$K$4*$Y$4</f>
        <v>3227.6331901965627</v>
      </c>
      <c r="AF4" s="6">
        <f ca="1">$M$4*$Z$4</f>
        <v>4936.1223375368227</v>
      </c>
      <c r="AG4" s="6">
        <f>$O$4*$AA$4</f>
        <v>10398.767952872029</v>
      </c>
      <c r="AI4" s="65" t="s">
        <v>40</v>
      </c>
      <c r="AJ4" s="66">
        <f>SUMIF($B$2:$B$693,AI4,$AB$2:$AB$693)+SUMIF($B$2:$B$693,AI4,$AC$2:$AC$693)</f>
        <v>19392864.499935992</v>
      </c>
      <c r="AK4" s="66">
        <f ca="1">SUMIF($B$2:$B$693,AI4,$AE$2:$AE$693)+SUMIF($B$2:$B$693,AI4,$AF$2:$AF$693)</f>
        <v>23270466.383415457</v>
      </c>
      <c r="AL4" s="67">
        <f t="shared" ca="1" si="0"/>
        <v>0.19994992918618415</v>
      </c>
      <c r="AN4" s="65" t="s">
        <v>40</v>
      </c>
      <c r="AO4" s="66">
        <f>SUMIF($B$2:$B$693,AN4,$AD$2:$AD$693)</f>
        <v>9857918.4438080005</v>
      </c>
      <c r="AP4" s="66">
        <f>SUMIF($B$2:$B$693,AN4,$AG$2:$AG$693)</f>
        <v>10243564.261944134</v>
      </c>
      <c r="AQ4" s="67">
        <f t="shared" si="1"/>
        <v>3.9120410696678709E-2</v>
      </c>
      <c r="AS4" s="65" t="s">
        <v>40</v>
      </c>
      <c r="AT4" s="66">
        <f>SUMIF($B$2:$B$693,AS4,$AB$2:$AB$693)+SUMIF($B$2:$B$693,AS4,$AC$2:$AC$693)+SUMIF($B$2:$B$693,AS4,$AD$2:$AD$693)</f>
        <v>29250782.943743993</v>
      </c>
      <c r="AU4" s="66">
        <f ca="1">SUMIF($B$2:$B$693,AS4,$AE$2:$AE$693)+SUMIF($B$2:$B$693,AS4,$AF$2:$AF$693)+SUMIF($B$2:$B$693,AS4,$AG$2:$AG$693)</f>
        <v>33514030.645359591</v>
      </c>
      <c r="AV4" s="67">
        <f t="shared" ca="1" si="2"/>
        <v>0.14574815688916121</v>
      </c>
    </row>
    <row r="5" spans="1:48" ht="11.25" customHeight="1" x14ac:dyDescent="0.25">
      <c r="A5" s="4" t="s">
        <v>21</v>
      </c>
      <c r="B5" s="4" t="s">
        <v>33</v>
      </c>
      <c r="C5" s="4" t="s">
        <v>43</v>
      </c>
      <c r="D5" s="4" t="s">
        <v>42</v>
      </c>
      <c r="E5" s="4" t="s">
        <v>25</v>
      </c>
      <c r="F5" s="4" t="s">
        <v>25</v>
      </c>
      <c r="G5" s="4" t="s">
        <v>25</v>
      </c>
      <c r="H5" s="4" t="s">
        <v>36</v>
      </c>
      <c r="I5" s="5">
        <v>44378</v>
      </c>
      <c r="J5" s="6">
        <v>130</v>
      </c>
      <c r="K5" s="6">
        <v>130</v>
      </c>
      <c r="L5" s="6">
        <v>44.892000000000003</v>
      </c>
      <c r="M5" s="6">
        <v>44.892000000000003</v>
      </c>
      <c r="N5" s="6">
        <v>44.892000000000003</v>
      </c>
      <c r="O5" s="6">
        <v>44.892000000000003</v>
      </c>
      <c r="P5" s="6">
        <v>0</v>
      </c>
      <c r="Q5" s="4" t="s">
        <v>26</v>
      </c>
      <c r="R5" s="4">
        <v>0</v>
      </c>
      <c r="S5" s="6">
        <v>43</v>
      </c>
      <c r="T5" s="6">
        <v>44</v>
      </c>
      <c r="U5" s="6">
        <v>27</v>
      </c>
      <c r="V5" s="6">
        <f>IF(ISERROR(VLOOKUP($S$5,'TAR FIN'!$A$1:$O$85,15,0)),0,VLOOKUP($S$5,'TAR FIN'!$A$1:$O$85,15,0))</f>
        <v>23.41</v>
      </c>
      <c r="W5" s="6">
        <f>IF(ISERROR(VLOOKUP($T$5,'TAR FIN'!$A$1:$O$85,15,0)),0,VLOOKUP($T$5,'TAR FIN'!$A$1:$O$85,15,0))</f>
        <v>72.23</v>
      </c>
      <c r="X5" s="6">
        <f>IF(ISERROR(VLOOKUP($U$5,'TAR FIN'!$A$1:$O$85,15,0)),0,VLOOKUP($U$5,'TAR FIN'!$A$1:$O$85,15,0))</f>
        <v>223.72</v>
      </c>
      <c r="Y5" s="6">
        <f ca="1">('TUSD BE'!$AM$6+'TUSD BF'!$AM$6+'TUSD CVA'!$AM$6)*1</f>
        <v>24.267918723282428</v>
      </c>
      <c r="Z5" s="6">
        <f ca="1">('TUSD BE'!$AM$7+'TUSD BF'!$AM$7+'TUSD CVA'!$AM$7)*1</f>
        <v>103.30505917577378</v>
      </c>
      <c r="AA5" s="6">
        <f>('TE BE'!$AA$6+'TE BF'!$AA$6+'TE CVA'!$AA$6)*1</f>
        <v>217.62939920622892</v>
      </c>
      <c r="AB5" s="6">
        <f>$K$5*$V$5</f>
        <v>3043.3</v>
      </c>
      <c r="AC5" s="6">
        <f>$M$5*$W$5</f>
        <v>3242.5491600000005</v>
      </c>
      <c r="AD5" s="6">
        <f>$O$5*$X$5</f>
        <v>10043.238240000001</v>
      </c>
      <c r="AE5" s="6">
        <f ca="1">$K$5*$Y$5</f>
        <v>3154.8294340267157</v>
      </c>
      <c r="AF5" s="6">
        <f ca="1">$M$5*$Z$5</f>
        <v>4637.5707165188369</v>
      </c>
      <c r="AG5" s="6">
        <f>$O$5*$AA$5</f>
        <v>9769.8189891660295</v>
      </c>
      <c r="AI5" s="65" t="s">
        <v>37</v>
      </c>
      <c r="AJ5" s="66">
        <f>SUMIF($B$2:$B$693,AI5,$AB$2:$AB$693)+SUMIF($B$2:$B$693,AI5,$AC$2:$AC$693)</f>
        <v>4099742.5191480005</v>
      </c>
      <c r="AK5" s="66">
        <f ca="1">SUMIF($B$2:$B$693,AI5,$AE$2:$AE$693)+SUMIF($B$2:$B$693,AI5,$AF$2:$AF$693)</f>
        <v>4614311.9742839187</v>
      </c>
      <c r="AL5" s="67">
        <f t="shared" ca="1" si="0"/>
        <v>0.12551262737418312</v>
      </c>
      <c r="AN5" s="65" t="s">
        <v>37</v>
      </c>
      <c r="AO5" s="66">
        <f>SUMIF($B$2:$B$693,AN5,$AD$2:$AD$693)</f>
        <v>2084059.0692656005</v>
      </c>
      <c r="AP5" s="66">
        <f>SUMIF($B$2:$B$693,AN5,$AG$2:$AG$693)</f>
        <v>2031201.2855454499</v>
      </c>
      <c r="AQ5" s="67">
        <f t="shared" si="1"/>
        <v>-2.5362900936765187E-2</v>
      </c>
      <c r="AS5" s="65" t="s">
        <v>37</v>
      </c>
      <c r="AT5" s="66">
        <f>SUMIF($B$2:$B$693,AS5,$AB$2:$AB$693)+SUMIF($B$2:$B$693,AS5,$AC$2:$AC$693)+SUMIF($B$2:$B$693,AS5,$AD$2:$AD$693)</f>
        <v>6183801.5884136008</v>
      </c>
      <c r="AU5" s="66">
        <f ca="1">SUMIF($B$2:$B$693,AS5,$AE$2:$AE$693)+SUMIF($B$2:$B$693,AS5,$AF$2:$AF$693)+SUMIF($B$2:$B$693,AS5,$AG$2:$AG$693)</f>
        <v>6645513.2598293684</v>
      </c>
      <c r="AV5" s="67">
        <f t="shared" ca="1" si="2"/>
        <v>7.4664696920558216E-2</v>
      </c>
    </row>
    <row r="6" spans="1:48" ht="11.25" customHeight="1" x14ac:dyDescent="0.25">
      <c r="A6" s="4" t="s">
        <v>21</v>
      </c>
      <c r="B6" s="4" t="s">
        <v>33</v>
      </c>
      <c r="C6" s="4" t="s">
        <v>43</v>
      </c>
      <c r="D6" s="4" t="s">
        <v>42</v>
      </c>
      <c r="E6" s="4" t="s">
        <v>25</v>
      </c>
      <c r="F6" s="4" t="s">
        <v>25</v>
      </c>
      <c r="G6" s="4" t="s">
        <v>25</v>
      </c>
      <c r="H6" s="4" t="s">
        <v>36</v>
      </c>
      <c r="I6" s="5">
        <v>44409</v>
      </c>
      <c r="J6" s="6">
        <v>134</v>
      </c>
      <c r="K6" s="6">
        <v>134</v>
      </c>
      <c r="L6" s="6">
        <v>49.273000000000003</v>
      </c>
      <c r="M6" s="6">
        <v>49.273000000000003</v>
      </c>
      <c r="N6" s="6">
        <v>49.273000000000003</v>
      </c>
      <c r="O6" s="6">
        <v>49.273000000000003</v>
      </c>
      <c r="P6" s="6">
        <v>0</v>
      </c>
      <c r="Q6" s="4" t="s">
        <v>26</v>
      </c>
      <c r="R6" s="4">
        <v>0</v>
      </c>
      <c r="S6" s="6">
        <v>43</v>
      </c>
      <c r="T6" s="6">
        <v>44</v>
      </c>
      <c r="U6" s="6">
        <v>27</v>
      </c>
      <c r="V6" s="6">
        <f>IF(ISERROR(VLOOKUP($S$6,'TAR FIN'!$A$1:$O$85,15,0)),0,VLOOKUP($S$6,'TAR FIN'!$A$1:$O$85,15,0))</f>
        <v>23.41</v>
      </c>
      <c r="W6" s="6">
        <f>IF(ISERROR(VLOOKUP($T$6,'TAR FIN'!$A$1:$O$85,15,0)),0,VLOOKUP($T$6,'TAR FIN'!$A$1:$O$85,15,0))</f>
        <v>72.23</v>
      </c>
      <c r="X6" s="6">
        <f>IF(ISERROR(VLOOKUP($U$6,'TAR FIN'!$A$1:$O$85,15,0)),0,VLOOKUP($U$6,'TAR FIN'!$A$1:$O$85,15,0))</f>
        <v>223.72</v>
      </c>
      <c r="Y6" s="6">
        <f ca="1">('TUSD BE'!$AM$6+'TUSD BF'!$AM$6+'TUSD CVA'!$AM$6)*1</f>
        <v>24.267918723282428</v>
      </c>
      <c r="Z6" s="6">
        <f ca="1">('TUSD BE'!$AM$7+'TUSD BF'!$AM$7+'TUSD CVA'!$AM$7)*1</f>
        <v>103.30505917577378</v>
      </c>
      <c r="AA6" s="6">
        <f>('TE BE'!$AA$6+'TE BF'!$AA$6+'TE CVA'!$AA$6)*1</f>
        <v>217.62939920622892</v>
      </c>
      <c r="AB6" s="6">
        <f>$K$6*$V$6</f>
        <v>3136.94</v>
      </c>
      <c r="AC6" s="6">
        <f>$M$6*$W$6</f>
        <v>3558.9887900000003</v>
      </c>
      <c r="AD6" s="6">
        <f>$O$6*$X$6</f>
        <v>11023.35556</v>
      </c>
      <c r="AE6" s="6">
        <f ca="1">$K$6*$Y$6</f>
        <v>3251.9011089198452</v>
      </c>
      <c r="AF6" s="6">
        <f ca="1">$M$6*$Z$6</f>
        <v>5090.1501807679015</v>
      </c>
      <c r="AG6" s="6">
        <f>$O$6*$AA$6</f>
        <v>10723.253387088518</v>
      </c>
      <c r="AI6" s="65" t="s">
        <v>44</v>
      </c>
      <c r="AJ6" s="66">
        <f>SUMIF($B$2:$B$693,AI6,$AB$2:$AB$693)+SUMIF($B$2:$B$693,AI6,$AC$2:$AC$693)</f>
        <v>615879.05661999993</v>
      </c>
      <c r="AK6" s="66">
        <f ca="1">SUMIF($B$2:$B$693,AI6,$AE$2:$AE$693)+SUMIF($B$2:$B$693,AI6,$AF$2:$AF$693)</f>
        <v>691855.17350270797</v>
      </c>
      <c r="AL6" s="67">
        <f t="shared" ca="1" si="0"/>
        <v>0.12336207257910647</v>
      </c>
      <c r="AN6" s="65" t="s">
        <v>44</v>
      </c>
      <c r="AO6" s="66">
        <f>SUMIF($B$2:$B$693,AN6,$AD$2:$AD$693)</f>
        <v>313069.87180999998</v>
      </c>
      <c r="AP6" s="66">
        <f>SUMIF($B$2:$B$693,AN6,$AG$2:$AG$693)</f>
        <v>304551.8217367722</v>
      </c>
      <c r="AQ6" s="67">
        <f t="shared" si="1"/>
        <v>-2.7208143741143331E-2</v>
      </c>
      <c r="AS6" s="65" t="s">
        <v>44</v>
      </c>
      <c r="AT6" s="66">
        <f>SUMIF($B$2:$B$693,AS6,$AB$2:$AB$693)+SUMIF($B$2:$B$693,AS6,$AC$2:$AC$693)+SUMIF($B$2:$B$693,AS6,$AD$2:$AD$693)</f>
        <v>928948.92842999985</v>
      </c>
      <c r="AU6" s="66">
        <f ca="1">SUMIF($B$2:$B$693,AS6,$AE$2:$AE$693)+SUMIF($B$2:$B$693,AS6,$AF$2:$AF$693)+SUMIF($B$2:$B$693,AS6,$AG$2:$AG$693)</f>
        <v>996406.99523948017</v>
      </c>
      <c r="AV6" s="67">
        <f t="shared" ca="1" si="2"/>
        <v>7.2617627024437192E-2</v>
      </c>
    </row>
    <row r="7" spans="1:48" ht="11.25" customHeight="1" x14ac:dyDescent="0.25">
      <c r="A7" s="4" t="s">
        <v>21</v>
      </c>
      <c r="B7" s="4" t="s">
        <v>33</v>
      </c>
      <c r="C7" s="4" t="s">
        <v>43</v>
      </c>
      <c r="D7" s="4" t="s">
        <v>42</v>
      </c>
      <c r="E7" s="4" t="s">
        <v>25</v>
      </c>
      <c r="F7" s="4" t="s">
        <v>25</v>
      </c>
      <c r="G7" s="4" t="s">
        <v>25</v>
      </c>
      <c r="H7" s="4" t="s">
        <v>36</v>
      </c>
      <c r="I7" s="5">
        <v>44440</v>
      </c>
      <c r="J7" s="6">
        <v>144</v>
      </c>
      <c r="K7" s="6">
        <v>144</v>
      </c>
      <c r="L7" s="6">
        <v>48.862000000000002</v>
      </c>
      <c r="M7" s="6">
        <v>48.862000000000002</v>
      </c>
      <c r="N7" s="6">
        <v>48.862000000000002</v>
      </c>
      <c r="O7" s="6">
        <v>48.862000000000002</v>
      </c>
      <c r="P7" s="6">
        <v>0</v>
      </c>
      <c r="Q7" s="4" t="s">
        <v>26</v>
      </c>
      <c r="R7" s="4">
        <v>0</v>
      </c>
      <c r="S7" s="6">
        <v>43</v>
      </c>
      <c r="T7" s="6">
        <v>44</v>
      </c>
      <c r="U7" s="6">
        <v>27</v>
      </c>
      <c r="V7" s="6">
        <f>IF(ISERROR(VLOOKUP($S$7,'TAR FIN'!$A$1:$O$85,15,0)),0,VLOOKUP($S$7,'TAR FIN'!$A$1:$O$85,15,0))</f>
        <v>23.41</v>
      </c>
      <c r="W7" s="6">
        <f>IF(ISERROR(VLOOKUP($T$7,'TAR FIN'!$A$1:$O$85,15,0)),0,VLOOKUP($T$7,'TAR FIN'!$A$1:$O$85,15,0))</f>
        <v>72.23</v>
      </c>
      <c r="X7" s="6">
        <f>IF(ISERROR(VLOOKUP($U$7,'TAR FIN'!$A$1:$O$85,15,0)),0,VLOOKUP($U$7,'TAR FIN'!$A$1:$O$85,15,0))</f>
        <v>223.72</v>
      </c>
      <c r="Y7" s="6">
        <f ca="1">('TUSD BE'!$AM$6+'TUSD BF'!$AM$6+'TUSD CVA'!$AM$6)*1</f>
        <v>24.267918723282428</v>
      </c>
      <c r="Z7" s="6">
        <f ca="1">('TUSD BE'!$AM$7+'TUSD BF'!$AM$7+'TUSD CVA'!$AM$7)*1</f>
        <v>103.30505917577378</v>
      </c>
      <c r="AA7" s="6">
        <f>('TE BE'!$AA$6+'TE BF'!$AA$6+'TE CVA'!$AA$6)*1</f>
        <v>217.62939920622892</v>
      </c>
      <c r="AB7" s="6">
        <f>$K$7*$V$7</f>
        <v>3371.04</v>
      </c>
      <c r="AC7" s="6">
        <f>$M$7*$W$7</f>
        <v>3529.3022600000004</v>
      </c>
      <c r="AD7" s="6">
        <f>$O$7*$X$7</f>
        <v>10931.406640000001</v>
      </c>
      <c r="AE7" s="6">
        <f ca="1">$K$7*$Y$7</f>
        <v>3494.5802961526697</v>
      </c>
      <c r="AF7" s="6">
        <f ca="1">$M$7*$Z$7</f>
        <v>5047.6918014466582</v>
      </c>
      <c r="AG7" s="6">
        <f>$O$7*$AA$7</f>
        <v>10633.807704014758</v>
      </c>
      <c r="AI7" s="65" t="s">
        <v>545</v>
      </c>
      <c r="AJ7" s="66">
        <f>+$AJ$2</f>
        <v>23741168.955847807</v>
      </c>
      <c r="AK7" s="66">
        <f ca="1">+$AK$2</f>
        <v>26776135.829754896</v>
      </c>
      <c r="AL7" s="67">
        <f t="shared" ca="1" si="0"/>
        <v>0.127835612456628</v>
      </c>
      <c r="AN7" s="65" t="s">
        <v>545</v>
      </c>
      <c r="AO7" s="66">
        <f>+$AO$2</f>
        <v>12848054.0376832</v>
      </c>
      <c r="AP7" s="66">
        <f>+$AP$2</f>
        <v>12679801.464395892</v>
      </c>
      <c r="AQ7" s="67">
        <f t="shared" si="1"/>
        <v>-1.3095568620261511E-2</v>
      </c>
      <c r="AS7" s="65" t="s">
        <v>545</v>
      </c>
      <c r="AT7" s="66">
        <f>+$AT$2</f>
        <v>36589222.993531004</v>
      </c>
      <c r="AU7" s="66">
        <f ca="1">+$AU$2</f>
        <v>39455937.294150785</v>
      </c>
      <c r="AV7" s="67">
        <f t="shared" ca="1" si="2"/>
        <v>7.8348597375970996E-2</v>
      </c>
    </row>
    <row r="8" spans="1:48" ht="11.25" customHeight="1" x14ac:dyDescent="0.25">
      <c r="A8" s="4" t="s">
        <v>21</v>
      </c>
      <c r="B8" s="4" t="s">
        <v>33</v>
      </c>
      <c r="C8" s="4" t="s">
        <v>43</v>
      </c>
      <c r="D8" s="4" t="s">
        <v>42</v>
      </c>
      <c r="E8" s="4" t="s">
        <v>25</v>
      </c>
      <c r="F8" s="4" t="s">
        <v>25</v>
      </c>
      <c r="G8" s="4" t="s">
        <v>25</v>
      </c>
      <c r="H8" s="4" t="s">
        <v>36</v>
      </c>
      <c r="I8" s="5">
        <v>44470</v>
      </c>
      <c r="J8" s="6">
        <v>146</v>
      </c>
      <c r="K8" s="6">
        <v>146</v>
      </c>
      <c r="L8" s="6">
        <v>47.463999999999999</v>
      </c>
      <c r="M8" s="6">
        <v>47.463999999999999</v>
      </c>
      <c r="N8" s="6">
        <v>47.463999999999999</v>
      </c>
      <c r="O8" s="6">
        <v>47.463999999999999</v>
      </c>
      <c r="P8" s="6">
        <v>0</v>
      </c>
      <c r="Q8" s="4" t="s">
        <v>26</v>
      </c>
      <c r="R8" s="4">
        <v>0</v>
      </c>
      <c r="S8" s="6">
        <v>43</v>
      </c>
      <c r="T8" s="6">
        <v>44</v>
      </c>
      <c r="U8" s="6">
        <v>27</v>
      </c>
      <c r="V8" s="6">
        <f>IF(ISERROR(VLOOKUP($S$8,'TAR FIN'!$A$1:$O$85,15,0)),0,VLOOKUP($S$8,'TAR FIN'!$A$1:$O$85,15,0))</f>
        <v>23.41</v>
      </c>
      <c r="W8" s="6">
        <f>IF(ISERROR(VLOOKUP($T$8,'TAR FIN'!$A$1:$O$85,15,0)),0,VLOOKUP($T$8,'TAR FIN'!$A$1:$O$85,15,0))</f>
        <v>72.23</v>
      </c>
      <c r="X8" s="6">
        <f>IF(ISERROR(VLOOKUP($U$8,'TAR FIN'!$A$1:$O$85,15,0)),0,VLOOKUP($U$8,'TAR FIN'!$A$1:$O$85,15,0))</f>
        <v>223.72</v>
      </c>
      <c r="Y8" s="6">
        <f ca="1">('TUSD BE'!$AM$6+'TUSD BF'!$AM$6+'TUSD CVA'!$AM$6)*1</f>
        <v>24.267918723282428</v>
      </c>
      <c r="Z8" s="6">
        <f ca="1">('TUSD BE'!$AM$7+'TUSD BF'!$AM$7+'TUSD CVA'!$AM$7)*1</f>
        <v>103.30505917577378</v>
      </c>
      <c r="AA8" s="6">
        <f>('TE BE'!$AA$6+'TE BF'!$AA$6+'TE CVA'!$AA$6)*1</f>
        <v>217.62939920622892</v>
      </c>
      <c r="AB8" s="6">
        <f>$K$8*$V$8</f>
        <v>3417.86</v>
      </c>
      <c r="AC8" s="6">
        <f>$M$8*$W$8</f>
        <v>3428.3247200000001</v>
      </c>
      <c r="AD8" s="6">
        <f>$O$8*$X$8</f>
        <v>10618.64608</v>
      </c>
      <c r="AE8" s="6">
        <f ca="1">$K$8*$Y$8</f>
        <v>3543.1161335992342</v>
      </c>
      <c r="AF8" s="6">
        <f ca="1">$M$8*$Z$8</f>
        <v>4903.2713287189263</v>
      </c>
      <c r="AG8" s="6">
        <f>$O$8*$AA$8</f>
        <v>10329.561803924449</v>
      </c>
      <c r="AI8" s="65" t="s">
        <v>82</v>
      </c>
      <c r="AJ8" s="66">
        <f>+$AJ$3+$AJ$4+$AJ$5+$AJ$6</f>
        <v>34654094.118494004</v>
      </c>
      <c r="AK8" s="66">
        <f ca="1">+$AK$3+$AK$4+$AK$5+$AK$6</f>
        <v>40421408.673892491</v>
      </c>
      <c r="AL8" s="67">
        <f t="shared" ca="1" si="0"/>
        <v>0.16642520031480545</v>
      </c>
      <c r="AN8" s="65" t="s">
        <v>82</v>
      </c>
      <c r="AO8" s="66">
        <f>+$AO$3+$AO$4+$AO$5+$AO$6</f>
        <v>17617983.741403602</v>
      </c>
      <c r="AP8" s="66">
        <f>+$AP$3+$AP$4+$AP$5+$AP$6</f>
        <v>17796252.046798419</v>
      </c>
      <c r="AQ8" s="67">
        <f t="shared" si="1"/>
        <v>1.0118541827001115E-2</v>
      </c>
      <c r="AS8" s="65" t="s">
        <v>82</v>
      </c>
      <c r="AT8" s="66">
        <f>+$AT$3+$AT$4+$AT$5+$AT$6</f>
        <v>52272077.859897599</v>
      </c>
      <c r="AU8" s="66">
        <f ca="1">+$AU$3+$AU$4+$AU$5+$AU$6</f>
        <v>58217660.720690921</v>
      </c>
      <c r="AV8" s="67">
        <f t="shared" ca="1" si="2"/>
        <v>0.11374299825480416</v>
      </c>
    </row>
    <row r="9" spans="1:48" ht="11.25" customHeight="1" x14ac:dyDescent="0.25">
      <c r="A9" s="4" t="s">
        <v>21</v>
      </c>
      <c r="B9" s="4" t="s">
        <v>33</v>
      </c>
      <c r="C9" s="4" t="s">
        <v>43</v>
      </c>
      <c r="D9" s="4" t="s">
        <v>42</v>
      </c>
      <c r="E9" s="4" t="s">
        <v>25</v>
      </c>
      <c r="F9" s="4" t="s">
        <v>25</v>
      </c>
      <c r="G9" s="4" t="s">
        <v>25</v>
      </c>
      <c r="H9" s="4" t="s">
        <v>36</v>
      </c>
      <c r="I9" s="5">
        <v>44501</v>
      </c>
      <c r="J9" s="6">
        <v>136</v>
      </c>
      <c r="K9" s="6">
        <v>136</v>
      </c>
      <c r="L9" s="6">
        <v>48.194000000000003</v>
      </c>
      <c r="M9" s="6">
        <v>48.194000000000003</v>
      </c>
      <c r="N9" s="6">
        <v>48.194000000000003</v>
      </c>
      <c r="O9" s="6">
        <v>48.194000000000003</v>
      </c>
      <c r="P9" s="6">
        <v>0</v>
      </c>
      <c r="Q9" s="4" t="s">
        <v>26</v>
      </c>
      <c r="R9" s="4">
        <v>0</v>
      </c>
      <c r="S9" s="6">
        <v>43</v>
      </c>
      <c r="T9" s="6">
        <v>44</v>
      </c>
      <c r="U9" s="6">
        <v>27</v>
      </c>
      <c r="V9" s="6">
        <f>IF(ISERROR(VLOOKUP($S$9,'TAR FIN'!$A$1:$O$85,15,0)),0,VLOOKUP($S$9,'TAR FIN'!$A$1:$O$85,15,0))</f>
        <v>23.41</v>
      </c>
      <c r="W9" s="6">
        <f>IF(ISERROR(VLOOKUP($T$9,'TAR FIN'!$A$1:$O$85,15,0)),0,VLOOKUP($T$9,'TAR FIN'!$A$1:$O$85,15,0))</f>
        <v>72.23</v>
      </c>
      <c r="X9" s="6">
        <f>IF(ISERROR(VLOOKUP($U$9,'TAR FIN'!$A$1:$O$85,15,0)),0,VLOOKUP($U$9,'TAR FIN'!$A$1:$O$85,15,0))</f>
        <v>223.72</v>
      </c>
      <c r="Y9" s="6">
        <f ca="1">('TUSD BE'!$AM$6+'TUSD BF'!$AM$6+'TUSD CVA'!$AM$6)*1</f>
        <v>24.267918723282428</v>
      </c>
      <c r="Z9" s="6">
        <f ca="1">('TUSD BE'!$AM$7+'TUSD BF'!$AM$7+'TUSD CVA'!$AM$7)*1</f>
        <v>103.30505917577378</v>
      </c>
      <c r="AA9" s="6">
        <f>('TE BE'!$AA$6+'TE BF'!$AA$6+'TE CVA'!$AA$6)*1</f>
        <v>217.62939920622892</v>
      </c>
      <c r="AB9" s="6">
        <f>$K$9*$V$9</f>
        <v>3183.76</v>
      </c>
      <c r="AC9" s="6">
        <f>$M$9*$W$9</f>
        <v>3481.0526200000004</v>
      </c>
      <c r="AD9" s="6">
        <f>$O$9*$X$9</f>
        <v>10781.96168</v>
      </c>
      <c r="AE9" s="6">
        <f ca="1">$K$9*$Y$9</f>
        <v>3300.4369463664102</v>
      </c>
      <c r="AF9" s="6">
        <f ca="1">$M$9*$Z$9</f>
        <v>4978.6840219172418</v>
      </c>
      <c r="AG9" s="6">
        <f>$O$9*$AA$9</f>
        <v>10488.431265344998</v>
      </c>
      <c r="AI9" s="65" t="s">
        <v>546</v>
      </c>
      <c r="AJ9" s="66">
        <f>AJ8+AJ7</f>
        <v>58395263.074341811</v>
      </c>
      <c r="AK9" s="66">
        <f ca="1">AK8+AK7</f>
        <v>67197544.503647387</v>
      </c>
      <c r="AL9" s="67">
        <f t="shared" ca="1" si="0"/>
        <v>0.15073622355463279</v>
      </c>
      <c r="AN9" s="65" t="s">
        <v>546</v>
      </c>
      <c r="AO9" s="66">
        <f>AO8+AO7</f>
        <v>30466037.779086802</v>
      </c>
      <c r="AP9" s="66">
        <f>AP8+AP7</f>
        <v>30476053.511194311</v>
      </c>
      <c r="AQ9" s="67">
        <f t="shared" si="1"/>
        <v>3.287507282743185E-4</v>
      </c>
      <c r="AS9" s="65" t="s">
        <v>546</v>
      </c>
      <c r="AT9" s="66">
        <f>AT8+AT7</f>
        <v>88861300.853428602</v>
      </c>
      <c r="AU9" s="66">
        <f ca="1">AU8+AU7</f>
        <v>97673598.014841706</v>
      </c>
      <c r="AV9" s="67">
        <f t="shared" ca="1" si="2"/>
        <v>9.9169121729924425E-2</v>
      </c>
    </row>
    <row r="10" spans="1:48" ht="11.25" customHeight="1" x14ac:dyDescent="0.25">
      <c r="A10" s="4" t="s">
        <v>21</v>
      </c>
      <c r="B10" s="4" t="s">
        <v>33</v>
      </c>
      <c r="C10" s="4" t="s">
        <v>43</v>
      </c>
      <c r="D10" s="4" t="s">
        <v>42</v>
      </c>
      <c r="E10" s="4" t="s">
        <v>25</v>
      </c>
      <c r="F10" s="4" t="s">
        <v>25</v>
      </c>
      <c r="G10" s="4" t="s">
        <v>25</v>
      </c>
      <c r="H10" s="4" t="s">
        <v>36</v>
      </c>
      <c r="I10" s="5">
        <v>44531</v>
      </c>
      <c r="J10" s="6">
        <v>145</v>
      </c>
      <c r="K10" s="6">
        <v>145</v>
      </c>
      <c r="L10" s="6">
        <v>47.460999999999999</v>
      </c>
      <c r="M10" s="6">
        <v>47.460999999999999</v>
      </c>
      <c r="N10" s="6">
        <v>47.460999999999999</v>
      </c>
      <c r="O10" s="6">
        <v>47.460999999999999</v>
      </c>
      <c r="P10" s="6">
        <v>0</v>
      </c>
      <c r="Q10" s="4" t="s">
        <v>26</v>
      </c>
      <c r="R10" s="4">
        <v>0</v>
      </c>
      <c r="S10" s="6">
        <v>43</v>
      </c>
      <c r="T10" s="6">
        <v>44</v>
      </c>
      <c r="U10" s="6">
        <v>27</v>
      </c>
      <c r="V10" s="6">
        <f>IF(ISERROR(VLOOKUP($S$10,'TAR FIN'!$A$1:$O$85,15,0)),0,VLOOKUP($S$10,'TAR FIN'!$A$1:$O$85,15,0))</f>
        <v>23.41</v>
      </c>
      <c r="W10" s="6">
        <f>IF(ISERROR(VLOOKUP($T$10,'TAR FIN'!$A$1:$O$85,15,0)),0,VLOOKUP($T$10,'TAR FIN'!$A$1:$O$85,15,0))</f>
        <v>72.23</v>
      </c>
      <c r="X10" s="6">
        <f>IF(ISERROR(VLOOKUP($U$10,'TAR FIN'!$A$1:$O$85,15,0)),0,VLOOKUP($U$10,'TAR FIN'!$A$1:$O$85,15,0))</f>
        <v>223.72</v>
      </c>
      <c r="Y10" s="6">
        <f ca="1">('TUSD BE'!$AM$6+'TUSD BF'!$AM$6+'TUSD CVA'!$AM$6)*1</f>
        <v>24.267918723282428</v>
      </c>
      <c r="Z10" s="6">
        <f ca="1">('TUSD BE'!$AM$7+'TUSD BF'!$AM$7+'TUSD CVA'!$AM$7)*1</f>
        <v>103.30505917577378</v>
      </c>
      <c r="AA10" s="6">
        <f>('TE BE'!$AA$6+'TE BF'!$AA$6+'TE CVA'!$AA$6)*1</f>
        <v>217.62939920622892</v>
      </c>
      <c r="AB10" s="6">
        <f>$K$10*$V$10</f>
        <v>3394.45</v>
      </c>
      <c r="AC10" s="6">
        <f>$M$10*$W$10</f>
        <v>3428.1080299999999</v>
      </c>
      <c r="AD10" s="6">
        <f>$O$10*$X$10</f>
        <v>10617.974919999999</v>
      </c>
      <c r="AE10" s="6">
        <f ca="1">$K$10*$Y$10</f>
        <v>3518.8482148759522</v>
      </c>
      <c r="AF10" s="6">
        <f ca="1">$M$10*$Z$10</f>
        <v>4902.9614135413995</v>
      </c>
      <c r="AG10" s="6">
        <f>$O$10*$AA$10</f>
        <v>10328.90891572683</v>
      </c>
    </row>
    <row r="11" spans="1:48" ht="11.25" customHeight="1" x14ac:dyDescent="0.25">
      <c r="A11" s="4" t="s">
        <v>21</v>
      </c>
      <c r="B11" s="4" t="s">
        <v>33</v>
      </c>
      <c r="C11" s="4" t="s">
        <v>43</v>
      </c>
      <c r="D11" s="4" t="s">
        <v>42</v>
      </c>
      <c r="E11" s="4" t="s">
        <v>25</v>
      </c>
      <c r="F11" s="4" t="s">
        <v>25</v>
      </c>
      <c r="G11" s="4" t="s">
        <v>25</v>
      </c>
      <c r="H11" s="4" t="s">
        <v>36</v>
      </c>
      <c r="I11" s="5">
        <v>44562</v>
      </c>
      <c r="J11" s="6">
        <v>138</v>
      </c>
      <c r="K11" s="6">
        <v>138</v>
      </c>
      <c r="L11" s="6">
        <v>49.167000000000002</v>
      </c>
      <c r="M11" s="6">
        <v>49.167000000000002</v>
      </c>
      <c r="N11" s="6">
        <v>49.167000000000002</v>
      </c>
      <c r="O11" s="6">
        <v>49.167000000000002</v>
      </c>
      <c r="P11" s="6">
        <v>0</v>
      </c>
      <c r="Q11" s="4" t="s">
        <v>26</v>
      </c>
      <c r="R11" s="4">
        <v>0</v>
      </c>
      <c r="S11" s="6">
        <v>43</v>
      </c>
      <c r="T11" s="6">
        <v>44</v>
      </c>
      <c r="U11" s="6">
        <v>27</v>
      </c>
      <c r="V11" s="6">
        <f>IF(ISERROR(VLOOKUP($S$11,'TAR FIN'!$A$1:$O$85,15,0)),0,VLOOKUP($S$11,'TAR FIN'!$A$1:$O$85,15,0))</f>
        <v>23.41</v>
      </c>
      <c r="W11" s="6">
        <f>IF(ISERROR(VLOOKUP($T$11,'TAR FIN'!$A$1:$O$85,15,0)),0,VLOOKUP($T$11,'TAR FIN'!$A$1:$O$85,15,0))</f>
        <v>72.23</v>
      </c>
      <c r="X11" s="6">
        <f>IF(ISERROR(VLOOKUP($U$11,'TAR FIN'!$A$1:$O$85,15,0)),0,VLOOKUP($U$11,'TAR FIN'!$A$1:$O$85,15,0))</f>
        <v>223.72</v>
      </c>
      <c r="Y11" s="6">
        <f ca="1">('TUSD BE'!$AM$6+'TUSD BF'!$AM$6+'TUSD CVA'!$AM$6)*1</f>
        <v>24.267918723282428</v>
      </c>
      <c r="Z11" s="6">
        <f ca="1">('TUSD BE'!$AM$7+'TUSD BF'!$AM$7+'TUSD CVA'!$AM$7)*1</f>
        <v>103.30505917577378</v>
      </c>
      <c r="AA11" s="6">
        <f>('TE BE'!$AA$6+'TE BF'!$AA$6+'TE CVA'!$AA$6)*1</f>
        <v>217.62939920622892</v>
      </c>
      <c r="AB11" s="6">
        <f>$K$11*$V$11</f>
        <v>3230.58</v>
      </c>
      <c r="AC11" s="6">
        <f>$M$11*$W$11</f>
        <v>3551.3324100000004</v>
      </c>
      <c r="AD11" s="6">
        <f>$O$11*$X$11</f>
        <v>10999.641240000001</v>
      </c>
      <c r="AE11" s="6">
        <f ca="1">$K$11*$Y$11</f>
        <v>3348.9727838129752</v>
      </c>
      <c r="AF11" s="6">
        <f ca="1">$M$11*$Z$11</f>
        <v>5079.1998444952696</v>
      </c>
      <c r="AG11" s="6">
        <f>$O$11*$AA$11</f>
        <v>10700.184670772658</v>
      </c>
      <c r="AU11" s="86">
        <f ca="1">AU9+SUBSIDIO!AJ13-CUSTOS!H48</f>
        <v>-2.384185791015625E-7</v>
      </c>
    </row>
    <row r="12" spans="1:48" ht="11.25" customHeight="1" x14ac:dyDescent="0.25">
      <c r="A12" s="4" t="s">
        <v>21</v>
      </c>
      <c r="B12" s="4" t="s">
        <v>33</v>
      </c>
      <c r="C12" s="4" t="s">
        <v>43</v>
      </c>
      <c r="D12" s="4" t="s">
        <v>42</v>
      </c>
      <c r="E12" s="4" t="s">
        <v>25</v>
      </c>
      <c r="F12" s="4" t="s">
        <v>25</v>
      </c>
      <c r="G12" s="4" t="s">
        <v>25</v>
      </c>
      <c r="H12" s="4" t="s">
        <v>36</v>
      </c>
      <c r="I12" s="5">
        <v>44593</v>
      </c>
      <c r="J12" s="6">
        <v>146</v>
      </c>
      <c r="K12" s="6">
        <v>146</v>
      </c>
      <c r="L12" s="6">
        <v>49.627000000000002</v>
      </c>
      <c r="M12" s="6">
        <v>49.627000000000002</v>
      </c>
      <c r="N12" s="6">
        <v>49.627000000000002</v>
      </c>
      <c r="O12" s="6">
        <v>49.627000000000002</v>
      </c>
      <c r="P12" s="6">
        <v>0</v>
      </c>
      <c r="Q12" s="4" t="s">
        <v>26</v>
      </c>
      <c r="R12" s="4">
        <v>0</v>
      </c>
      <c r="S12" s="6">
        <v>43</v>
      </c>
      <c r="T12" s="6">
        <v>44</v>
      </c>
      <c r="U12" s="6">
        <v>27</v>
      </c>
      <c r="V12" s="6">
        <f>IF(ISERROR(VLOOKUP($S$12,'TAR FIN'!$A$1:$O$85,15,0)),0,VLOOKUP($S$12,'TAR FIN'!$A$1:$O$85,15,0))</f>
        <v>23.41</v>
      </c>
      <c r="W12" s="6">
        <f>IF(ISERROR(VLOOKUP($T$12,'TAR FIN'!$A$1:$O$85,15,0)),0,VLOOKUP($T$12,'TAR FIN'!$A$1:$O$85,15,0))</f>
        <v>72.23</v>
      </c>
      <c r="X12" s="6">
        <f>IF(ISERROR(VLOOKUP($U$12,'TAR FIN'!$A$1:$O$85,15,0)),0,VLOOKUP($U$12,'TAR FIN'!$A$1:$O$85,15,0))</f>
        <v>223.72</v>
      </c>
      <c r="Y12" s="6">
        <f ca="1">('TUSD BE'!$AM$6+'TUSD BF'!$AM$6+'TUSD CVA'!$AM$6)*1</f>
        <v>24.267918723282428</v>
      </c>
      <c r="Z12" s="6">
        <f ca="1">('TUSD BE'!$AM$7+'TUSD BF'!$AM$7+'TUSD CVA'!$AM$7)*1</f>
        <v>103.30505917577378</v>
      </c>
      <c r="AA12" s="6">
        <f>('TE BE'!$AA$6+'TE BF'!$AA$6+'TE CVA'!$AA$6)*1</f>
        <v>217.62939920622892</v>
      </c>
      <c r="AB12" s="6">
        <f>$K$12*$V$12</f>
        <v>3417.86</v>
      </c>
      <c r="AC12" s="6">
        <f>$M$12*$W$12</f>
        <v>3584.5582100000006</v>
      </c>
      <c r="AD12" s="6">
        <f>$O$12*$X$12</f>
        <v>11102.552440000001</v>
      </c>
      <c r="AE12" s="6">
        <f ca="1">$K$12*$Y$12</f>
        <v>3543.1161335992342</v>
      </c>
      <c r="AF12" s="6">
        <f ca="1">$M$12*$Z$12</f>
        <v>5126.7201717161252</v>
      </c>
      <c r="AG12" s="6">
        <f>$O$12*$AA$12</f>
        <v>10800.294194407523</v>
      </c>
    </row>
    <row r="13" spans="1:48" ht="11.25" customHeight="1" x14ac:dyDescent="0.25">
      <c r="A13" s="4" t="s">
        <v>54</v>
      </c>
      <c r="B13" s="4" t="s">
        <v>33</v>
      </c>
      <c r="C13" s="4" t="s">
        <v>43</v>
      </c>
      <c r="D13" s="4" t="s">
        <v>42</v>
      </c>
      <c r="E13" s="4" t="s">
        <v>25</v>
      </c>
      <c r="F13" s="4" t="s">
        <v>25</v>
      </c>
      <c r="G13" s="4" t="s">
        <v>25</v>
      </c>
      <c r="H13" s="4" t="s">
        <v>36</v>
      </c>
      <c r="I13" s="5">
        <v>44621</v>
      </c>
      <c r="J13" s="6">
        <v>146</v>
      </c>
      <c r="K13" s="6">
        <v>146</v>
      </c>
      <c r="L13" s="6">
        <v>49.627000000000002</v>
      </c>
      <c r="M13" s="6">
        <v>49.627000000000002</v>
      </c>
      <c r="N13" s="6">
        <v>49.627000000000002</v>
      </c>
      <c r="O13" s="6">
        <v>49.627000000000002</v>
      </c>
      <c r="P13" s="6">
        <v>0</v>
      </c>
      <c r="Q13" s="4" t="s">
        <v>26</v>
      </c>
      <c r="R13" s="4">
        <v>0</v>
      </c>
      <c r="S13" s="6">
        <v>43</v>
      </c>
      <c r="T13" s="6">
        <v>44</v>
      </c>
      <c r="U13" s="6">
        <v>27</v>
      </c>
      <c r="V13" s="6">
        <f>IF(ISERROR(VLOOKUP($S$13,'TAR FIN'!$A$1:$O$85,15,0)),0,VLOOKUP($S$13,'TAR FIN'!$A$1:$O$85,15,0))</f>
        <v>23.41</v>
      </c>
      <c r="W13" s="6">
        <f>IF(ISERROR(VLOOKUP($T$13,'TAR FIN'!$A$1:$O$85,15,0)),0,VLOOKUP($T$13,'TAR FIN'!$A$1:$O$85,15,0))</f>
        <v>72.23</v>
      </c>
      <c r="X13" s="6">
        <f>IF(ISERROR(VLOOKUP($U$13,'TAR FIN'!$A$1:$O$85,15,0)),0,VLOOKUP($U$13,'TAR FIN'!$A$1:$O$85,15,0))</f>
        <v>223.72</v>
      </c>
      <c r="Y13" s="6">
        <f ca="1">('TUSD BE'!$AM$6+'TUSD BF'!$AM$6+'TUSD CVA'!$AM$6)*1</f>
        <v>24.267918723282428</v>
      </c>
      <c r="Z13" s="6">
        <f ca="1">('TUSD BE'!$AM$7+'TUSD BF'!$AM$7+'TUSD CVA'!$AM$7)*1</f>
        <v>103.30505917577378</v>
      </c>
      <c r="AA13" s="6">
        <f>('TE BE'!$AA$6+'TE BF'!$AA$6+'TE CVA'!$AA$6)*1</f>
        <v>217.62939920622892</v>
      </c>
      <c r="AB13" s="6">
        <f>$K$13*$V$13</f>
        <v>3417.86</v>
      </c>
      <c r="AC13" s="6">
        <f>$M$13*$W$13</f>
        <v>3584.5582100000006</v>
      </c>
      <c r="AD13" s="6">
        <f>$O$13*$X$13</f>
        <v>11102.552440000001</v>
      </c>
      <c r="AE13" s="6">
        <f ca="1">$K$13*$Y$13</f>
        <v>3543.1161335992342</v>
      </c>
      <c r="AF13" s="6">
        <f ca="1">$M$13*$Z$13</f>
        <v>5126.7201717161252</v>
      </c>
      <c r="AG13" s="6">
        <f>$O$13*$AA$13</f>
        <v>10800.294194407523</v>
      </c>
    </row>
    <row r="14" spans="1:48" ht="11.25" customHeight="1" x14ac:dyDescent="0.25">
      <c r="A14" s="4" t="s">
        <v>21</v>
      </c>
      <c r="B14" s="4" t="s">
        <v>33</v>
      </c>
      <c r="C14" s="4" t="s">
        <v>43</v>
      </c>
      <c r="D14" s="4" t="s">
        <v>42</v>
      </c>
      <c r="E14" s="4" t="s">
        <v>25</v>
      </c>
      <c r="F14" s="4" t="s">
        <v>25</v>
      </c>
      <c r="G14" s="4" t="s">
        <v>25</v>
      </c>
      <c r="H14" s="4" t="s">
        <v>35</v>
      </c>
      <c r="I14" s="5">
        <v>44287</v>
      </c>
      <c r="J14" s="6">
        <v>141</v>
      </c>
      <c r="K14" s="6">
        <v>141</v>
      </c>
      <c r="L14" s="6">
        <v>5.5830000000000002</v>
      </c>
      <c r="M14" s="6">
        <v>5.5830000000000002</v>
      </c>
      <c r="N14" s="6">
        <v>5.5830000000000002</v>
      </c>
      <c r="O14" s="6">
        <v>5.5830000000000002</v>
      </c>
      <c r="P14" s="6">
        <v>0</v>
      </c>
      <c r="Q14" s="4" t="s">
        <v>26</v>
      </c>
      <c r="R14" s="4">
        <v>0</v>
      </c>
      <c r="S14" s="6">
        <v>64</v>
      </c>
      <c r="T14" s="6">
        <v>44</v>
      </c>
      <c r="U14" s="6">
        <v>6</v>
      </c>
      <c r="V14" s="6">
        <f>IF(ISERROR(VLOOKUP($S$14,'TAR FIN'!$A$1:$O$85,15,0)),0,VLOOKUP($S$14,'TAR FIN'!$A$1:$O$85,15,0))</f>
        <v>91.15</v>
      </c>
      <c r="W14" s="6">
        <f>IF(ISERROR(VLOOKUP($T$14,'TAR FIN'!$A$1:$O$85,15,0)),0,VLOOKUP($T$14,'TAR FIN'!$A$1:$O$85,15,0))</f>
        <v>72.23</v>
      </c>
      <c r="X14" s="6">
        <f>IF(ISERROR(VLOOKUP($U$14,'TAR FIN'!$A$1:$O$85,15,0)),0,VLOOKUP($U$14,'TAR FIN'!$A$1:$O$85,15,0))</f>
        <v>223.72</v>
      </c>
      <c r="Y14" s="6">
        <f ca="1">('TUSD BE'!$AM$5+'TUSD BF'!$AM$5+'TUSD CVA'!$AM$5)*1</f>
        <v>94.439926639392255</v>
      </c>
      <c r="Z14" s="6">
        <f ca="1">('TUSD BE'!$AM$7+'TUSD BF'!$AM$7+'TUSD CVA'!$AM$7)*1</f>
        <v>103.30505917577378</v>
      </c>
      <c r="AA14" s="6">
        <f>('TE BE'!$AA$5+'TE BF'!$AA$5+'TE CVA'!$AA$5)*1</f>
        <v>217.62939920622892</v>
      </c>
      <c r="AB14" s="6">
        <f>$K$14*$V$14</f>
        <v>12852.150000000001</v>
      </c>
      <c r="AC14" s="6">
        <f>$M$14*$W$14</f>
        <v>403.26009000000005</v>
      </c>
      <c r="AD14" s="6">
        <f>$O$14*$X$14</f>
        <v>1249.0287600000001</v>
      </c>
      <c r="AE14" s="6">
        <f ca="1">$K$14*$Y$14</f>
        <v>13316.029656154307</v>
      </c>
      <c r="AF14" s="6">
        <f ca="1">$M$14*$Z$14</f>
        <v>576.75214537834506</v>
      </c>
      <c r="AG14" s="6">
        <f>$O$14*$AA$14</f>
        <v>1215.0249357683761</v>
      </c>
    </row>
    <row r="15" spans="1:48" ht="11.25" customHeight="1" x14ac:dyDescent="0.25">
      <c r="A15" s="4" t="s">
        <v>21</v>
      </c>
      <c r="B15" s="4" t="s">
        <v>33</v>
      </c>
      <c r="C15" s="4" t="s">
        <v>43</v>
      </c>
      <c r="D15" s="4" t="s">
        <v>42</v>
      </c>
      <c r="E15" s="4" t="s">
        <v>25</v>
      </c>
      <c r="F15" s="4" t="s">
        <v>25</v>
      </c>
      <c r="G15" s="4" t="s">
        <v>25</v>
      </c>
      <c r="H15" s="4" t="s">
        <v>35</v>
      </c>
      <c r="I15" s="5">
        <v>44317</v>
      </c>
      <c r="J15" s="6">
        <v>130</v>
      </c>
      <c r="K15" s="6">
        <v>130</v>
      </c>
      <c r="L15" s="6">
        <v>5.7889999999999997</v>
      </c>
      <c r="M15" s="6">
        <v>5.7889999999999997</v>
      </c>
      <c r="N15" s="6">
        <v>5.7889999999999997</v>
      </c>
      <c r="O15" s="6">
        <v>5.7889999999999997</v>
      </c>
      <c r="P15" s="6">
        <v>0</v>
      </c>
      <c r="Q15" s="4" t="s">
        <v>26</v>
      </c>
      <c r="R15" s="4">
        <v>0</v>
      </c>
      <c r="S15" s="6">
        <v>64</v>
      </c>
      <c r="T15" s="6">
        <v>44</v>
      </c>
      <c r="U15" s="6">
        <v>6</v>
      </c>
      <c r="V15" s="6">
        <f>IF(ISERROR(VLOOKUP($S$15,'TAR FIN'!$A$1:$O$85,15,0)),0,VLOOKUP($S$15,'TAR FIN'!$A$1:$O$85,15,0))</f>
        <v>91.15</v>
      </c>
      <c r="W15" s="6">
        <f>IF(ISERROR(VLOOKUP($T$15,'TAR FIN'!$A$1:$O$85,15,0)),0,VLOOKUP($T$15,'TAR FIN'!$A$1:$O$85,15,0))</f>
        <v>72.23</v>
      </c>
      <c r="X15" s="6">
        <f>IF(ISERROR(VLOOKUP($U$15,'TAR FIN'!$A$1:$O$85,15,0)),0,VLOOKUP($U$15,'TAR FIN'!$A$1:$O$85,15,0))</f>
        <v>223.72</v>
      </c>
      <c r="Y15" s="6">
        <f ca="1">('TUSD BE'!$AM$5+'TUSD BF'!$AM$5+'TUSD CVA'!$AM$5)*1</f>
        <v>94.439926639392255</v>
      </c>
      <c r="Z15" s="6">
        <f ca="1">('TUSD BE'!$AM$7+'TUSD BF'!$AM$7+'TUSD CVA'!$AM$7)*1</f>
        <v>103.30505917577378</v>
      </c>
      <c r="AA15" s="6">
        <f>('TE BE'!$AA$5+'TE BF'!$AA$5+'TE CVA'!$AA$5)*1</f>
        <v>217.62939920622892</v>
      </c>
      <c r="AB15" s="6">
        <f>$K$15*$V$15</f>
        <v>11849.5</v>
      </c>
      <c r="AC15" s="6">
        <f>$M$15*$W$15</f>
        <v>418.13947000000002</v>
      </c>
      <c r="AD15" s="6">
        <f>$O$15*$X$15</f>
        <v>1295.11508</v>
      </c>
      <c r="AE15" s="6">
        <f ca="1">$K$15*$Y$15</f>
        <v>12277.190463120993</v>
      </c>
      <c r="AF15" s="6">
        <f ca="1">$M$15*$Z$15</f>
        <v>598.0329875685544</v>
      </c>
      <c r="AG15" s="6">
        <f>$O$15*$AA$15</f>
        <v>1259.8565920048593</v>
      </c>
    </row>
    <row r="16" spans="1:48" ht="11.25" customHeight="1" x14ac:dyDescent="0.25">
      <c r="A16" s="4" t="s">
        <v>21</v>
      </c>
      <c r="B16" s="4" t="s">
        <v>33</v>
      </c>
      <c r="C16" s="4" t="s">
        <v>43</v>
      </c>
      <c r="D16" s="4" t="s">
        <v>42</v>
      </c>
      <c r="E16" s="4" t="s">
        <v>25</v>
      </c>
      <c r="F16" s="4" t="s">
        <v>25</v>
      </c>
      <c r="G16" s="4" t="s">
        <v>25</v>
      </c>
      <c r="H16" s="4" t="s">
        <v>35</v>
      </c>
      <c r="I16" s="5">
        <v>44348</v>
      </c>
      <c r="J16" s="6">
        <v>131</v>
      </c>
      <c r="K16" s="6">
        <v>131</v>
      </c>
      <c r="L16" s="6">
        <v>5.8019999999999996</v>
      </c>
      <c r="M16" s="6">
        <v>5.8019999999999996</v>
      </c>
      <c r="N16" s="6">
        <v>5.8019999999999996</v>
      </c>
      <c r="O16" s="6">
        <v>5.8019999999999996</v>
      </c>
      <c r="P16" s="6">
        <v>0</v>
      </c>
      <c r="Q16" s="4" t="s">
        <v>26</v>
      </c>
      <c r="R16" s="4">
        <v>0</v>
      </c>
      <c r="S16" s="6">
        <v>64</v>
      </c>
      <c r="T16" s="6">
        <v>44</v>
      </c>
      <c r="U16" s="6">
        <v>6</v>
      </c>
      <c r="V16" s="6">
        <f>IF(ISERROR(VLOOKUP($S$16,'TAR FIN'!$A$1:$O$85,15,0)),0,VLOOKUP($S$16,'TAR FIN'!$A$1:$O$85,15,0))</f>
        <v>91.15</v>
      </c>
      <c r="W16" s="6">
        <f>IF(ISERROR(VLOOKUP($T$16,'TAR FIN'!$A$1:$O$85,15,0)),0,VLOOKUP($T$16,'TAR FIN'!$A$1:$O$85,15,0))</f>
        <v>72.23</v>
      </c>
      <c r="X16" s="6">
        <f>IF(ISERROR(VLOOKUP($U$16,'TAR FIN'!$A$1:$O$85,15,0)),0,VLOOKUP($U$16,'TAR FIN'!$A$1:$O$85,15,0))</f>
        <v>223.72</v>
      </c>
      <c r="Y16" s="6">
        <f ca="1">('TUSD BE'!$AM$5+'TUSD BF'!$AM$5+'TUSD CVA'!$AM$5)*1</f>
        <v>94.439926639392255</v>
      </c>
      <c r="Z16" s="6">
        <f ca="1">('TUSD BE'!$AM$7+'TUSD BF'!$AM$7+'TUSD CVA'!$AM$7)*1</f>
        <v>103.30505917577378</v>
      </c>
      <c r="AA16" s="6">
        <f>('TE BE'!$AA$5+'TE BF'!$AA$5+'TE CVA'!$AA$5)*1</f>
        <v>217.62939920622892</v>
      </c>
      <c r="AB16" s="6">
        <f>$K$16*$V$16</f>
        <v>11940.650000000001</v>
      </c>
      <c r="AC16" s="6">
        <f>$M$16*$W$16</f>
        <v>419.07846000000001</v>
      </c>
      <c r="AD16" s="6">
        <f>$O$16*$X$16</f>
        <v>1298.0234399999999</v>
      </c>
      <c r="AE16" s="6">
        <f ca="1">$K$16*$Y$16</f>
        <v>12371.630389760385</v>
      </c>
      <c r="AF16" s="6">
        <f ca="1">$M$16*$Z$16</f>
        <v>599.37595333783941</v>
      </c>
      <c r="AG16" s="6">
        <f>$O$16*$AA$16</f>
        <v>1262.68577419454</v>
      </c>
    </row>
    <row r="17" spans="1:33" ht="11.25" customHeight="1" x14ac:dyDescent="0.25">
      <c r="A17" s="4" t="s">
        <v>21</v>
      </c>
      <c r="B17" s="4" t="s">
        <v>33</v>
      </c>
      <c r="C17" s="4" t="s">
        <v>43</v>
      </c>
      <c r="D17" s="4" t="s">
        <v>42</v>
      </c>
      <c r="E17" s="4" t="s">
        <v>25</v>
      </c>
      <c r="F17" s="4" t="s">
        <v>25</v>
      </c>
      <c r="G17" s="4" t="s">
        <v>25</v>
      </c>
      <c r="H17" s="4" t="s">
        <v>35</v>
      </c>
      <c r="I17" s="5">
        <v>44378</v>
      </c>
      <c r="J17" s="6">
        <v>138</v>
      </c>
      <c r="K17" s="6">
        <v>138</v>
      </c>
      <c r="L17" s="6">
        <v>5.3609999999999998</v>
      </c>
      <c r="M17" s="6">
        <v>5.3609999999999998</v>
      </c>
      <c r="N17" s="6">
        <v>5.3609999999999998</v>
      </c>
      <c r="O17" s="6">
        <v>5.3609999999999998</v>
      </c>
      <c r="P17" s="6">
        <v>0</v>
      </c>
      <c r="Q17" s="4" t="s">
        <v>26</v>
      </c>
      <c r="R17" s="4">
        <v>0</v>
      </c>
      <c r="S17" s="6">
        <v>64</v>
      </c>
      <c r="T17" s="6">
        <v>44</v>
      </c>
      <c r="U17" s="6">
        <v>6</v>
      </c>
      <c r="V17" s="6">
        <f>IF(ISERROR(VLOOKUP($S$17,'TAR FIN'!$A$1:$O$85,15,0)),0,VLOOKUP($S$17,'TAR FIN'!$A$1:$O$85,15,0))</f>
        <v>91.15</v>
      </c>
      <c r="W17" s="6">
        <f>IF(ISERROR(VLOOKUP($T$17,'TAR FIN'!$A$1:$O$85,15,0)),0,VLOOKUP($T$17,'TAR FIN'!$A$1:$O$85,15,0))</f>
        <v>72.23</v>
      </c>
      <c r="X17" s="6">
        <f>IF(ISERROR(VLOOKUP($U$17,'TAR FIN'!$A$1:$O$85,15,0)),0,VLOOKUP($U$17,'TAR FIN'!$A$1:$O$85,15,0))</f>
        <v>223.72</v>
      </c>
      <c r="Y17" s="6">
        <f ca="1">('TUSD BE'!$AM$5+'TUSD BF'!$AM$5+'TUSD CVA'!$AM$5)*1</f>
        <v>94.439926639392255</v>
      </c>
      <c r="Z17" s="6">
        <f ca="1">('TUSD BE'!$AM$7+'TUSD BF'!$AM$7+'TUSD CVA'!$AM$7)*1</f>
        <v>103.30505917577378</v>
      </c>
      <c r="AA17" s="6">
        <f>('TE BE'!$AA$5+'TE BF'!$AA$5+'TE CVA'!$AA$5)*1</f>
        <v>217.62939920622892</v>
      </c>
      <c r="AB17" s="6">
        <f>$K$17*$V$17</f>
        <v>12578.7</v>
      </c>
      <c r="AC17" s="6">
        <f>$M$17*$W$17</f>
        <v>387.22503</v>
      </c>
      <c r="AD17" s="6">
        <f>$O$17*$X$17</f>
        <v>1199.36292</v>
      </c>
      <c r="AE17" s="6">
        <f ca="1">$K$17*$Y$17</f>
        <v>13032.709876236131</v>
      </c>
      <c r="AF17" s="6">
        <f ca="1">$M$17*$Z$17</f>
        <v>553.81842224132322</v>
      </c>
      <c r="AG17" s="6">
        <f>$O$17*$AA$17</f>
        <v>1166.7112091445931</v>
      </c>
    </row>
    <row r="18" spans="1:33" ht="11.25" customHeight="1" x14ac:dyDescent="0.25">
      <c r="A18" s="4" t="s">
        <v>21</v>
      </c>
      <c r="B18" s="4" t="s">
        <v>33</v>
      </c>
      <c r="C18" s="4" t="s">
        <v>43</v>
      </c>
      <c r="D18" s="4" t="s">
        <v>42</v>
      </c>
      <c r="E18" s="4" t="s">
        <v>25</v>
      </c>
      <c r="F18" s="4" t="s">
        <v>25</v>
      </c>
      <c r="G18" s="4" t="s">
        <v>25</v>
      </c>
      <c r="H18" s="4" t="s">
        <v>35</v>
      </c>
      <c r="I18" s="5">
        <v>44409</v>
      </c>
      <c r="J18" s="6">
        <v>147</v>
      </c>
      <c r="K18" s="6">
        <v>147</v>
      </c>
      <c r="L18" s="6">
        <v>5.9880000000000004</v>
      </c>
      <c r="M18" s="6">
        <v>5.9880000000000004</v>
      </c>
      <c r="N18" s="6">
        <v>5.9880000000000004</v>
      </c>
      <c r="O18" s="6">
        <v>5.9880000000000004</v>
      </c>
      <c r="P18" s="6">
        <v>0</v>
      </c>
      <c r="Q18" s="4" t="s">
        <v>26</v>
      </c>
      <c r="R18" s="4">
        <v>0</v>
      </c>
      <c r="S18" s="6">
        <v>64</v>
      </c>
      <c r="T18" s="6">
        <v>44</v>
      </c>
      <c r="U18" s="6">
        <v>6</v>
      </c>
      <c r="V18" s="6">
        <f>IF(ISERROR(VLOOKUP($S$18,'TAR FIN'!$A$1:$O$85,15,0)),0,VLOOKUP($S$18,'TAR FIN'!$A$1:$O$85,15,0))</f>
        <v>91.15</v>
      </c>
      <c r="W18" s="6">
        <f>IF(ISERROR(VLOOKUP($T$18,'TAR FIN'!$A$1:$O$85,15,0)),0,VLOOKUP($T$18,'TAR FIN'!$A$1:$O$85,15,0))</f>
        <v>72.23</v>
      </c>
      <c r="X18" s="6">
        <f>IF(ISERROR(VLOOKUP($U$18,'TAR FIN'!$A$1:$O$85,15,0)),0,VLOOKUP($U$18,'TAR FIN'!$A$1:$O$85,15,0))</f>
        <v>223.72</v>
      </c>
      <c r="Y18" s="6">
        <f ca="1">('TUSD BE'!$AM$5+'TUSD BF'!$AM$5+'TUSD CVA'!$AM$5)*1</f>
        <v>94.439926639392255</v>
      </c>
      <c r="Z18" s="6">
        <f ca="1">('TUSD BE'!$AM$7+'TUSD BF'!$AM$7+'TUSD CVA'!$AM$7)*1</f>
        <v>103.30505917577378</v>
      </c>
      <c r="AA18" s="6">
        <f>('TE BE'!$AA$5+'TE BF'!$AA$5+'TE CVA'!$AA$5)*1</f>
        <v>217.62939920622892</v>
      </c>
      <c r="AB18" s="6">
        <f>$K$18*$V$18</f>
        <v>13399.050000000001</v>
      </c>
      <c r="AC18" s="6">
        <f>$M$18*$W$18</f>
        <v>432.51324000000005</v>
      </c>
      <c r="AD18" s="6">
        <f>$O$18*$X$18</f>
        <v>1339.63536</v>
      </c>
      <c r="AE18" s="6">
        <f ca="1">$K$18*$Y$18</f>
        <v>13882.669215990662</v>
      </c>
      <c r="AF18" s="6">
        <f ca="1">$M$18*$Z$18</f>
        <v>618.5906943445334</v>
      </c>
      <c r="AG18" s="6">
        <f>$O$18*$AA$18</f>
        <v>1303.164842446899</v>
      </c>
    </row>
    <row r="19" spans="1:33" ht="11.25" customHeight="1" x14ac:dyDescent="0.25">
      <c r="A19" s="4" t="s">
        <v>21</v>
      </c>
      <c r="B19" s="4" t="s">
        <v>33</v>
      </c>
      <c r="C19" s="4" t="s">
        <v>43</v>
      </c>
      <c r="D19" s="4" t="s">
        <v>42</v>
      </c>
      <c r="E19" s="4" t="s">
        <v>25</v>
      </c>
      <c r="F19" s="4" t="s">
        <v>25</v>
      </c>
      <c r="G19" s="4" t="s">
        <v>25</v>
      </c>
      <c r="H19" s="4" t="s">
        <v>35</v>
      </c>
      <c r="I19" s="5">
        <v>44440</v>
      </c>
      <c r="J19" s="6">
        <v>140</v>
      </c>
      <c r="K19" s="6">
        <v>140</v>
      </c>
      <c r="L19" s="6">
        <v>5.9980000000000002</v>
      </c>
      <c r="M19" s="6">
        <v>5.9980000000000002</v>
      </c>
      <c r="N19" s="6">
        <v>5.9980000000000002</v>
      </c>
      <c r="O19" s="6">
        <v>5.9980000000000002</v>
      </c>
      <c r="P19" s="6">
        <v>0</v>
      </c>
      <c r="Q19" s="4" t="s">
        <v>26</v>
      </c>
      <c r="R19" s="4">
        <v>0</v>
      </c>
      <c r="S19" s="6">
        <v>64</v>
      </c>
      <c r="T19" s="6">
        <v>44</v>
      </c>
      <c r="U19" s="6">
        <v>6</v>
      </c>
      <c r="V19" s="6">
        <f>IF(ISERROR(VLOOKUP($S$19,'TAR FIN'!$A$1:$O$85,15,0)),0,VLOOKUP($S$19,'TAR FIN'!$A$1:$O$85,15,0))</f>
        <v>91.15</v>
      </c>
      <c r="W19" s="6">
        <f>IF(ISERROR(VLOOKUP($T$19,'TAR FIN'!$A$1:$O$85,15,0)),0,VLOOKUP($T$19,'TAR FIN'!$A$1:$O$85,15,0))</f>
        <v>72.23</v>
      </c>
      <c r="X19" s="6">
        <f>IF(ISERROR(VLOOKUP($U$19,'TAR FIN'!$A$1:$O$85,15,0)),0,VLOOKUP($U$19,'TAR FIN'!$A$1:$O$85,15,0))</f>
        <v>223.72</v>
      </c>
      <c r="Y19" s="6">
        <f ca="1">('TUSD BE'!$AM$5+'TUSD BF'!$AM$5+'TUSD CVA'!$AM$5)*1</f>
        <v>94.439926639392255</v>
      </c>
      <c r="Z19" s="6">
        <f ca="1">('TUSD BE'!$AM$7+'TUSD BF'!$AM$7+'TUSD CVA'!$AM$7)*1</f>
        <v>103.30505917577378</v>
      </c>
      <c r="AA19" s="6">
        <f>('TE BE'!$AA$5+'TE BF'!$AA$5+'TE CVA'!$AA$5)*1</f>
        <v>217.62939920622892</v>
      </c>
      <c r="AB19" s="6">
        <f>$K$19*$V$19</f>
        <v>12761</v>
      </c>
      <c r="AC19" s="6">
        <f>$M$19*$W$19</f>
        <v>433.23554000000001</v>
      </c>
      <c r="AD19" s="6">
        <f>$O$19*$X$19</f>
        <v>1341.87256</v>
      </c>
      <c r="AE19" s="6">
        <f ca="1">$K$19*$Y$19</f>
        <v>13221.589729514915</v>
      </c>
      <c r="AF19" s="6">
        <f ca="1">$M$19*$Z$19</f>
        <v>619.62374493629113</v>
      </c>
      <c r="AG19" s="6">
        <f>$O$19*$AA$19</f>
        <v>1305.341136438961</v>
      </c>
    </row>
    <row r="20" spans="1:33" ht="11.25" customHeight="1" x14ac:dyDescent="0.25">
      <c r="A20" s="4" t="s">
        <v>21</v>
      </c>
      <c r="B20" s="4" t="s">
        <v>33</v>
      </c>
      <c r="C20" s="4" t="s">
        <v>43</v>
      </c>
      <c r="D20" s="4" t="s">
        <v>42</v>
      </c>
      <c r="E20" s="4" t="s">
        <v>25</v>
      </c>
      <c r="F20" s="4" t="s">
        <v>25</v>
      </c>
      <c r="G20" s="4" t="s">
        <v>25</v>
      </c>
      <c r="H20" s="4" t="s">
        <v>35</v>
      </c>
      <c r="I20" s="5">
        <v>44470</v>
      </c>
      <c r="J20" s="6">
        <v>146</v>
      </c>
      <c r="K20" s="6">
        <v>146</v>
      </c>
      <c r="L20" s="6">
        <v>5.1360000000000001</v>
      </c>
      <c r="M20" s="6">
        <v>5.1360000000000001</v>
      </c>
      <c r="N20" s="6">
        <v>5.1360000000000001</v>
      </c>
      <c r="O20" s="6">
        <v>5.1360000000000001</v>
      </c>
      <c r="P20" s="6">
        <v>0</v>
      </c>
      <c r="Q20" s="4" t="s">
        <v>26</v>
      </c>
      <c r="R20" s="4">
        <v>0</v>
      </c>
      <c r="S20" s="6">
        <v>64</v>
      </c>
      <c r="T20" s="6">
        <v>44</v>
      </c>
      <c r="U20" s="6">
        <v>6</v>
      </c>
      <c r="V20" s="6">
        <f>IF(ISERROR(VLOOKUP($S$20,'TAR FIN'!$A$1:$O$85,15,0)),0,VLOOKUP($S$20,'TAR FIN'!$A$1:$O$85,15,0))</f>
        <v>91.15</v>
      </c>
      <c r="W20" s="6">
        <f>IF(ISERROR(VLOOKUP($T$20,'TAR FIN'!$A$1:$O$85,15,0)),0,VLOOKUP($T$20,'TAR FIN'!$A$1:$O$85,15,0))</f>
        <v>72.23</v>
      </c>
      <c r="X20" s="6">
        <f>IF(ISERROR(VLOOKUP($U$20,'TAR FIN'!$A$1:$O$85,15,0)),0,VLOOKUP($U$20,'TAR FIN'!$A$1:$O$85,15,0))</f>
        <v>223.72</v>
      </c>
      <c r="Y20" s="6">
        <f ca="1">('TUSD BE'!$AM$5+'TUSD BF'!$AM$5+'TUSD CVA'!$AM$5)*1</f>
        <v>94.439926639392255</v>
      </c>
      <c r="Z20" s="6">
        <f ca="1">('TUSD BE'!$AM$7+'TUSD BF'!$AM$7+'TUSD CVA'!$AM$7)*1</f>
        <v>103.30505917577378</v>
      </c>
      <c r="AA20" s="6">
        <f>('TE BE'!$AA$5+'TE BF'!$AA$5+'TE CVA'!$AA$5)*1</f>
        <v>217.62939920622892</v>
      </c>
      <c r="AB20" s="6">
        <f>$K$20*$V$20</f>
        <v>13307.900000000001</v>
      </c>
      <c r="AC20" s="6">
        <f>$M$20*$W$20</f>
        <v>370.97328000000005</v>
      </c>
      <c r="AD20" s="6">
        <f>$O$20*$X$20</f>
        <v>1149.02592</v>
      </c>
      <c r="AE20" s="6">
        <f ca="1">$K$20*$Y$20</f>
        <v>13788.229289351269</v>
      </c>
      <c r="AF20" s="6">
        <f ca="1">$M$20*$Z$20</f>
        <v>530.5747839267741</v>
      </c>
      <c r="AG20" s="6">
        <f>$O$20*$AA$20</f>
        <v>1117.7445943231917</v>
      </c>
    </row>
    <row r="21" spans="1:33" ht="11.25" customHeight="1" x14ac:dyDescent="0.25">
      <c r="A21" s="4" t="s">
        <v>21</v>
      </c>
      <c r="B21" s="4" t="s">
        <v>33</v>
      </c>
      <c r="C21" s="4" t="s">
        <v>43</v>
      </c>
      <c r="D21" s="4" t="s">
        <v>42</v>
      </c>
      <c r="E21" s="4" t="s">
        <v>25</v>
      </c>
      <c r="F21" s="4" t="s">
        <v>25</v>
      </c>
      <c r="G21" s="4" t="s">
        <v>25</v>
      </c>
      <c r="H21" s="4" t="s">
        <v>35</v>
      </c>
      <c r="I21" s="5">
        <v>44501</v>
      </c>
      <c r="J21" s="6">
        <v>135</v>
      </c>
      <c r="K21" s="6">
        <v>135</v>
      </c>
      <c r="L21" s="6">
        <v>5.3890000000000002</v>
      </c>
      <c r="M21" s="6">
        <v>5.3890000000000002</v>
      </c>
      <c r="N21" s="6">
        <v>5.3890000000000002</v>
      </c>
      <c r="O21" s="6">
        <v>5.3890000000000002</v>
      </c>
      <c r="P21" s="6">
        <v>0</v>
      </c>
      <c r="Q21" s="4" t="s">
        <v>26</v>
      </c>
      <c r="R21" s="4">
        <v>0</v>
      </c>
      <c r="S21" s="6">
        <v>64</v>
      </c>
      <c r="T21" s="6">
        <v>44</v>
      </c>
      <c r="U21" s="6">
        <v>6</v>
      </c>
      <c r="V21" s="6">
        <f>IF(ISERROR(VLOOKUP($S$21,'TAR FIN'!$A$1:$O$85,15,0)),0,VLOOKUP($S$21,'TAR FIN'!$A$1:$O$85,15,0))</f>
        <v>91.15</v>
      </c>
      <c r="W21" s="6">
        <f>IF(ISERROR(VLOOKUP($T$21,'TAR FIN'!$A$1:$O$85,15,0)),0,VLOOKUP($T$21,'TAR FIN'!$A$1:$O$85,15,0))</f>
        <v>72.23</v>
      </c>
      <c r="X21" s="6">
        <f>IF(ISERROR(VLOOKUP($U$21,'TAR FIN'!$A$1:$O$85,15,0)),0,VLOOKUP($U$21,'TAR FIN'!$A$1:$O$85,15,0))</f>
        <v>223.72</v>
      </c>
      <c r="Y21" s="6">
        <f ca="1">('TUSD BE'!$AM$5+'TUSD BF'!$AM$5+'TUSD CVA'!$AM$5)*1</f>
        <v>94.439926639392255</v>
      </c>
      <c r="Z21" s="6">
        <f ca="1">('TUSD BE'!$AM$7+'TUSD BF'!$AM$7+'TUSD CVA'!$AM$7)*1</f>
        <v>103.30505917577378</v>
      </c>
      <c r="AA21" s="6">
        <f>('TE BE'!$AA$5+'TE BF'!$AA$5+'TE CVA'!$AA$5)*1</f>
        <v>217.62939920622892</v>
      </c>
      <c r="AB21" s="6">
        <f>$K$21*$V$21</f>
        <v>12305.25</v>
      </c>
      <c r="AC21" s="6">
        <f>$M$21*$W$21</f>
        <v>389.24747000000002</v>
      </c>
      <c r="AD21" s="6">
        <f>$O$21*$X$21</f>
        <v>1205.62708</v>
      </c>
      <c r="AE21" s="6">
        <f ca="1">$K$21*$Y$21</f>
        <v>12749.390096317955</v>
      </c>
      <c r="AF21" s="6">
        <f ca="1">$M$21*$Z$21</f>
        <v>556.71096389824493</v>
      </c>
      <c r="AG21" s="6">
        <f>$O$21*$AA$21</f>
        <v>1172.8048323223677</v>
      </c>
    </row>
    <row r="22" spans="1:33" ht="11.25" customHeight="1" x14ac:dyDescent="0.25">
      <c r="A22" s="4" t="s">
        <v>21</v>
      </c>
      <c r="B22" s="4" t="s">
        <v>33</v>
      </c>
      <c r="C22" s="4" t="s">
        <v>43</v>
      </c>
      <c r="D22" s="4" t="s">
        <v>42</v>
      </c>
      <c r="E22" s="4" t="s">
        <v>25</v>
      </c>
      <c r="F22" s="4" t="s">
        <v>25</v>
      </c>
      <c r="G22" s="4" t="s">
        <v>25</v>
      </c>
      <c r="H22" s="4" t="s">
        <v>35</v>
      </c>
      <c r="I22" s="5">
        <v>44531</v>
      </c>
      <c r="J22" s="6">
        <v>149</v>
      </c>
      <c r="K22" s="6">
        <v>149</v>
      </c>
      <c r="L22" s="6">
        <v>5.649</v>
      </c>
      <c r="M22" s="6">
        <v>5.649</v>
      </c>
      <c r="N22" s="6">
        <v>5.649</v>
      </c>
      <c r="O22" s="6">
        <v>5.649</v>
      </c>
      <c r="P22" s="6">
        <v>0</v>
      </c>
      <c r="Q22" s="4" t="s">
        <v>26</v>
      </c>
      <c r="R22" s="4">
        <v>0</v>
      </c>
      <c r="S22" s="6">
        <v>64</v>
      </c>
      <c r="T22" s="6">
        <v>44</v>
      </c>
      <c r="U22" s="6">
        <v>6</v>
      </c>
      <c r="V22" s="6">
        <f>IF(ISERROR(VLOOKUP($S$22,'TAR FIN'!$A$1:$O$85,15,0)),0,VLOOKUP($S$22,'TAR FIN'!$A$1:$O$85,15,0))</f>
        <v>91.15</v>
      </c>
      <c r="W22" s="6">
        <f>IF(ISERROR(VLOOKUP($T$22,'TAR FIN'!$A$1:$O$85,15,0)),0,VLOOKUP($T$22,'TAR FIN'!$A$1:$O$85,15,0))</f>
        <v>72.23</v>
      </c>
      <c r="X22" s="6">
        <f>IF(ISERROR(VLOOKUP($U$22,'TAR FIN'!$A$1:$O$85,15,0)),0,VLOOKUP($U$22,'TAR FIN'!$A$1:$O$85,15,0))</f>
        <v>223.72</v>
      </c>
      <c r="Y22" s="6">
        <f ca="1">('TUSD BE'!$AM$5+'TUSD BF'!$AM$5+'TUSD CVA'!$AM$5)*1</f>
        <v>94.439926639392255</v>
      </c>
      <c r="Z22" s="6">
        <f ca="1">('TUSD BE'!$AM$7+'TUSD BF'!$AM$7+'TUSD CVA'!$AM$7)*1</f>
        <v>103.30505917577378</v>
      </c>
      <c r="AA22" s="6">
        <f>('TE BE'!$AA$5+'TE BF'!$AA$5+'TE CVA'!$AA$5)*1</f>
        <v>217.62939920622892</v>
      </c>
      <c r="AB22" s="6">
        <f>$K$22*$V$22</f>
        <v>13581.35</v>
      </c>
      <c r="AC22" s="6">
        <f>$M$22*$W$22</f>
        <v>408.02727000000004</v>
      </c>
      <c r="AD22" s="6">
        <f>$O$22*$X$22</f>
        <v>1263.7942800000001</v>
      </c>
      <c r="AE22" s="6">
        <f ca="1">$K$22*$Y$22</f>
        <v>14071.549069269446</v>
      </c>
      <c r="AF22" s="6">
        <f ca="1">$M$22*$Z$22</f>
        <v>583.57027928394609</v>
      </c>
      <c r="AG22" s="6">
        <f>$O$22*$AA$22</f>
        <v>1229.3884761159873</v>
      </c>
    </row>
    <row r="23" spans="1:33" ht="11.25" customHeight="1" x14ac:dyDescent="0.25">
      <c r="A23" s="4" t="s">
        <v>21</v>
      </c>
      <c r="B23" s="4" t="s">
        <v>33</v>
      </c>
      <c r="C23" s="4" t="s">
        <v>43</v>
      </c>
      <c r="D23" s="4" t="s">
        <v>42</v>
      </c>
      <c r="E23" s="4" t="s">
        <v>25</v>
      </c>
      <c r="F23" s="4" t="s">
        <v>25</v>
      </c>
      <c r="G23" s="4" t="s">
        <v>25</v>
      </c>
      <c r="H23" s="4" t="s">
        <v>35</v>
      </c>
      <c r="I23" s="5">
        <v>44562</v>
      </c>
      <c r="J23" s="6">
        <v>140</v>
      </c>
      <c r="K23" s="6">
        <v>140</v>
      </c>
      <c r="L23" s="6">
        <v>5.13</v>
      </c>
      <c r="M23" s="6">
        <v>5.13</v>
      </c>
      <c r="N23" s="6">
        <v>5.13</v>
      </c>
      <c r="O23" s="6">
        <v>5.13</v>
      </c>
      <c r="P23" s="6">
        <v>0</v>
      </c>
      <c r="Q23" s="4" t="s">
        <v>26</v>
      </c>
      <c r="R23" s="4">
        <v>0</v>
      </c>
      <c r="S23" s="6">
        <v>64</v>
      </c>
      <c r="T23" s="6">
        <v>44</v>
      </c>
      <c r="U23" s="6">
        <v>6</v>
      </c>
      <c r="V23" s="6">
        <f>IF(ISERROR(VLOOKUP($S$23,'TAR FIN'!$A$1:$O$85,15,0)),0,VLOOKUP($S$23,'TAR FIN'!$A$1:$O$85,15,0))</f>
        <v>91.15</v>
      </c>
      <c r="W23" s="6">
        <f>IF(ISERROR(VLOOKUP($T$23,'TAR FIN'!$A$1:$O$85,15,0)),0,VLOOKUP($T$23,'TAR FIN'!$A$1:$O$85,15,0))</f>
        <v>72.23</v>
      </c>
      <c r="X23" s="6">
        <f>IF(ISERROR(VLOOKUP($U$23,'TAR FIN'!$A$1:$O$85,15,0)),0,VLOOKUP($U$23,'TAR FIN'!$A$1:$O$85,15,0))</f>
        <v>223.72</v>
      </c>
      <c r="Y23" s="6">
        <f ca="1">('TUSD BE'!$AM$5+'TUSD BF'!$AM$5+'TUSD CVA'!$AM$5)*1</f>
        <v>94.439926639392255</v>
      </c>
      <c r="Z23" s="6">
        <f ca="1">('TUSD BE'!$AM$7+'TUSD BF'!$AM$7+'TUSD CVA'!$AM$7)*1</f>
        <v>103.30505917577378</v>
      </c>
      <c r="AA23" s="6">
        <f>('TE BE'!$AA$5+'TE BF'!$AA$5+'TE CVA'!$AA$5)*1</f>
        <v>217.62939920622892</v>
      </c>
      <c r="AB23" s="6">
        <f>$K$23*$V$23</f>
        <v>12761</v>
      </c>
      <c r="AC23" s="6">
        <f>$M$23*$W$23</f>
        <v>370.53989999999999</v>
      </c>
      <c r="AD23" s="6">
        <f>$O$23*$X$23</f>
        <v>1147.6836000000001</v>
      </c>
      <c r="AE23" s="6">
        <f ca="1">$K$23*$Y$23</f>
        <v>13221.589729514915</v>
      </c>
      <c r="AF23" s="6">
        <f ca="1">$M$23*$Z$23</f>
        <v>529.95495357171944</v>
      </c>
      <c r="AG23" s="6">
        <f>$O$23*$AA$23</f>
        <v>1116.4388179279545</v>
      </c>
    </row>
    <row r="24" spans="1:33" ht="11.25" customHeight="1" x14ac:dyDescent="0.25">
      <c r="A24" s="4" t="s">
        <v>21</v>
      </c>
      <c r="B24" s="4" t="s">
        <v>33</v>
      </c>
      <c r="C24" s="4" t="s">
        <v>43</v>
      </c>
      <c r="D24" s="4" t="s">
        <v>42</v>
      </c>
      <c r="E24" s="4" t="s">
        <v>25</v>
      </c>
      <c r="F24" s="4" t="s">
        <v>25</v>
      </c>
      <c r="G24" s="4" t="s">
        <v>25</v>
      </c>
      <c r="H24" s="4" t="s">
        <v>35</v>
      </c>
      <c r="I24" s="5">
        <v>44593</v>
      </c>
      <c r="J24" s="6">
        <v>141</v>
      </c>
      <c r="K24" s="6">
        <v>141</v>
      </c>
      <c r="L24" s="6">
        <v>5.7220000000000004</v>
      </c>
      <c r="M24" s="6">
        <v>5.7220000000000004</v>
      </c>
      <c r="N24" s="6">
        <v>5.7220000000000004</v>
      </c>
      <c r="O24" s="6">
        <v>5.7220000000000004</v>
      </c>
      <c r="P24" s="6">
        <v>0</v>
      </c>
      <c r="Q24" s="4" t="s">
        <v>26</v>
      </c>
      <c r="R24" s="4">
        <v>0</v>
      </c>
      <c r="S24" s="6">
        <v>64</v>
      </c>
      <c r="T24" s="6">
        <v>44</v>
      </c>
      <c r="U24" s="6">
        <v>6</v>
      </c>
      <c r="V24" s="6">
        <f>IF(ISERROR(VLOOKUP($S$24,'TAR FIN'!$A$1:$O$85,15,0)),0,VLOOKUP($S$24,'TAR FIN'!$A$1:$O$85,15,0))</f>
        <v>91.15</v>
      </c>
      <c r="W24" s="6">
        <f>IF(ISERROR(VLOOKUP($T$24,'TAR FIN'!$A$1:$O$85,15,0)),0,VLOOKUP($T$24,'TAR FIN'!$A$1:$O$85,15,0))</f>
        <v>72.23</v>
      </c>
      <c r="X24" s="6">
        <f>IF(ISERROR(VLOOKUP($U$24,'TAR FIN'!$A$1:$O$85,15,0)),0,VLOOKUP($U$24,'TAR FIN'!$A$1:$O$85,15,0))</f>
        <v>223.72</v>
      </c>
      <c r="Y24" s="6">
        <f ca="1">('TUSD BE'!$AM$5+'TUSD BF'!$AM$5+'TUSD CVA'!$AM$5)*1</f>
        <v>94.439926639392255</v>
      </c>
      <c r="Z24" s="6">
        <f ca="1">('TUSD BE'!$AM$7+'TUSD BF'!$AM$7+'TUSD CVA'!$AM$7)*1</f>
        <v>103.30505917577378</v>
      </c>
      <c r="AA24" s="6">
        <f>('TE BE'!$AA$5+'TE BF'!$AA$5+'TE CVA'!$AA$5)*1</f>
        <v>217.62939920622892</v>
      </c>
      <c r="AB24" s="6">
        <f>$K$24*$V$24</f>
        <v>12852.150000000001</v>
      </c>
      <c r="AC24" s="6">
        <f>$M$24*$W$24</f>
        <v>413.30006000000003</v>
      </c>
      <c r="AD24" s="6">
        <f>$O$24*$X$24</f>
        <v>1280.1258400000002</v>
      </c>
      <c r="AE24" s="6">
        <f ca="1">$K$24*$Y$24</f>
        <v>13316.029656154307</v>
      </c>
      <c r="AF24" s="6">
        <f ca="1">$M$24*$Z$24</f>
        <v>591.11154860377758</v>
      </c>
      <c r="AG24" s="6">
        <f>$O$24*$AA$24</f>
        <v>1245.275422258042</v>
      </c>
    </row>
    <row r="25" spans="1:33" ht="11.25" customHeight="1" x14ac:dyDescent="0.25">
      <c r="A25" s="4" t="s">
        <v>54</v>
      </c>
      <c r="B25" s="4" t="s">
        <v>33</v>
      </c>
      <c r="C25" s="4" t="s">
        <v>43</v>
      </c>
      <c r="D25" s="4" t="s">
        <v>42</v>
      </c>
      <c r="E25" s="4" t="s">
        <v>25</v>
      </c>
      <c r="F25" s="4" t="s">
        <v>25</v>
      </c>
      <c r="G25" s="4" t="s">
        <v>25</v>
      </c>
      <c r="H25" s="4" t="s">
        <v>35</v>
      </c>
      <c r="I25" s="5">
        <v>44621</v>
      </c>
      <c r="J25" s="6">
        <v>141</v>
      </c>
      <c r="K25" s="6">
        <v>141</v>
      </c>
      <c r="L25" s="6">
        <v>5.7220000000000004</v>
      </c>
      <c r="M25" s="6">
        <v>5.7220000000000004</v>
      </c>
      <c r="N25" s="6">
        <v>5.7220000000000004</v>
      </c>
      <c r="O25" s="6">
        <v>5.7220000000000004</v>
      </c>
      <c r="P25" s="6">
        <v>0</v>
      </c>
      <c r="Q25" s="4" t="s">
        <v>26</v>
      </c>
      <c r="R25" s="4">
        <v>0</v>
      </c>
      <c r="S25" s="6">
        <v>64</v>
      </c>
      <c r="T25" s="6">
        <v>44</v>
      </c>
      <c r="U25" s="6">
        <v>6</v>
      </c>
      <c r="V25" s="6">
        <f>IF(ISERROR(VLOOKUP($S$25,'TAR FIN'!$A$1:$O$85,15,0)),0,VLOOKUP($S$25,'TAR FIN'!$A$1:$O$85,15,0))</f>
        <v>91.15</v>
      </c>
      <c r="W25" s="6">
        <f>IF(ISERROR(VLOOKUP($T$25,'TAR FIN'!$A$1:$O$85,15,0)),0,VLOOKUP($T$25,'TAR FIN'!$A$1:$O$85,15,0))</f>
        <v>72.23</v>
      </c>
      <c r="X25" s="6">
        <f>IF(ISERROR(VLOOKUP($U$25,'TAR FIN'!$A$1:$O$85,15,0)),0,VLOOKUP($U$25,'TAR FIN'!$A$1:$O$85,15,0))</f>
        <v>223.72</v>
      </c>
      <c r="Y25" s="6">
        <f ca="1">('TUSD BE'!$AM$5+'TUSD BF'!$AM$5+'TUSD CVA'!$AM$5)*1</f>
        <v>94.439926639392255</v>
      </c>
      <c r="Z25" s="6">
        <f ca="1">('TUSD BE'!$AM$7+'TUSD BF'!$AM$7+'TUSD CVA'!$AM$7)*1</f>
        <v>103.30505917577378</v>
      </c>
      <c r="AA25" s="6">
        <f>('TE BE'!$AA$5+'TE BF'!$AA$5+'TE CVA'!$AA$5)*1</f>
        <v>217.62939920622892</v>
      </c>
      <c r="AB25" s="6">
        <f>$K$25*$V$25</f>
        <v>12852.150000000001</v>
      </c>
      <c r="AC25" s="6">
        <f>$M$25*$W$25</f>
        <v>413.30006000000003</v>
      </c>
      <c r="AD25" s="6">
        <f>$O$25*$X$25</f>
        <v>1280.1258400000002</v>
      </c>
      <c r="AE25" s="6">
        <f ca="1">$K$25*$Y$25</f>
        <v>13316.029656154307</v>
      </c>
      <c r="AF25" s="6">
        <f ca="1">$M$25*$Z$25</f>
        <v>591.11154860377758</v>
      </c>
      <c r="AG25" s="6">
        <f>$O$25*$AA$25</f>
        <v>1245.275422258042</v>
      </c>
    </row>
    <row r="26" spans="1:33" ht="11.25" customHeight="1" x14ac:dyDescent="0.25">
      <c r="A26" s="4" t="s">
        <v>21</v>
      </c>
      <c r="B26" s="4" t="s">
        <v>33</v>
      </c>
      <c r="C26" s="4" t="s">
        <v>34</v>
      </c>
      <c r="D26" s="4" t="s">
        <v>39</v>
      </c>
      <c r="E26" s="4" t="s">
        <v>25</v>
      </c>
      <c r="F26" s="4" t="s">
        <v>25</v>
      </c>
      <c r="G26" s="4" t="s">
        <v>25</v>
      </c>
      <c r="H26" s="4" t="s">
        <v>36</v>
      </c>
      <c r="I26" s="5">
        <v>44287</v>
      </c>
      <c r="J26" s="6">
        <v>0</v>
      </c>
      <c r="K26" s="6">
        <v>0</v>
      </c>
      <c r="L26" s="6">
        <v>296.86</v>
      </c>
      <c r="M26" s="6">
        <v>296.86</v>
      </c>
      <c r="N26" s="6">
        <v>296.86</v>
      </c>
      <c r="O26" s="6">
        <v>296.86</v>
      </c>
      <c r="P26" s="6">
        <v>0</v>
      </c>
      <c r="Q26" s="4" t="s">
        <v>26</v>
      </c>
      <c r="R26" s="4">
        <v>0</v>
      </c>
      <c r="S26" s="6">
        <v>0</v>
      </c>
      <c r="T26" s="6">
        <v>47</v>
      </c>
      <c r="U26" s="6">
        <v>27</v>
      </c>
      <c r="V26" s="6">
        <f>IF(ISERROR(VLOOKUP($S$26,'TAR FIN'!$A$1:$O$85,15,0)),0,VLOOKUP($S$26,'TAR FIN'!$A$1:$O$85,15,0))</f>
        <v>0</v>
      </c>
      <c r="W26" s="6">
        <f>IF(ISERROR(VLOOKUP($T$26,'TAR FIN'!$A$1:$O$85,15,0)),0,VLOOKUP($T$26,'TAR FIN'!$A$1:$O$85,15,0))</f>
        <v>72.23</v>
      </c>
      <c r="X26" s="6">
        <f>IF(ISERROR(VLOOKUP($U$26,'TAR FIN'!$A$1:$O$85,15,0)),0,VLOOKUP($U$26,'TAR FIN'!$A$1:$O$85,15,0))</f>
        <v>223.72</v>
      </c>
      <c r="Y26" s="6"/>
      <c r="Z26" s="6">
        <f ca="1">('TUSD BE'!$AM$12+'TUSD BF'!$AM$12+'TUSD CVA'!$AM$12)*1</f>
        <v>103.30505917577378</v>
      </c>
      <c r="AA26" s="6">
        <f>('TE BE'!$AA$6+'TE BF'!$AA$6+'TE CVA'!$AA$6)*1</f>
        <v>217.62939920622892</v>
      </c>
      <c r="AB26" s="6">
        <f>$K$26*$V$26</f>
        <v>0</v>
      </c>
      <c r="AC26" s="6">
        <f>$M$26*$W$26</f>
        <v>21442.197800000002</v>
      </c>
      <c r="AD26" s="6">
        <f>$O$26*$X$26</f>
        <v>66413.51920000001</v>
      </c>
      <c r="AE26" s="6">
        <f>$K$26*$Y$26</f>
        <v>0</v>
      </c>
      <c r="AF26" s="6">
        <f ca="1">$M$26*$Z$26</f>
        <v>30667.139866920206</v>
      </c>
      <c r="AG26" s="6">
        <f>$O$26*$AA$26</f>
        <v>64605.463448361123</v>
      </c>
    </row>
    <row r="27" spans="1:33" ht="11.25" customHeight="1" x14ac:dyDescent="0.25">
      <c r="A27" s="4" t="s">
        <v>28</v>
      </c>
      <c r="B27" s="4" t="s">
        <v>33</v>
      </c>
      <c r="C27" s="4" t="s">
        <v>34</v>
      </c>
      <c r="D27" s="4" t="s">
        <v>39</v>
      </c>
      <c r="E27" s="4" t="s">
        <v>25</v>
      </c>
      <c r="F27" s="4" t="s">
        <v>25</v>
      </c>
      <c r="G27" s="4" t="s">
        <v>25</v>
      </c>
      <c r="H27" s="4" t="s">
        <v>36</v>
      </c>
      <c r="I27" s="5">
        <v>44287</v>
      </c>
      <c r="J27" s="6">
        <v>0</v>
      </c>
      <c r="K27" s="6">
        <v>0</v>
      </c>
      <c r="L27" s="6">
        <v>2.214</v>
      </c>
      <c r="M27" s="6">
        <v>2.214</v>
      </c>
      <c r="N27" s="6">
        <v>2.214</v>
      </c>
      <c r="O27" s="6">
        <v>2.214</v>
      </c>
      <c r="P27" s="6">
        <v>0</v>
      </c>
      <c r="Q27" s="4" t="s">
        <v>26</v>
      </c>
      <c r="R27" s="4">
        <v>0</v>
      </c>
      <c r="S27" s="6">
        <v>0</v>
      </c>
      <c r="T27" s="6">
        <v>47</v>
      </c>
      <c r="U27" s="6">
        <v>27</v>
      </c>
      <c r="V27" s="6">
        <f>IF(ISERROR(VLOOKUP($S$27,'TAR FIN'!$A$1:$O$85,15,0)),0,VLOOKUP($S$27,'TAR FIN'!$A$1:$O$85,15,0))</f>
        <v>0</v>
      </c>
      <c r="W27" s="6">
        <f>IF(ISERROR(VLOOKUP($T$27,'TAR FIN'!$A$1:$O$85,15,0)),0,VLOOKUP($T$27,'TAR FIN'!$A$1:$O$85,15,0))</f>
        <v>72.23</v>
      </c>
      <c r="X27" s="6">
        <f>IF(ISERROR(VLOOKUP($U$27,'TAR FIN'!$A$1:$O$85,15,0)),0,VLOOKUP($U$27,'TAR FIN'!$A$1:$O$85,15,0))</f>
        <v>223.72</v>
      </c>
      <c r="Y27" s="6"/>
      <c r="Z27" s="6">
        <f ca="1">('TUSD BE'!$AM$12+'TUSD BF'!$AM$12+'TUSD CVA'!$AM$12)*1</f>
        <v>103.30505917577378</v>
      </c>
      <c r="AA27" s="6">
        <f>('TE BE'!$AA$6+'TE BF'!$AA$6+'TE CVA'!$AA$6)*1</f>
        <v>217.62939920622892</v>
      </c>
      <c r="AB27" s="6">
        <f>$K$27*$V$27</f>
        <v>0</v>
      </c>
      <c r="AC27" s="6">
        <f>$M$27*$W$27</f>
        <v>159.91722000000001</v>
      </c>
      <c r="AD27" s="6">
        <f>$O$27*$X$27</f>
        <v>495.31608</v>
      </c>
      <c r="AE27" s="6">
        <f>$K$27*$Y$27</f>
        <v>0</v>
      </c>
      <c r="AF27" s="6">
        <f ca="1">$M$27*$Z$27</f>
        <v>228.71740101516315</v>
      </c>
      <c r="AG27" s="6">
        <f>$O$27*$AA$27</f>
        <v>481.83148984259083</v>
      </c>
    </row>
    <row r="28" spans="1:33" ht="11.25" customHeight="1" x14ac:dyDescent="0.25">
      <c r="A28" s="4" t="s">
        <v>21</v>
      </c>
      <c r="B28" s="4" t="s">
        <v>33</v>
      </c>
      <c r="C28" s="4" t="s">
        <v>34</v>
      </c>
      <c r="D28" s="4" t="s">
        <v>39</v>
      </c>
      <c r="E28" s="4" t="s">
        <v>25</v>
      </c>
      <c r="F28" s="4" t="s">
        <v>25</v>
      </c>
      <c r="G28" s="4" t="s">
        <v>25</v>
      </c>
      <c r="H28" s="4" t="s">
        <v>36</v>
      </c>
      <c r="I28" s="5">
        <v>44317</v>
      </c>
      <c r="J28" s="6">
        <v>0</v>
      </c>
      <c r="K28" s="6">
        <v>0</v>
      </c>
      <c r="L28" s="6">
        <v>198.17699999999999</v>
      </c>
      <c r="M28" s="6">
        <v>198.17699999999999</v>
      </c>
      <c r="N28" s="6">
        <v>198.17699999999999</v>
      </c>
      <c r="O28" s="6">
        <v>198.17699999999999</v>
      </c>
      <c r="P28" s="6">
        <v>0</v>
      </c>
      <c r="Q28" s="4" t="s">
        <v>26</v>
      </c>
      <c r="R28" s="4">
        <v>0</v>
      </c>
      <c r="S28" s="6">
        <v>0</v>
      </c>
      <c r="T28" s="6">
        <v>47</v>
      </c>
      <c r="U28" s="6">
        <v>27</v>
      </c>
      <c r="V28" s="6">
        <f>IF(ISERROR(VLOOKUP($S$28,'TAR FIN'!$A$1:$O$85,15,0)),0,VLOOKUP($S$28,'TAR FIN'!$A$1:$O$85,15,0))</f>
        <v>0</v>
      </c>
      <c r="W28" s="6">
        <f>IF(ISERROR(VLOOKUP($T$28,'TAR FIN'!$A$1:$O$85,15,0)),0,VLOOKUP($T$28,'TAR FIN'!$A$1:$O$85,15,0))</f>
        <v>72.23</v>
      </c>
      <c r="X28" s="6">
        <f>IF(ISERROR(VLOOKUP($U$28,'TAR FIN'!$A$1:$O$85,15,0)),0,VLOOKUP($U$28,'TAR FIN'!$A$1:$O$85,15,0))</f>
        <v>223.72</v>
      </c>
      <c r="Y28" s="6"/>
      <c r="Z28" s="6">
        <f ca="1">('TUSD BE'!$AM$12+'TUSD BF'!$AM$12+'TUSD CVA'!$AM$12)*1</f>
        <v>103.30505917577378</v>
      </c>
      <c r="AA28" s="6">
        <f>('TE BE'!$AA$6+'TE BF'!$AA$6+'TE CVA'!$AA$6)*1</f>
        <v>217.62939920622892</v>
      </c>
      <c r="AB28" s="6">
        <f>$K$28*$V$28</f>
        <v>0</v>
      </c>
      <c r="AC28" s="6">
        <f>$M$28*$W$28</f>
        <v>14314.324710000001</v>
      </c>
      <c r="AD28" s="6">
        <f>$O$28*$X$28</f>
        <v>44336.158439999999</v>
      </c>
      <c r="AE28" s="6">
        <f>$K$28*$Y$28</f>
        <v>0</v>
      </c>
      <c r="AF28" s="6">
        <f ca="1">$M$28*$Z$28</f>
        <v>20472.686712277318</v>
      </c>
      <c r="AG28" s="6">
        <f>$O$28*$AA$28</f>
        <v>43129.141446492831</v>
      </c>
    </row>
    <row r="29" spans="1:33" ht="11.25" customHeight="1" x14ac:dyDescent="0.25">
      <c r="A29" s="4" t="s">
        <v>21</v>
      </c>
      <c r="B29" s="4" t="s">
        <v>33</v>
      </c>
      <c r="C29" s="4" t="s">
        <v>34</v>
      </c>
      <c r="D29" s="4" t="s">
        <v>39</v>
      </c>
      <c r="E29" s="4" t="s">
        <v>25</v>
      </c>
      <c r="F29" s="4" t="s">
        <v>25</v>
      </c>
      <c r="G29" s="4" t="s">
        <v>25</v>
      </c>
      <c r="H29" s="4" t="s">
        <v>36</v>
      </c>
      <c r="I29" s="5">
        <v>44348</v>
      </c>
      <c r="J29" s="6">
        <v>0</v>
      </c>
      <c r="K29" s="6">
        <v>0</v>
      </c>
      <c r="L29" s="6">
        <v>179.04400000000001</v>
      </c>
      <c r="M29" s="6">
        <v>179.04400000000001</v>
      </c>
      <c r="N29" s="6">
        <v>179.04400000000001</v>
      </c>
      <c r="O29" s="6">
        <v>179.04400000000001</v>
      </c>
      <c r="P29" s="6">
        <v>0</v>
      </c>
      <c r="Q29" s="4" t="s">
        <v>26</v>
      </c>
      <c r="R29" s="4">
        <v>0</v>
      </c>
      <c r="S29" s="6">
        <v>0</v>
      </c>
      <c r="T29" s="6">
        <v>47</v>
      </c>
      <c r="U29" s="6">
        <v>27</v>
      </c>
      <c r="V29" s="6">
        <f>IF(ISERROR(VLOOKUP($S$29,'TAR FIN'!$A$1:$O$85,15,0)),0,VLOOKUP($S$29,'TAR FIN'!$A$1:$O$85,15,0))</f>
        <v>0</v>
      </c>
      <c r="W29" s="6">
        <f>IF(ISERROR(VLOOKUP($T$29,'TAR FIN'!$A$1:$O$85,15,0)),0,VLOOKUP($T$29,'TAR FIN'!$A$1:$O$85,15,0))</f>
        <v>72.23</v>
      </c>
      <c r="X29" s="6">
        <f>IF(ISERROR(VLOOKUP($U$29,'TAR FIN'!$A$1:$O$85,15,0)),0,VLOOKUP($U$29,'TAR FIN'!$A$1:$O$85,15,0))</f>
        <v>223.72</v>
      </c>
      <c r="Y29" s="6"/>
      <c r="Z29" s="6">
        <f ca="1">('TUSD BE'!$AM$12+'TUSD BF'!$AM$12+'TUSD CVA'!$AM$12)*1</f>
        <v>103.30505917577378</v>
      </c>
      <c r="AA29" s="6">
        <f>('TE BE'!$AA$6+'TE BF'!$AA$6+'TE CVA'!$AA$6)*1</f>
        <v>217.62939920622892</v>
      </c>
      <c r="AB29" s="6">
        <f>$K$29*$V$29</f>
        <v>0</v>
      </c>
      <c r="AC29" s="6">
        <f>$M$29*$W$29</f>
        <v>12932.348120000002</v>
      </c>
      <c r="AD29" s="6">
        <f>$O$29*$X$29</f>
        <v>40055.723680000003</v>
      </c>
      <c r="AE29" s="6">
        <f>$K$29*$Y$29</f>
        <v>0</v>
      </c>
      <c r="AF29" s="6">
        <f ca="1">$M$29*$Z$29</f>
        <v>18496.15101506724</v>
      </c>
      <c r="AG29" s="6">
        <f>$O$29*$AA$29</f>
        <v>38965.238151480051</v>
      </c>
    </row>
    <row r="30" spans="1:33" ht="11.25" customHeight="1" x14ac:dyDescent="0.25">
      <c r="A30" s="4" t="s">
        <v>28</v>
      </c>
      <c r="B30" s="4" t="s">
        <v>33</v>
      </c>
      <c r="C30" s="4" t="s">
        <v>34</v>
      </c>
      <c r="D30" s="4" t="s">
        <v>39</v>
      </c>
      <c r="E30" s="4" t="s">
        <v>25</v>
      </c>
      <c r="F30" s="4" t="s">
        <v>25</v>
      </c>
      <c r="G30" s="4" t="s">
        <v>25</v>
      </c>
      <c r="H30" s="4" t="s">
        <v>36</v>
      </c>
      <c r="I30" s="5">
        <v>44348</v>
      </c>
      <c r="J30" s="6">
        <v>0</v>
      </c>
      <c r="K30" s="6">
        <v>0</v>
      </c>
      <c r="L30" s="6">
        <v>7.2919999999999998</v>
      </c>
      <c r="M30" s="6">
        <v>7.2919999999999998</v>
      </c>
      <c r="N30" s="6">
        <v>7.2919999999999998</v>
      </c>
      <c r="O30" s="6">
        <v>7.2919999999999998</v>
      </c>
      <c r="P30" s="6">
        <v>0</v>
      </c>
      <c r="Q30" s="4" t="s">
        <v>26</v>
      </c>
      <c r="R30" s="4">
        <v>0</v>
      </c>
      <c r="S30" s="6">
        <v>0</v>
      </c>
      <c r="T30" s="6">
        <v>47</v>
      </c>
      <c r="U30" s="6">
        <v>27</v>
      </c>
      <c r="V30" s="6">
        <f>IF(ISERROR(VLOOKUP($S$30,'TAR FIN'!$A$1:$O$85,15,0)),0,VLOOKUP($S$30,'TAR FIN'!$A$1:$O$85,15,0))</f>
        <v>0</v>
      </c>
      <c r="W30" s="6">
        <f>IF(ISERROR(VLOOKUP($T$30,'TAR FIN'!$A$1:$O$85,15,0)),0,VLOOKUP($T$30,'TAR FIN'!$A$1:$O$85,15,0))</f>
        <v>72.23</v>
      </c>
      <c r="X30" s="6">
        <f>IF(ISERROR(VLOOKUP($U$30,'TAR FIN'!$A$1:$O$85,15,0)),0,VLOOKUP($U$30,'TAR FIN'!$A$1:$O$85,15,0))</f>
        <v>223.72</v>
      </c>
      <c r="Y30" s="6"/>
      <c r="Z30" s="6">
        <f ca="1">('TUSD BE'!$AM$12+'TUSD BF'!$AM$12+'TUSD CVA'!$AM$12)*1</f>
        <v>103.30505917577378</v>
      </c>
      <c r="AA30" s="6">
        <f>('TE BE'!$AA$6+'TE BF'!$AA$6+'TE CVA'!$AA$6)*1</f>
        <v>217.62939920622892</v>
      </c>
      <c r="AB30" s="6">
        <f>$K$30*$V$30</f>
        <v>0</v>
      </c>
      <c r="AC30" s="6">
        <f>$M$30*$W$30</f>
        <v>526.70115999999996</v>
      </c>
      <c r="AD30" s="6">
        <f>$O$30*$X$30</f>
        <v>1631.3662400000001</v>
      </c>
      <c r="AE30" s="6">
        <f>$K$30*$Y$30</f>
        <v>0</v>
      </c>
      <c r="AF30" s="6">
        <f ca="1">$M$30*$Z$30</f>
        <v>753.30049150974241</v>
      </c>
      <c r="AG30" s="6">
        <f>$O$30*$AA$30</f>
        <v>1586.9535790118214</v>
      </c>
    </row>
    <row r="31" spans="1:33" ht="11.25" customHeight="1" x14ac:dyDescent="0.25">
      <c r="A31" s="4" t="s">
        <v>21</v>
      </c>
      <c r="B31" s="4" t="s">
        <v>33</v>
      </c>
      <c r="C31" s="4" t="s">
        <v>34</v>
      </c>
      <c r="D31" s="4" t="s">
        <v>39</v>
      </c>
      <c r="E31" s="4" t="s">
        <v>25</v>
      </c>
      <c r="F31" s="4" t="s">
        <v>25</v>
      </c>
      <c r="G31" s="4" t="s">
        <v>25</v>
      </c>
      <c r="H31" s="4" t="s">
        <v>36</v>
      </c>
      <c r="I31" s="5">
        <v>44378</v>
      </c>
      <c r="J31" s="6">
        <v>0</v>
      </c>
      <c r="K31" s="6">
        <v>0</v>
      </c>
      <c r="L31" s="6">
        <v>235.37799999999999</v>
      </c>
      <c r="M31" s="6">
        <v>235.37799999999999</v>
      </c>
      <c r="N31" s="6">
        <v>235.37799999999999</v>
      </c>
      <c r="O31" s="6">
        <v>235.37799999999999</v>
      </c>
      <c r="P31" s="6">
        <v>0</v>
      </c>
      <c r="Q31" s="4" t="s">
        <v>26</v>
      </c>
      <c r="R31" s="4">
        <v>0</v>
      </c>
      <c r="S31" s="6">
        <v>0</v>
      </c>
      <c r="T31" s="6">
        <v>47</v>
      </c>
      <c r="U31" s="6">
        <v>27</v>
      </c>
      <c r="V31" s="6">
        <f>IF(ISERROR(VLOOKUP($S$31,'TAR FIN'!$A$1:$O$85,15,0)),0,VLOOKUP($S$31,'TAR FIN'!$A$1:$O$85,15,0))</f>
        <v>0</v>
      </c>
      <c r="W31" s="6">
        <f>IF(ISERROR(VLOOKUP($T$31,'TAR FIN'!$A$1:$O$85,15,0)),0,VLOOKUP($T$31,'TAR FIN'!$A$1:$O$85,15,0))</f>
        <v>72.23</v>
      </c>
      <c r="X31" s="6">
        <f>IF(ISERROR(VLOOKUP($U$31,'TAR FIN'!$A$1:$O$85,15,0)),0,VLOOKUP($U$31,'TAR FIN'!$A$1:$O$85,15,0))</f>
        <v>223.72</v>
      </c>
      <c r="Y31" s="6"/>
      <c r="Z31" s="6">
        <f ca="1">('TUSD BE'!$AM$12+'TUSD BF'!$AM$12+'TUSD CVA'!$AM$12)*1</f>
        <v>103.30505917577378</v>
      </c>
      <c r="AA31" s="6">
        <f>('TE BE'!$AA$6+'TE BF'!$AA$6+'TE CVA'!$AA$6)*1</f>
        <v>217.62939920622892</v>
      </c>
      <c r="AB31" s="6">
        <f>$K$31*$V$31</f>
        <v>0</v>
      </c>
      <c r="AC31" s="6">
        <f>$M$31*$W$31</f>
        <v>17001.352940000001</v>
      </c>
      <c r="AD31" s="6">
        <f>$O$31*$X$31</f>
        <v>52658.766159999999</v>
      </c>
      <c r="AE31" s="6">
        <f>$K$31*$Y$31</f>
        <v>0</v>
      </c>
      <c r="AF31" s="6">
        <f ca="1">$M$31*$Z$31</f>
        <v>24315.73821867528</v>
      </c>
      <c r="AG31" s="6">
        <f>$O$31*$AA$31</f>
        <v>51225.172726363751</v>
      </c>
    </row>
    <row r="32" spans="1:33" ht="11.25" customHeight="1" x14ac:dyDescent="0.25">
      <c r="A32" s="4" t="s">
        <v>28</v>
      </c>
      <c r="B32" s="4" t="s">
        <v>33</v>
      </c>
      <c r="C32" s="4" t="s">
        <v>34</v>
      </c>
      <c r="D32" s="4" t="s">
        <v>39</v>
      </c>
      <c r="E32" s="4" t="s">
        <v>25</v>
      </c>
      <c r="F32" s="4" t="s">
        <v>25</v>
      </c>
      <c r="G32" s="4" t="s">
        <v>25</v>
      </c>
      <c r="H32" s="4" t="s">
        <v>36</v>
      </c>
      <c r="I32" s="5">
        <v>44378</v>
      </c>
      <c r="J32" s="6">
        <v>0</v>
      </c>
      <c r="K32" s="6">
        <v>0</v>
      </c>
      <c r="L32" s="6">
        <v>0.127</v>
      </c>
      <c r="M32" s="6">
        <v>0.127</v>
      </c>
      <c r="N32" s="6">
        <v>0.127</v>
      </c>
      <c r="O32" s="6">
        <v>0.127</v>
      </c>
      <c r="P32" s="6">
        <v>0</v>
      </c>
      <c r="Q32" s="4" t="s">
        <v>26</v>
      </c>
      <c r="R32" s="4">
        <v>0</v>
      </c>
      <c r="S32" s="6">
        <v>0</v>
      </c>
      <c r="T32" s="6">
        <v>47</v>
      </c>
      <c r="U32" s="6">
        <v>27</v>
      </c>
      <c r="V32" s="6">
        <f>IF(ISERROR(VLOOKUP($S$32,'TAR FIN'!$A$1:$O$85,15,0)),0,VLOOKUP($S$32,'TAR FIN'!$A$1:$O$85,15,0))</f>
        <v>0</v>
      </c>
      <c r="W32" s="6">
        <f>IF(ISERROR(VLOOKUP($T$32,'TAR FIN'!$A$1:$O$85,15,0)),0,VLOOKUP($T$32,'TAR FIN'!$A$1:$O$85,15,0))</f>
        <v>72.23</v>
      </c>
      <c r="X32" s="6">
        <f>IF(ISERROR(VLOOKUP($U$32,'TAR FIN'!$A$1:$O$85,15,0)),0,VLOOKUP($U$32,'TAR FIN'!$A$1:$O$85,15,0))</f>
        <v>223.72</v>
      </c>
      <c r="Y32" s="6"/>
      <c r="Z32" s="6">
        <f ca="1">('TUSD BE'!$AM$12+'TUSD BF'!$AM$12+'TUSD CVA'!$AM$12)*1</f>
        <v>103.30505917577378</v>
      </c>
      <c r="AA32" s="6">
        <f>('TE BE'!$AA$6+'TE BF'!$AA$6+'TE CVA'!$AA$6)*1</f>
        <v>217.62939920622892</v>
      </c>
      <c r="AB32" s="6">
        <f>$K$32*$V$32</f>
        <v>0</v>
      </c>
      <c r="AC32" s="6">
        <f>$M$32*$W$32</f>
        <v>9.173210000000001</v>
      </c>
      <c r="AD32" s="6">
        <f>$O$32*$X$32</f>
        <v>28.41244</v>
      </c>
      <c r="AE32" s="6">
        <f>$K$32*$Y$32</f>
        <v>0</v>
      </c>
      <c r="AF32" s="6">
        <f ca="1">$M$32*$Z$32</f>
        <v>13.119742515323271</v>
      </c>
      <c r="AG32" s="6">
        <f>$O$32*$AA$32</f>
        <v>27.638933699191075</v>
      </c>
    </row>
    <row r="33" spans="1:33" ht="11.25" customHeight="1" x14ac:dyDescent="0.25">
      <c r="A33" s="4" t="s">
        <v>21</v>
      </c>
      <c r="B33" s="4" t="s">
        <v>33</v>
      </c>
      <c r="C33" s="4" t="s">
        <v>34</v>
      </c>
      <c r="D33" s="4" t="s">
        <v>39</v>
      </c>
      <c r="E33" s="4" t="s">
        <v>25</v>
      </c>
      <c r="F33" s="4" t="s">
        <v>25</v>
      </c>
      <c r="G33" s="4" t="s">
        <v>25</v>
      </c>
      <c r="H33" s="4" t="s">
        <v>36</v>
      </c>
      <c r="I33" s="5">
        <v>44409</v>
      </c>
      <c r="J33" s="6">
        <v>0</v>
      </c>
      <c r="K33" s="6">
        <v>0</v>
      </c>
      <c r="L33" s="6">
        <v>273.22199999999998</v>
      </c>
      <c r="M33" s="6">
        <v>273.22199999999998</v>
      </c>
      <c r="N33" s="6">
        <v>273.22199999999998</v>
      </c>
      <c r="O33" s="6">
        <v>273.22199999999998</v>
      </c>
      <c r="P33" s="6">
        <v>0</v>
      </c>
      <c r="Q33" s="4" t="s">
        <v>26</v>
      </c>
      <c r="R33" s="4">
        <v>0</v>
      </c>
      <c r="S33" s="6">
        <v>0</v>
      </c>
      <c r="T33" s="6">
        <v>47</v>
      </c>
      <c r="U33" s="6">
        <v>27</v>
      </c>
      <c r="V33" s="6">
        <f>IF(ISERROR(VLOOKUP($S$33,'TAR FIN'!$A$1:$O$85,15,0)),0,VLOOKUP($S$33,'TAR FIN'!$A$1:$O$85,15,0))</f>
        <v>0</v>
      </c>
      <c r="W33" s="6">
        <f>IF(ISERROR(VLOOKUP($T$33,'TAR FIN'!$A$1:$O$85,15,0)),0,VLOOKUP($T$33,'TAR FIN'!$A$1:$O$85,15,0))</f>
        <v>72.23</v>
      </c>
      <c r="X33" s="6">
        <f>IF(ISERROR(VLOOKUP($U$33,'TAR FIN'!$A$1:$O$85,15,0)),0,VLOOKUP($U$33,'TAR FIN'!$A$1:$O$85,15,0))</f>
        <v>223.72</v>
      </c>
      <c r="Y33" s="6"/>
      <c r="Z33" s="6">
        <f ca="1">('TUSD BE'!$AM$12+'TUSD BF'!$AM$12+'TUSD CVA'!$AM$12)*1</f>
        <v>103.30505917577378</v>
      </c>
      <c r="AA33" s="6">
        <f>('TE BE'!$AA$6+'TE BF'!$AA$6+'TE CVA'!$AA$6)*1</f>
        <v>217.62939920622892</v>
      </c>
      <c r="AB33" s="6">
        <f>$K$33*$V$33</f>
        <v>0</v>
      </c>
      <c r="AC33" s="6">
        <f>$M$33*$W$33</f>
        <v>19734.825059999999</v>
      </c>
      <c r="AD33" s="6">
        <f>$O$33*$X$33</f>
        <v>61125.225839999992</v>
      </c>
      <c r="AE33" s="6">
        <f>$K$33*$Y$33</f>
        <v>0</v>
      </c>
      <c r="AF33" s="6">
        <f ca="1">$M$33*$Z$33</f>
        <v>28225.214878123261</v>
      </c>
      <c r="AG33" s="6">
        <f>$O$33*$AA$33</f>
        <v>59461.139709924275</v>
      </c>
    </row>
    <row r="34" spans="1:33" ht="11.25" customHeight="1" x14ac:dyDescent="0.25">
      <c r="A34" s="4" t="s">
        <v>28</v>
      </c>
      <c r="B34" s="4" t="s">
        <v>33</v>
      </c>
      <c r="C34" s="4" t="s">
        <v>34</v>
      </c>
      <c r="D34" s="4" t="s">
        <v>39</v>
      </c>
      <c r="E34" s="4" t="s">
        <v>25</v>
      </c>
      <c r="F34" s="4" t="s">
        <v>25</v>
      </c>
      <c r="G34" s="4" t="s">
        <v>25</v>
      </c>
      <c r="H34" s="4" t="s">
        <v>36</v>
      </c>
      <c r="I34" s="5">
        <v>44409</v>
      </c>
      <c r="J34" s="6">
        <v>0</v>
      </c>
      <c r="K34" s="6">
        <v>0</v>
      </c>
      <c r="L34" s="6">
        <v>24.135999999999999</v>
      </c>
      <c r="M34" s="6">
        <v>24.135999999999999</v>
      </c>
      <c r="N34" s="6">
        <v>24.135999999999999</v>
      </c>
      <c r="O34" s="6">
        <v>24.135999999999999</v>
      </c>
      <c r="P34" s="6">
        <v>0</v>
      </c>
      <c r="Q34" s="4" t="s">
        <v>26</v>
      </c>
      <c r="R34" s="4">
        <v>0</v>
      </c>
      <c r="S34" s="6">
        <v>0</v>
      </c>
      <c r="T34" s="6">
        <v>47</v>
      </c>
      <c r="U34" s="6">
        <v>27</v>
      </c>
      <c r="V34" s="6">
        <f>IF(ISERROR(VLOOKUP($S$34,'TAR FIN'!$A$1:$O$85,15,0)),0,VLOOKUP($S$34,'TAR FIN'!$A$1:$O$85,15,0))</f>
        <v>0</v>
      </c>
      <c r="W34" s="6">
        <f>IF(ISERROR(VLOOKUP($T$34,'TAR FIN'!$A$1:$O$85,15,0)),0,VLOOKUP($T$34,'TAR FIN'!$A$1:$O$85,15,0))</f>
        <v>72.23</v>
      </c>
      <c r="X34" s="6">
        <f>IF(ISERROR(VLOOKUP($U$34,'TAR FIN'!$A$1:$O$85,15,0)),0,VLOOKUP($U$34,'TAR FIN'!$A$1:$O$85,15,0))</f>
        <v>223.72</v>
      </c>
      <c r="Y34" s="6"/>
      <c r="Z34" s="6">
        <f ca="1">('TUSD BE'!$AM$12+'TUSD BF'!$AM$12+'TUSD CVA'!$AM$12)*1</f>
        <v>103.30505917577378</v>
      </c>
      <c r="AA34" s="6">
        <f>('TE BE'!$AA$6+'TE BF'!$AA$6+'TE CVA'!$AA$6)*1</f>
        <v>217.62939920622892</v>
      </c>
      <c r="AB34" s="6">
        <f>$K$34*$V$34</f>
        <v>0</v>
      </c>
      <c r="AC34" s="6">
        <f>$M$34*$W$34</f>
        <v>1743.34328</v>
      </c>
      <c r="AD34" s="6">
        <f>$O$34*$X$34</f>
        <v>5399.7059199999994</v>
      </c>
      <c r="AE34" s="6">
        <f>$K$34*$Y$34</f>
        <v>0</v>
      </c>
      <c r="AF34" s="6">
        <f ca="1">$M$34*$Z$34</f>
        <v>2493.3709082664759</v>
      </c>
      <c r="AG34" s="6">
        <f>$O$34*$AA$34</f>
        <v>5252.703179241541</v>
      </c>
    </row>
    <row r="35" spans="1:33" ht="11.25" customHeight="1" x14ac:dyDescent="0.25">
      <c r="A35" s="4" t="s">
        <v>21</v>
      </c>
      <c r="B35" s="4" t="s">
        <v>33</v>
      </c>
      <c r="C35" s="4" t="s">
        <v>34</v>
      </c>
      <c r="D35" s="4" t="s">
        <v>39</v>
      </c>
      <c r="E35" s="4" t="s">
        <v>25</v>
      </c>
      <c r="F35" s="4" t="s">
        <v>25</v>
      </c>
      <c r="G35" s="4" t="s">
        <v>25</v>
      </c>
      <c r="H35" s="4" t="s">
        <v>36</v>
      </c>
      <c r="I35" s="5">
        <v>44440</v>
      </c>
      <c r="J35" s="6">
        <v>0</v>
      </c>
      <c r="K35" s="6">
        <v>0</v>
      </c>
      <c r="L35" s="6">
        <v>222.143</v>
      </c>
      <c r="M35" s="6">
        <v>222.143</v>
      </c>
      <c r="N35" s="6">
        <v>222.143</v>
      </c>
      <c r="O35" s="6">
        <v>222.143</v>
      </c>
      <c r="P35" s="6">
        <v>0</v>
      </c>
      <c r="Q35" s="4" t="s">
        <v>26</v>
      </c>
      <c r="R35" s="4">
        <v>0</v>
      </c>
      <c r="S35" s="6">
        <v>0</v>
      </c>
      <c r="T35" s="6">
        <v>47</v>
      </c>
      <c r="U35" s="6">
        <v>27</v>
      </c>
      <c r="V35" s="6">
        <f>IF(ISERROR(VLOOKUP($S$35,'TAR FIN'!$A$1:$O$85,15,0)),0,VLOOKUP($S$35,'TAR FIN'!$A$1:$O$85,15,0))</f>
        <v>0</v>
      </c>
      <c r="W35" s="6">
        <f>IF(ISERROR(VLOOKUP($T$35,'TAR FIN'!$A$1:$O$85,15,0)),0,VLOOKUP($T$35,'TAR FIN'!$A$1:$O$85,15,0))</f>
        <v>72.23</v>
      </c>
      <c r="X35" s="6">
        <f>IF(ISERROR(VLOOKUP($U$35,'TAR FIN'!$A$1:$O$85,15,0)),0,VLOOKUP($U$35,'TAR FIN'!$A$1:$O$85,15,0))</f>
        <v>223.72</v>
      </c>
      <c r="Y35" s="6"/>
      <c r="Z35" s="6">
        <f ca="1">('TUSD BE'!$AM$12+'TUSD BF'!$AM$12+'TUSD CVA'!$AM$12)*1</f>
        <v>103.30505917577378</v>
      </c>
      <c r="AA35" s="6">
        <f>('TE BE'!$AA$6+'TE BF'!$AA$6+'TE CVA'!$AA$6)*1</f>
        <v>217.62939920622892</v>
      </c>
      <c r="AB35" s="6">
        <f>$K$35*$V$35</f>
        <v>0</v>
      </c>
      <c r="AC35" s="6">
        <f>$M$35*$W$35</f>
        <v>16045.38889</v>
      </c>
      <c r="AD35" s="6">
        <f>$O$35*$X$35</f>
        <v>49697.831960000003</v>
      </c>
      <c r="AE35" s="6">
        <f>$K$35*$Y$35</f>
        <v>0</v>
      </c>
      <c r="AF35" s="6">
        <f ca="1">$M$35*$Z$35</f>
        <v>22948.495760483915</v>
      </c>
      <c r="AG35" s="6">
        <f>$O$35*$AA$35</f>
        <v>48344.847627869312</v>
      </c>
    </row>
    <row r="36" spans="1:33" ht="11.25" customHeight="1" x14ac:dyDescent="0.25">
      <c r="A36" s="4" t="s">
        <v>28</v>
      </c>
      <c r="B36" s="4" t="s">
        <v>33</v>
      </c>
      <c r="C36" s="4" t="s">
        <v>34</v>
      </c>
      <c r="D36" s="4" t="s">
        <v>39</v>
      </c>
      <c r="E36" s="4" t="s">
        <v>25</v>
      </c>
      <c r="F36" s="4" t="s">
        <v>25</v>
      </c>
      <c r="G36" s="4" t="s">
        <v>25</v>
      </c>
      <c r="H36" s="4" t="s">
        <v>36</v>
      </c>
      <c r="I36" s="5">
        <v>44440</v>
      </c>
      <c r="J36" s="6">
        <v>0</v>
      </c>
      <c r="K36" s="6">
        <v>0</v>
      </c>
      <c r="L36" s="6">
        <v>16.643000000000001</v>
      </c>
      <c r="M36" s="6">
        <v>16.643000000000001</v>
      </c>
      <c r="N36" s="6">
        <v>16.643000000000001</v>
      </c>
      <c r="O36" s="6">
        <v>16.643000000000001</v>
      </c>
      <c r="P36" s="6">
        <v>0</v>
      </c>
      <c r="Q36" s="4" t="s">
        <v>26</v>
      </c>
      <c r="R36" s="4">
        <v>0</v>
      </c>
      <c r="S36" s="6">
        <v>0</v>
      </c>
      <c r="T36" s="6">
        <v>47</v>
      </c>
      <c r="U36" s="6">
        <v>27</v>
      </c>
      <c r="V36" s="6">
        <f>IF(ISERROR(VLOOKUP($S$36,'TAR FIN'!$A$1:$O$85,15,0)),0,VLOOKUP($S$36,'TAR FIN'!$A$1:$O$85,15,0))</f>
        <v>0</v>
      </c>
      <c r="W36" s="6">
        <f>IF(ISERROR(VLOOKUP($T$36,'TAR FIN'!$A$1:$O$85,15,0)),0,VLOOKUP($T$36,'TAR FIN'!$A$1:$O$85,15,0))</f>
        <v>72.23</v>
      </c>
      <c r="X36" s="6">
        <f>IF(ISERROR(VLOOKUP($U$36,'TAR FIN'!$A$1:$O$85,15,0)),0,VLOOKUP($U$36,'TAR FIN'!$A$1:$O$85,15,0))</f>
        <v>223.72</v>
      </c>
      <c r="Y36" s="6"/>
      <c r="Z36" s="6">
        <f ca="1">('TUSD BE'!$AM$12+'TUSD BF'!$AM$12+'TUSD CVA'!$AM$12)*1</f>
        <v>103.30505917577378</v>
      </c>
      <c r="AA36" s="6">
        <f>('TE BE'!$AA$6+'TE BF'!$AA$6+'TE CVA'!$AA$6)*1</f>
        <v>217.62939920622892</v>
      </c>
      <c r="AB36" s="6">
        <f>$K$36*$V$36</f>
        <v>0</v>
      </c>
      <c r="AC36" s="6">
        <f>$M$36*$W$36</f>
        <v>1202.1238900000001</v>
      </c>
      <c r="AD36" s="6">
        <f>$O$36*$X$36</f>
        <v>3723.3719599999999</v>
      </c>
      <c r="AE36" s="6">
        <f>$K$36*$Y$36</f>
        <v>0</v>
      </c>
      <c r="AF36" s="6">
        <f ca="1">$M$36*$Z$36</f>
        <v>1719.306099862403</v>
      </c>
      <c r="AG36" s="6">
        <f>$O$36*$AA$36</f>
        <v>3622.0060909892682</v>
      </c>
    </row>
    <row r="37" spans="1:33" ht="11.25" customHeight="1" x14ac:dyDescent="0.25">
      <c r="A37" s="4" t="s">
        <v>21</v>
      </c>
      <c r="B37" s="4" t="s">
        <v>33</v>
      </c>
      <c r="C37" s="4" t="s">
        <v>34</v>
      </c>
      <c r="D37" s="4" t="s">
        <v>39</v>
      </c>
      <c r="E37" s="4" t="s">
        <v>25</v>
      </c>
      <c r="F37" s="4" t="s">
        <v>25</v>
      </c>
      <c r="G37" s="4" t="s">
        <v>25</v>
      </c>
      <c r="H37" s="4" t="s">
        <v>36</v>
      </c>
      <c r="I37" s="5">
        <v>44470</v>
      </c>
      <c r="J37" s="6">
        <v>0</v>
      </c>
      <c r="K37" s="6">
        <v>0</v>
      </c>
      <c r="L37" s="6">
        <v>219.99100000000001</v>
      </c>
      <c r="M37" s="6">
        <v>219.99100000000001</v>
      </c>
      <c r="N37" s="6">
        <v>219.99100000000001</v>
      </c>
      <c r="O37" s="6">
        <v>219.99100000000001</v>
      </c>
      <c r="P37" s="6">
        <v>0</v>
      </c>
      <c r="Q37" s="4" t="s">
        <v>26</v>
      </c>
      <c r="R37" s="4">
        <v>0</v>
      </c>
      <c r="S37" s="6">
        <v>0</v>
      </c>
      <c r="T37" s="6">
        <v>47</v>
      </c>
      <c r="U37" s="6">
        <v>27</v>
      </c>
      <c r="V37" s="6">
        <f>IF(ISERROR(VLOOKUP($S$37,'TAR FIN'!$A$1:$O$85,15,0)),0,VLOOKUP($S$37,'TAR FIN'!$A$1:$O$85,15,0))</f>
        <v>0</v>
      </c>
      <c r="W37" s="6">
        <f>IF(ISERROR(VLOOKUP($T$37,'TAR FIN'!$A$1:$O$85,15,0)),0,VLOOKUP($T$37,'TAR FIN'!$A$1:$O$85,15,0))</f>
        <v>72.23</v>
      </c>
      <c r="X37" s="6">
        <f>IF(ISERROR(VLOOKUP($U$37,'TAR FIN'!$A$1:$O$85,15,0)),0,VLOOKUP($U$37,'TAR FIN'!$A$1:$O$85,15,0))</f>
        <v>223.72</v>
      </c>
      <c r="Y37" s="6"/>
      <c r="Z37" s="6">
        <f ca="1">('TUSD BE'!$AM$12+'TUSD BF'!$AM$12+'TUSD CVA'!$AM$12)*1</f>
        <v>103.30505917577378</v>
      </c>
      <c r="AA37" s="6">
        <f>('TE BE'!$AA$6+'TE BF'!$AA$6+'TE CVA'!$AA$6)*1</f>
        <v>217.62939920622892</v>
      </c>
      <c r="AB37" s="6">
        <f>$K$37*$V$37</f>
        <v>0</v>
      </c>
      <c r="AC37" s="6">
        <f>$M$37*$W$37</f>
        <v>15889.949930000002</v>
      </c>
      <c r="AD37" s="6">
        <f>$O$37*$X$37</f>
        <v>49216.38652</v>
      </c>
      <c r="AE37" s="6">
        <f>$K$37*$Y$37</f>
        <v>0</v>
      </c>
      <c r="AF37" s="6">
        <f ca="1">$M$37*$Z$37</f>
        <v>22726.183273137649</v>
      </c>
      <c r="AG37" s="6">
        <f>$O$37*$AA$37</f>
        <v>47876.50916077751</v>
      </c>
    </row>
    <row r="38" spans="1:33" ht="11.25" customHeight="1" x14ac:dyDescent="0.25">
      <c r="A38" s="4" t="s">
        <v>28</v>
      </c>
      <c r="B38" s="4" t="s">
        <v>33</v>
      </c>
      <c r="C38" s="4" t="s">
        <v>34</v>
      </c>
      <c r="D38" s="4" t="s">
        <v>39</v>
      </c>
      <c r="E38" s="4" t="s">
        <v>25</v>
      </c>
      <c r="F38" s="4" t="s">
        <v>25</v>
      </c>
      <c r="G38" s="4" t="s">
        <v>25</v>
      </c>
      <c r="H38" s="4" t="s">
        <v>36</v>
      </c>
      <c r="I38" s="5">
        <v>44470</v>
      </c>
      <c r="J38" s="6">
        <v>0</v>
      </c>
      <c r="K38" s="6">
        <v>0</v>
      </c>
      <c r="L38" s="6">
        <v>5.1479999999999997</v>
      </c>
      <c r="M38" s="6">
        <v>5.1479999999999997</v>
      </c>
      <c r="N38" s="6">
        <v>5.1479999999999997</v>
      </c>
      <c r="O38" s="6">
        <v>5.1479999999999997</v>
      </c>
      <c r="P38" s="6">
        <v>0</v>
      </c>
      <c r="Q38" s="4" t="s">
        <v>26</v>
      </c>
      <c r="R38" s="4">
        <v>0</v>
      </c>
      <c r="S38" s="6">
        <v>0</v>
      </c>
      <c r="T38" s="6">
        <v>47</v>
      </c>
      <c r="U38" s="6">
        <v>27</v>
      </c>
      <c r="V38" s="6">
        <f>IF(ISERROR(VLOOKUP($S$38,'TAR FIN'!$A$1:$O$85,15,0)),0,VLOOKUP($S$38,'TAR FIN'!$A$1:$O$85,15,0))</f>
        <v>0</v>
      </c>
      <c r="W38" s="6">
        <f>IF(ISERROR(VLOOKUP($T$38,'TAR FIN'!$A$1:$O$85,15,0)),0,VLOOKUP($T$38,'TAR FIN'!$A$1:$O$85,15,0))</f>
        <v>72.23</v>
      </c>
      <c r="X38" s="6">
        <f>IF(ISERROR(VLOOKUP($U$38,'TAR FIN'!$A$1:$O$85,15,0)),0,VLOOKUP($U$38,'TAR FIN'!$A$1:$O$85,15,0))</f>
        <v>223.72</v>
      </c>
      <c r="Y38" s="6"/>
      <c r="Z38" s="6">
        <f ca="1">('TUSD BE'!$AM$12+'TUSD BF'!$AM$12+'TUSD CVA'!$AM$12)*1</f>
        <v>103.30505917577378</v>
      </c>
      <c r="AA38" s="6">
        <f>('TE BE'!$AA$6+'TE BF'!$AA$6+'TE CVA'!$AA$6)*1</f>
        <v>217.62939920622892</v>
      </c>
      <c r="AB38" s="6">
        <f>$K$38*$V$38</f>
        <v>0</v>
      </c>
      <c r="AC38" s="6">
        <f>$M$38*$W$38</f>
        <v>371.84003999999999</v>
      </c>
      <c r="AD38" s="6">
        <f>$O$38*$X$38</f>
        <v>1151.71056</v>
      </c>
      <c r="AE38" s="6">
        <f>$K$38*$Y$38</f>
        <v>0</v>
      </c>
      <c r="AF38" s="6">
        <f ca="1">$M$38*$Z$38</f>
        <v>531.81444463688342</v>
      </c>
      <c r="AG38" s="6">
        <f>$O$38*$AA$38</f>
        <v>1120.3561471136663</v>
      </c>
    </row>
    <row r="39" spans="1:33" ht="11.25" customHeight="1" x14ac:dyDescent="0.25">
      <c r="A39" s="4" t="s">
        <v>21</v>
      </c>
      <c r="B39" s="4" t="s">
        <v>33</v>
      </c>
      <c r="C39" s="4" t="s">
        <v>34</v>
      </c>
      <c r="D39" s="4" t="s">
        <v>39</v>
      </c>
      <c r="E39" s="4" t="s">
        <v>25</v>
      </c>
      <c r="F39" s="4" t="s">
        <v>25</v>
      </c>
      <c r="G39" s="4" t="s">
        <v>25</v>
      </c>
      <c r="H39" s="4" t="s">
        <v>36</v>
      </c>
      <c r="I39" s="5">
        <v>44501</v>
      </c>
      <c r="J39" s="6">
        <v>0</v>
      </c>
      <c r="K39" s="6">
        <v>0</v>
      </c>
      <c r="L39" s="6">
        <v>285.875</v>
      </c>
      <c r="M39" s="6">
        <v>285.875</v>
      </c>
      <c r="N39" s="6">
        <v>285.875</v>
      </c>
      <c r="O39" s="6">
        <v>285.875</v>
      </c>
      <c r="P39" s="6">
        <v>0</v>
      </c>
      <c r="Q39" s="4" t="s">
        <v>26</v>
      </c>
      <c r="R39" s="4">
        <v>0</v>
      </c>
      <c r="S39" s="6">
        <v>0</v>
      </c>
      <c r="T39" s="6">
        <v>47</v>
      </c>
      <c r="U39" s="6">
        <v>27</v>
      </c>
      <c r="V39" s="6">
        <f>IF(ISERROR(VLOOKUP($S$39,'TAR FIN'!$A$1:$O$85,15,0)),0,VLOOKUP($S$39,'TAR FIN'!$A$1:$O$85,15,0))</f>
        <v>0</v>
      </c>
      <c r="W39" s="6">
        <f>IF(ISERROR(VLOOKUP($T$39,'TAR FIN'!$A$1:$O$85,15,0)),0,VLOOKUP($T$39,'TAR FIN'!$A$1:$O$85,15,0))</f>
        <v>72.23</v>
      </c>
      <c r="X39" s="6">
        <f>IF(ISERROR(VLOOKUP($U$39,'TAR FIN'!$A$1:$O$85,15,0)),0,VLOOKUP($U$39,'TAR FIN'!$A$1:$O$85,15,0))</f>
        <v>223.72</v>
      </c>
      <c r="Y39" s="6"/>
      <c r="Z39" s="6">
        <f ca="1">('TUSD BE'!$AM$12+'TUSD BF'!$AM$12+'TUSD CVA'!$AM$12)*1</f>
        <v>103.30505917577378</v>
      </c>
      <c r="AA39" s="6">
        <f>('TE BE'!$AA$6+'TE BF'!$AA$6+'TE CVA'!$AA$6)*1</f>
        <v>217.62939920622892</v>
      </c>
      <c r="AB39" s="6">
        <f>$K$39*$V$39</f>
        <v>0</v>
      </c>
      <c r="AC39" s="6">
        <f>$M$39*$W$39</f>
        <v>20648.751250000001</v>
      </c>
      <c r="AD39" s="6">
        <f>$O$39*$X$39</f>
        <v>63955.955000000002</v>
      </c>
      <c r="AE39" s="6">
        <f>$K$39*$Y$39</f>
        <v>0</v>
      </c>
      <c r="AF39" s="6">
        <f ca="1">$M$39*$Z$39</f>
        <v>29532.333791874327</v>
      </c>
      <c r="AG39" s="6">
        <f>$O$39*$AA$39</f>
        <v>62214.804498080695</v>
      </c>
    </row>
    <row r="40" spans="1:33" ht="11.25" customHeight="1" x14ac:dyDescent="0.25">
      <c r="A40" s="4" t="s">
        <v>21</v>
      </c>
      <c r="B40" s="4" t="s">
        <v>33</v>
      </c>
      <c r="C40" s="4" t="s">
        <v>34</v>
      </c>
      <c r="D40" s="4" t="s">
        <v>39</v>
      </c>
      <c r="E40" s="4" t="s">
        <v>25</v>
      </c>
      <c r="F40" s="4" t="s">
        <v>25</v>
      </c>
      <c r="G40" s="4" t="s">
        <v>25</v>
      </c>
      <c r="H40" s="4" t="s">
        <v>36</v>
      </c>
      <c r="I40" s="5">
        <v>44531</v>
      </c>
      <c r="J40" s="6">
        <v>0</v>
      </c>
      <c r="K40" s="6">
        <v>0</v>
      </c>
      <c r="L40" s="6">
        <v>293.13</v>
      </c>
      <c r="M40" s="6">
        <v>293.13</v>
      </c>
      <c r="N40" s="6">
        <v>293.13</v>
      </c>
      <c r="O40" s="6">
        <v>293.13</v>
      </c>
      <c r="P40" s="6">
        <v>0</v>
      </c>
      <c r="Q40" s="4" t="s">
        <v>26</v>
      </c>
      <c r="R40" s="4">
        <v>0</v>
      </c>
      <c r="S40" s="6">
        <v>0</v>
      </c>
      <c r="T40" s="6">
        <v>47</v>
      </c>
      <c r="U40" s="6">
        <v>27</v>
      </c>
      <c r="V40" s="6">
        <f>IF(ISERROR(VLOOKUP($S$40,'TAR FIN'!$A$1:$O$85,15,0)),0,VLOOKUP($S$40,'TAR FIN'!$A$1:$O$85,15,0))</f>
        <v>0</v>
      </c>
      <c r="W40" s="6">
        <f>IF(ISERROR(VLOOKUP($T$40,'TAR FIN'!$A$1:$O$85,15,0)),0,VLOOKUP($T$40,'TAR FIN'!$A$1:$O$85,15,0))</f>
        <v>72.23</v>
      </c>
      <c r="X40" s="6">
        <f>IF(ISERROR(VLOOKUP($U$40,'TAR FIN'!$A$1:$O$85,15,0)),0,VLOOKUP($U$40,'TAR FIN'!$A$1:$O$85,15,0))</f>
        <v>223.72</v>
      </c>
      <c r="Y40" s="6"/>
      <c r="Z40" s="6">
        <f ca="1">('TUSD BE'!$AM$12+'TUSD BF'!$AM$12+'TUSD CVA'!$AM$12)*1</f>
        <v>103.30505917577378</v>
      </c>
      <c r="AA40" s="6">
        <f>('TE BE'!$AA$6+'TE BF'!$AA$6+'TE CVA'!$AA$6)*1</f>
        <v>217.62939920622892</v>
      </c>
      <c r="AB40" s="6">
        <f>$K$40*$V$40</f>
        <v>0</v>
      </c>
      <c r="AC40" s="6">
        <f>$M$40*$W$40</f>
        <v>21172.779900000001</v>
      </c>
      <c r="AD40" s="6">
        <f>$O$40*$X$40</f>
        <v>65579.043600000005</v>
      </c>
      <c r="AE40" s="6">
        <f>$K$40*$Y$40</f>
        <v>0</v>
      </c>
      <c r="AF40" s="6">
        <f ca="1">$M$40*$Z$40</f>
        <v>30281.811996194567</v>
      </c>
      <c r="AG40" s="6">
        <f>$O$40*$AA$40</f>
        <v>63793.705789321881</v>
      </c>
    </row>
    <row r="41" spans="1:33" ht="11.25" customHeight="1" x14ac:dyDescent="0.25">
      <c r="A41" s="4" t="s">
        <v>21</v>
      </c>
      <c r="B41" s="4" t="s">
        <v>33</v>
      </c>
      <c r="C41" s="4" t="s">
        <v>34</v>
      </c>
      <c r="D41" s="4" t="s">
        <v>39</v>
      </c>
      <c r="E41" s="4" t="s">
        <v>25</v>
      </c>
      <c r="F41" s="4" t="s">
        <v>25</v>
      </c>
      <c r="G41" s="4" t="s">
        <v>25</v>
      </c>
      <c r="H41" s="4" t="s">
        <v>36</v>
      </c>
      <c r="I41" s="5">
        <v>44562</v>
      </c>
      <c r="J41" s="6">
        <v>0</v>
      </c>
      <c r="K41" s="6">
        <v>0</v>
      </c>
      <c r="L41" s="6">
        <v>302.39600000000002</v>
      </c>
      <c r="M41" s="6">
        <v>302.39600000000002</v>
      </c>
      <c r="N41" s="6">
        <v>302.39600000000002</v>
      </c>
      <c r="O41" s="6">
        <v>302.39600000000002</v>
      </c>
      <c r="P41" s="6">
        <v>0</v>
      </c>
      <c r="Q41" s="4" t="s">
        <v>26</v>
      </c>
      <c r="R41" s="4">
        <v>0</v>
      </c>
      <c r="S41" s="6">
        <v>0</v>
      </c>
      <c r="T41" s="6">
        <v>47</v>
      </c>
      <c r="U41" s="6">
        <v>27</v>
      </c>
      <c r="V41" s="6">
        <f>IF(ISERROR(VLOOKUP($S$41,'TAR FIN'!$A$1:$O$85,15,0)),0,VLOOKUP($S$41,'TAR FIN'!$A$1:$O$85,15,0))</f>
        <v>0</v>
      </c>
      <c r="W41" s="6">
        <f>IF(ISERROR(VLOOKUP($T$41,'TAR FIN'!$A$1:$O$85,15,0)),0,VLOOKUP($T$41,'TAR FIN'!$A$1:$O$85,15,0))</f>
        <v>72.23</v>
      </c>
      <c r="X41" s="6">
        <f>IF(ISERROR(VLOOKUP($U$41,'TAR FIN'!$A$1:$O$85,15,0)),0,VLOOKUP($U$41,'TAR FIN'!$A$1:$O$85,15,0))</f>
        <v>223.72</v>
      </c>
      <c r="Y41" s="6"/>
      <c r="Z41" s="6">
        <f ca="1">('TUSD BE'!$AM$12+'TUSD BF'!$AM$12+'TUSD CVA'!$AM$12)*1</f>
        <v>103.30505917577378</v>
      </c>
      <c r="AA41" s="6">
        <f>('TE BE'!$AA$6+'TE BF'!$AA$6+'TE CVA'!$AA$6)*1</f>
        <v>217.62939920622892</v>
      </c>
      <c r="AB41" s="6">
        <f>$K$41*$V$41</f>
        <v>0</v>
      </c>
      <c r="AC41" s="6">
        <f>$M$41*$W$41</f>
        <v>21842.063080000004</v>
      </c>
      <c r="AD41" s="6">
        <f>$O$41*$X$41</f>
        <v>67652.033120000007</v>
      </c>
      <c r="AE41" s="6">
        <f>$K$41*$Y$41</f>
        <v>0</v>
      </c>
      <c r="AF41" s="6">
        <f ca="1">$M$41*$Z$41</f>
        <v>31239.036674517291</v>
      </c>
      <c r="AG41" s="6">
        <f>$O$41*$AA$41</f>
        <v>65810.259802366811</v>
      </c>
    </row>
    <row r="42" spans="1:33" ht="11.25" customHeight="1" x14ac:dyDescent="0.25">
      <c r="A42" s="4" t="s">
        <v>21</v>
      </c>
      <c r="B42" s="4" t="s">
        <v>33</v>
      </c>
      <c r="C42" s="4" t="s">
        <v>34</v>
      </c>
      <c r="D42" s="4" t="s">
        <v>39</v>
      </c>
      <c r="E42" s="4" t="s">
        <v>25</v>
      </c>
      <c r="F42" s="4" t="s">
        <v>25</v>
      </c>
      <c r="G42" s="4" t="s">
        <v>25</v>
      </c>
      <c r="H42" s="4" t="s">
        <v>36</v>
      </c>
      <c r="I42" s="5">
        <v>44593</v>
      </c>
      <c r="J42" s="6">
        <v>0</v>
      </c>
      <c r="K42" s="6">
        <v>0</v>
      </c>
      <c r="L42" s="6">
        <v>339.04399999999998</v>
      </c>
      <c r="M42" s="6">
        <v>339.04399999999998</v>
      </c>
      <c r="N42" s="6">
        <v>339.04399999999998</v>
      </c>
      <c r="O42" s="6">
        <v>339.04399999999998</v>
      </c>
      <c r="P42" s="6">
        <v>0</v>
      </c>
      <c r="Q42" s="4" t="s">
        <v>26</v>
      </c>
      <c r="R42" s="4">
        <v>0</v>
      </c>
      <c r="S42" s="6">
        <v>0</v>
      </c>
      <c r="T42" s="6">
        <v>47</v>
      </c>
      <c r="U42" s="6">
        <v>27</v>
      </c>
      <c r="V42" s="6">
        <f>IF(ISERROR(VLOOKUP($S$42,'TAR FIN'!$A$1:$O$85,15,0)),0,VLOOKUP($S$42,'TAR FIN'!$A$1:$O$85,15,0))</f>
        <v>0</v>
      </c>
      <c r="W42" s="6">
        <f>IF(ISERROR(VLOOKUP($T$42,'TAR FIN'!$A$1:$O$85,15,0)),0,VLOOKUP($T$42,'TAR FIN'!$A$1:$O$85,15,0))</f>
        <v>72.23</v>
      </c>
      <c r="X42" s="6">
        <f>IF(ISERROR(VLOOKUP($U$42,'TAR FIN'!$A$1:$O$85,15,0)),0,VLOOKUP($U$42,'TAR FIN'!$A$1:$O$85,15,0))</f>
        <v>223.72</v>
      </c>
      <c r="Y42" s="6"/>
      <c r="Z42" s="6">
        <f ca="1">('TUSD BE'!$AM$12+'TUSD BF'!$AM$12+'TUSD CVA'!$AM$12)*1</f>
        <v>103.30505917577378</v>
      </c>
      <c r="AA42" s="6">
        <f>('TE BE'!$AA$6+'TE BF'!$AA$6+'TE CVA'!$AA$6)*1</f>
        <v>217.62939920622892</v>
      </c>
      <c r="AB42" s="6">
        <f>$K$42*$V$42</f>
        <v>0</v>
      </c>
      <c r="AC42" s="6">
        <f>$M$42*$W$42</f>
        <v>24489.148120000002</v>
      </c>
      <c r="AD42" s="6">
        <f>$O$42*$X$42</f>
        <v>75850.923679999993</v>
      </c>
      <c r="AE42" s="6">
        <f>$K$42*$Y$42</f>
        <v>0</v>
      </c>
      <c r="AF42" s="6">
        <f ca="1">$M$42*$Z$42</f>
        <v>35024.96048319104</v>
      </c>
      <c r="AG42" s="6">
        <f>$O$42*$AA$42</f>
        <v>73785.942024476681</v>
      </c>
    </row>
    <row r="43" spans="1:33" ht="11.25" customHeight="1" x14ac:dyDescent="0.25">
      <c r="A43" s="4" t="s">
        <v>54</v>
      </c>
      <c r="B43" s="4" t="s">
        <v>33</v>
      </c>
      <c r="C43" s="4" t="s">
        <v>34</v>
      </c>
      <c r="D43" s="4" t="s">
        <v>39</v>
      </c>
      <c r="E43" s="4" t="s">
        <v>25</v>
      </c>
      <c r="F43" s="4" t="s">
        <v>25</v>
      </c>
      <c r="G43" s="4" t="s">
        <v>25</v>
      </c>
      <c r="H43" s="4" t="s">
        <v>36</v>
      </c>
      <c r="I43" s="5">
        <v>44621</v>
      </c>
      <c r="J43" s="6">
        <v>0</v>
      </c>
      <c r="K43" s="6">
        <v>0</v>
      </c>
      <c r="L43" s="6">
        <v>339.04399999999998</v>
      </c>
      <c r="M43" s="6">
        <v>339.04399999999998</v>
      </c>
      <c r="N43" s="6">
        <v>339.04399999999998</v>
      </c>
      <c r="O43" s="6">
        <v>339.04399999999998</v>
      </c>
      <c r="P43" s="6">
        <v>0</v>
      </c>
      <c r="Q43" s="4" t="s">
        <v>26</v>
      </c>
      <c r="R43" s="4">
        <v>0</v>
      </c>
      <c r="S43" s="6">
        <v>0</v>
      </c>
      <c r="T43" s="6">
        <v>47</v>
      </c>
      <c r="U43" s="6">
        <v>27</v>
      </c>
      <c r="V43" s="6">
        <f>IF(ISERROR(VLOOKUP($S$43,'TAR FIN'!$A$1:$O$85,15,0)),0,VLOOKUP($S$43,'TAR FIN'!$A$1:$O$85,15,0))</f>
        <v>0</v>
      </c>
      <c r="W43" s="6">
        <f>IF(ISERROR(VLOOKUP($T$43,'TAR FIN'!$A$1:$O$85,15,0)),0,VLOOKUP($T$43,'TAR FIN'!$A$1:$O$85,15,0))</f>
        <v>72.23</v>
      </c>
      <c r="X43" s="6">
        <f>IF(ISERROR(VLOOKUP($U$43,'TAR FIN'!$A$1:$O$85,15,0)),0,VLOOKUP($U$43,'TAR FIN'!$A$1:$O$85,15,0))</f>
        <v>223.72</v>
      </c>
      <c r="Y43" s="6"/>
      <c r="Z43" s="6">
        <f ca="1">('TUSD BE'!$AM$12+'TUSD BF'!$AM$12+'TUSD CVA'!$AM$12)*1</f>
        <v>103.30505917577378</v>
      </c>
      <c r="AA43" s="6">
        <f>('TE BE'!$AA$6+'TE BF'!$AA$6+'TE CVA'!$AA$6)*1</f>
        <v>217.62939920622892</v>
      </c>
      <c r="AB43" s="6">
        <f>$K$43*$V$43</f>
        <v>0</v>
      </c>
      <c r="AC43" s="6">
        <f>$M$43*$W$43</f>
        <v>24489.148120000002</v>
      </c>
      <c r="AD43" s="6">
        <f>$O$43*$X$43</f>
        <v>75850.923679999993</v>
      </c>
      <c r="AE43" s="6">
        <f>$K$43*$Y$43</f>
        <v>0</v>
      </c>
      <c r="AF43" s="6">
        <f ca="1">$M$43*$Z$43</f>
        <v>35024.96048319104</v>
      </c>
      <c r="AG43" s="6">
        <f>$O$43*$AA$43</f>
        <v>73785.942024476681</v>
      </c>
    </row>
    <row r="44" spans="1:33" ht="11.25" customHeight="1" x14ac:dyDescent="0.25">
      <c r="A44" s="4" t="s">
        <v>21</v>
      </c>
      <c r="B44" s="4" t="s">
        <v>33</v>
      </c>
      <c r="C44" s="4" t="s">
        <v>34</v>
      </c>
      <c r="D44" s="4" t="s">
        <v>39</v>
      </c>
      <c r="E44" s="4" t="s">
        <v>25</v>
      </c>
      <c r="F44" s="4" t="s">
        <v>25</v>
      </c>
      <c r="G44" s="4" t="s">
        <v>25</v>
      </c>
      <c r="H44" s="4" t="s">
        <v>25</v>
      </c>
      <c r="I44" s="5">
        <v>44287</v>
      </c>
      <c r="J44" s="6">
        <v>2379</v>
      </c>
      <c r="K44" s="6">
        <v>2379</v>
      </c>
      <c r="L44" s="6">
        <v>0</v>
      </c>
      <c r="M44" s="6">
        <v>0</v>
      </c>
      <c r="N44" s="6">
        <v>0</v>
      </c>
      <c r="O44" s="6">
        <v>0</v>
      </c>
      <c r="P44" s="6">
        <v>17</v>
      </c>
      <c r="Q44" s="4" t="s">
        <v>26</v>
      </c>
      <c r="R44" s="4">
        <v>0</v>
      </c>
      <c r="S44" s="6">
        <v>65</v>
      </c>
      <c r="T44" s="6">
        <v>0</v>
      </c>
      <c r="U44" s="6">
        <v>0</v>
      </c>
      <c r="V44" s="6">
        <f>IF(ISERROR(VLOOKUP($S$44,'TAR FIN'!$A$1:$O$85,15,0)),0,VLOOKUP($S$44,'TAR FIN'!$A$1:$O$85,15,0))</f>
        <v>23.41</v>
      </c>
      <c r="W44" s="6">
        <f>IF(ISERROR(VLOOKUP($T$44,'TAR FIN'!$A$1:$O$85,15,0)),0,VLOOKUP($T$44,'TAR FIN'!$A$1:$O$85,15,0))</f>
        <v>0</v>
      </c>
      <c r="X44" s="6">
        <f>IF(ISERROR(VLOOKUP($U$44,'TAR FIN'!$A$1:$O$85,15,0)),0,VLOOKUP($U$44,'TAR FIN'!$A$1:$O$85,15,0))</f>
        <v>0</v>
      </c>
      <c r="Y44" s="6">
        <f ca="1">('TUSD BE'!$AM$10+'TUSD BF'!$AM$10+'TUSD CVA'!$AM$10)*1</f>
        <v>24.267918723282428</v>
      </c>
      <c r="Z44" s="6"/>
      <c r="AA44" s="6"/>
      <c r="AB44" s="6">
        <f>$K$44*$V$44</f>
        <v>55692.39</v>
      </c>
      <c r="AC44" s="6">
        <f>$M$44*$W$44</f>
        <v>0</v>
      </c>
      <c r="AD44" s="6">
        <f>$O$44*$X$44</f>
        <v>0</v>
      </c>
      <c r="AE44" s="6">
        <f ca="1">$K$44*$Y$44</f>
        <v>57733.378642688898</v>
      </c>
      <c r="AF44" s="6">
        <f>$M$44*$Z$44</f>
        <v>0</v>
      </c>
      <c r="AG44" s="6">
        <f>$O$44*$AA$44</f>
        <v>0</v>
      </c>
    </row>
    <row r="45" spans="1:33" ht="11.25" customHeight="1" x14ac:dyDescent="0.25">
      <c r="A45" s="4" t="s">
        <v>28</v>
      </c>
      <c r="B45" s="4" t="s">
        <v>33</v>
      </c>
      <c r="C45" s="4" t="s">
        <v>34</v>
      </c>
      <c r="D45" s="4" t="s">
        <v>39</v>
      </c>
      <c r="E45" s="4" t="s">
        <v>25</v>
      </c>
      <c r="F45" s="4" t="s">
        <v>25</v>
      </c>
      <c r="G45" s="4" t="s">
        <v>25</v>
      </c>
      <c r="H45" s="4" t="s">
        <v>25</v>
      </c>
      <c r="I45" s="5">
        <v>44287</v>
      </c>
      <c r="J45" s="6">
        <v>330</v>
      </c>
      <c r="K45" s="6">
        <v>330</v>
      </c>
      <c r="L45" s="6">
        <v>0</v>
      </c>
      <c r="M45" s="6">
        <v>0</v>
      </c>
      <c r="N45" s="6">
        <v>0</v>
      </c>
      <c r="O45" s="6">
        <v>0</v>
      </c>
      <c r="P45" s="6">
        <v>1</v>
      </c>
      <c r="Q45" s="4" t="s">
        <v>26</v>
      </c>
      <c r="R45" s="4">
        <v>0</v>
      </c>
      <c r="S45" s="6">
        <v>65</v>
      </c>
      <c r="T45" s="6">
        <v>0</v>
      </c>
      <c r="U45" s="6">
        <v>0</v>
      </c>
      <c r="V45" s="6">
        <f>IF(ISERROR(VLOOKUP($S$45,'TAR FIN'!$A$1:$O$85,15,0)),0,VLOOKUP($S$45,'TAR FIN'!$A$1:$O$85,15,0))</f>
        <v>23.41</v>
      </c>
      <c r="W45" s="6">
        <f>IF(ISERROR(VLOOKUP($T$45,'TAR FIN'!$A$1:$O$85,15,0)),0,VLOOKUP($T$45,'TAR FIN'!$A$1:$O$85,15,0))</f>
        <v>0</v>
      </c>
      <c r="X45" s="6">
        <f>IF(ISERROR(VLOOKUP($U$45,'TAR FIN'!$A$1:$O$85,15,0)),0,VLOOKUP($U$45,'TAR FIN'!$A$1:$O$85,15,0))</f>
        <v>0</v>
      </c>
      <c r="Y45" s="6">
        <f ca="1">('TUSD BE'!$AM$10+'TUSD BF'!$AM$10+'TUSD CVA'!$AM$10)*1</f>
        <v>24.267918723282428</v>
      </c>
      <c r="Z45" s="6"/>
      <c r="AA45" s="6"/>
      <c r="AB45" s="6">
        <f>$K$45*$V$45</f>
        <v>7725.3</v>
      </c>
      <c r="AC45" s="6">
        <f>$M$45*$W$45</f>
        <v>0</v>
      </c>
      <c r="AD45" s="6">
        <f>$O$45*$X$45</f>
        <v>0</v>
      </c>
      <c r="AE45" s="6">
        <f ca="1">$K$45*$Y$45</f>
        <v>8008.4131786832013</v>
      </c>
      <c r="AF45" s="6">
        <f>$M$45*$Z$45</f>
        <v>0</v>
      </c>
      <c r="AG45" s="6">
        <f>$O$45*$AA$45</f>
        <v>0</v>
      </c>
    </row>
    <row r="46" spans="1:33" ht="11.25" customHeight="1" x14ac:dyDescent="0.25">
      <c r="A46" s="4" t="s">
        <v>21</v>
      </c>
      <c r="B46" s="4" t="s">
        <v>33</v>
      </c>
      <c r="C46" s="4" t="s">
        <v>34</v>
      </c>
      <c r="D46" s="4" t="s">
        <v>39</v>
      </c>
      <c r="E46" s="4" t="s">
        <v>25</v>
      </c>
      <c r="F46" s="4" t="s">
        <v>25</v>
      </c>
      <c r="G46" s="4" t="s">
        <v>25</v>
      </c>
      <c r="H46" s="4" t="s">
        <v>25</v>
      </c>
      <c r="I46" s="5">
        <v>44317</v>
      </c>
      <c r="J46" s="6">
        <v>2071</v>
      </c>
      <c r="K46" s="6">
        <v>2071</v>
      </c>
      <c r="L46" s="6">
        <v>0</v>
      </c>
      <c r="M46" s="6">
        <v>0</v>
      </c>
      <c r="N46" s="6">
        <v>0</v>
      </c>
      <c r="O46" s="6">
        <v>0</v>
      </c>
      <c r="P46" s="6">
        <v>16</v>
      </c>
      <c r="Q46" s="4" t="s">
        <v>26</v>
      </c>
      <c r="R46" s="4">
        <v>0</v>
      </c>
      <c r="S46" s="6">
        <v>65</v>
      </c>
      <c r="T46" s="6">
        <v>0</v>
      </c>
      <c r="U46" s="6">
        <v>0</v>
      </c>
      <c r="V46" s="6">
        <f>IF(ISERROR(VLOOKUP($S$46,'TAR FIN'!$A$1:$O$85,15,0)),0,VLOOKUP($S$46,'TAR FIN'!$A$1:$O$85,15,0))</f>
        <v>23.41</v>
      </c>
      <c r="W46" s="6">
        <f>IF(ISERROR(VLOOKUP($T$46,'TAR FIN'!$A$1:$O$85,15,0)),0,VLOOKUP($T$46,'TAR FIN'!$A$1:$O$85,15,0))</f>
        <v>0</v>
      </c>
      <c r="X46" s="6">
        <f>IF(ISERROR(VLOOKUP($U$46,'TAR FIN'!$A$1:$O$85,15,0)),0,VLOOKUP($U$46,'TAR FIN'!$A$1:$O$85,15,0))</f>
        <v>0</v>
      </c>
      <c r="Y46" s="6">
        <f ca="1">('TUSD BE'!$AM$10+'TUSD BF'!$AM$10+'TUSD CVA'!$AM$10)*1</f>
        <v>24.267918723282428</v>
      </c>
      <c r="Z46" s="6"/>
      <c r="AA46" s="6"/>
      <c r="AB46" s="6">
        <f>$K$46*$V$46</f>
        <v>48482.11</v>
      </c>
      <c r="AC46" s="6">
        <f>$M$46*$W$46</f>
        <v>0</v>
      </c>
      <c r="AD46" s="6">
        <f>$O$46*$X$46</f>
        <v>0</v>
      </c>
      <c r="AE46" s="6">
        <f ca="1">$K$46*$Y$46</f>
        <v>50258.859675917905</v>
      </c>
      <c r="AF46" s="6">
        <f>$M$46*$Z$46</f>
        <v>0</v>
      </c>
      <c r="AG46" s="6">
        <f>$O$46*$AA$46</f>
        <v>0</v>
      </c>
    </row>
    <row r="47" spans="1:33" ht="11.25" customHeight="1" x14ac:dyDescent="0.25">
      <c r="A47" s="4" t="s">
        <v>28</v>
      </c>
      <c r="B47" s="4" t="s">
        <v>33</v>
      </c>
      <c r="C47" s="4" t="s">
        <v>34</v>
      </c>
      <c r="D47" s="4" t="s">
        <v>39</v>
      </c>
      <c r="E47" s="4" t="s">
        <v>25</v>
      </c>
      <c r="F47" s="4" t="s">
        <v>25</v>
      </c>
      <c r="G47" s="4" t="s">
        <v>25</v>
      </c>
      <c r="H47" s="4" t="s">
        <v>25</v>
      </c>
      <c r="I47" s="5">
        <v>44317</v>
      </c>
      <c r="J47" s="6">
        <v>330</v>
      </c>
      <c r="K47" s="6">
        <v>330</v>
      </c>
      <c r="L47" s="6">
        <v>0</v>
      </c>
      <c r="M47" s="6">
        <v>0</v>
      </c>
      <c r="N47" s="6">
        <v>0</v>
      </c>
      <c r="O47" s="6">
        <v>0</v>
      </c>
      <c r="P47" s="6">
        <v>1</v>
      </c>
      <c r="Q47" s="4" t="s">
        <v>26</v>
      </c>
      <c r="R47" s="4">
        <v>0</v>
      </c>
      <c r="S47" s="6">
        <v>65</v>
      </c>
      <c r="T47" s="6">
        <v>0</v>
      </c>
      <c r="U47" s="6">
        <v>0</v>
      </c>
      <c r="V47" s="6">
        <f>IF(ISERROR(VLOOKUP($S$47,'TAR FIN'!$A$1:$O$85,15,0)),0,VLOOKUP($S$47,'TAR FIN'!$A$1:$O$85,15,0))</f>
        <v>23.41</v>
      </c>
      <c r="W47" s="6">
        <f>IF(ISERROR(VLOOKUP($T$47,'TAR FIN'!$A$1:$O$85,15,0)),0,VLOOKUP($T$47,'TAR FIN'!$A$1:$O$85,15,0))</f>
        <v>0</v>
      </c>
      <c r="X47" s="6">
        <f>IF(ISERROR(VLOOKUP($U$47,'TAR FIN'!$A$1:$O$85,15,0)),0,VLOOKUP($U$47,'TAR FIN'!$A$1:$O$85,15,0))</f>
        <v>0</v>
      </c>
      <c r="Y47" s="6">
        <f ca="1">('TUSD BE'!$AM$10+'TUSD BF'!$AM$10+'TUSD CVA'!$AM$10)*1</f>
        <v>24.267918723282428</v>
      </c>
      <c r="Z47" s="6"/>
      <c r="AA47" s="6"/>
      <c r="AB47" s="6">
        <f>$K$47*$V$47</f>
        <v>7725.3</v>
      </c>
      <c r="AC47" s="6">
        <f>$M$47*$W$47</f>
        <v>0</v>
      </c>
      <c r="AD47" s="6">
        <f>$O$47*$X$47</f>
        <v>0</v>
      </c>
      <c r="AE47" s="6">
        <f ca="1">$K$47*$Y$47</f>
        <v>8008.4131786832013</v>
      </c>
      <c r="AF47" s="6">
        <f>$M$47*$Z$47</f>
        <v>0</v>
      </c>
      <c r="AG47" s="6">
        <f>$O$47*$AA$47</f>
        <v>0</v>
      </c>
    </row>
    <row r="48" spans="1:33" ht="11.25" customHeight="1" x14ac:dyDescent="0.25">
      <c r="A48" s="4" t="s">
        <v>21</v>
      </c>
      <c r="B48" s="4" t="s">
        <v>33</v>
      </c>
      <c r="C48" s="4" t="s">
        <v>34</v>
      </c>
      <c r="D48" s="4" t="s">
        <v>39</v>
      </c>
      <c r="E48" s="4" t="s">
        <v>25</v>
      </c>
      <c r="F48" s="4" t="s">
        <v>25</v>
      </c>
      <c r="G48" s="4" t="s">
        <v>25</v>
      </c>
      <c r="H48" s="4" t="s">
        <v>25</v>
      </c>
      <c r="I48" s="5">
        <v>44348</v>
      </c>
      <c r="J48" s="6">
        <v>2040</v>
      </c>
      <c r="K48" s="6">
        <v>2040</v>
      </c>
      <c r="L48" s="6">
        <v>0</v>
      </c>
      <c r="M48" s="6">
        <v>0</v>
      </c>
      <c r="N48" s="6">
        <v>0</v>
      </c>
      <c r="O48" s="6">
        <v>0</v>
      </c>
      <c r="P48" s="6">
        <v>15</v>
      </c>
      <c r="Q48" s="4" t="s">
        <v>26</v>
      </c>
      <c r="R48" s="4">
        <v>0</v>
      </c>
      <c r="S48" s="6">
        <v>65</v>
      </c>
      <c r="T48" s="6">
        <v>0</v>
      </c>
      <c r="U48" s="6">
        <v>0</v>
      </c>
      <c r="V48" s="6">
        <f>IF(ISERROR(VLOOKUP($S$48,'TAR FIN'!$A$1:$O$85,15,0)),0,VLOOKUP($S$48,'TAR FIN'!$A$1:$O$85,15,0))</f>
        <v>23.41</v>
      </c>
      <c r="W48" s="6">
        <f>IF(ISERROR(VLOOKUP($T$48,'TAR FIN'!$A$1:$O$85,15,0)),0,VLOOKUP($T$48,'TAR FIN'!$A$1:$O$85,15,0))</f>
        <v>0</v>
      </c>
      <c r="X48" s="6">
        <f>IF(ISERROR(VLOOKUP($U$48,'TAR FIN'!$A$1:$O$85,15,0)),0,VLOOKUP($U$48,'TAR FIN'!$A$1:$O$85,15,0))</f>
        <v>0</v>
      </c>
      <c r="Y48" s="6">
        <f ca="1">('TUSD BE'!$AM$10+'TUSD BF'!$AM$10+'TUSD CVA'!$AM$10)*1</f>
        <v>24.267918723282428</v>
      </c>
      <c r="Z48" s="6"/>
      <c r="AA48" s="6"/>
      <c r="AB48" s="6">
        <f>$K$48*$V$48</f>
        <v>47756.4</v>
      </c>
      <c r="AC48" s="6">
        <f>$M$48*$W$48</f>
        <v>0</v>
      </c>
      <c r="AD48" s="6">
        <f>$O$48*$X$48</f>
        <v>0</v>
      </c>
      <c r="AE48" s="6">
        <f ca="1">$K$48*$Y$48</f>
        <v>49506.554195496152</v>
      </c>
      <c r="AF48" s="6">
        <f>$M$48*$Z$48</f>
        <v>0</v>
      </c>
      <c r="AG48" s="6">
        <f>$O$48*$AA$48</f>
        <v>0</v>
      </c>
    </row>
    <row r="49" spans="1:33" ht="11.25" customHeight="1" x14ac:dyDescent="0.25">
      <c r="A49" s="4" t="s">
        <v>28</v>
      </c>
      <c r="B49" s="4" t="s">
        <v>33</v>
      </c>
      <c r="C49" s="4" t="s">
        <v>34</v>
      </c>
      <c r="D49" s="4" t="s">
        <v>39</v>
      </c>
      <c r="E49" s="4" t="s">
        <v>25</v>
      </c>
      <c r="F49" s="4" t="s">
        <v>25</v>
      </c>
      <c r="G49" s="4" t="s">
        <v>25</v>
      </c>
      <c r="H49" s="4" t="s">
        <v>25</v>
      </c>
      <c r="I49" s="5">
        <v>44348</v>
      </c>
      <c r="J49" s="6">
        <v>330</v>
      </c>
      <c r="K49" s="6">
        <v>330</v>
      </c>
      <c r="L49" s="6">
        <v>0</v>
      </c>
      <c r="M49" s="6">
        <v>0</v>
      </c>
      <c r="N49" s="6">
        <v>0</v>
      </c>
      <c r="O49" s="6">
        <v>0</v>
      </c>
      <c r="P49" s="6">
        <v>1</v>
      </c>
      <c r="Q49" s="4" t="s">
        <v>26</v>
      </c>
      <c r="R49" s="4">
        <v>0</v>
      </c>
      <c r="S49" s="6">
        <v>65</v>
      </c>
      <c r="T49" s="6">
        <v>0</v>
      </c>
      <c r="U49" s="6">
        <v>0</v>
      </c>
      <c r="V49" s="6">
        <f>IF(ISERROR(VLOOKUP($S$49,'TAR FIN'!$A$1:$O$85,15,0)),0,VLOOKUP($S$49,'TAR FIN'!$A$1:$O$85,15,0))</f>
        <v>23.41</v>
      </c>
      <c r="W49" s="6">
        <f>IF(ISERROR(VLOOKUP($T$49,'TAR FIN'!$A$1:$O$85,15,0)),0,VLOOKUP($T$49,'TAR FIN'!$A$1:$O$85,15,0))</f>
        <v>0</v>
      </c>
      <c r="X49" s="6">
        <f>IF(ISERROR(VLOOKUP($U$49,'TAR FIN'!$A$1:$O$85,15,0)),0,VLOOKUP($U$49,'TAR FIN'!$A$1:$O$85,15,0))</f>
        <v>0</v>
      </c>
      <c r="Y49" s="6">
        <f ca="1">('TUSD BE'!$AM$10+'TUSD BF'!$AM$10+'TUSD CVA'!$AM$10)*1</f>
        <v>24.267918723282428</v>
      </c>
      <c r="Z49" s="6"/>
      <c r="AA49" s="6"/>
      <c r="AB49" s="6">
        <f>$K$49*$V$49</f>
        <v>7725.3</v>
      </c>
      <c r="AC49" s="6">
        <f>$M$49*$W$49</f>
        <v>0</v>
      </c>
      <c r="AD49" s="6">
        <f>$O$49*$X$49</f>
        <v>0</v>
      </c>
      <c r="AE49" s="6">
        <f ca="1">$K$49*$Y$49</f>
        <v>8008.4131786832013</v>
      </c>
      <c r="AF49" s="6">
        <f>$M$49*$Z$49</f>
        <v>0</v>
      </c>
      <c r="AG49" s="6">
        <f>$O$49*$AA$49</f>
        <v>0</v>
      </c>
    </row>
    <row r="50" spans="1:33" ht="11.25" customHeight="1" x14ac:dyDescent="0.25">
      <c r="A50" s="4" t="s">
        <v>21</v>
      </c>
      <c r="B50" s="4" t="s">
        <v>33</v>
      </c>
      <c r="C50" s="4" t="s">
        <v>34</v>
      </c>
      <c r="D50" s="4" t="s">
        <v>39</v>
      </c>
      <c r="E50" s="4" t="s">
        <v>25</v>
      </c>
      <c r="F50" s="4" t="s">
        <v>25</v>
      </c>
      <c r="G50" s="4" t="s">
        <v>25</v>
      </c>
      <c r="H50" s="4" t="s">
        <v>25</v>
      </c>
      <c r="I50" s="5">
        <v>44378</v>
      </c>
      <c r="J50" s="6">
        <v>2061</v>
      </c>
      <c r="K50" s="6">
        <v>2061</v>
      </c>
      <c r="L50" s="6">
        <v>0</v>
      </c>
      <c r="M50" s="6">
        <v>0</v>
      </c>
      <c r="N50" s="6">
        <v>0</v>
      </c>
      <c r="O50" s="6">
        <v>0</v>
      </c>
      <c r="P50" s="6">
        <v>15</v>
      </c>
      <c r="Q50" s="4" t="s">
        <v>26</v>
      </c>
      <c r="R50" s="4">
        <v>0</v>
      </c>
      <c r="S50" s="6">
        <v>65</v>
      </c>
      <c r="T50" s="6">
        <v>0</v>
      </c>
      <c r="U50" s="6">
        <v>0</v>
      </c>
      <c r="V50" s="6">
        <f>IF(ISERROR(VLOOKUP($S$50,'TAR FIN'!$A$1:$O$85,15,0)),0,VLOOKUP($S$50,'TAR FIN'!$A$1:$O$85,15,0))</f>
        <v>23.41</v>
      </c>
      <c r="W50" s="6">
        <f>IF(ISERROR(VLOOKUP($T$50,'TAR FIN'!$A$1:$O$85,15,0)),0,VLOOKUP($T$50,'TAR FIN'!$A$1:$O$85,15,0))</f>
        <v>0</v>
      </c>
      <c r="X50" s="6">
        <f>IF(ISERROR(VLOOKUP($U$50,'TAR FIN'!$A$1:$O$85,15,0)),0,VLOOKUP($U$50,'TAR FIN'!$A$1:$O$85,15,0))</f>
        <v>0</v>
      </c>
      <c r="Y50" s="6">
        <f ca="1">('TUSD BE'!$AM$10+'TUSD BF'!$AM$10+'TUSD CVA'!$AM$10)*1</f>
        <v>24.267918723282428</v>
      </c>
      <c r="Z50" s="6"/>
      <c r="AA50" s="6"/>
      <c r="AB50" s="6">
        <f>$K$50*$V$50</f>
        <v>48248.01</v>
      </c>
      <c r="AC50" s="6">
        <f>$M$50*$W$50</f>
        <v>0</v>
      </c>
      <c r="AD50" s="6">
        <f>$O$50*$X$50</f>
        <v>0</v>
      </c>
      <c r="AE50" s="6">
        <f ca="1">$K$50*$Y$50</f>
        <v>50016.18048868508</v>
      </c>
      <c r="AF50" s="6">
        <f>$M$50*$Z$50</f>
        <v>0</v>
      </c>
      <c r="AG50" s="6">
        <f>$O$50*$AA$50</f>
        <v>0</v>
      </c>
    </row>
    <row r="51" spans="1:33" ht="11.25" customHeight="1" x14ac:dyDescent="0.25">
      <c r="A51" s="4" t="s">
        <v>28</v>
      </c>
      <c r="B51" s="4" t="s">
        <v>33</v>
      </c>
      <c r="C51" s="4" t="s">
        <v>34</v>
      </c>
      <c r="D51" s="4" t="s">
        <v>39</v>
      </c>
      <c r="E51" s="4" t="s">
        <v>25</v>
      </c>
      <c r="F51" s="4" t="s">
        <v>25</v>
      </c>
      <c r="G51" s="4" t="s">
        <v>25</v>
      </c>
      <c r="H51" s="4" t="s">
        <v>25</v>
      </c>
      <c r="I51" s="5">
        <v>44378</v>
      </c>
      <c r="J51" s="6">
        <v>330</v>
      </c>
      <c r="K51" s="6">
        <v>330</v>
      </c>
      <c r="L51" s="6">
        <v>0</v>
      </c>
      <c r="M51" s="6">
        <v>0</v>
      </c>
      <c r="N51" s="6">
        <v>0</v>
      </c>
      <c r="O51" s="6">
        <v>0</v>
      </c>
      <c r="P51" s="6">
        <v>1</v>
      </c>
      <c r="Q51" s="4" t="s">
        <v>26</v>
      </c>
      <c r="R51" s="4">
        <v>0</v>
      </c>
      <c r="S51" s="6">
        <v>65</v>
      </c>
      <c r="T51" s="6">
        <v>0</v>
      </c>
      <c r="U51" s="6">
        <v>0</v>
      </c>
      <c r="V51" s="6">
        <f>IF(ISERROR(VLOOKUP($S$51,'TAR FIN'!$A$1:$O$85,15,0)),0,VLOOKUP($S$51,'TAR FIN'!$A$1:$O$85,15,0))</f>
        <v>23.41</v>
      </c>
      <c r="W51" s="6">
        <f>IF(ISERROR(VLOOKUP($T$51,'TAR FIN'!$A$1:$O$85,15,0)),0,VLOOKUP($T$51,'TAR FIN'!$A$1:$O$85,15,0))</f>
        <v>0</v>
      </c>
      <c r="X51" s="6">
        <f>IF(ISERROR(VLOOKUP($U$51,'TAR FIN'!$A$1:$O$85,15,0)),0,VLOOKUP($U$51,'TAR FIN'!$A$1:$O$85,15,0))</f>
        <v>0</v>
      </c>
      <c r="Y51" s="6">
        <f ca="1">('TUSD BE'!$AM$10+'TUSD BF'!$AM$10+'TUSD CVA'!$AM$10)*1</f>
        <v>24.267918723282428</v>
      </c>
      <c r="Z51" s="6"/>
      <c r="AA51" s="6"/>
      <c r="AB51" s="6">
        <f>$K$51*$V$51</f>
        <v>7725.3</v>
      </c>
      <c r="AC51" s="6">
        <f>$M$51*$W$51</f>
        <v>0</v>
      </c>
      <c r="AD51" s="6">
        <f>$O$51*$X$51</f>
        <v>0</v>
      </c>
      <c r="AE51" s="6">
        <f ca="1">$K$51*$Y$51</f>
        <v>8008.4131786832013</v>
      </c>
      <c r="AF51" s="6">
        <f>$M$51*$Z$51</f>
        <v>0</v>
      </c>
      <c r="AG51" s="6">
        <f>$O$51*$AA$51</f>
        <v>0</v>
      </c>
    </row>
    <row r="52" spans="1:33" ht="11.25" customHeight="1" x14ac:dyDescent="0.25">
      <c r="A52" s="4" t="s">
        <v>21</v>
      </c>
      <c r="B52" s="4" t="s">
        <v>33</v>
      </c>
      <c r="C52" s="4" t="s">
        <v>34</v>
      </c>
      <c r="D52" s="4" t="s">
        <v>39</v>
      </c>
      <c r="E52" s="4" t="s">
        <v>25</v>
      </c>
      <c r="F52" s="4" t="s">
        <v>25</v>
      </c>
      <c r="G52" s="4" t="s">
        <v>25</v>
      </c>
      <c r="H52" s="4" t="s">
        <v>25</v>
      </c>
      <c r="I52" s="5">
        <v>44409</v>
      </c>
      <c r="J52" s="6">
        <v>2146</v>
      </c>
      <c r="K52" s="6">
        <v>2146</v>
      </c>
      <c r="L52" s="6">
        <v>0</v>
      </c>
      <c r="M52" s="6">
        <v>0</v>
      </c>
      <c r="N52" s="6">
        <v>0</v>
      </c>
      <c r="O52" s="6">
        <v>0</v>
      </c>
      <c r="P52" s="6">
        <v>15</v>
      </c>
      <c r="Q52" s="4" t="s">
        <v>26</v>
      </c>
      <c r="R52" s="4">
        <v>0</v>
      </c>
      <c r="S52" s="6">
        <v>65</v>
      </c>
      <c r="T52" s="6">
        <v>0</v>
      </c>
      <c r="U52" s="6">
        <v>0</v>
      </c>
      <c r="V52" s="6">
        <f>IF(ISERROR(VLOOKUP($S$52,'TAR FIN'!$A$1:$O$85,15,0)),0,VLOOKUP($S$52,'TAR FIN'!$A$1:$O$85,15,0))</f>
        <v>23.41</v>
      </c>
      <c r="W52" s="6">
        <f>IF(ISERROR(VLOOKUP($T$52,'TAR FIN'!$A$1:$O$85,15,0)),0,VLOOKUP($T$52,'TAR FIN'!$A$1:$O$85,15,0))</f>
        <v>0</v>
      </c>
      <c r="X52" s="6">
        <f>IF(ISERROR(VLOOKUP($U$52,'TAR FIN'!$A$1:$O$85,15,0)),0,VLOOKUP($U$52,'TAR FIN'!$A$1:$O$85,15,0))</f>
        <v>0</v>
      </c>
      <c r="Y52" s="6">
        <f ca="1">('TUSD BE'!$AM$10+'TUSD BF'!$AM$10+'TUSD CVA'!$AM$10)*1</f>
        <v>24.267918723282428</v>
      </c>
      <c r="Z52" s="6"/>
      <c r="AA52" s="6"/>
      <c r="AB52" s="6">
        <f>$K$52*$V$52</f>
        <v>50237.86</v>
      </c>
      <c r="AC52" s="6">
        <f>$M$52*$W$52</f>
        <v>0</v>
      </c>
      <c r="AD52" s="6">
        <f>$O$52*$X$52</f>
        <v>0</v>
      </c>
      <c r="AE52" s="6">
        <f ca="1">$K$52*$Y$52</f>
        <v>52078.953580164089</v>
      </c>
      <c r="AF52" s="6">
        <f>$M$52*$Z$52</f>
        <v>0</v>
      </c>
      <c r="AG52" s="6">
        <f>$O$52*$AA$52</f>
        <v>0</v>
      </c>
    </row>
    <row r="53" spans="1:33" ht="11.25" customHeight="1" x14ac:dyDescent="0.25">
      <c r="A53" s="4" t="s">
        <v>28</v>
      </c>
      <c r="B53" s="4" t="s">
        <v>33</v>
      </c>
      <c r="C53" s="4" t="s">
        <v>34</v>
      </c>
      <c r="D53" s="4" t="s">
        <v>39</v>
      </c>
      <c r="E53" s="4" t="s">
        <v>25</v>
      </c>
      <c r="F53" s="4" t="s">
        <v>25</v>
      </c>
      <c r="G53" s="4" t="s">
        <v>25</v>
      </c>
      <c r="H53" s="4" t="s">
        <v>25</v>
      </c>
      <c r="I53" s="5">
        <v>44409</v>
      </c>
      <c r="J53" s="6">
        <v>330</v>
      </c>
      <c r="K53" s="6">
        <v>330</v>
      </c>
      <c r="L53" s="6">
        <v>0</v>
      </c>
      <c r="M53" s="6">
        <v>0</v>
      </c>
      <c r="N53" s="6">
        <v>0</v>
      </c>
      <c r="O53" s="6">
        <v>0</v>
      </c>
      <c r="P53" s="6">
        <v>1</v>
      </c>
      <c r="Q53" s="4" t="s">
        <v>26</v>
      </c>
      <c r="R53" s="4">
        <v>0</v>
      </c>
      <c r="S53" s="6">
        <v>65</v>
      </c>
      <c r="T53" s="6">
        <v>0</v>
      </c>
      <c r="U53" s="6">
        <v>0</v>
      </c>
      <c r="V53" s="6">
        <f>IF(ISERROR(VLOOKUP($S$53,'TAR FIN'!$A$1:$O$85,15,0)),0,VLOOKUP($S$53,'TAR FIN'!$A$1:$O$85,15,0))</f>
        <v>23.41</v>
      </c>
      <c r="W53" s="6">
        <f>IF(ISERROR(VLOOKUP($T$53,'TAR FIN'!$A$1:$O$85,15,0)),0,VLOOKUP($T$53,'TAR FIN'!$A$1:$O$85,15,0))</f>
        <v>0</v>
      </c>
      <c r="X53" s="6">
        <f>IF(ISERROR(VLOOKUP($U$53,'TAR FIN'!$A$1:$O$85,15,0)),0,VLOOKUP($U$53,'TAR FIN'!$A$1:$O$85,15,0))</f>
        <v>0</v>
      </c>
      <c r="Y53" s="6">
        <f ca="1">('TUSD BE'!$AM$10+'TUSD BF'!$AM$10+'TUSD CVA'!$AM$10)*1</f>
        <v>24.267918723282428</v>
      </c>
      <c r="Z53" s="6"/>
      <c r="AA53" s="6"/>
      <c r="AB53" s="6">
        <f>$K$53*$V$53</f>
        <v>7725.3</v>
      </c>
      <c r="AC53" s="6">
        <f>$M$53*$W$53</f>
        <v>0</v>
      </c>
      <c r="AD53" s="6">
        <f>$O$53*$X$53</f>
        <v>0</v>
      </c>
      <c r="AE53" s="6">
        <f ca="1">$K$53*$Y$53</f>
        <v>8008.4131786832013</v>
      </c>
      <c r="AF53" s="6">
        <f>$M$53*$Z$53</f>
        <v>0</v>
      </c>
      <c r="AG53" s="6">
        <f>$O$53*$AA$53</f>
        <v>0</v>
      </c>
    </row>
    <row r="54" spans="1:33" ht="11.25" customHeight="1" x14ac:dyDescent="0.25">
      <c r="A54" s="4" t="s">
        <v>21</v>
      </c>
      <c r="B54" s="4" t="s">
        <v>33</v>
      </c>
      <c r="C54" s="4" t="s">
        <v>34</v>
      </c>
      <c r="D54" s="4" t="s">
        <v>39</v>
      </c>
      <c r="E54" s="4" t="s">
        <v>25</v>
      </c>
      <c r="F54" s="4" t="s">
        <v>25</v>
      </c>
      <c r="G54" s="4" t="s">
        <v>25</v>
      </c>
      <c r="H54" s="4" t="s">
        <v>25</v>
      </c>
      <c r="I54" s="5">
        <v>44440</v>
      </c>
      <c r="J54" s="6">
        <v>2044</v>
      </c>
      <c r="K54" s="6">
        <v>2044</v>
      </c>
      <c r="L54" s="6">
        <v>0</v>
      </c>
      <c r="M54" s="6">
        <v>0</v>
      </c>
      <c r="N54" s="6">
        <v>0</v>
      </c>
      <c r="O54" s="6">
        <v>0</v>
      </c>
      <c r="P54" s="6">
        <v>15</v>
      </c>
      <c r="Q54" s="4" t="s">
        <v>26</v>
      </c>
      <c r="R54" s="4">
        <v>0</v>
      </c>
      <c r="S54" s="6">
        <v>65</v>
      </c>
      <c r="T54" s="6">
        <v>0</v>
      </c>
      <c r="U54" s="6">
        <v>0</v>
      </c>
      <c r="V54" s="6">
        <f>IF(ISERROR(VLOOKUP($S$54,'TAR FIN'!$A$1:$O$85,15,0)),0,VLOOKUP($S$54,'TAR FIN'!$A$1:$O$85,15,0))</f>
        <v>23.41</v>
      </c>
      <c r="W54" s="6">
        <f>IF(ISERROR(VLOOKUP($T$54,'TAR FIN'!$A$1:$O$85,15,0)),0,VLOOKUP($T$54,'TAR FIN'!$A$1:$O$85,15,0))</f>
        <v>0</v>
      </c>
      <c r="X54" s="6">
        <f>IF(ISERROR(VLOOKUP($U$54,'TAR FIN'!$A$1:$O$85,15,0)),0,VLOOKUP($U$54,'TAR FIN'!$A$1:$O$85,15,0))</f>
        <v>0</v>
      </c>
      <c r="Y54" s="6">
        <f ca="1">('TUSD BE'!$AM$10+'TUSD BF'!$AM$10+'TUSD CVA'!$AM$10)*1</f>
        <v>24.267918723282428</v>
      </c>
      <c r="Z54" s="6"/>
      <c r="AA54" s="6"/>
      <c r="AB54" s="6">
        <f>$K$54*$V$54</f>
        <v>47850.04</v>
      </c>
      <c r="AC54" s="6">
        <f>$M$54*$W$54</f>
        <v>0</v>
      </c>
      <c r="AD54" s="6">
        <f>$O$54*$X$54</f>
        <v>0</v>
      </c>
      <c r="AE54" s="6">
        <f ca="1">$K$54*$Y$54</f>
        <v>49603.625870389282</v>
      </c>
      <c r="AF54" s="6">
        <f>$M$54*$Z$54</f>
        <v>0</v>
      </c>
      <c r="AG54" s="6">
        <f>$O$54*$AA$54</f>
        <v>0</v>
      </c>
    </row>
    <row r="55" spans="1:33" ht="11.25" customHeight="1" x14ac:dyDescent="0.25">
      <c r="A55" s="4" t="s">
        <v>28</v>
      </c>
      <c r="B55" s="4" t="s">
        <v>33</v>
      </c>
      <c r="C55" s="4" t="s">
        <v>34</v>
      </c>
      <c r="D55" s="4" t="s">
        <v>39</v>
      </c>
      <c r="E55" s="4" t="s">
        <v>25</v>
      </c>
      <c r="F55" s="4" t="s">
        <v>25</v>
      </c>
      <c r="G55" s="4" t="s">
        <v>25</v>
      </c>
      <c r="H55" s="4" t="s">
        <v>25</v>
      </c>
      <c r="I55" s="5">
        <v>44440</v>
      </c>
      <c r="J55" s="6">
        <v>330</v>
      </c>
      <c r="K55" s="6">
        <v>330</v>
      </c>
      <c r="L55" s="6">
        <v>0</v>
      </c>
      <c r="M55" s="6">
        <v>0</v>
      </c>
      <c r="N55" s="6">
        <v>0</v>
      </c>
      <c r="O55" s="6">
        <v>0</v>
      </c>
      <c r="P55" s="6">
        <v>1</v>
      </c>
      <c r="Q55" s="4" t="s">
        <v>26</v>
      </c>
      <c r="R55" s="4">
        <v>0</v>
      </c>
      <c r="S55" s="6">
        <v>65</v>
      </c>
      <c r="T55" s="6">
        <v>0</v>
      </c>
      <c r="U55" s="6">
        <v>0</v>
      </c>
      <c r="V55" s="6">
        <f>IF(ISERROR(VLOOKUP($S$55,'TAR FIN'!$A$1:$O$85,15,0)),0,VLOOKUP($S$55,'TAR FIN'!$A$1:$O$85,15,0))</f>
        <v>23.41</v>
      </c>
      <c r="W55" s="6">
        <f>IF(ISERROR(VLOOKUP($T$55,'TAR FIN'!$A$1:$O$85,15,0)),0,VLOOKUP($T$55,'TAR FIN'!$A$1:$O$85,15,0))</f>
        <v>0</v>
      </c>
      <c r="X55" s="6">
        <f>IF(ISERROR(VLOOKUP($U$55,'TAR FIN'!$A$1:$O$85,15,0)),0,VLOOKUP($U$55,'TAR FIN'!$A$1:$O$85,15,0))</f>
        <v>0</v>
      </c>
      <c r="Y55" s="6">
        <f ca="1">('TUSD BE'!$AM$10+'TUSD BF'!$AM$10+'TUSD CVA'!$AM$10)*1</f>
        <v>24.267918723282428</v>
      </c>
      <c r="Z55" s="6"/>
      <c r="AA55" s="6"/>
      <c r="AB55" s="6">
        <f>$K$55*$V$55</f>
        <v>7725.3</v>
      </c>
      <c r="AC55" s="6">
        <f>$M$55*$W$55</f>
        <v>0</v>
      </c>
      <c r="AD55" s="6">
        <f>$O$55*$X$55</f>
        <v>0</v>
      </c>
      <c r="AE55" s="6">
        <f ca="1">$K$55*$Y$55</f>
        <v>8008.4131786832013</v>
      </c>
      <c r="AF55" s="6">
        <f>$M$55*$Z$55</f>
        <v>0</v>
      </c>
      <c r="AG55" s="6">
        <f>$O$55*$AA$55</f>
        <v>0</v>
      </c>
    </row>
    <row r="56" spans="1:33" ht="11.25" customHeight="1" x14ac:dyDescent="0.25">
      <c r="A56" s="4" t="s">
        <v>21</v>
      </c>
      <c r="B56" s="4" t="s">
        <v>33</v>
      </c>
      <c r="C56" s="4" t="s">
        <v>34</v>
      </c>
      <c r="D56" s="4" t="s">
        <v>39</v>
      </c>
      <c r="E56" s="4" t="s">
        <v>25</v>
      </c>
      <c r="F56" s="4" t="s">
        <v>25</v>
      </c>
      <c r="G56" s="4" t="s">
        <v>25</v>
      </c>
      <c r="H56" s="4" t="s">
        <v>25</v>
      </c>
      <c r="I56" s="5">
        <v>44470</v>
      </c>
      <c r="J56" s="6">
        <v>2011</v>
      </c>
      <c r="K56" s="6">
        <v>2011</v>
      </c>
      <c r="L56" s="6">
        <v>0</v>
      </c>
      <c r="M56" s="6">
        <v>0</v>
      </c>
      <c r="N56" s="6">
        <v>0</v>
      </c>
      <c r="O56" s="6">
        <v>0</v>
      </c>
      <c r="P56" s="6">
        <v>15</v>
      </c>
      <c r="Q56" s="4" t="s">
        <v>26</v>
      </c>
      <c r="R56" s="4">
        <v>0</v>
      </c>
      <c r="S56" s="6">
        <v>65</v>
      </c>
      <c r="T56" s="6">
        <v>0</v>
      </c>
      <c r="U56" s="6">
        <v>0</v>
      </c>
      <c r="V56" s="6">
        <f>IF(ISERROR(VLOOKUP($S$56,'TAR FIN'!$A$1:$O$85,15,0)),0,VLOOKUP($S$56,'TAR FIN'!$A$1:$O$85,15,0))</f>
        <v>23.41</v>
      </c>
      <c r="W56" s="6">
        <f>IF(ISERROR(VLOOKUP($T$56,'TAR FIN'!$A$1:$O$85,15,0)),0,VLOOKUP($T$56,'TAR FIN'!$A$1:$O$85,15,0))</f>
        <v>0</v>
      </c>
      <c r="X56" s="6">
        <f>IF(ISERROR(VLOOKUP($U$56,'TAR FIN'!$A$1:$O$85,15,0)),0,VLOOKUP($U$56,'TAR FIN'!$A$1:$O$85,15,0))</f>
        <v>0</v>
      </c>
      <c r="Y56" s="6">
        <f ca="1">('TUSD BE'!$AM$10+'TUSD BF'!$AM$10+'TUSD CVA'!$AM$10)*1</f>
        <v>24.267918723282428</v>
      </c>
      <c r="Z56" s="6"/>
      <c r="AA56" s="6"/>
      <c r="AB56" s="6">
        <f>$K$56*$V$56</f>
        <v>47077.51</v>
      </c>
      <c r="AC56" s="6">
        <f>$M$56*$W$56</f>
        <v>0</v>
      </c>
      <c r="AD56" s="6">
        <f>$O$56*$X$56</f>
        <v>0</v>
      </c>
      <c r="AE56" s="6">
        <f ca="1">$K$56*$Y$56</f>
        <v>48802.784552520963</v>
      </c>
      <c r="AF56" s="6">
        <f>$M$56*$Z$56</f>
        <v>0</v>
      </c>
      <c r="AG56" s="6">
        <f>$O$56*$AA$56</f>
        <v>0</v>
      </c>
    </row>
    <row r="57" spans="1:33" ht="11.25" customHeight="1" x14ac:dyDescent="0.25">
      <c r="A57" s="4" t="s">
        <v>28</v>
      </c>
      <c r="B57" s="4" t="s">
        <v>33</v>
      </c>
      <c r="C57" s="4" t="s">
        <v>34</v>
      </c>
      <c r="D57" s="4" t="s">
        <v>39</v>
      </c>
      <c r="E57" s="4" t="s">
        <v>25</v>
      </c>
      <c r="F57" s="4" t="s">
        <v>25</v>
      </c>
      <c r="G57" s="4" t="s">
        <v>25</v>
      </c>
      <c r="H57" s="4" t="s">
        <v>25</v>
      </c>
      <c r="I57" s="5">
        <v>44470</v>
      </c>
      <c r="J57" s="6">
        <v>330</v>
      </c>
      <c r="K57" s="6">
        <v>330</v>
      </c>
      <c r="L57" s="6">
        <v>0</v>
      </c>
      <c r="M57" s="6">
        <v>0</v>
      </c>
      <c r="N57" s="6">
        <v>0</v>
      </c>
      <c r="O57" s="6">
        <v>0</v>
      </c>
      <c r="P57" s="6">
        <v>1</v>
      </c>
      <c r="Q57" s="4" t="s">
        <v>26</v>
      </c>
      <c r="R57" s="4">
        <v>0</v>
      </c>
      <c r="S57" s="6">
        <v>65</v>
      </c>
      <c r="T57" s="6">
        <v>0</v>
      </c>
      <c r="U57" s="6">
        <v>0</v>
      </c>
      <c r="V57" s="6">
        <f>IF(ISERROR(VLOOKUP($S$57,'TAR FIN'!$A$1:$O$85,15,0)),0,VLOOKUP($S$57,'TAR FIN'!$A$1:$O$85,15,0))</f>
        <v>23.41</v>
      </c>
      <c r="W57" s="6">
        <f>IF(ISERROR(VLOOKUP($T$57,'TAR FIN'!$A$1:$O$85,15,0)),0,VLOOKUP($T$57,'TAR FIN'!$A$1:$O$85,15,0))</f>
        <v>0</v>
      </c>
      <c r="X57" s="6">
        <f>IF(ISERROR(VLOOKUP($U$57,'TAR FIN'!$A$1:$O$85,15,0)),0,VLOOKUP($U$57,'TAR FIN'!$A$1:$O$85,15,0))</f>
        <v>0</v>
      </c>
      <c r="Y57" s="6">
        <f ca="1">('TUSD BE'!$AM$10+'TUSD BF'!$AM$10+'TUSD CVA'!$AM$10)*1</f>
        <v>24.267918723282428</v>
      </c>
      <c r="Z57" s="6"/>
      <c r="AA57" s="6"/>
      <c r="AB57" s="6">
        <f>$K$57*$V$57</f>
        <v>7725.3</v>
      </c>
      <c r="AC57" s="6">
        <f>$M$57*$W$57</f>
        <v>0</v>
      </c>
      <c r="AD57" s="6">
        <f>$O$57*$X$57</f>
        <v>0</v>
      </c>
      <c r="AE57" s="6">
        <f ca="1">$K$57*$Y$57</f>
        <v>8008.4131786832013</v>
      </c>
      <c r="AF57" s="6">
        <f>$M$57*$Z$57</f>
        <v>0</v>
      </c>
      <c r="AG57" s="6">
        <f>$O$57*$AA$57</f>
        <v>0</v>
      </c>
    </row>
    <row r="58" spans="1:33" ht="11.25" customHeight="1" x14ac:dyDescent="0.25">
      <c r="A58" s="4" t="s">
        <v>21</v>
      </c>
      <c r="B58" s="4" t="s">
        <v>33</v>
      </c>
      <c r="C58" s="4" t="s">
        <v>34</v>
      </c>
      <c r="D58" s="4" t="s">
        <v>39</v>
      </c>
      <c r="E58" s="4" t="s">
        <v>25</v>
      </c>
      <c r="F58" s="4" t="s">
        <v>25</v>
      </c>
      <c r="G58" s="4" t="s">
        <v>25</v>
      </c>
      <c r="H58" s="4" t="s">
        <v>25</v>
      </c>
      <c r="I58" s="5">
        <v>44501</v>
      </c>
      <c r="J58" s="6">
        <v>2100</v>
      </c>
      <c r="K58" s="6">
        <v>2100</v>
      </c>
      <c r="L58" s="6">
        <v>0</v>
      </c>
      <c r="M58" s="6">
        <v>0</v>
      </c>
      <c r="N58" s="6">
        <v>0</v>
      </c>
      <c r="O58" s="6">
        <v>0</v>
      </c>
      <c r="P58" s="6">
        <v>15</v>
      </c>
      <c r="Q58" s="4" t="s">
        <v>26</v>
      </c>
      <c r="R58" s="4">
        <v>0</v>
      </c>
      <c r="S58" s="6">
        <v>65</v>
      </c>
      <c r="T58" s="6">
        <v>0</v>
      </c>
      <c r="U58" s="6">
        <v>0</v>
      </c>
      <c r="V58" s="6">
        <f>IF(ISERROR(VLOOKUP($S$58,'TAR FIN'!$A$1:$O$85,15,0)),0,VLOOKUP($S$58,'TAR FIN'!$A$1:$O$85,15,0))</f>
        <v>23.41</v>
      </c>
      <c r="W58" s="6">
        <f>IF(ISERROR(VLOOKUP($T$58,'TAR FIN'!$A$1:$O$85,15,0)),0,VLOOKUP($T$58,'TAR FIN'!$A$1:$O$85,15,0))</f>
        <v>0</v>
      </c>
      <c r="X58" s="6">
        <f>IF(ISERROR(VLOOKUP($U$58,'TAR FIN'!$A$1:$O$85,15,0)),0,VLOOKUP($U$58,'TAR FIN'!$A$1:$O$85,15,0))</f>
        <v>0</v>
      </c>
      <c r="Y58" s="6">
        <f ca="1">('TUSD BE'!$AM$10+'TUSD BF'!$AM$10+'TUSD CVA'!$AM$10)*1</f>
        <v>24.267918723282428</v>
      </c>
      <c r="Z58" s="6"/>
      <c r="AA58" s="6"/>
      <c r="AB58" s="6">
        <f>$K$58*$V$58</f>
        <v>49161</v>
      </c>
      <c r="AC58" s="6">
        <f>$M$58*$W$58</f>
        <v>0</v>
      </c>
      <c r="AD58" s="6">
        <f>$O$58*$X$58</f>
        <v>0</v>
      </c>
      <c r="AE58" s="6">
        <f ca="1">$K$58*$Y$58</f>
        <v>50962.629318893101</v>
      </c>
      <c r="AF58" s="6">
        <f>$M$58*$Z$58</f>
        <v>0</v>
      </c>
      <c r="AG58" s="6">
        <f>$O$58*$AA$58</f>
        <v>0</v>
      </c>
    </row>
    <row r="59" spans="1:33" ht="11.25" customHeight="1" x14ac:dyDescent="0.25">
      <c r="A59" s="4" t="s">
        <v>28</v>
      </c>
      <c r="B59" s="4" t="s">
        <v>33</v>
      </c>
      <c r="C59" s="4" t="s">
        <v>34</v>
      </c>
      <c r="D59" s="4" t="s">
        <v>39</v>
      </c>
      <c r="E59" s="4" t="s">
        <v>25</v>
      </c>
      <c r="F59" s="4" t="s">
        <v>25</v>
      </c>
      <c r="G59" s="4" t="s">
        <v>25</v>
      </c>
      <c r="H59" s="4" t="s">
        <v>25</v>
      </c>
      <c r="I59" s="5">
        <v>44501</v>
      </c>
      <c r="J59" s="6">
        <v>330</v>
      </c>
      <c r="K59" s="6">
        <v>330</v>
      </c>
      <c r="L59" s="6">
        <v>0</v>
      </c>
      <c r="M59" s="6">
        <v>0</v>
      </c>
      <c r="N59" s="6">
        <v>0</v>
      </c>
      <c r="O59" s="6">
        <v>0</v>
      </c>
      <c r="P59" s="6">
        <v>1</v>
      </c>
      <c r="Q59" s="4" t="s">
        <v>26</v>
      </c>
      <c r="R59" s="4">
        <v>0</v>
      </c>
      <c r="S59" s="6">
        <v>65</v>
      </c>
      <c r="T59" s="6">
        <v>0</v>
      </c>
      <c r="U59" s="6">
        <v>0</v>
      </c>
      <c r="V59" s="6">
        <f>IF(ISERROR(VLOOKUP($S$59,'TAR FIN'!$A$1:$O$85,15,0)),0,VLOOKUP($S$59,'TAR FIN'!$A$1:$O$85,15,0))</f>
        <v>23.41</v>
      </c>
      <c r="W59" s="6">
        <f>IF(ISERROR(VLOOKUP($T$59,'TAR FIN'!$A$1:$O$85,15,0)),0,VLOOKUP($T$59,'TAR FIN'!$A$1:$O$85,15,0))</f>
        <v>0</v>
      </c>
      <c r="X59" s="6">
        <f>IF(ISERROR(VLOOKUP($U$59,'TAR FIN'!$A$1:$O$85,15,0)),0,VLOOKUP($U$59,'TAR FIN'!$A$1:$O$85,15,0))</f>
        <v>0</v>
      </c>
      <c r="Y59" s="6">
        <f ca="1">('TUSD BE'!$AM$10+'TUSD BF'!$AM$10+'TUSD CVA'!$AM$10)*1</f>
        <v>24.267918723282428</v>
      </c>
      <c r="Z59" s="6"/>
      <c r="AA59" s="6"/>
      <c r="AB59" s="6">
        <f>$K$59*$V$59</f>
        <v>7725.3</v>
      </c>
      <c r="AC59" s="6">
        <f>$M$59*$W$59</f>
        <v>0</v>
      </c>
      <c r="AD59" s="6">
        <f>$O$59*$X$59</f>
        <v>0</v>
      </c>
      <c r="AE59" s="6">
        <f ca="1">$K$59*$Y$59</f>
        <v>8008.4131786832013</v>
      </c>
      <c r="AF59" s="6">
        <f>$M$59*$Z$59</f>
        <v>0</v>
      </c>
      <c r="AG59" s="6">
        <f>$O$59*$AA$59</f>
        <v>0</v>
      </c>
    </row>
    <row r="60" spans="1:33" ht="11.25" customHeight="1" x14ac:dyDescent="0.25">
      <c r="A60" s="4" t="s">
        <v>21</v>
      </c>
      <c r="B60" s="4" t="s">
        <v>33</v>
      </c>
      <c r="C60" s="4" t="s">
        <v>34</v>
      </c>
      <c r="D60" s="4" t="s">
        <v>39</v>
      </c>
      <c r="E60" s="4" t="s">
        <v>25</v>
      </c>
      <c r="F60" s="4" t="s">
        <v>25</v>
      </c>
      <c r="G60" s="4" t="s">
        <v>25</v>
      </c>
      <c r="H60" s="4" t="s">
        <v>25</v>
      </c>
      <c r="I60" s="5">
        <v>44531</v>
      </c>
      <c r="J60" s="6">
        <v>2082</v>
      </c>
      <c r="K60" s="6">
        <v>2082</v>
      </c>
      <c r="L60" s="6">
        <v>0</v>
      </c>
      <c r="M60" s="6">
        <v>0</v>
      </c>
      <c r="N60" s="6">
        <v>0</v>
      </c>
      <c r="O60" s="6">
        <v>0</v>
      </c>
      <c r="P60" s="6">
        <v>15</v>
      </c>
      <c r="Q60" s="4" t="s">
        <v>26</v>
      </c>
      <c r="R60" s="4">
        <v>0</v>
      </c>
      <c r="S60" s="6">
        <v>65</v>
      </c>
      <c r="T60" s="6">
        <v>0</v>
      </c>
      <c r="U60" s="6">
        <v>0</v>
      </c>
      <c r="V60" s="6">
        <f>IF(ISERROR(VLOOKUP($S$60,'TAR FIN'!$A$1:$O$85,15,0)),0,VLOOKUP($S$60,'TAR FIN'!$A$1:$O$85,15,0))</f>
        <v>23.41</v>
      </c>
      <c r="W60" s="6">
        <f>IF(ISERROR(VLOOKUP($T$60,'TAR FIN'!$A$1:$O$85,15,0)),0,VLOOKUP($T$60,'TAR FIN'!$A$1:$O$85,15,0))</f>
        <v>0</v>
      </c>
      <c r="X60" s="6">
        <f>IF(ISERROR(VLOOKUP($U$60,'TAR FIN'!$A$1:$O$85,15,0)),0,VLOOKUP($U$60,'TAR FIN'!$A$1:$O$85,15,0))</f>
        <v>0</v>
      </c>
      <c r="Y60" s="6">
        <f ca="1">('TUSD BE'!$AM$10+'TUSD BF'!$AM$10+'TUSD CVA'!$AM$10)*1</f>
        <v>24.267918723282428</v>
      </c>
      <c r="Z60" s="6"/>
      <c r="AA60" s="6"/>
      <c r="AB60" s="6">
        <f>$K$60*$V$60</f>
        <v>48739.62</v>
      </c>
      <c r="AC60" s="6">
        <f>$M$60*$W$60</f>
        <v>0</v>
      </c>
      <c r="AD60" s="6">
        <f>$O$60*$X$60</f>
        <v>0</v>
      </c>
      <c r="AE60" s="6">
        <f ca="1">$K$60*$Y$60</f>
        <v>50525.806781874016</v>
      </c>
      <c r="AF60" s="6">
        <f>$M$60*$Z$60</f>
        <v>0</v>
      </c>
      <c r="AG60" s="6">
        <f>$O$60*$AA$60</f>
        <v>0</v>
      </c>
    </row>
    <row r="61" spans="1:33" ht="11.25" customHeight="1" x14ac:dyDescent="0.25">
      <c r="A61" s="4" t="s">
        <v>28</v>
      </c>
      <c r="B61" s="4" t="s">
        <v>33</v>
      </c>
      <c r="C61" s="4" t="s">
        <v>34</v>
      </c>
      <c r="D61" s="4" t="s">
        <v>39</v>
      </c>
      <c r="E61" s="4" t="s">
        <v>25</v>
      </c>
      <c r="F61" s="4" t="s">
        <v>25</v>
      </c>
      <c r="G61" s="4" t="s">
        <v>25</v>
      </c>
      <c r="H61" s="4" t="s">
        <v>25</v>
      </c>
      <c r="I61" s="5">
        <v>44531</v>
      </c>
      <c r="J61" s="6">
        <v>330</v>
      </c>
      <c r="K61" s="6">
        <v>330</v>
      </c>
      <c r="L61" s="6">
        <v>0</v>
      </c>
      <c r="M61" s="6">
        <v>0</v>
      </c>
      <c r="N61" s="6">
        <v>0</v>
      </c>
      <c r="O61" s="6">
        <v>0</v>
      </c>
      <c r="P61" s="6">
        <v>1</v>
      </c>
      <c r="Q61" s="4" t="s">
        <v>26</v>
      </c>
      <c r="R61" s="4">
        <v>0</v>
      </c>
      <c r="S61" s="6">
        <v>65</v>
      </c>
      <c r="T61" s="6">
        <v>0</v>
      </c>
      <c r="U61" s="6">
        <v>0</v>
      </c>
      <c r="V61" s="6">
        <f>IF(ISERROR(VLOOKUP($S$61,'TAR FIN'!$A$1:$O$85,15,0)),0,VLOOKUP($S$61,'TAR FIN'!$A$1:$O$85,15,0))</f>
        <v>23.41</v>
      </c>
      <c r="W61" s="6">
        <f>IF(ISERROR(VLOOKUP($T$61,'TAR FIN'!$A$1:$O$85,15,0)),0,VLOOKUP($T$61,'TAR FIN'!$A$1:$O$85,15,0))</f>
        <v>0</v>
      </c>
      <c r="X61" s="6">
        <f>IF(ISERROR(VLOOKUP($U$61,'TAR FIN'!$A$1:$O$85,15,0)),0,VLOOKUP($U$61,'TAR FIN'!$A$1:$O$85,15,0))</f>
        <v>0</v>
      </c>
      <c r="Y61" s="6">
        <f ca="1">('TUSD BE'!$AM$10+'TUSD BF'!$AM$10+'TUSD CVA'!$AM$10)*1</f>
        <v>24.267918723282428</v>
      </c>
      <c r="Z61" s="6"/>
      <c r="AA61" s="6"/>
      <c r="AB61" s="6">
        <f>$K$61*$V$61</f>
        <v>7725.3</v>
      </c>
      <c r="AC61" s="6">
        <f>$M$61*$W$61</f>
        <v>0</v>
      </c>
      <c r="AD61" s="6">
        <f>$O$61*$X$61</f>
        <v>0</v>
      </c>
      <c r="AE61" s="6">
        <f ca="1">$K$61*$Y$61</f>
        <v>8008.4131786832013</v>
      </c>
      <c r="AF61" s="6">
        <f>$M$61*$Z$61</f>
        <v>0</v>
      </c>
      <c r="AG61" s="6">
        <f>$O$61*$AA$61</f>
        <v>0</v>
      </c>
    </row>
    <row r="62" spans="1:33" ht="11.25" customHeight="1" x14ac:dyDescent="0.25">
      <c r="A62" s="4" t="s">
        <v>21</v>
      </c>
      <c r="B62" s="4" t="s">
        <v>33</v>
      </c>
      <c r="C62" s="4" t="s">
        <v>34</v>
      </c>
      <c r="D62" s="4" t="s">
        <v>39</v>
      </c>
      <c r="E62" s="4" t="s">
        <v>25</v>
      </c>
      <c r="F62" s="4" t="s">
        <v>25</v>
      </c>
      <c r="G62" s="4" t="s">
        <v>25</v>
      </c>
      <c r="H62" s="4" t="s">
        <v>25</v>
      </c>
      <c r="I62" s="5">
        <v>44562</v>
      </c>
      <c r="J62" s="6">
        <v>2105</v>
      </c>
      <c r="K62" s="6">
        <v>2105</v>
      </c>
      <c r="L62" s="6">
        <v>0</v>
      </c>
      <c r="M62" s="6">
        <v>0</v>
      </c>
      <c r="N62" s="6">
        <v>0</v>
      </c>
      <c r="O62" s="6">
        <v>0</v>
      </c>
      <c r="P62" s="6">
        <v>15</v>
      </c>
      <c r="Q62" s="4" t="s">
        <v>26</v>
      </c>
      <c r="R62" s="4">
        <v>0</v>
      </c>
      <c r="S62" s="6">
        <v>65</v>
      </c>
      <c r="T62" s="6">
        <v>0</v>
      </c>
      <c r="U62" s="6">
        <v>0</v>
      </c>
      <c r="V62" s="6">
        <f>IF(ISERROR(VLOOKUP($S$62,'TAR FIN'!$A$1:$O$85,15,0)),0,VLOOKUP($S$62,'TAR FIN'!$A$1:$O$85,15,0))</f>
        <v>23.41</v>
      </c>
      <c r="W62" s="6">
        <f>IF(ISERROR(VLOOKUP($T$62,'TAR FIN'!$A$1:$O$85,15,0)),0,VLOOKUP($T$62,'TAR FIN'!$A$1:$O$85,15,0))</f>
        <v>0</v>
      </c>
      <c r="X62" s="6">
        <f>IF(ISERROR(VLOOKUP($U$62,'TAR FIN'!$A$1:$O$85,15,0)),0,VLOOKUP($U$62,'TAR FIN'!$A$1:$O$85,15,0))</f>
        <v>0</v>
      </c>
      <c r="Y62" s="6">
        <f ca="1">('TUSD BE'!$AM$10+'TUSD BF'!$AM$10+'TUSD CVA'!$AM$10)*1</f>
        <v>24.267918723282428</v>
      </c>
      <c r="Z62" s="6"/>
      <c r="AA62" s="6"/>
      <c r="AB62" s="6">
        <f>$K$62*$V$62</f>
        <v>49278.05</v>
      </c>
      <c r="AC62" s="6">
        <f>$M$62*$W$62</f>
        <v>0</v>
      </c>
      <c r="AD62" s="6">
        <f>$O$62*$X$62</f>
        <v>0</v>
      </c>
      <c r="AE62" s="6">
        <f ca="1">$K$62*$Y$62</f>
        <v>51083.96891250951</v>
      </c>
      <c r="AF62" s="6">
        <f>$M$62*$Z$62</f>
        <v>0</v>
      </c>
      <c r="AG62" s="6">
        <f>$O$62*$AA$62</f>
        <v>0</v>
      </c>
    </row>
    <row r="63" spans="1:33" ht="11.25" customHeight="1" x14ac:dyDescent="0.25">
      <c r="A63" s="4" t="s">
        <v>28</v>
      </c>
      <c r="B63" s="4" t="s">
        <v>33</v>
      </c>
      <c r="C63" s="4" t="s">
        <v>34</v>
      </c>
      <c r="D63" s="4" t="s">
        <v>39</v>
      </c>
      <c r="E63" s="4" t="s">
        <v>25</v>
      </c>
      <c r="F63" s="4" t="s">
        <v>25</v>
      </c>
      <c r="G63" s="4" t="s">
        <v>25</v>
      </c>
      <c r="H63" s="4" t="s">
        <v>25</v>
      </c>
      <c r="I63" s="5">
        <v>44562</v>
      </c>
      <c r="J63" s="6">
        <v>330</v>
      </c>
      <c r="K63" s="6">
        <v>330</v>
      </c>
      <c r="L63" s="6">
        <v>0</v>
      </c>
      <c r="M63" s="6">
        <v>0</v>
      </c>
      <c r="N63" s="6">
        <v>0</v>
      </c>
      <c r="O63" s="6">
        <v>0</v>
      </c>
      <c r="P63" s="6">
        <v>1</v>
      </c>
      <c r="Q63" s="4" t="s">
        <v>26</v>
      </c>
      <c r="R63" s="4">
        <v>0</v>
      </c>
      <c r="S63" s="6">
        <v>65</v>
      </c>
      <c r="T63" s="6">
        <v>0</v>
      </c>
      <c r="U63" s="6">
        <v>0</v>
      </c>
      <c r="V63" s="6">
        <f>IF(ISERROR(VLOOKUP($S$63,'TAR FIN'!$A$1:$O$85,15,0)),0,VLOOKUP($S$63,'TAR FIN'!$A$1:$O$85,15,0))</f>
        <v>23.41</v>
      </c>
      <c r="W63" s="6">
        <f>IF(ISERROR(VLOOKUP($T$63,'TAR FIN'!$A$1:$O$85,15,0)),0,VLOOKUP($T$63,'TAR FIN'!$A$1:$O$85,15,0))</f>
        <v>0</v>
      </c>
      <c r="X63" s="6">
        <f>IF(ISERROR(VLOOKUP($U$63,'TAR FIN'!$A$1:$O$85,15,0)),0,VLOOKUP($U$63,'TAR FIN'!$A$1:$O$85,15,0))</f>
        <v>0</v>
      </c>
      <c r="Y63" s="6">
        <f ca="1">('TUSD BE'!$AM$10+'TUSD BF'!$AM$10+'TUSD CVA'!$AM$10)*1</f>
        <v>24.267918723282428</v>
      </c>
      <c r="Z63" s="6"/>
      <c r="AA63" s="6"/>
      <c r="AB63" s="6">
        <f>$K$63*$V$63</f>
        <v>7725.3</v>
      </c>
      <c r="AC63" s="6">
        <f>$M$63*$W$63</f>
        <v>0</v>
      </c>
      <c r="AD63" s="6">
        <f>$O$63*$X$63</f>
        <v>0</v>
      </c>
      <c r="AE63" s="6">
        <f ca="1">$K$63*$Y$63</f>
        <v>8008.4131786832013</v>
      </c>
      <c r="AF63" s="6">
        <f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33</v>
      </c>
      <c r="C64" s="4" t="s">
        <v>34</v>
      </c>
      <c r="D64" s="4" t="s">
        <v>39</v>
      </c>
      <c r="E64" s="4" t="s">
        <v>25</v>
      </c>
      <c r="F64" s="4" t="s">
        <v>25</v>
      </c>
      <c r="G64" s="4" t="s">
        <v>25</v>
      </c>
      <c r="H64" s="4" t="s">
        <v>25</v>
      </c>
      <c r="I64" s="5">
        <v>44593</v>
      </c>
      <c r="J64" s="6">
        <v>2176</v>
      </c>
      <c r="K64" s="6">
        <v>2176</v>
      </c>
      <c r="L64" s="6">
        <v>0</v>
      </c>
      <c r="M64" s="6">
        <v>0</v>
      </c>
      <c r="N64" s="6">
        <v>0</v>
      </c>
      <c r="O64" s="6">
        <v>0</v>
      </c>
      <c r="P64" s="6">
        <v>16</v>
      </c>
      <c r="Q64" s="4" t="s">
        <v>26</v>
      </c>
      <c r="R64" s="4">
        <v>0</v>
      </c>
      <c r="S64" s="6">
        <v>65</v>
      </c>
      <c r="T64" s="6">
        <v>0</v>
      </c>
      <c r="U64" s="6">
        <v>0</v>
      </c>
      <c r="V64" s="6">
        <f>IF(ISERROR(VLOOKUP($S$64,'TAR FIN'!$A$1:$O$85,15,0)),0,VLOOKUP($S$64,'TAR FIN'!$A$1:$O$85,15,0))</f>
        <v>23.41</v>
      </c>
      <c r="W64" s="6">
        <f>IF(ISERROR(VLOOKUP($T$64,'TAR FIN'!$A$1:$O$85,15,0)),0,VLOOKUP($T$64,'TAR FIN'!$A$1:$O$85,15,0))</f>
        <v>0</v>
      </c>
      <c r="X64" s="6">
        <f>IF(ISERROR(VLOOKUP($U$64,'TAR FIN'!$A$1:$O$85,15,0)),0,VLOOKUP($U$64,'TAR FIN'!$A$1:$O$85,15,0))</f>
        <v>0</v>
      </c>
      <c r="Y64" s="6">
        <f ca="1">('TUSD BE'!$AM$10+'TUSD BF'!$AM$10+'TUSD CVA'!$AM$10)*1</f>
        <v>24.267918723282428</v>
      </c>
      <c r="Z64" s="6"/>
      <c r="AA64" s="6"/>
      <c r="AB64" s="6">
        <f>$K$64*$V$64</f>
        <v>50940.160000000003</v>
      </c>
      <c r="AC64" s="6">
        <f>$M$64*$W$64</f>
        <v>0</v>
      </c>
      <c r="AD64" s="6">
        <f>$O$64*$X$64</f>
        <v>0</v>
      </c>
      <c r="AE64" s="6">
        <f ca="1">$K$64*$Y$64</f>
        <v>52806.991141862563</v>
      </c>
      <c r="AF64" s="6">
        <f>$M$64*$Z$64</f>
        <v>0</v>
      </c>
      <c r="AG64" s="6">
        <f>$O$64*$AA$64</f>
        <v>0</v>
      </c>
    </row>
    <row r="65" spans="1:33" ht="11.25" customHeight="1" x14ac:dyDescent="0.25">
      <c r="A65" s="4" t="s">
        <v>28</v>
      </c>
      <c r="B65" s="4" t="s">
        <v>33</v>
      </c>
      <c r="C65" s="4" t="s">
        <v>34</v>
      </c>
      <c r="D65" s="4" t="s">
        <v>39</v>
      </c>
      <c r="E65" s="4" t="s">
        <v>25</v>
      </c>
      <c r="F65" s="4" t="s">
        <v>25</v>
      </c>
      <c r="G65" s="4" t="s">
        <v>25</v>
      </c>
      <c r="H65" s="4" t="s">
        <v>25</v>
      </c>
      <c r="I65" s="5">
        <v>44593</v>
      </c>
      <c r="J65" s="6">
        <v>330</v>
      </c>
      <c r="K65" s="6">
        <v>330</v>
      </c>
      <c r="L65" s="6">
        <v>0</v>
      </c>
      <c r="M65" s="6">
        <v>0</v>
      </c>
      <c r="N65" s="6">
        <v>0</v>
      </c>
      <c r="O65" s="6">
        <v>0</v>
      </c>
      <c r="P65" s="6">
        <v>1</v>
      </c>
      <c r="Q65" s="4" t="s">
        <v>26</v>
      </c>
      <c r="R65" s="4">
        <v>0</v>
      </c>
      <c r="S65" s="6">
        <v>65</v>
      </c>
      <c r="T65" s="6">
        <v>0</v>
      </c>
      <c r="U65" s="6">
        <v>0</v>
      </c>
      <c r="V65" s="6">
        <f>IF(ISERROR(VLOOKUP($S$65,'TAR FIN'!$A$1:$O$85,15,0)),0,VLOOKUP($S$65,'TAR FIN'!$A$1:$O$85,15,0))</f>
        <v>23.41</v>
      </c>
      <c r="W65" s="6">
        <f>IF(ISERROR(VLOOKUP($T$65,'TAR FIN'!$A$1:$O$85,15,0)),0,VLOOKUP($T$65,'TAR FIN'!$A$1:$O$85,15,0))</f>
        <v>0</v>
      </c>
      <c r="X65" s="6">
        <f>IF(ISERROR(VLOOKUP($U$65,'TAR FIN'!$A$1:$O$85,15,0)),0,VLOOKUP($U$65,'TAR FIN'!$A$1:$O$85,15,0))</f>
        <v>0</v>
      </c>
      <c r="Y65" s="6">
        <f ca="1">('TUSD BE'!$AM$10+'TUSD BF'!$AM$10+'TUSD CVA'!$AM$10)*1</f>
        <v>24.267918723282428</v>
      </c>
      <c r="Z65" s="6"/>
      <c r="AA65" s="6"/>
      <c r="AB65" s="6">
        <f>$K$65*$V$65</f>
        <v>7725.3</v>
      </c>
      <c r="AC65" s="6">
        <f>$M$65*$W$65</f>
        <v>0</v>
      </c>
      <c r="AD65" s="6">
        <f>$O$65*$X$65</f>
        <v>0</v>
      </c>
      <c r="AE65" s="6">
        <f ca="1">$K$65*$Y$65</f>
        <v>8008.4131786832013</v>
      </c>
      <c r="AF65" s="6">
        <f>$M$65*$Z$65</f>
        <v>0</v>
      </c>
      <c r="AG65" s="6">
        <f>$O$65*$AA$65</f>
        <v>0</v>
      </c>
    </row>
    <row r="66" spans="1:33" ht="11.25" customHeight="1" x14ac:dyDescent="0.25">
      <c r="A66" s="4" t="s">
        <v>54</v>
      </c>
      <c r="B66" s="4" t="s">
        <v>33</v>
      </c>
      <c r="C66" s="4" t="s">
        <v>34</v>
      </c>
      <c r="D66" s="4" t="s">
        <v>39</v>
      </c>
      <c r="E66" s="4" t="s">
        <v>25</v>
      </c>
      <c r="F66" s="4" t="s">
        <v>25</v>
      </c>
      <c r="G66" s="4" t="s">
        <v>25</v>
      </c>
      <c r="H66" s="4" t="s">
        <v>25</v>
      </c>
      <c r="I66" s="5">
        <v>44621</v>
      </c>
      <c r="J66" s="6">
        <v>2176</v>
      </c>
      <c r="K66" s="6">
        <v>2176</v>
      </c>
      <c r="L66" s="6">
        <v>0</v>
      </c>
      <c r="M66" s="6">
        <v>0</v>
      </c>
      <c r="N66" s="6">
        <v>0</v>
      </c>
      <c r="O66" s="6">
        <v>0</v>
      </c>
      <c r="P66" s="6">
        <v>16</v>
      </c>
      <c r="Q66" s="4" t="s">
        <v>26</v>
      </c>
      <c r="R66" s="4">
        <v>0</v>
      </c>
      <c r="S66" s="6">
        <v>65</v>
      </c>
      <c r="T66" s="6">
        <v>0</v>
      </c>
      <c r="U66" s="6">
        <v>0</v>
      </c>
      <c r="V66" s="6">
        <f>IF(ISERROR(VLOOKUP($S$66,'TAR FIN'!$A$1:$O$85,15,0)),0,VLOOKUP($S$66,'TAR FIN'!$A$1:$O$85,15,0))</f>
        <v>23.41</v>
      </c>
      <c r="W66" s="6">
        <f>IF(ISERROR(VLOOKUP($T$66,'TAR FIN'!$A$1:$O$85,15,0)),0,VLOOKUP($T$66,'TAR FIN'!$A$1:$O$85,15,0))</f>
        <v>0</v>
      </c>
      <c r="X66" s="6">
        <f>IF(ISERROR(VLOOKUP($U$66,'TAR FIN'!$A$1:$O$85,15,0)),0,VLOOKUP($U$66,'TAR FIN'!$A$1:$O$85,15,0))</f>
        <v>0</v>
      </c>
      <c r="Y66" s="6">
        <f ca="1">('TUSD BE'!$AM$10+'TUSD BF'!$AM$10+'TUSD CVA'!$AM$10)*1</f>
        <v>24.267918723282428</v>
      </c>
      <c r="Z66" s="6"/>
      <c r="AA66" s="6"/>
      <c r="AB66" s="6">
        <f>$K$66*$V$66</f>
        <v>50940.160000000003</v>
      </c>
      <c r="AC66" s="6">
        <f>$M$66*$W$66</f>
        <v>0</v>
      </c>
      <c r="AD66" s="6">
        <f>$O$66*$X$66</f>
        <v>0</v>
      </c>
      <c r="AE66" s="6">
        <f ca="1">$K$66*$Y$66</f>
        <v>52806.991141862563</v>
      </c>
      <c r="AF66" s="6">
        <f>$M$66*$Z$66</f>
        <v>0</v>
      </c>
      <c r="AG66" s="6">
        <f>$O$66*$AA$66</f>
        <v>0</v>
      </c>
    </row>
    <row r="67" spans="1:33" ht="11.25" customHeight="1" x14ac:dyDescent="0.25">
      <c r="A67" s="4" t="s">
        <v>54</v>
      </c>
      <c r="B67" s="4" t="s">
        <v>33</v>
      </c>
      <c r="C67" s="4" t="s">
        <v>34</v>
      </c>
      <c r="D67" s="4" t="s">
        <v>39</v>
      </c>
      <c r="E67" s="4" t="s">
        <v>25</v>
      </c>
      <c r="F67" s="4" t="s">
        <v>25</v>
      </c>
      <c r="G67" s="4" t="s">
        <v>25</v>
      </c>
      <c r="H67" s="4" t="s">
        <v>25</v>
      </c>
      <c r="I67" s="5">
        <v>44621</v>
      </c>
      <c r="J67" s="6">
        <v>330</v>
      </c>
      <c r="K67" s="6">
        <v>330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4" t="s">
        <v>26</v>
      </c>
      <c r="R67" s="4">
        <v>0</v>
      </c>
      <c r="S67" s="6">
        <v>65</v>
      </c>
      <c r="T67" s="6">
        <v>0</v>
      </c>
      <c r="U67" s="6">
        <v>0</v>
      </c>
      <c r="V67" s="6">
        <f>IF(ISERROR(VLOOKUP($S$67,'TAR FIN'!$A$1:$O$85,15,0)),0,VLOOKUP($S$67,'TAR FIN'!$A$1:$O$85,15,0))</f>
        <v>23.41</v>
      </c>
      <c r="W67" s="6">
        <f>IF(ISERROR(VLOOKUP($T$67,'TAR FIN'!$A$1:$O$85,15,0)),0,VLOOKUP($T$67,'TAR FIN'!$A$1:$O$85,15,0))</f>
        <v>0</v>
      </c>
      <c r="X67" s="6">
        <f>IF(ISERROR(VLOOKUP($U$67,'TAR FIN'!$A$1:$O$85,15,0)),0,VLOOKUP($U$67,'TAR FIN'!$A$1:$O$85,15,0))</f>
        <v>0</v>
      </c>
      <c r="Y67" s="6">
        <f ca="1">('TUSD BE'!$AM$10+'TUSD BF'!$AM$10+'TUSD CVA'!$AM$10)*1</f>
        <v>24.267918723282428</v>
      </c>
      <c r="Z67" s="6"/>
      <c r="AA67" s="6"/>
      <c r="AB67" s="6">
        <f>$K$67*$V$67</f>
        <v>7725.3</v>
      </c>
      <c r="AC67" s="6">
        <f>$M$67*$W$67</f>
        <v>0</v>
      </c>
      <c r="AD67" s="6">
        <f>$O$67*$X$67</f>
        <v>0</v>
      </c>
      <c r="AE67" s="6">
        <f ca="1">$K$67*$Y$67</f>
        <v>8008.4131786832013</v>
      </c>
      <c r="AF67" s="6">
        <f>$M$67*$Z$67</f>
        <v>0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33</v>
      </c>
      <c r="C68" s="4" t="s">
        <v>34</v>
      </c>
      <c r="D68" s="4" t="s">
        <v>39</v>
      </c>
      <c r="E68" s="4" t="s">
        <v>25</v>
      </c>
      <c r="F68" s="4" t="s">
        <v>25</v>
      </c>
      <c r="G68" s="4" t="s">
        <v>25</v>
      </c>
      <c r="H68" s="4" t="s">
        <v>35</v>
      </c>
      <c r="I68" s="5">
        <v>44287</v>
      </c>
      <c r="J68" s="6">
        <v>0</v>
      </c>
      <c r="K68" s="6">
        <v>0</v>
      </c>
      <c r="L68" s="6">
        <v>25.306999999999999</v>
      </c>
      <c r="M68" s="6">
        <v>25.306999999999999</v>
      </c>
      <c r="N68" s="6">
        <v>25.306999999999999</v>
      </c>
      <c r="O68" s="6">
        <v>25.306999999999999</v>
      </c>
      <c r="P68" s="6">
        <v>0</v>
      </c>
      <c r="Q68" s="4" t="s">
        <v>26</v>
      </c>
      <c r="R68" s="4">
        <v>0</v>
      </c>
      <c r="S68" s="6">
        <v>0</v>
      </c>
      <c r="T68" s="6">
        <v>66</v>
      </c>
      <c r="U68" s="6">
        <v>6</v>
      </c>
      <c r="V68" s="6">
        <f>IF(ISERROR(VLOOKUP($S$68,'TAR FIN'!$A$1:$O$85,15,0)),0,VLOOKUP($S$68,'TAR FIN'!$A$1:$O$85,15,0))</f>
        <v>0</v>
      </c>
      <c r="W68" s="6">
        <f>IF(ISERROR(VLOOKUP($T$68,'TAR FIN'!$A$1:$O$85,15,0)),0,VLOOKUP($T$68,'TAR FIN'!$A$1:$O$85,15,0))</f>
        <v>2263.58</v>
      </c>
      <c r="X68" s="6">
        <f>IF(ISERROR(VLOOKUP($U$68,'TAR FIN'!$A$1:$O$85,15,0)),0,VLOOKUP($U$68,'TAR FIN'!$A$1:$O$85,15,0))</f>
        <v>223.72</v>
      </c>
      <c r="Y68" s="6"/>
      <c r="Z68" s="6">
        <f ca="1">('TUSD BE'!$AM$11+'TUSD BF'!$AM$11+'TUSD CVA'!$AM$11)*1</f>
        <v>2373.6759655636811</v>
      </c>
      <c r="AA68" s="6">
        <f>('TE BE'!$AA$5+'TE BF'!$AA$5+'TE CVA'!$AA$5)*1</f>
        <v>217.62939920622892</v>
      </c>
      <c r="AB68" s="6">
        <f>$K$68*$V$68</f>
        <v>0</v>
      </c>
      <c r="AC68" s="6">
        <f>$M$68*$W$68</f>
        <v>57284.419059999993</v>
      </c>
      <c r="AD68" s="6">
        <f>$O$68*$X$68</f>
        <v>5661.6820399999997</v>
      </c>
      <c r="AE68" s="6">
        <f>$K$68*$Y$68</f>
        <v>0</v>
      </c>
      <c r="AF68" s="6">
        <f ca="1">$M$68*$Z$68</f>
        <v>60070.617660520074</v>
      </c>
      <c r="AG68" s="6">
        <f>$O$68*$AA$68</f>
        <v>5507.5472057120351</v>
      </c>
    </row>
    <row r="69" spans="1:33" ht="11.25" customHeight="1" x14ac:dyDescent="0.25">
      <c r="A69" s="4" t="s">
        <v>28</v>
      </c>
      <c r="B69" s="4" t="s">
        <v>33</v>
      </c>
      <c r="C69" s="4" t="s">
        <v>34</v>
      </c>
      <c r="D69" s="4" t="s">
        <v>39</v>
      </c>
      <c r="E69" s="4" t="s">
        <v>25</v>
      </c>
      <c r="F69" s="4" t="s">
        <v>25</v>
      </c>
      <c r="G69" s="4" t="s">
        <v>25</v>
      </c>
      <c r="H69" s="4" t="s">
        <v>35</v>
      </c>
      <c r="I69" s="5">
        <v>44287</v>
      </c>
      <c r="J69" s="6">
        <v>0</v>
      </c>
      <c r="K69" s="6">
        <v>0</v>
      </c>
      <c r="L69" s="6">
        <v>1.698</v>
      </c>
      <c r="M69" s="6">
        <v>1.698</v>
      </c>
      <c r="N69" s="6">
        <v>1.698</v>
      </c>
      <c r="O69" s="6">
        <v>1.698</v>
      </c>
      <c r="P69" s="6">
        <v>0</v>
      </c>
      <c r="Q69" s="4" t="s">
        <v>26</v>
      </c>
      <c r="R69" s="4">
        <v>0</v>
      </c>
      <c r="S69" s="6">
        <v>0</v>
      </c>
      <c r="T69" s="6">
        <v>66</v>
      </c>
      <c r="U69" s="6">
        <v>6</v>
      </c>
      <c r="V69" s="6">
        <f>IF(ISERROR(VLOOKUP($S$69,'TAR FIN'!$A$1:$O$85,15,0)),0,VLOOKUP($S$69,'TAR FIN'!$A$1:$O$85,15,0))</f>
        <v>0</v>
      </c>
      <c r="W69" s="6">
        <f>IF(ISERROR(VLOOKUP($T$69,'TAR FIN'!$A$1:$O$85,15,0)),0,VLOOKUP($T$69,'TAR FIN'!$A$1:$O$85,15,0))</f>
        <v>2263.58</v>
      </c>
      <c r="X69" s="6">
        <f>IF(ISERROR(VLOOKUP($U$69,'TAR FIN'!$A$1:$O$85,15,0)),0,VLOOKUP($U$69,'TAR FIN'!$A$1:$O$85,15,0))</f>
        <v>223.72</v>
      </c>
      <c r="Y69" s="6"/>
      <c r="Z69" s="6">
        <f ca="1">('TUSD BE'!$AM$11+'TUSD BF'!$AM$11+'TUSD CVA'!$AM$11)*1</f>
        <v>2373.6759655636811</v>
      </c>
      <c r="AA69" s="6">
        <f>('TE BE'!$AA$5+'TE BF'!$AA$5+'TE CVA'!$AA$5)*1</f>
        <v>217.62939920622892</v>
      </c>
      <c r="AB69" s="6">
        <f>$K$69*$V$69</f>
        <v>0</v>
      </c>
      <c r="AC69" s="6">
        <f>$M$69*$W$69</f>
        <v>3843.5588399999997</v>
      </c>
      <c r="AD69" s="6">
        <f>$O$69*$X$69</f>
        <v>379.87655999999998</v>
      </c>
      <c r="AE69" s="6">
        <f>$K$69*$Y$69</f>
        <v>0</v>
      </c>
      <c r="AF69" s="6">
        <f ca="1">$M$69*$Z$69</f>
        <v>4030.5017895271303</v>
      </c>
      <c r="AG69" s="6">
        <f>$O$69*$AA$69</f>
        <v>369.53471985217669</v>
      </c>
    </row>
    <row r="70" spans="1:33" ht="11.25" customHeight="1" x14ac:dyDescent="0.25">
      <c r="A70" s="4" t="s">
        <v>21</v>
      </c>
      <c r="B70" s="4" t="s">
        <v>33</v>
      </c>
      <c r="C70" s="4" t="s">
        <v>34</v>
      </c>
      <c r="D70" s="4" t="s">
        <v>39</v>
      </c>
      <c r="E70" s="4" t="s">
        <v>25</v>
      </c>
      <c r="F70" s="4" t="s">
        <v>25</v>
      </c>
      <c r="G70" s="4" t="s">
        <v>25</v>
      </c>
      <c r="H70" s="4" t="s">
        <v>35</v>
      </c>
      <c r="I70" s="5">
        <v>44317</v>
      </c>
      <c r="J70" s="6">
        <v>0</v>
      </c>
      <c r="K70" s="6">
        <v>0</v>
      </c>
      <c r="L70" s="6">
        <v>18.885999999999999</v>
      </c>
      <c r="M70" s="6">
        <v>18.885999999999999</v>
      </c>
      <c r="N70" s="6">
        <v>18.885999999999999</v>
      </c>
      <c r="O70" s="6">
        <v>18.885999999999999</v>
      </c>
      <c r="P70" s="6">
        <v>0</v>
      </c>
      <c r="Q70" s="4" t="s">
        <v>26</v>
      </c>
      <c r="R70" s="4">
        <v>0</v>
      </c>
      <c r="S70" s="6">
        <v>0</v>
      </c>
      <c r="T70" s="6">
        <v>66</v>
      </c>
      <c r="U70" s="6">
        <v>6</v>
      </c>
      <c r="V70" s="6">
        <f>IF(ISERROR(VLOOKUP($S$70,'TAR FIN'!$A$1:$O$85,15,0)),0,VLOOKUP($S$70,'TAR FIN'!$A$1:$O$85,15,0))</f>
        <v>0</v>
      </c>
      <c r="W70" s="6">
        <f>IF(ISERROR(VLOOKUP($T$70,'TAR FIN'!$A$1:$O$85,15,0)),0,VLOOKUP($T$70,'TAR FIN'!$A$1:$O$85,15,0))</f>
        <v>2263.58</v>
      </c>
      <c r="X70" s="6">
        <f>IF(ISERROR(VLOOKUP($U$70,'TAR FIN'!$A$1:$O$85,15,0)),0,VLOOKUP($U$70,'TAR FIN'!$A$1:$O$85,15,0))</f>
        <v>223.72</v>
      </c>
      <c r="Y70" s="6"/>
      <c r="Z70" s="6">
        <f ca="1">('TUSD BE'!$AM$11+'TUSD BF'!$AM$11+'TUSD CVA'!$AM$11)*1</f>
        <v>2373.6759655636811</v>
      </c>
      <c r="AA70" s="6">
        <f>('TE BE'!$AA$5+'TE BF'!$AA$5+'TE CVA'!$AA$5)*1</f>
        <v>217.62939920622892</v>
      </c>
      <c r="AB70" s="6">
        <f>$K$70*$V$70</f>
        <v>0</v>
      </c>
      <c r="AC70" s="6">
        <f>$M$70*$W$70</f>
        <v>42749.971879999997</v>
      </c>
      <c r="AD70" s="6">
        <f>$O$70*$X$70</f>
        <v>4225.1759199999997</v>
      </c>
      <c r="AE70" s="6">
        <f>$K$70*$Y$70</f>
        <v>0</v>
      </c>
      <c r="AF70" s="6">
        <f ca="1">$M$70*$Z$70</f>
        <v>44829.244285635679</v>
      </c>
      <c r="AG70" s="6">
        <f>$O$70*$AA$70</f>
        <v>4110.148833408839</v>
      </c>
    </row>
    <row r="71" spans="1:33" ht="11.25" customHeight="1" x14ac:dyDescent="0.25">
      <c r="A71" s="4" t="s">
        <v>28</v>
      </c>
      <c r="B71" s="4" t="s">
        <v>33</v>
      </c>
      <c r="C71" s="4" t="s">
        <v>34</v>
      </c>
      <c r="D71" s="4" t="s">
        <v>39</v>
      </c>
      <c r="E71" s="4" t="s">
        <v>25</v>
      </c>
      <c r="F71" s="4" t="s">
        <v>25</v>
      </c>
      <c r="G71" s="4" t="s">
        <v>25</v>
      </c>
      <c r="H71" s="4" t="s">
        <v>35</v>
      </c>
      <c r="I71" s="5">
        <v>44317</v>
      </c>
      <c r="J71" s="6">
        <v>0</v>
      </c>
      <c r="K71" s="6">
        <v>0</v>
      </c>
      <c r="L71" s="6">
        <v>0.66900000000000004</v>
      </c>
      <c r="M71" s="6">
        <v>0.66900000000000004</v>
      </c>
      <c r="N71" s="6">
        <v>0.66900000000000004</v>
      </c>
      <c r="O71" s="6">
        <v>0.66900000000000004</v>
      </c>
      <c r="P71" s="6">
        <v>0</v>
      </c>
      <c r="Q71" s="4" t="s">
        <v>26</v>
      </c>
      <c r="R71" s="4">
        <v>0</v>
      </c>
      <c r="S71" s="6">
        <v>0</v>
      </c>
      <c r="T71" s="6">
        <v>66</v>
      </c>
      <c r="U71" s="6">
        <v>6</v>
      </c>
      <c r="V71" s="6">
        <f>IF(ISERROR(VLOOKUP($S$71,'TAR FIN'!$A$1:$O$85,15,0)),0,VLOOKUP($S$71,'TAR FIN'!$A$1:$O$85,15,0))</f>
        <v>0</v>
      </c>
      <c r="W71" s="6">
        <f>IF(ISERROR(VLOOKUP($T$71,'TAR FIN'!$A$1:$O$85,15,0)),0,VLOOKUP($T$71,'TAR FIN'!$A$1:$O$85,15,0))</f>
        <v>2263.58</v>
      </c>
      <c r="X71" s="6">
        <f>IF(ISERROR(VLOOKUP($U$71,'TAR FIN'!$A$1:$O$85,15,0)),0,VLOOKUP($U$71,'TAR FIN'!$A$1:$O$85,15,0))</f>
        <v>223.72</v>
      </c>
      <c r="Y71" s="6"/>
      <c r="Z71" s="6">
        <f ca="1">('TUSD BE'!$AM$11+'TUSD BF'!$AM$11+'TUSD CVA'!$AM$11)*1</f>
        <v>2373.6759655636811</v>
      </c>
      <c r="AA71" s="6">
        <f>('TE BE'!$AA$5+'TE BF'!$AA$5+'TE CVA'!$AA$5)*1</f>
        <v>217.62939920622892</v>
      </c>
      <c r="AB71" s="6">
        <f>$K$71*$V$71</f>
        <v>0</v>
      </c>
      <c r="AC71" s="6">
        <f>$M$71*$W$71</f>
        <v>1514.33502</v>
      </c>
      <c r="AD71" s="6">
        <f>$O$71*$X$71</f>
        <v>149.66867999999999</v>
      </c>
      <c r="AE71" s="6">
        <f>$K$71*$Y$71</f>
        <v>0</v>
      </c>
      <c r="AF71" s="6">
        <f ca="1">$M$71*$Z$71</f>
        <v>1587.9892209621028</v>
      </c>
      <c r="AG71" s="6">
        <f>$O$71*$AA$71</f>
        <v>145.59406806896715</v>
      </c>
    </row>
    <row r="72" spans="1:33" ht="11.25" customHeight="1" x14ac:dyDescent="0.25">
      <c r="A72" s="4" t="s">
        <v>21</v>
      </c>
      <c r="B72" s="4" t="s">
        <v>33</v>
      </c>
      <c r="C72" s="4" t="s">
        <v>34</v>
      </c>
      <c r="D72" s="4" t="s">
        <v>39</v>
      </c>
      <c r="E72" s="4" t="s">
        <v>25</v>
      </c>
      <c r="F72" s="4" t="s">
        <v>25</v>
      </c>
      <c r="G72" s="4" t="s">
        <v>25</v>
      </c>
      <c r="H72" s="4" t="s">
        <v>35</v>
      </c>
      <c r="I72" s="5">
        <v>44348</v>
      </c>
      <c r="J72" s="6">
        <v>0</v>
      </c>
      <c r="K72" s="6">
        <v>0</v>
      </c>
      <c r="L72" s="6">
        <v>16.326000000000001</v>
      </c>
      <c r="M72" s="6">
        <v>16.326000000000001</v>
      </c>
      <c r="N72" s="6">
        <v>16.326000000000001</v>
      </c>
      <c r="O72" s="6">
        <v>16.326000000000001</v>
      </c>
      <c r="P72" s="6">
        <v>0</v>
      </c>
      <c r="Q72" s="4" t="s">
        <v>26</v>
      </c>
      <c r="R72" s="4">
        <v>0</v>
      </c>
      <c r="S72" s="6">
        <v>0</v>
      </c>
      <c r="T72" s="6">
        <v>66</v>
      </c>
      <c r="U72" s="6">
        <v>6</v>
      </c>
      <c r="V72" s="6">
        <f>IF(ISERROR(VLOOKUP($S$72,'TAR FIN'!$A$1:$O$85,15,0)),0,VLOOKUP($S$72,'TAR FIN'!$A$1:$O$85,15,0))</f>
        <v>0</v>
      </c>
      <c r="W72" s="6">
        <f>IF(ISERROR(VLOOKUP($T$72,'TAR FIN'!$A$1:$O$85,15,0)),0,VLOOKUP($T$72,'TAR FIN'!$A$1:$O$85,15,0))</f>
        <v>2263.58</v>
      </c>
      <c r="X72" s="6">
        <f>IF(ISERROR(VLOOKUP($U$72,'TAR FIN'!$A$1:$O$85,15,0)),0,VLOOKUP($U$72,'TAR FIN'!$A$1:$O$85,15,0))</f>
        <v>223.72</v>
      </c>
      <c r="Y72" s="6"/>
      <c r="Z72" s="6">
        <f ca="1">('TUSD BE'!$AM$11+'TUSD BF'!$AM$11+'TUSD CVA'!$AM$11)*1</f>
        <v>2373.6759655636811</v>
      </c>
      <c r="AA72" s="6">
        <f>('TE BE'!$AA$5+'TE BF'!$AA$5+'TE CVA'!$AA$5)*1</f>
        <v>217.62939920622892</v>
      </c>
      <c r="AB72" s="6">
        <f>$K$72*$V$72</f>
        <v>0</v>
      </c>
      <c r="AC72" s="6">
        <f>$M$72*$W$72</f>
        <v>36955.20708</v>
      </c>
      <c r="AD72" s="6">
        <f>$O$72*$X$72</f>
        <v>3652.4527200000002</v>
      </c>
      <c r="AE72" s="6">
        <f>$K$72*$Y$72</f>
        <v>0</v>
      </c>
      <c r="AF72" s="6">
        <f ca="1">$M$72*$Z$72</f>
        <v>38752.633813792658</v>
      </c>
      <c r="AG72" s="6">
        <f>$O$72*$AA$72</f>
        <v>3553.0175714408933</v>
      </c>
    </row>
    <row r="73" spans="1:33" ht="11.25" customHeight="1" x14ac:dyDescent="0.25">
      <c r="A73" s="4" t="s">
        <v>28</v>
      </c>
      <c r="B73" s="4" t="s">
        <v>33</v>
      </c>
      <c r="C73" s="4" t="s">
        <v>34</v>
      </c>
      <c r="D73" s="4" t="s">
        <v>39</v>
      </c>
      <c r="E73" s="4" t="s">
        <v>25</v>
      </c>
      <c r="F73" s="4" t="s">
        <v>25</v>
      </c>
      <c r="G73" s="4" t="s">
        <v>25</v>
      </c>
      <c r="H73" s="4" t="s">
        <v>35</v>
      </c>
      <c r="I73" s="5">
        <v>44348</v>
      </c>
      <c r="J73" s="6">
        <v>0</v>
      </c>
      <c r="K73" s="6">
        <v>0</v>
      </c>
      <c r="L73" s="6">
        <v>1.782</v>
      </c>
      <c r="M73" s="6">
        <v>1.782</v>
      </c>
      <c r="N73" s="6">
        <v>1.782</v>
      </c>
      <c r="O73" s="6">
        <v>1.782</v>
      </c>
      <c r="P73" s="6">
        <v>0</v>
      </c>
      <c r="Q73" s="4" t="s">
        <v>26</v>
      </c>
      <c r="R73" s="4">
        <v>0</v>
      </c>
      <c r="S73" s="6">
        <v>0</v>
      </c>
      <c r="T73" s="6">
        <v>66</v>
      </c>
      <c r="U73" s="6">
        <v>6</v>
      </c>
      <c r="V73" s="6">
        <f>IF(ISERROR(VLOOKUP($S$73,'TAR FIN'!$A$1:$O$85,15,0)),0,VLOOKUP($S$73,'TAR FIN'!$A$1:$O$85,15,0))</f>
        <v>0</v>
      </c>
      <c r="W73" s="6">
        <f>IF(ISERROR(VLOOKUP($T$73,'TAR FIN'!$A$1:$O$85,15,0)),0,VLOOKUP($T$73,'TAR FIN'!$A$1:$O$85,15,0))</f>
        <v>2263.58</v>
      </c>
      <c r="X73" s="6">
        <f>IF(ISERROR(VLOOKUP($U$73,'TAR FIN'!$A$1:$O$85,15,0)),0,VLOOKUP($U$73,'TAR FIN'!$A$1:$O$85,15,0))</f>
        <v>223.72</v>
      </c>
      <c r="Y73" s="6"/>
      <c r="Z73" s="6">
        <f ca="1">('TUSD BE'!$AM$11+'TUSD BF'!$AM$11+'TUSD CVA'!$AM$11)*1</f>
        <v>2373.6759655636811</v>
      </c>
      <c r="AA73" s="6">
        <f>('TE BE'!$AA$5+'TE BF'!$AA$5+'TE CVA'!$AA$5)*1</f>
        <v>217.62939920622892</v>
      </c>
      <c r="AB73" s="6">
        <f>$K$73*$V$73</f>
        <v>0</v>
      </c>
      <c r="AC73" s="6">
        <f>$M$73*$W$73</f>
        <v>4033.69956</v>
      </c>
      <c r="AD73" s="6">
        <f>$O$73*$X$73</f>
        <v>398.66904</v>
      </c>
      <c r="AE73" s="6">
        <f>$K$73*$Y$73</f>
        <v>0</v>
      </c>
      <c r="AF73" s="6">
        <f ca="1">$M$73*$Z$73</f>
        <v>4229.8905706344794</v>
      </c>
      <c r="AG73" s="6">
        <f>$O$73*$AA$73</f>
        <v>387.81558938549995</v>
      </c>
    </row>
    <row r="74" spans="1:33" ht="11.25" customHeight="1" x14ac:dyDescent="0.25">
      <c r="A74" s="4" t="s">
        <v>21</v>
      </c>
      <c r="B74" s="4" t="s">
        <v>33</v>
      </c>
      <c r="C74" s="4" t="s">
        <v>34</v>
      </c>
      <c r="D74" s="4" t="s">
        <v>39</v>
      </c>
      <c r="E74" s="4" t="s">
        <v>25</v>
      </c>
      <c r="F74" s="4" t="s">
        <v>25</v>
      </c>
      <c r="G74" s="4" t="s">
        <v>25</v>
      </c>
      <c r="H74" s="4" t="s">
        <v>35</v>
      </c>
      <c r="I74" s="5">
        <v>44378</v>
      </c>
      <c r="J74" s="6">
        <v>0</v>
      </c>
      <c r="K74" s="6">
        <v>0</v>
      </c>
      <c r="L74" s="6">
        <v>21.773</v>
      </c>
      <c r="M74" s="6">
        <v>21.773</v>
      </c>
      <c r="N74" s="6">
        <v>21.773</v>
      </c>
      <c r="O74" s="6">
        <v>21.773</v>
      </c>
      <c r="P74" s="6">
        <v>0</v>
      </c>
      <c r="Q74" s="4" t="s">
        <v>26</v>
      </c>
      <c r="R74" s="4">
        <v>0</v>
      </c>
      <c r="S74" s="6">
        <v>0</v>
      </c>
      <c r="T74" s="6">
        <v>66</v>
      </c>
      <c r="U74" s="6">
        <v>6</v>
      </c>
      <c r="V74" s="6">
        <f>IF(ISERROR(VLOOKUP($S$74,'TAR FIN'!$A$1:$O$85,15,0)),0,VLOOKUP($S$74,'TAR FIN'!$A$1:$O$85,15,0))</f>
        <v>0</v>
      </c>
      <c r="W74" s="6">
        <f>IF(ISERROR(VLOOKUP($T$74,'TAR FIN'!$A$1:$O$85,15,0)),0,VLOOKUP($T$74,'TAR FIN'!$A$1:$O$85,15,0))</f>
        <v>2263.58</v>
      </c>
      <c r="X74" s="6">
        <f>IF(ISERROR(VLOOKUP($U$74,'TAR FIN'!$A$1:$O$85,15,0)),0,VLOOKUP($U$74,'TAR FIN'!$A$1:$O$85,15,0))</f>
        <v>223.72</v>
      </c>
      <c r="Y74" s="6"/>
      <c r="Z74" s="6">
        <f ca="1">('TUSD BE'!$AM$11+'TUSD BF'!$AM$11+'TUSD CVA'!$AM$11)*1</f>
        <v>2373.6759655636811</v>
      </c>
      <c r="AA74" s="6">
        <f>('TE BE'!$AA$5+'TE BF'!$AA$5+'TE CVA'!$AA$5)*1</f>
        <v>217.62939920622892</v>
      </c>
      <c r="AB74" s="6">
        <f>$K$74*$V$74</f>
        <v>0</v>
      </c>
      <c r="AC74" s="6">
        <f>$M$74*$W$74</f>
        <v>49284.927339999995</v>
      </c>
      <c r="AD74" s="6">
        <f>$O$74*$X$74</f>
        <v>4871.0555599999998</v>
      </c>
      <c r="AE74" s="6">
        <f>$K$74*$Y$74</f>
        <v>0</v>
      </c>
      <c r="AF74" s="6">
        <f ca="1">$M$74*$Z$74</f>
        <v>51682.046798218027</v>
      </c>
      <c r="AG74" s="6">
        <f>$O$74*$AA$74</f>
        <v>4738.4449089172222</v>
      </c>
    </row>
    <row r="75" spans="1:33" ht="11.25" customHeight="1" x14ac:dyDescent="0.25">
      <c r="A75" s="4" t="s">
        <v>28</v>
      </c>
      <c r="B75" s="4" t="s">
        <v>33</v>
      </c>
      <c r="C75" s="4" t="s">
        <v>34</v>
      </c>
      <c r="D75" s="4" t="s">
        <v>39</v>
      </c>
      <c r="E75" s="4" t="s">
        <v>25</v>
      </c>
      <c r="F75" s="4" t="s">
        <v>25</v>
      </c>
      <c r="G75" s="4" t="s">
        <v>25</v>
      </c>
      <c r="H75" s="4" t="s">
        <v>35</v>
      </c>
      <c r="I75" s="5">
        <v>44378</v>
      </c>
      <c r="J75" s="6">
        <v>0</v>
      </c>
      <c r="K75" s="6">
        <v>0</v>
      </c>
      <c r="L75" s="6">
        <v>1.75</v>
      </c>
      <c r="M75" s="6">
        <v>1.75</v>
      </c>
      <c r="N75" s="6">
        <v>1.75</v>
      </c>
      <c r="O75" s="6">
        <v>1.75</v>
      </c>
      <c r="P75" s="6">
        <v>0</v>
      </c>
      <c r="Q75" s="4" t="s">
        <v>26</v>
      </c>
      <c r="R75" s="4">
        <v>0</v>
      </c>
      <c r="S75" s="6">
        <v>0</v>
      </c>
      <c r="T75" s="6">
        <v>66</v>
      </c>
      <c r="U75" s="6">
        <v>6</v>
      </c>
      <c r="V75" s="6">
        <f>IF(ISERROR(VLOOKUP($S$75,'TAR FIN'!$A$1:$O$85,15,0)),0,VLOOKUP($S$75,'TAR FIN'!$A$1:$O$85,15,0))</f>
        <v>0</v>
      </c>
      <c r="W75" s="6">
        <f>IF(ISERROR(VLOOKUP($T$75,'TAR FIN'!$A$1:$O$85,15,0)),0,VLOOKUP($T$75,'TAR FIN'!$A$1:$O$85,15,0))</f>
        <v>2263.58</v>
      </c>
      <c r="X75" s="6">
        <f>IF(ISERROR(VLOOKUP($U$75,'TAR FIN'!$A$1:$O$85,15,0)),0,VLOOKUP($U$75,'TAR FIN'!$A$1:$O$85,15,0))</f>
        <v>223.72</v>
      </c>
      <c r="Y75" s="6"/>
      <c r="Z75" s="6">
        <f ca="1">('TUSD BE'!$AM$11+'TUSD BF'!$AM$11+'TUSD CVA'!$AM$11)*1</f>
        <v>2373.6759655636811</v>
      </c>
      <c r="AA75" s="6">
        <f>('TE BE'!$AA$5+'TE BF'!$AA$5+'TE CVA'!$AA$5)*1</f>
        <v>217.62939920622892</v>
      </c>
      <c r="AB75" s="6">
        <f>$K$75*$V$75</f>
        <v>0</v>
      </c>
      <c r="AC75" s="6">
        <f>$M$75*$W$75</f>
        <v>3961.2649999999999</v>
      </c>
      <c r="AD75" s="6">
        <f>$O$75*$X$75</f>
        <v>391.51</v>
      </c>
      <c r="AE75" s="6">
        <f>$K$75*$Y$75</f>
        <v>0</v>
      </c>
      <c r="AF75" s="6">
        <f ca="1">$M$75*$Z$75</f>
        <v>4153.9329397364418</v>
      </c>
      <c r="AG75" s="6">
        <f>$O$75*$AA$75</f>
        <v>380.8514486109006</v>
      </c>
    </row>
    <row r="76" spans="1:33" ht="11.25" customHeight="1" x14ac:dyDescent="0.25">
      <c r="A76" s="4" t="s">
        <v>21</v>
      </c>
      <c r="B76" s="4" t="s">
        <v>33</v>
      </c>
      <c r="C76" s="4" t="s">
        <v>34</v>
      </c>
      <c r="D76" s="4" t="s">
        <v>39</v>
      </c>
      <c r="E76" s="4" t="s">
        <v>25</v>
      </c>
      <c r="F76" s="4" t="s">
        <v>25</v>
      </c>
      <c r="G76" s="4" t="s">
        <v>25</v>
      </c>
      <c r="H76" s="4" t="s">
        <v>35</v>
      </c>
      <c r="I76" s="5">
        <v>44409</v>
      </c>
      <c r="J76" s="6">
        <v>0</v>
      </c>
      <c r="K76" s="6">
        <v>0</v>
      </c>
      <c r="L76" s="6">
        <v>27.72</v>
      </c>
      <c r="M76" s="6">
        <v>27.72</v>
      </c>
      <c r="N76" s="6">
        <v>27.72</v>
      </c>
      <c r="O76" s="6">
        <v>27.72</v>
      </c>
      <c r="P76" s="6">
        <v>0</v>
      </c>
      <c r="Q76" s="4" t="s">
        <v>26</v>
      </c>
      <c r="R76" s="4">
        <v>0</v>
      </c>
      <c r="S76" s="6">
        <v>0</v>
      </c>
      <c r="T76" s="6">
        <v>66</v>
      </c>
      <c r="U76" s="6">
        <v>6</v>
      </c>
      <c r="V76" s="6">
        <f>IF(ISERROR(VLOOKUP($S$76,'TAR FIN'!$A$1:$O$85,15,0)),0,VLOOKUP($S$76,'TAR FIN'!$A$1:$O$85,15,0))</f>
        <v>0</v>
      </c>
      <c r="W76" s="6">
        <f>IF(ISERROR(VLOOKUP($T$76,'TAR FIN'!$A$1:$O$85,15,0)),0,VLOOKUP($T$76,'TAR FIN'!$A$1:$O$85,15,0))</f>
        <v>2263.58</v>
      </c>
      <c r="X76" s="6">
        <f>IF(ISERROR(VLOOKUP($U$76,'TAR FIN'!$A$1:$O$85,15,0)),0,VLOOKUP($U$76,'TAR FIN'!$A$1:$O$85,15,0))</f>
        <v>223.72</v>
      </c>
      <c r="Y76" s="6"/>
      <c r="Z76" s="6">
        <f ca="1">('TUSD BE'!$AM$11+'TUSD BF'!$AM$11+'TUSD CVA'!$AM$11)*1</f>
        <v>2373.6759655636811</v>
      </c>
      <c r="AA76" s="6">
        <f>('TE BE'!$AA$5+'TE BF'!$AA$5+'TE CVA'!$AA$5)*1</f>
        <v>217.62939920622892</v>
      </c>
      <c r="AB76" s="6">
        <f>$K$76*$V$76</f>
        <v>0</v>
      </c>
      <c r="AC76" s="6">
        <f>$M$76*$W$76</f>
        <v>62746.437599999997</v>
      </c>
      <c r="AD76" s="6">
        <f>$O$76*$X$76</f>
        <v>6201.5183999999999</v>
      </c>
      <c r="AE76" s="6">
        <f>$K$76*$Y$76</f>
        <v>0</v>
      </c>
      <c r="AF76" s="6">
        <f ca="1">$M$76*$Z$76</f>
        <v>65798.297765425232</v>
      </c>
      <c r="AG76" s="6">
        <f>$O$76*$AA$76</f>
        <v>6032.6869459966656</v>
      </c>
    </row>
    <row r="77" spans="1:33" ht="11.25" customHeight="1" x14ac:dyDescent="0.25">
      <c r="A77" s="4" t="s">
        <v>28</v>
      </c>
      <c r="B77" s="4" t="s">
        <v>33</v>
      </c>
      <c r="C77" s="4" t="s">
        <v>34</v>
      </c>
      <c r="D77" s="4" t="s">
        <v>39</v>
      </c>
      <c r="E77" s="4" t="s">
        <v>25</v>
      </c>
      <c r="F77" s="4" t="s">
        <v>25</v>
      </c>
      <c r="G77" s="4" t="s">
        <v>25</v>
      </c>
      <c r="H77" s="4" t="s">
        <v>35</v>
      </c>
      <c r="I77" s="5">
        <v>44409</v>
      </c>
      <c r="J77" s="6">
        <v>0</v>
      </c>
      <c r="K77" s="6">
        <v>0</v>
      </c>
      <c r="L77" s="6">
        <v>6.0789999999999997</v>
      </c>
      <c r="M77" s="6">
        <v>6.0789999999999997</v>
      </c>
      <c r="N77" s="6">
        <v>6.0789999999999997</v>
      </c>
      <c r="O77" s="6">
        <v>6.0789999999999997</v>
      </c>
      <c r="P77" s="6">
        <v>0</v>
      </c>
      <c r="Q77" s="4" t="s">
        <v>26</v>
      </c>
      <c r="R77" s="4">
        <v>0</v>
      </c>
      <c r="S77" s="6">
        <v>0</v>
      </c>
      <c r="T77" s="6">
        <v>66</v>
      </c>
      <c r="U77" s="6">
        <v>6</v>
      </c>
      <c r="V77" s="6">
        <f>IF(ISERROR(VLOOKUP($S$77,'TAR FIN'!$A$1:$O$85,15,0)),0,VLOOKUP($S$77,'TAR FIN'!$A$1:$O$85,15,0))</f>
        <v>0</v>
      </c>
      <c r="W77" s="6">
        <f>IF(ISERROR(VLOOKUP($T$77,'TAR FIN'!$A$1:$O$85,15,0)),0,VLOOKUP($T$77,'TAR FIN'!$A$1:$O$85,15,0))</f>
        <v>2263.58</v>
      </c>
      <c r="X77" s="6">
        <f>IF(ISERROR(VLOOKUP($U$77,'TAR FIN'!$A$1:$O$85,15,0)),0,VLOOKUP($U$77,'TAR FIN'!$A$1:$O$85,15,0))</f>
        <v>223.72</v>
      </c>
      <c r="Y77" s="6"/>
      <c r="Z77" s="6">
        <f ca="1">('TUSD BE'!$AM$11+'TUSD BF'!$AM$11+'TUSD CVA'!$AM$11)*1</f>
        <v>2373.6759655636811</v>
      </c>
      <c r="AA77" s="6">
        <f>('TE BE'!$AA$5+'TE BF'!$AA$5+'TE CVA'!$AA$5)*1</f>
        <v>217.62939920622892</v>
      </c>
      <c r="AB77" s="6">
        <f>$K$77*$V$77</f>
        <v>0</v>
      </c>
      <c r="AC77" s="6">
        <f>$M$77*$W$77</f>
        <v>13760.302819999999</v>
      </c>
      <c r="AD77" s="6">
        <f>$O$77*$X$77</f>
        <v>1359.99388</v>
      </c>
      <c r="AE77" s="6">
        <f>$K$77*$Y$77</f>
        <v>0</v>
      </c>
      <c r="AF77" s="6">
        <f ca="1">$M$77*$Z$77</f>
        <v>14429.576194661617</v>
      </c>
      <c r="AG77" s="6">
        <f>$O$77*$AA$77</f>
        <v>1322.9691177746656</v>
      </c>
    </row>
    <row r="78" spans="1:33" ht="11.25" customHeight="1" x14ac:dyDescent="0.25">
      <c r="A78" s="4" t="s">
        <v>21</v>
      </c>
      <c r="B78" s="4" t="s">
        <v>33</v>
      </c>
      <c r="C78" s="4" t="s">
        <v>34</v>
      </c>
      <c r="D78" s="4" t="s">
        <v>39</v>
      </c>
      <c r="E78" s="4" t="s">
        <v>25</v>
      </c>
      <c r="F78" s="4" t="s">
        <v>25</v>
      </c>
      <c r="G78" s="4" t="s">
        <v>25</v>
      </c>
      <c r="H78" s="4" t="s">
        <v>35</v>
      </c>
      <c r="I78" s="5">
        <v>44440</v>
      </c>
      <c r="J78" s="6">
        <v>0</v>
      </c>
      <c r="K78" s="6">
        <v>0</v>
      </c>
      <c r="L78" s="6">
        <v>21.4</v>
      </c>
      <c r="M78" s="6">
        <v>21.4</v>
      </c>
      <c r="N78" s="6">
        <v>21.4</v>
      </c>
      <c r="O78" s="6">
        <v>21.4</v>
      </c>
      <c r="P78" s="6">
        <v>0</v>
      </c>
      <c r="Q78" s="4" t="s">
        <v>26</v>
      </c>
      <c r="R78" s="4">
        <v>0</v>
      </c>
      <c r="S78" s="6">
        <v>0</v>
      </c>
      <c r="T78" s="6">
        <v>66</v>
      </c>
      <c r="U78" s="6">
        <v>6</v>
      </c>
      <c r="V78" s="6">
        <f>IF(ISERROR(VLOOKUP($S$78,'TAR FIN'!$A$1:$O$85,15,0)),0,VLOOKUP($S$78,'TAR FIN'!$A$1:$O$85,15,0))</f>
        <v>0</v>
      </c>
      <c r="W78" s="6">
        <f>IF(ISERROR(VLOOKUP($T$78,'TAR FIN'!$A$1:$O$85,15,0)),0,VLOOKUP($T$78,'TAR FIN'!$A$1:$O$85,15,0))</f>
        <v>2263.58</v>
      </c>
      <c r="X78" s="6">
        <f>IF(ISERROR(VLOOKUP($U$78,'TAR FIN'!$A$1:$O$85,15,0)),0,VLOOKUP($U$78,'TAR FIN'!$A$1:$O$85,15,0))</f>
        <v>223.72</v>
      </c>
      <c r="Y78" s="6"/>
      <c r="Z78" s="6">
        <f ca="1">('TUSD BE'!$AM$11+'TUSD BF'!$AM$11+'TUSD CVA'!$AM$11)*1</f>
        <v>2373.6759655636811</v>
      </c>
      <c r="AA78" s="6">
        <f>('TE BE'!$AA$5+'TE BF'!$AA$5+'TE CVA'!$AA$5)*1</f>
        <v>217.62939920622892</v>
      </c>
      <c r="AB78" s="6">
        <f>$K$78*$V$78</f>
        <v>0</v>
      </c>
      <c r="AC78" s="6">
        <f>$M$78*$W$78</f>
        <v>48440.611999999994</v>
      </c>
      <c r="AD78" s="6">
        <f>$O$78*$X$78</f>
        <v>4787.6079999999993</v>
      </c>
      <c r="AE78" s="6">
        <f>$K$78*$Y$78</f>
        <v>0</v>
      </c>
      <c r="AF78" s="6">
        <f ca="1">$M$78*$Z$78</f>
        <v>50796.665663062769</v>
      </c>
      <c r="AG78" s="6">
        <f>$O$78*$AA$78</f>
        <v>4657.2691430132991</v>
      </c>
    </row>
    <row r="79" spans="1:33" ht="11.25" customHeight="1" x14ac:dyDescent="0.25">
      <c r="A79" s="4" t="s">
        <v>28</v>
      </c>
      <c r="B79" s="4" t="s">
        <v>33</v>
      </c>
      <c r="C79" s="4" t="s">
        <v>34</v>
      </c>
      <c r="D79" s="4" t="s">
        <v>39</v>
      </c>
      <c r="E79" s="4" t="s">
        <v>25</v>
      </c>
      <c r="F79" s="4" t="s">
        <v>25</v>
      </c>
      <c r="G79" s="4" t="s">
        <v>25</v>
      </c>
      <c r="H79" s="4" t="s">
        <v>35</v>
      </c>
      <c r="I79" s="5">
        <v>44440</v>
      </c>
      <c r="J79" s="6">
        <v>0</v>
      </c>
      <c r="K79" s="6">
        <v>0</v>
      </c>
      <c r="L79" s="6">
        <v>4.1109999999999998</v>
      </c>
      <c r="M79" s="6">
        <v>4.1109999999999998</v>
      </c>
      <c r="N79" s="6">
        <v>4.1109999999999998</v>
      </c>
      <c r="O79" s="6">
        <v>4.1109999999999998</v>
      </c>
      <c r="P79" s="6">
        <v>0</v>
      </c>
      <c r="Q79" s="4" t="s">
        <v>26</v>
      </c>
      <c r="R79" s="4">
        <v>0</v>
      </c>
      <c r="S79" s="6">
        <v>0</v>
      </c>
      <c r="T79" s="6">
        <v>66</v>
      </c>
      <c r="U79" s="6">
        <v>6</v>
      </c>
      <c r="V79" s="6">
        <f>IF(ISERROR(VLOOKUP($S$79,'TAR FIN'!$A$1:$O$85,15,0)),0,VLOOKUP($S$79,'TAR FIN'!$A$1:$O$85,15,0))</f>
        <v>0</v>
      </c>
      <c r="W79" s="6">
        <f>IF(ISERROR(VLOOKUP($T$79,'TAR FIN'!$A$1:$O$85,15,0)),0,VLOOKUP($T$79,'TAR FIN'!$A$1:$O$85,15,0))</f>
        <v>2263.58</v>
      </c>
      <c r="X79" s="6">
        <f>IF(ISERROR(VLOOKUP($U$79,'TAR FIN'!$A$1:$O$85,15,0)),0,VLOOKUP($U$79,'TAR FIN'!$A$1:$O$85,15,0))</f>
        <v>223.72</v>
      </c>
      <c r="Y79" s="6"/>
      <c r="Z79" s="6">
        <f ca="1">('TUSD BE'!$AM$11+'TUSD BF'!$AM$11+'TUSD CVA'!$AM$11)*1</f>
        <v>2373.6759655636811</v>
      </c>
      <c r="AA79" s="6">
        <f>('TE BE'!$AA$5+'TE BF'!$AA$5+'TE CVA'!$AA$5)*1</f>
        <v>217.62939920622892</v>
      </c>
      <c r="AB79" s="6">
        <f>$K$79*$V$79</f>
        <v>0</v>
      </c>
      <c r="AC79" s="6">
        <f>$M$79*$W$79</f>
        <v>9305.5773799999988</v>
      </c>
      <c r="AD79" s="6">
        <f>$O$79*$X$79</f>
        <v>919.71291999999994</v>
      </c>
      <c r="AE79" s="6">
        <f>$K$79*$Y$79</f>
        <v>0</v>
      </c>
      <c r="AF79" s="6">
        <f ca="1">$M$79*$Z$79</f>
        <v>9758.1818944322931</v>
      </c>
      <c r="AG79" s="6">
        <f>$O$79*$AA$79</f>
        <v>894.67446013680706</v>
      </c>
    </row>
    <row r="80" spans="1:33" ht="11.25" customHeight="1" x14ac:dyDescent="0.25">
      <c r="A80" s="4" t="s">
        <v>21</v>
      </c>
      <c r="B80" s="4" t="s">
        <v>33</v>
      </c>
      <c r="C80" s="4" t="s">
        <v>34</v>
      </c>
      <c r="D80" s="4" t="s">
        <v>39</v>
      </c>
      <c r="E80" s="4" t="s">
        <v>25</v>
      </c>
      <c r="F80" s="4" t="s">
        <v>25</v>
      </c>
      <c r="G80" s="4" t="s">
        <v>25</v>
      </c>
      <c r="H80" s="4" t="s">
        <v>35</v>
      </c>
      <c r="I80" s="5">
        <v>44470</v>
      </c>
      <c r="J80" s="6">
        <v>0</v>
      </c>
      <c r="K80" s="6">
        <v>0</v>
      </c>
      <c r="L80" s="6">
        <v>17.369</v>
      </c>
      <c r="M80" s="6">
        <v>17.369</v>
      </c>
      <c r="N80" s="6">
        <v>17.369</v>
      </c>
      <c r="O80" s="6">
        <v>17.369</v>
      </c>
      <c r="P80" s="6">
        <v>0</v>
      </c>
      <c r="Q80" s="4" t="s">
        <v>26</v>
      </c>
      <c r="R80" s="4">
        <v>0</v>
      </c>
      <c r="S80" s="6">
        <v>0</v>
      </c>
      <c r="T80" s="6">
        <v>66</v>
      </c>
      <c r="U80" s="6">
        <v>6</v>
      </c>
      <c r="V80" s="6">
        <f>IF(ISERROR(VLOOKUP($S$80,'TAR FIN'!$A$1:$O$85,15,0)),0,VLOOKUP($S$80,'TAR FIN'!$A$1:$O$85,15,0))</f>
        <v>0</v>
      </c>
      <c r="W80" s="6">
        <f>IF(ISERROR(VLOOKUP($T$80,'TAR FIN'!$A$1:$O$85,15,0)),0,VLOOKUP($T$80,'TAR FIN'!$A$1:$O$85,15,0))</f>
        <v>2263.58</v>
      </c>
      <c r="X80" s="6">
        <f>IF(ISERROR(VLOOKUP($U$80,'TAR FIN'!$A$1:$O$85,15,0)),0,VLOOKUP($U$80,'TAR FIN'!$A$1:$O$85,15,0))</f>
        <v>223.72</v>
      </c>
      <c r="Y80" s="6"/>
      <c r="Z80" s="6">
        <f ca="1">('TUSD BE'!$AM$11+'TUSD BF'!$AM$11+'TUSD CVA'!$AM$11)*1</f>
        <v>2373.6759655636811</v>
      </c>
      <c r="AA80" s="6">
        <f>('TE BE'!$AA$5+'TE BF'!$AA$5+'TE CVA'!$AA$5)*1</f>
        <v>217.62939920622892</v>
      </c>
      <c r="AB80" s="6">
        <f>$K$80*$V$80</f>
        <v>0</v>
      </c>
      <c r="AC80" s="6">
        <f>$M$80*$W$80</f>
        <v>39316.121019999999</v>
      </c>
      <c r="AD80" s="6">
        <f>$O$80*$X$80</f>
        <v>3885.79268</v>
      </c>
      <c r="AE80" s="6">
        <f>$K$80*$Y$80</f>
        <v>0</v>
      </c>
      <c r="AF80" s="6">
        <f ca="1">$M$80*$Z$80</f>
        <v>41228.377845875577</v>
      </c>
      <c r="AG80" s="6">
        <f>$O$80*$AA$80</f>
        <v>3780.0050348129903</v>
      </c>
    </row>
    <row r="81" spans="1:33" ht="11.25" customHeight="1" x14ac:dyDescent="0.25">
      <c r="A81" s="4" t="s">
        <v>28</v>
      </c>
      <c r="B81" s="4" t="s">
        <v>33</v>
      </c>
      <c r="C81" s="4" t="s">
        <v>34</v>
      </c>
      <c r="D81" s="4" t="s">
        <v>39</v>
      </c>
      <c r="E81" s="4" t="s">
        <v>25</v>
      </c>
      <c r="F81" s="4" t="s">
        <v>25</v>
      </c>
      <c r="G81" s="4" t="s">
        <v>25</v>
      </c>
      <c r="H81" s="4" t="s">
        <v>35</v>
      </c>
      <c r="I81" s="5">
        <v>44470</v>
      </c>
      <c r="J81" s="6">
        <v>0</v>
      </c>
      <c r="K81" s="6">
        <v>0</v>
      </c>
      <c r="L81" s="6">
        <v>1.661</v>
      </c>
      <c r="M81" s="6">
        <v>1.661</v>
      </c>
      <c r="N81" s="6">
        <v>1.661</v>
      </c>
      <c r="O81" s="6">
        <v>1.661</v>
      </c>
      <c r="P81" s="6">
        <v>0</v>
      </c>
      <c r="Q81" s="4" t="s">
        <v>26</v>
      </c>
      <c r="R81" s="4">
        <v>0</v>
      </c>
      <c r="S81" s="6">
        <v>0</v>
      </c>
      <c r="T81" s="6">
        <v>66</v>
      </c>
      <c r="U81" s="6">
        <v>6</v>
      </c>
      <c r="V81" s="6">
        <f>IF(ISERROR(VLOOKUP($S$81,'TAR FIN'!$A$1:$O$85,15,0)),0,VLOOKUP($S$81,'TAR FIN'!$A$1:$O$85,15,0))</f>
        <v>0</v>
      </c>
      <c r="W81" s="6">
        <f>IF(ISERROR(VLOOKUP($T$81,'TAR FIN'!$A$1:$O$85,15,0)),0,VLOOKUP($T$81,'TAR FIN'!$A$1:$O$85,15,0))</f>
        <v>2263.58</v>
      </c>
      <c r="X81" s="6">
        <f>IF(ISERROR(VLOOKUP($U$81,'TAR FIN'!$A$1:$O$85,15,0)),0,VLOOKUP($U$81,'TAR FIN'!$A$1:$O$85,15,0))</f>
        <v>223.72</v>
      </c>
      <c r="Y81" s="6"/>
      <c r="Z81" s="6">
        <f ca="1">('TUSD BE'!$AM$11+'TUSD BF'!$AM$11+'TUSD CVA'!$AM$11)*1</f>
        <v>2373.6759655636811</v>
      </c>
      <c r="AA81" s="6">
        <f>('TE BE'!$AA$5+'TE BF'!$AA$5+'TE CVA'!$AA$5)*1</f>
        <v>217.62939920622892</v>
      </c>
      <c r="AB81" s="6">
        <f>$K$81*$V$81</f>
        <v>0</v>
      </c>
      <c r="AC81" s="6">
        <f>$M$81*$W$81</f>
        <v>3759.80638</v>
      </c>
      <c r="AD81" s="6">
        <f>$O$81*$X$81</f>
        <v>371.59892000000002</v>
      </c>
      <c r="AE81" s="6">
        <f>$K$81*$Y$81</f>
        <v>0</v>
      </c>
      <c r="AF81" s="6">
        <f ca="1">$M$81*$Z$81</f>
        <v>3942.6757788012742</v>
      </c>
      <c r="AG81" s="6">
        <f>$O$81*$AA$81</f>
        <v>361.48243208154628</v>
      </c>
    </row>
    <row r="82" spans="1:33" ht="11.25" customHeight="1" x14ac:dyDescent="0.25">
      <c r="A82" s="4" t="s">
        <v>21</v>
      </c>
      <c r="B82" s="4" t="s">
        <v>33</v>
      </c>
      <c r="C82" s="4" t="s">
        <v>34</v>
      </c>
      <c r="D82" s="4" t="s">
        <v>39</v>
      </c>
      <c r="E82" s="4" t="s">
        <v>25</v>
      </c>
      <c r="F82" s="4" t="s">
        <v>25</v>
      </c>
      <c r="G82" s="4" t="s">
        <v>25</v>
      </c>
      <c r="H82" s="4" t="s">
        <v>35</v>
      </c>
      <c r="I82" s="5">
        <v>44501</v>
      </c>
      <c r="J82" s="6">
        <v>0</v>
      </c>
      <c r="K82" s="6">
        <v>0</v>
      </c>
      <c r="L82" s="6">
        <v>22.556000000000001</v>
      </c>
      <c r="M82" s="6">
        <v>22.556000000000001</v>
      </c>
      <c r="N82" s="6">
        <v>22.556000000000001</v>
      </c>
      <c r="O82" s="6">
        <v>22.556000000000001</v>
      </c>
      <c r="P82" s="6">
        <v>0</v>
      </c>
      <c r="Q82" s="4" t="s">
        <v>26</v>
      </c>
      <c r="R82" s="4">
        <v>0</v>
      </c>
      <c r="S82" s="6">
        <v>0</v>
      </c>
      <c r="T82" s="6">
        <v>66</v>
      </c>
      <c r="U82" s="6">
        <v>6</v>
      </c>
      <c r="V82" s="6">
        <f>IF(ISERROR(VLOOKUP($S$82,'TAR FIN'!$A$1:$O$85,15,0)),0,VLOOKUP($S$82,'TAR FIN'!$A$1:$O$85,15,0))</f>
        <v>0</v>
      </c>
      <c r="W82" s="6">
        <f>IF(ISERROR(VLOOKUP($T$82,'TAR FIN'!$A$1:$O$85,15,0)),0,VLOOKUP($T$82,'TAR FIN'!$A$1:$O$85,15,0))</f>
        <v>2263.58</v>
      </c>
      <c r="X82" s="6">
        <f>IF(ISERROR(VLOOKUP($U$82,'TAR FIN'!$A$1:$O$85,15,0)),0,VLOOKUP($U$82,'TAR FIN'!$A$1:$O$85,15,0))</f>
        <v>223.72</v>
      </c>
      <c r="Y82" s="6"/>
      <c r="Z82" s="6">
        <f ca="1">('TUSD BE'!$AM$11+'TUSD BF'!$AM$11+'TUSD CVA'!$AM$11)*1</f>
        <v>2373.6759655636811</v>
      </c>
      <c r="AA82" s="6">
        <f>('TE BE'!$AA$5+'TE BF'!$AA$5+'TE CVA'!$AA$5)*1</f>
        <v>217.62939920622892</v>
      </c>
      <c r="AB82" s="6">
        <f>$K$82*$V$82</f>
        <v>0</v>
      </c>
      <c r="AC82" s="6">
        <f>$M$82*$W$82</f>
        <v>51057.31048</v>
      </c>
      <c r="AD82" s="6">
        <f>$O$82*$X$82</f>
        <v>5046.2283200000002</v>
      </c>
      <c r="AE82" s="6">
        <f>$K$82*$Y$82</f>
        <v>0</v>
      </c>
      <c r="AF82" s="6">
        <f ca="1">$M$82*$Z$82</f>
        <v>53540.635079254389</v>
      </c>
      <c r="AG82" s="6">
        <f>$O$82*$AA$82</f>
        <v>4908.8487284957</v>
      </c>
    </row>
    <row r="83" spans="1:33" ht="11.25" customHeight="1" x14ac:dyDescent="0.25">
      <c r="A83" s="4" t="s">
        <v>21</v>
      </c>
      <c r="B83" s="4" t="s">
        <v>33</v>
      </c>
      <c r="C83" s="4" t="s">
        <v>34</v>
      </c>
      <c r="D83" s="4" t="s">
        <v>39</v>
      </c>
      <c r="E83" s="4" t="s">
        <v>25</v>
      </c>
      <c r="F83" s="4" t="s">
        <v>25</v>
      </c>
      <c r="G83" s="4" t="s">
        <v>25</v>
      </c>
      <c r="H83" s="4" t="s">
        <v>35</v>
      </c>
      <c r="I83" s="5">
        <v>44531</v>
      </c>
      <c r="J83" s="6">
        <v>0</v>
      </c>
      <c r="K83" s="6">
        <v>0</v>
      </c>
      <c r="L83" s="6">
        <v>25.212</v>
      </c>
      <c r="M83" s="6">
        <v>25.212</v>
      </c>
      <c r="N83" s="6">
        <v>25.212</v>
      </c>
      <c r="O83" s="6">
        <v>25.212</v>
      </c>
      <c r="P83" s="6">
        <v>0</v>
      </c>
      <c r="Q83" s="4" t="s">
        <v>26</v>
      </c>
      <c r="R83" s="4">
        <v>0</v>
      </c>
      <c r="S83" s="6">
        <v>0</v>
      </c>
      <c r="T83" s="6">
        <v>66</v>
      </c>
      <c r="U83" s="6">
        <v>6</v>
      </c>
      <c r="V83" s="6">
        <f>IF(ISERROR(VLOOKUP($S$83,'TAR FIN'!$A$1:$O$85,15,0)),0,VLOOKUP($S$83,'TAR FIN'!$A$1:$O$85,15,0))</f>
        <v>0</v>
      </c>
      <c r="W83" s="6">
        <f>IF(ISERROR(VLOOKUP($T$83,'TAR FIN'!$A$1:$O$85,15,0)),0,VLOOKUP($T$83,'TAR FIN'!$A$1:$O$85,15,0))</f>
        <v>2263.58</v>
      </c>
      <c r="X83" s="6">
        <f>IF(ISERROR(VLOOKUP($U$83,'TAR FIN'!$A$1:$O$85,15,0)),0,VLOOKUP($U$83,'TAR FIN'!$A$1:$O$85,15,0))</f>
        <v>223.72</v>
      </c>
      <c r="Y83" s="6"/>
      <c r="Z83" s="6">
        <f ca="1">('TUSD BE'!$AM$11+'TUSD BF'!$AM$11+'TUSD CVA'!$AM$11)*1</f>
        <v>2373.6759655636811</v>
      </c>
      <c r="AA83" s="6">
        <f>('TE BE'!$AA$5+'TE BF'!$AA$5+'TE CVA'!$AA$5)*1</f>
        <v>217.62939920622892</v>
      </c>
      <c r="AB83" s="6">
        <f>$K$83*$V$83</f>
        <v>0</v>
      </c>
      <c r="AC83" s="6">
        <f>$M$83*$W$83</f>
        <v>57069.378959999995</v>
      </c>
      <c r="AD83" s="6">
        <f>$O$83*$X$83</f>
        <v>5640.4286400000001</v>
      </c>
      <c r="AE83" s="6">
        <f>$K$83*$Y$83</f>
        <v>0</v>
      </c>
      <c r="AF83" s="6">
        <f ca="1">$M$83*$Z$83</f>
        <v>59845.118443791529</v>
      </c>
      <c r="AG83" s="6">
        <f>$O$83*$AA$83</f>
        <v>5486.8724127874439</v>
      </c>
    </row>
    <row r="84" spans="1:33" ht="11.25" customHeight="1" x14ac:dyDescent="0.25">
      <c r="A84" s="4" t="s">
        <v>21</v>
      </c>
      <c r="B84" s="4" t="s">
        <v>33</v>
      </c>
      <c r="C84" s="4" t="s">
        <v>34</v>
      </c>
      <c r="D84" s="4" t="s">
        <v>39</v>
      </c>
      <c r="E84" s="4" t="s">
        <v>25</v>
      </c>
      <c r="F84" s="4" t="s">
        <v>25</v>
      </c>
      <c r="G84" s="4" t="s">
        <v>25</v>
      </c>
      <c r="H84" s="4" t="s">
        <v>35</v>
      </c>
      <c r="I84" s="5">
        <v>44562</v>
      </c>
      <c r="J84" s="6">
        <v>0</v>
      </c>
      <c r="K84" s="6">
        <v>0</v>
      </c>
      <c r="L84" s="6">
        <v>24.326000000000001</v>
      </c>
      <c r="M84" s="6">
        <v>24.326000000000001</v>
      </c>
      <c r="N84" s="6">
        <v>24.326000000000001</v>
      </c>
      <c r="O84" s="6">
        <v>24.326000000000001</v>
      </c>
      <c r="P84" s="6">
        <v>0</v>
      </c>
      <c r="Q84" s="4" t="s">
        <v>26</v>
      </c>
      <c r="R84" s="4">
        <v>0</v>
      </c>
      <c r="S84" s="6">
        <v>0</v>
      </c>
      <c r="T84" s="6">
        <v>66</v>
      </c>
      <c r="U84" s="6">
        <v>6</v>
      </c>
      <c r="V84" s="6">
        <f>IF(ISERROR(VLOOKUP($S$84,'TAR FIN'!$A$1:$O$85,15,0)),0,VLOOKUP($S$84,'TAR FIN'!$A$1:$O$85,15,0))</f>
        <v>0</v>
      </c>
      <c r="W84" s="6">
        <f>IF(ISERROR(VLOOKUP($T$84,'TAR FIN'!$A$1:$O$85,15,0)),0,VLOOKUP($T$84,'TAR FIN'!$A$1:$O$85,15,0))</f>
        <v>2263.58</v>
      </c>
      <c r="X84" s="6">
        <f>IF(ISERROR(VLOOKUP($U$84,'TAR FIN'!$A$1:$O$85,15,0)),0,VLOOKUP($U$84,'TAR FIN'!$A$1:$O$85,15,0))</f>
        <v>223.72</v>
      </c>
      <c r="Y84" s="6"/>
      <c r="Z84" s="6">
        <f ca="1">('TUSD BE'!$AM$11+'TUSD BF'!$AM$11+'TUSD CVA'!$AM$11)*1</f>
        <v>2373.6759655636811</v>
      </c>
      <c r="AA84" s="6">
        <f>('TE BE'!$AA$5+'TE BF'!$AA$5+'TE CVA'!$AA$5)*1</f>
        <v>217.62939920622892</v>
      </c>
      <c r="AB84" s="6">
        <f>$K$84*$V$84</f>
        <v>0</v>
      </c>
      <c r="AC84" s="6">
        <f>$M$84*$W$84</f>
        <v>55063.84708</v>
      </c>
      <c r="AD84" s="6">
        <f>$O$84*$X$84</f>
        <v>5442.2127200000004</v>
      </c>
      <c r="AE84" s="6">
        <f>$K$84*$Y$84</f>
        <v>0</v>
      </c>
      <c r="AF84" s="6">
        <f ca="1">$M$84*$Z$84</f>
        <v>57742.04153830211</v>
      </c>
      <c r="AG84" s="6">
        <f>$O$84*$AA$84</f>
        <v>5294.0527650907252</v>
      </c>
    </row>
    <row r="85" spans="1:33" ht="11.25" customHeight="1" x14ac:dyDescent="0.25">
      <c r="A85" s="4" t="s">
        <v>21</v>
      </c>
      <c r="B85" s="4" t="s">
        <v>33</v>
      </c>
      <c r="C85" s="4" t="s">
        <v>34</v>
      </c>
      <c r="D85" s="4" t="s">
        <v>39</v>
      </c>
      <c r="E85" s="4" t="s">
        <v>25</v>
      </c>
      <c r="F85" s="4" t="s">
        <v>25</v>
      </c>
      <c r="G85" s="4" t="s">
        <v>25</v>
      </c>
      <c r="H85" s="4" t="s">
        <v>35</v>
      </c>
      <c r="I85" s="5">
        <v>44593</v>
      </c>
      <c r="J85" s="6">
        <v>0</v>
      </c>
      <c r="K85" s="6">
        <v>0</v>
      </c>
      <c r="L85" s="6">
        <v>34.677999999999997</v>
      </c>
      <c r="M85" s="6">
        <v>34.677999999999997</v>
      </c>
      <c r="N85" s="6">
        <v>34.677999999999997</v>
      </c>
      <c r="O85" s="6">
        <v>34.677999999999997</v>
      </c>
      <c r="P85" s="6">
        <v>0</v>
      </c>
      <c r="Q85" s="4" t="s">
        <v>26</v>
      </c>
      <c r="R85" s="4">
        <v>0</v>
      </c>
      <c r="S85" s="6">
        <v>0</v>
      </c>
      <c r="T85" s="6">
        <v>66</v>
      </c>
      <c r="U85" s="6">
        <v>6</v>
      </c>
      <c r="V85" s="6">
        <f>IF(ISERROR(VLOOKUP($S$85,'TAR FIN'!$A$1:$O$85,15,0)),0,VLOOKUP($S$85,'TAR FIN'!$A$1:$O$85,15,0))</f>
        <v>0</v>
      </c>
      <c r="W85" s="6">
        <f>IF(ISERROR(VLOOKUP($T$85,'TAR FIN'!$A$1:$O$85,15,0)),0,VLOOKUP($T$85,'TAR FIN'!$A$1:$O$85,15,0))</f>
        <v>2263.58</v>
      </c>
      <c r="X85" s="6">
        <f>IF(ISERROR(VLOOKUP($U$85,'TAR FIN'!$A$1:$O$85,15,0)),0,VLOOKUP($U$85,'TAR FIN'!$A$1:$O$85,15,0))</f>
        <v>223.72</v>
      </c>
      <c r="Y85" s="6"/>
      <c r="Z85" s="6">
        <f ca="1">('TUSD BE'!$AM$11+'TUSD BF'!$AM$11+'TUSD CVA'!$AM$11)*1</f>
        <v>2373.6759655636811</v>
      </c>
      <c r="AA85" s="6">
        <f>('TE BE'!$AA$5+'TE BF'!$AA$5+'TE CVA'!$AA$5)*1</f>
        <v>217.62939920622892</v>
      </c>
      <c r="AB85" s="6">
        <f>$K$85*$V$85</f>
        <v>0</v>
      </c>
      <c r="AC85" s="6">
        <f>$M$85*$W$85</f>
        <v>78496.42723999999</v>
      </c>
      <c r="AD85" s="6">
        <f>$O$85*$X$85</f>
        <v>7758.1621599999989</v>
      </c>
      <c r="AE85" s="6">
        <f>$K$85*$Y$85</f>
        <v>0</v>
      </c>
      <c r="AF85" s="6">
        <f ca="1">$M$85*$Z$85</f>
        <v>82314.335133817323</v>
      </c>
      <c r="AG85" s="6">
        <f>$O$85*$AA$85</f>
        <v>7546.9523056736061</v>
      </c>
    </row>
    <row r="86" spans="1:33" ht="11.25" customHeight="1" x14ac:dyDescent="0.25">
      <c r="A86" s="4" t="s">
        <v>54</v>
      </c>
      <c r="B86" s="4" t="s">
        <v>33</v>
      </c>
      <c r="C86" s="4" t="s">
        <v>34</v>
      </c>
      <c r="D86" s="4" t="s">
        <v>39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44621</v>
      </c>
      <c r="J86" s="6">
        <v>0</v>
      </c>
      <c r="K86" s="6">
        <v>0</v>
      </c>
      <c r="L86" s="6">
        <v>34.677999999999997</v>
      </c>
      <c r="M86" s="6">
        <v>34.677999999999997</v>
      </c>
      <c r="N86" s="6">
        <v>34.677999999999997</v>
      </c>
      <c r="O86" s="6">
        <v>34.677999999999997</v>
      </c>
      <c r="P86" s="6">
        <v>0</v>
      </c>
      <c r="Q86" s="4" t="s">
        <v>26</v>
      </c>
      <c r="R86" s="4">
        <v>0</v>
      </c>
      <c r="S86" s="6">
        <v>0</v>
      </c>
      <c r="T86" s="6">
        <v>66</v>
      </c>
      <c r="U86" s="6">
        <v>6</v>
      </c>
      <c r="V86" s="6">
        <f>IF(ISERROR(VLOOKUP($S$86,'TAR FIN'!$A$1:$O$85,15,0)),0,VLOOKUP($S$86,'TAR FIN'!$A$1:$O$85,15,0))</f>
        <v>0</v>
      </c>
      <c r="W86" s="6">
        <f>IF(ISERROR(VLOOKUP($T$86,'TAR FIN'!$A$1:$O$85,15,0)),0,VLOOKUP($T$86,'TAR FIN'!$A$1:$O$85,15,0))</f>
        <v>2263.58</v>
      </c>
      <c r="X86" s="6">
        <f>IF(ISERROR(VLOOKUP($U$86,'TAR FIN'!$A$1:$O$85,15,0)),0,VLOOKUP($U$86,'TAR FIN'!$A$1:$O$85,15,0))</f>
        <v>223.72</v>
      </c>
      <c r="Y86" s="6"/>
      <c r="Z86" s="6">
        <f ca="1">('TUSD BE'!$AM$11+'TUSD BF'!$AM$11+'TUSD CVA'!$AM$11)*1</f>
        <v>2373.6759655636811</v>
      </c>
      <c r="AA86" s="6">
        <f>('TE BE'!$AA$5+'TE BF'!$AA$5+'TE CVA'!$AA$5)*1</f>
        <v>217.62939920622892</v>
      </c>
      <c r="AB86" s="6">
        <f>$K$86*$V$86</f>
        <v>0</v>
      </c>
      <c r="AC86" s="6">
        <f>$M$86*$W$86</f>
        <v>78496.42723999999</v>
      </c>
      <c r="AD86" s="6">
        <f>$O$86*$X$86</f>
        <v>7758.1621599999989</v>
      </c>
      <c r="AE86" s="6">
        <f>$K$86*$Y$86</f>
        <v>0</v>
      </c>
      <c r="AF86" s="6">
        <f ca="1">$M$86*$Z$86</f>
        <v>82314.335133817323</v>
      </c>
      <c r="AG86" s="6">
        <f>$O$86*$AA$86</f>
        <v>7546.9523056736061</v>
      </c>
    </row>
    <row r="87" spans="1:33" ht="11.25" customHeight="1" x14ac:dyDescent="0.25">
      <c r="A87" s="4" t="s">
        <v>21</v>
      </c>
      <c r="B87" s="4" t="s">
        <v>33</v>
      </c>
      <c r="C87" s="4" t="s">
        <v>34</v>
      </c>
      <c r="D87" s="4" t="s">
        <v>38</v>
      </c>
      <c r="E87" s="4" t="s">
        <v>25</v>
      </c>
      <c r="F87" s="4" t="s">
        <v>55</v>
      </c>
      <c r="G87" s="4" t="s">
        <v>25</v>
      </c>
      <c r="H87" s="4" t="s">
        <v>36</v>
      </c>
      <c r="I87" s="5">
        <v>44287</v>
      </c>
      <c r="J87" s="6">
        <v>0</v>
      </c>
      <c r="K87" s="6">
        <v>0</v>
      </c>
      <c r="L87" s="6">
        <v>183.053</v>
      </c>
      <c r="M87" s="6">
        <v>91.526499999999999</v>
      </c>
      <c r="N87" s="6">
        <v>0</v>
      </c>
      <c r="O87" s="6">
        <v>0</v>
      </c>
      <c r="P87" s="6">
        <v>0</v>
      </c>
      <c r="Q87" s="4" t="s">
        <v>56</v>
      </c>
      <c r="R87" s="4">
        <v>0</v>
      </c>
      <c r="S87" s="6">
        <v>0</v>
      </c>
      <c r="T87" s="6">
        <v>47</v>
      </c>
      <c r="U87" s="6">
        <v>0</v>
      </c>
      <c r="V87" s="6">
        <f>IF(ISERROR(VLOOKUP($S$87,'TAR FIN'!$A$1:$O$85,15,0)),0,VLOOKUP($S$87,'TAR FIN'!$A$1:$O$85,15,0))</f>
        <v>0</v>
      </c>
      <c r="W87" s="6">
        <f>IF(ISERROR(VLOOKUP($T$87,'TAR FIN'!$A$1:$O$85,15,0)),0,VLOOKUP($T$87,'TAR FIN'!$A$1:$O$85,15,0))</f>
        <v>72.23</v>
      </c>
      <c r="X87" s="6">
        <f>IF(ISERROR(VLOOKUP($U$87,'TAR FIN'!$A$1:$O$85,15,0)),0,VLOOKUP($U$87,'TAR FIN'!$A$1:$O$85,15,0))</f>
        <v>0</v>
      </c>
      <c r="Y87" s="6"/>
      <c r="Z87" s="6">
        <f ca="1">('TUSD BE'!$AM$12+'TUSD BF'!$AM$12+'TUSD CVA'!$AM$12)*1</f>
        <v>103.30505917577378</v>
      </c>
      <c r="AA87" s="6"/>
      <c r="AB87" s="6">
        <f>$K$87*$V$87</f>
        <v>0</v>
      </c>
      <c r="AC87" s="6">
        <f>$M$87*$W$87</f>
        <v>6610.9590950000002</v>
      </c>
      <c r="AD87" s="6">
        <f>$O$87*$X$87</f>
        <v>0</v>
      </c>
      <c r="AE87" s="6">
        <f>$K$87*$Y$87</f>
        <v>0</v>
      </c>
      <c r="AF87" s="6">
        <f ca="1">$M$87*$Z$87</f>
        <v>9455.1504986514592</v>
      </c>
      <c r="AG87" s="6">
        <f>$O$87*$AA$87</f>
        <v>0</v>
      </c>
    </row>
    <row r="88" spans="1:33" ht="11.25" customHeight="1" x14ac:dyDescent="0.25">
      <c r="A88" s="4" t="s">
        <v>21</v>
      </c>
      <c r="B88" s="4" t="s">
        <v>33</v>
      </c>
      <c r="C88" s="4" t="s">
        <v>34</v>
      </c>
      <c r="D88" s="4" t="s">
        <v>38</v>
      </c>
      <c r="E88" s="4" t="s">
        <v>25</v>
      </c>
      <c r="F88" s="4" t="s">
        <v>55</v>
      </c>
      <c r="G88" s="4" t="s">
        <v>25</v>
      </c>
      <c r="H88" s="4" t="s">
        <v>36</v>
      </c>
      <c r="I88" s="5">
        <v>44317</v>
      </c>
      <c r="J88" s="6">
        <v>0</v>
      </c>
      <c r="K88" s="6">
        <v>0</v>
      </c>
      <c r="L88" s="6">
        <v>167.06399999999999</v>
      </c>
      <c r="M88" s="6">
        <v>83.531999999999996</v>
      </c>
      <c r="N88" s="6">
        <v>0</v>
      </c>
      <c r="O88" s="6">
        <v>0</v>
      </c>
      <c r="P88" s="6">
        <v>0</v>
      </c>
      <c r="Q88" s="4" t="s">
        <v>56</v>
      </c>
      <c r="R88" s="4">
        <v>0</v>
      </c>
      <c r="S88" s="6">
        <v>0</v>
      </c>
      <c r="T88" s="6">
        <v>47</v>
      </c>
      <c r="U88" s="6">
        <v>0</v>
      </c>
      <c r="V88" s="6">
        <f>IF(ISERROR(VLOOKUP($S$88,'TAR FIN'!$A$1:$O$85,15,0)),0,VLOOKUP($S$88,'TAR FIN'!$A$1:$O$85,15,0))</f>
        <v>0</v>
      </c>
      <c r="W88" s="6">
        <f>IF(ISERROR(VLOOKUP($T$88,'TAR FIN'!$A$1:$O$85,15,0)),0,VLOOKUP($T$88,'TAR FIN'!$A$1:$O$85,15,0))</f>
        <v>72.23</v>
      </c>
      <c r="X88" s="6">
        <f>IF(ISERROR(VLOOKUP($U$88,'TAR FIN'!$A$1:$O$85,15,0)),0,VLOOKUP($U$88,'TAR FIN'!$A$1:$O$85,15,0))</f>
        <v>0</v>
      </c>
      <c r="Y88" s="6"/>
      <c r="Z88" s="6">
        <f ca="1">('TUSD BE'!$AM$12+'TUSD BF'!$AM$12+'TUSD CVA'!$AM$12)*1</f>
        <v>103.30505917577378</v>
      </c>
      <c r="AA88" s="6"/>
      <c r="AB88" s="6">
        <f>$K$88*$V$88</f>
        <v>0</v>
      </c>
      <c r="AC88" s="6">
        <f>$M$88*$W$88</f>
        <v>6033.5163600000005</v>
      </c>
      <c r="AD88" s="6">
        <f>$O$88*$X$88</f>
        <v>0</v>
      </c>
      <c r="AE88" s="6">
        <f>$K$88*$Y$88</f>
        <v>0</v>
      </c>
      <c r="AF88" s="6">
        <f ca="1">$M$88*$Z$88</f>
        <v>8629.2782030707349</v>
      </c>
      <c r="AG88" s="6">
        <f>$O$88*$AA$88</f>
        <v>0</v>
      </c>
    </row>
    <row r="89" spans="1:33" ht="11.25" customHeight="1" x14ac:dyDescent="0.25">
      <c r="A89" s="4" t="s">
        <v>21</v>
      </c>
      <c r="B89" s="4" t="s">
        <v>33</v>
      </c>
      <c r="C89" s="4" t="s">
        <v>34</v>
      </c>
      <c r="D89" s="4" t="s">
        <v>38</v>
      </c>
      <c r="E89" s="4" t="s">
        <v>25</v>
      </c>
      <c r="F89" s="4" t="s">
        <v>55</v>
      </c>
      <c r="G89" s="4" t="s">
        <v>25</v>
      </c>
      <c r="H89" s="4" t="s">
        <v>36</v>
      </c>
      <c r="I89" s="5">
        <v>44348</v>
      </c>
      <c r="J89" s="6">
        <v>0</v>
      </c>
      <c r="K89" s="6">
        <v>0</v>
      </c>
      <c r="L89" s="6">
        <v>1205.672</v>
      </c>
      <c r="M89" s="6">
        <v>602.83600000000001</v>
      </c>
      <c r="N89" s="6">
        <v>0</v>
      </c>
      <c r="O89" s="6">
        <v>0</v>
      </c>
      <c r="P89" s="6">
        <v>0</v>
      </c>
      <c r="Q89" s="4" t="s">
        <v>56</v>
      </c>
      <c r="R89" s="4">
        <v>0</v>
      </c>
      <c r="S89" s="6">
        <v>0</v>
      </c>
      <c r="T89" s="6">
        <v>47</v>
      </c>
      <c r="U89" s="6">
        <v>0</v>
      </c>
      <c r="V89" s="6">
        <f>IF(ISERROR(VLOOKUP($S$89,'TAR FIN'!$A$1:$O$85,15,0)),0,VLOOKUP($S$89,'TAR FIN'!$A$1:$O$85,15,0))</f>
        <v>0</v>
      </c>
      <c r="W89" s="6">
        <f>IF(ISERROR(VLOOKUP($T$89,'TAR FIN'!$A$1:$O$85,15,0)),0,VLOOKUP($T$89,'TAR FIN'!$A$1:$O$85,15,0))</f>
        <v>72.23</v>
      </c>
      <c r="X89" s="6">
        <f>IF(ISERROR(VLOOKUP($U$89,'TAR FIN'!$A$1:$O$85,15,0)),0,VLOOKUP($U$89,'TAR FIN'!$A$1:$O$85,15,0))</f>
        <v>0</v>
      </c>
      <c r="Y89" s="6"/>
      <c r="Z89" s="6">
        <f ca="1">('TUSD BE'!$AM$12+'TUSD BF'!$AM$12+'TUSD CVA'!$AM$12)*1</f>
        <v>103.30505917577378</v>
      </c>
      <c r="AA89" s="6"/>
      <c r="AB89" s="6">
        <f>$K$89*$V$89</f>
        <v>0</v>
      </c>
      <c r="AC89" s="6">
        <f>$M$89*$W$89</f>
        <v>43542.844280000005</v>
      </c>
      <c r="AD89" s="6">
        <f>$O$89*$X$89</f>
        <v>0</v>
      </c>
      <c r="AE89" s="6">
        <f>$K$89*$Y$89</f>
        <v>0</v>
      </c>
      <c r="AF89" s="6">
        <f ca="1">$M$89*$Z$89</f>
        <v>62276.008653286764</v>
      </c>
      <c r="AG89" s="6">
        <f>$O$89*$AA$89</f>
        <v>0</v>
      </c>
    </row>
    <row r="90" spans="1:33" ht="11.25" customHeight="1" x14ac:dyDescent="0.25">
      <c r="A90" s="4" t="s">
        <v>21</v>
      </c>
      <c r="B90" s="4" t="s">
        <v>33</v>
      </c>
      <c r="C90" s="4" t="s">
        <v>34</v>
      </c>
      <c r="D90" s="4" t="s">
        <v>38</v>
      </c>
      <c r="E90" s="4" t="s">
        <v>25</v>
      </c>
      <c r="F90" s="4" t="s">
        <v>55</v>
      </c>
      <c r="G90" s="4" t="s">
        <v>25</v>
      </c>
      <c r="H90" s="4" t="s">
        <v>36</v>
      </c>
      <c r="I90" s="5">
        <v>44378</v>
      </c>
      <c r="J90" s="6">
        <v>0</v>
      </c>
      <c r="K90" s="6">
        <v>0</v>
      </c>
      <c r="L90" s="6">
        <v>1782.691</v>
      </c>
      <c r="M90" s="6">
        <v>891.34550000000002</v>
      </c>
      <c r="N90" s="6">
        <v>0</v>
      </c>
      <c r="O90" s="6">
        <v>0</v>
      </c>
      <c r="P90" s="6">
        <v>0</v>
      </c>
      <c r="Q90" s="4" t="s">
        <v>56</v>
      </c>
      <c r="R90" s="4">
        <v>0</v>
      </c>
      <c r="S90" s="6">
        <v>0</v>
      </c>
      <c r="T90" s="6">
        <v>47</v>
      </c>
      <c r="U90" s="6">
        <v>0</v>
      </c>
      <c r="V90" s="6">
        <f>IF(ISERROR(VLOOKUP($S$90,'TAR FIN'!$A$1:$O$85,15,0)),0,VLOOKUP($S$90,'TAR FIN'!$A$1:$O$85,15,0))</f>
        <v>0</v>
      </c>
      <c r="W90" s="6">
        <f>IF(ISERROR(VLOOKUP($T$90,'TAR FIN'!$A$1:$O$85,15,0)),0,VLOOKUP($T$90,'TAR FIN'!$A$1:$O$85,15,0))</f>
        <v>72.23</v>
      </c>
      <c r="X90" s="6">
        <f>IF(ISERROR(VLOOKUP($U$90,'TAR FIN'!$A$1:$O$85,15,0)),0,VLOOKUP($U$90,'TAR FIN'!$A$1:$O$85,15,0))</f>
        <v>0</v>
      </c>
      <c r="Y90" s="6"/>
      <c r="Z90" s="6">
        <f ca="1">('TUSD BE'!$AM$12+'TUSD BF'!$AM$12+'TUSD CVA'!$AM$12)*1</f>
        <v>103.30505917577378</v>
      </c>
      <c r="AA90" s="6"/>
      <c r="AB90" s="6">
        <f>$K$90*$V$90</f>
        <v>0</v>
      </c>
      <c r="AC90" s="6">
        <f>$M$90*$W$90</f>
        <v>64381.885465000007</v>
      </c>
      <c r="AD90" s="6">
        <f>$O$90*$X$90</f>
        <v>0</v>
      </c>
      <c r="AE90" s="6">
        <f>$K$90*$Y$90</f>
        <v>0</v>
      </c>
      <c r="AF90" s="6">
        <f ca="1">$M$90*$Z$90</f>
        <v>92080.499623559663</v>
      </c>
      <c r="AG90" s="6">
        <f>$O$90*$AA$90</f>
        <v>0</v>
      </c>
    </row>
    <row r="91" spans="1:33" ht="11.25" customHeight="1" x14ac:dyDescent="0.25">
      <c r="A91" s="4" t="s">
        <v>21</v>
      </c>
      <c r="B91" s="4" t="s">
        <v>33</v>
      </c>
      <c r="C91" s="4" t="s">
        <v>34</v>
      </c>
      <c r="D91" s="4" t="s">
        <v>38</v>
      </c>
      <c r="E91" s="4" t="s">
        <v>25</v>
      </c>
      <c r="F91" s="4" t="s">
        <v>55</v>
      </c>
      <c r="G91" s="4" t="s">
        <v>25</v>
      </c>
      <c r="H91" s="4" t="s">
        <v>36</v>
      </c>
      <c r="I91" s="5">
        <v>44409</v>
      </c>
      <c r="J91" s="6">
        <v>0</v>
      </c>
      <c r="K91" s="6">
        <v>0</v>
      </c>
      <c r="L91" s="6">
        <v>1376.5740000000001</v>
      </c>
      <c r="M91" s="6">
        <v>688.28700000000003</v>
      </c>
      <c r="N91" s="6">
        <v>0</v>
      </c>
      <c r="O91" s="6">
        <v>0</v>
      </c>
      <c r="P91" s="6">
        <v>0</v>
      </c>
      <c r="Q91" s="4" t="s">
        <v>56</v>
      </c>
      <c r="R91" s="4">
        <v>0</v>
      </c>
      <c r="S91" s="6">
        <v>0</v>
      </c>
      <c r="T91" s="6">
        <v>47</v>
      </c>
      <c r="U91" s="6">
        <v>0</v>
      </c>
      <c r="V91" s="6">
        <f>IF(ISERROR(VLOOKUP($S$91,'TAR FIN'!$A$1:$O$85,15,0)),0,VLOOKUP($S$91,'TAR FIN'!$A$1:$O$85,15,0))</f>
        <v>0</v>
      </c>
      <c r="W91" s="6">
        <f>IF(ISERROR(VLOOKUP($T$91,'TAR FIN'!$A$1:$O$85,15,0)),0,VLOOKUP($T$91,'TAR FIN'!$A$1:$O$85,15,0))</f>
        <v>72.23</v>
      </c>
      <c r="X91" s="6">
        <f>IF(ISERROR(VLOOKUP($U$91,'TAR FIN'!$A$1:$O$85,15,0)),0,VLOOKUP($U$91,'TAR FIN'!$A$1:$O$85,15,0))</f>
        <v>0</v>
      </c>
      <c r="Y91" s="6"/>
      <c r="Z91" s="6">
        <f ca="1">('TUSD BE'!$AM$12+'TUSD BF'!$AM$12+'TUSD CVA'!$AM$12)*1</f>
        <v>103.30505917577378</v>
      </c>
      <c r="AA91" s="6"/>
      <c r="AB91" s="6">
        <f>$K$91*$V$91</f>
        <v>0</v>
      </c>
      <c r="AC91" s="6">
        <f>$M$91*$W$91</f>
        <v>49714.970010000005</v>
      </c>
      <c r="AD91" s="6">
        <f>$O$91*$X$91</f>
        <v>0</v>
      </c>
      <c r="AE91" s="6">
        <f>$K$91*$Y$91</f>
        <v>0</v>
      </c>
      <c r="AF91" s="6">
        <f ca="1">$M$91*$Z$91</f>
        <v>71103.529264915807</v>
      </c>
      <c r="AG91" s="6">
        <f>$O$91*$AA$91</f>
        <v>0</v>
      </c>
    </row>
    <row r="92" spans="1:33" ht="11.25" customHeight="1" x14ac:dyDescent="0.25">
      <c r="A92" s="4" t="s">
        <v>21</v>
      </c>
      <c r="B92" s="4" t="s">
        <v>33</v>
      </c>
      <c r="C92" s="4" t="s">
        <v>34</v>
      </c>
      <c r="D92" s="4" t="s">
        <v>38</v>
      </c>
      <c r="E92" s="4" t="s">
        <v>25</v>
      </c>
      <c r="F92" s="4" t="s">
        <v>55</v>
      </c>
      <c r="G92" s="4" t="s">
        <v>25</v>
      </c>
      <c r="H92" s="4" t="s">
        <v>36</v>
      </c>
      <c r="I92" s="5">
        <v>44440</v>
      </c>
      <c r="J92" s="6">
        <v>0</v>
      </c>
      <c r="K92" s="6">
        <v>0</v>
      </c>
      <c r="L92" s="6">
        <v>891.61500000000001</v>
      </c>
      <c r="M92" s="6">
        <v>445.8075</v>
      </c>
      <c r="N92" s="6">
        <v>0</v>
      </c>
      <c r="O92" s="6">
        <v>0</v>
      </c>
      <c r="P92" s="6">
        <v>0</v>
      </c>
      <c r="Q92" s="4" t="s">
        <v>56</v>
      </c>
      <c r="R92" s="4">
        <v>0</v>
      </c>
      <c r="S92" s="6">
        <v>0</v>
      </c>
      <c r="T92" s="6">
        <v>47</v>
      </c>
      <c r="U92" s="6">
        <v>0</v>
      </c>
      <c r="V92" s="6">
        <f>IF(ISERROR(VLOOKUP($S$92,'TAR FIN'!$A$1:$O$85,15,0)),0,VLOOKUP($S$92,'TAR FIN'!$A$1:$O$85,15,0))</f>
        <v>0</v>
      </c>
      <c r="W92" s="6">
        <f>IF(ISERROR(VLOOKUP($T$92,'TAR FIN'!$A$1:$O$85,15,0)),0,VLOOKUP($T$92,'TAR FIN'!$A$1:$O$85,15,0))</f>
        <v>72.23</v>
      </c>
      <c r="X92" s="6">
        <f>IF(ISERROR(VLOOKUP($U$92,'TAR FIN'!$A$1:$O$85,15,0)),0,VLOOKUP($U$92,'TAR FIN'!$A$1:$O$85,15,0))</f>
        <v>0</v>
      </c>
      <c r="Y92" s="6"/>
      <c r="Z92" s="6">
        <f ca="1">('TUSD BE'!$AM$12+'TUSD BF'!$AM$12+'TUSD CVA'!$AM$12)*1</f>
        <v>103.30505917577378</v>
      </c>
      <c r="AA92" s="6"/>
      <c r="AB92" s="6">
        <f>$K$92*$V$92</f>
        <v>0</v>
      </c>
      <c r="AC92" s="6">
        <f>$M$92*$W$92</f>
        <v>32200.675725000001</v>
      </c>
      <c r="AD92" s="6">
        <f>$O$92*$X$92</f>
        <v>0</v>
      </c>
      <c r="AE92" s="6">
        <f>$K$92*$Y$92</f>
        <v>0</v>
      </c>
      <c r="AF92" s="6">
        <f ca="1">$M$92*$Z$92</f>
        <v>46054.17016850377</v>
      </c>
      <c r="AG92" s="6">
        <f>$O$92*$AA$92</f>
        <v>0</v>
      </c>
    </row>
    <row r="93" spans="1:33" ht="11.25" customHeight="1" x14ac:dyDescent="0.25">
      <c r="A93" s="4" t="s">
        <v>21</v>
      </c>
      <c r="B93" s="4" t="s">
        <v>33</v>
      </c>
      <c r="C93" s="4" t="s">
        <v>34</v>
      </c>
      <c r="D93" s="4" t="s">
        <v>38</v>
      </c>
      <c r="E93" s="4" t="s">
        <v>25</v>
      </c>
      <c r="F93" s="4" t="s">
        <v>55</v>
      </c>
      <c r="G93" s="4" t="s">
        <v>25</v>
      </c>
      <c r="H93" s="4" t="s">
        <v>36</v>
      </c>
      <c r="I93" s="5">
        <v>44470</v>
      </c>
      <c r="J93" s="6">
        <v>0</v>
      </c>
      <c r="K93" s="6">
        <v>0</v>
      </c>
      <c r="L93" s="6">
        <v>730.61900000000003</v>
      </c>
      <c r="M93" s="6">
        <v>365.30950000000001</v>
      </c>
      <c r="N93" s="6">
        <v>0</v>
      </c>
      <c r="O93" s="6">
        <v>0</v>
      </c>
      <c r="P93" s="6">
        <v>0</v>
      </c>
      <c r="Q93" s="4" t="s">
        <v>56</v>
      </c>
      <c r="R93" s="4">
        <v>0</v>
      </c>
      <c r="S93" s="6">
        <v>0</v>
      </c>
      <c r="T93" s="6">
        <v>47</v>
      </c>
      <c r="U93" s="6">
        <v>0</v>
      </c>
      <c r="V93" s="6">
        <f>IF(ISERROR(VLOOKUP($S$93,'TAR FIN'!$A$1:$O$85,15,0)),0,VLOOKUP($S$93,'TAR FIN'!$A$1:$O$85,15,0))</f>
        <v>0</v>
      </c>
      <c r="W93" s="6">
        <f>IF(ISERROR(VLOOKUP($T$93,'TAR FIN'!$A$1:$O$85,15,0)),0,VLOOKUP($T$93,'TAR FIN'!$A$1:$O$85,15,0))</f>
        <v>72.23</v>
      </c>
      <c r="X93" s="6">
        <f>IF(ISERROR(VLOOKUP($U$93,'TAR FIN'!$A$1:$O$85,15,0)),0,VLOOKUP($U$93,'TAR FIN'!$A$1:$O$85,15,0))</f>
        <v>0</v>
      </c>
      <c r="Y93" s="6"/>
      <c r="Z93" s="6">
        <f ca="1">('TUSD BE'!$AM$12+'TUSD BF'!$AM$12+'TUSD CVA'!$AM$12)*1</f>
        <v>103.30505917577378</v>
      </c>
      <c r="AA93" s="6"/>
      <c r="AB93" s="6">
        <f>$K$93*$V$93</f>
        <v>0</v>
      </c>
      <c r="AC93" s="6">
        <f>$M$93*$W$93</f>
        <v>26386.305185000001</v>
      </c>
      <c r="AD93" s="6">
        <f>$O$93*$X$93</f>
        <v>0</v>
      </c>
      <c r="AE93" s="6">
        <f>$K$93*$Y$93</f>
        <v>0</v>
      </c>
      <c r="AF93" s="6">
        <f ca="1">$M$93*$Z$93</f>
        <v>37738.319514972332</v>
      </c>
      <c r="AG93" s="6">
        <f>$O$93*$AA$93</f>
        <v>0</v>
      </c>
    </row>
    <row r="94" spans="1:33" ht="11.25" customHeight="1" x14ac:dyDescent="0.25">
      <c r="A94" s="4" t="s">
        <v>21</v>
      </c>
      <c r="B94" s="4" t="s">
        <v>33</v>
      </c>
      <c r="C94" s="4" t="s">
        <v>34</v>
      </c>
      <c r="D94" s="4" t="s">
        <v>38</v>
      </c>
      <c r="E94" s="4" t="s">
        <v>25</v>
      </c>
      <c r="F94" s="4" t="s">
        <v>55</v>
      </c>
      <c r="G94" s="4" t="s">
        <v>25</v>
      </c>
      <c r="H94" s="4" t="s">
        <v>36</v>
      </c>
      <c r="I94" s="5">
        <v>44501</v>
      </c>
      <c r="J94" s="6">
        <v>0</v>
      </c>
      <c r="K94" s="6">
        <v>0</v>
      </c>
      <c r="L94" s="6">
        <v>392.88499999999999</v>
      </c>
      <c r="M94" s="6">
        <v>196.4425</v>
      </c>
      <c r="N94" s="6">
        <v>0</v>
      </c>
      <c r="O94" s="6">
        <v>0</v>
      </c>
      <c r="P94" s="6">
        <v>0</v>
      </c>
      <c r="Q94" s="4" t="s">
        <v>56</v>
      </c>
      <c r="R94" s="4">
        <v>0</v>
      </c>
      <c r="S94" s="6">
        <v>0</v>
      </c>
      <c r="T94" s="6">
        <v>47</v>
      </c>
      <c r="U94" s="6">
        <v>0</v>
      </c>
      <c r="V94" s="6">
        <f>IF(ISERROR(VLOOKUP($S$94,'TAR FIN'!$A$1:$O$85,15,0)),0,VLOOKUP($S$94,'TAR FIN'!$A$1:$O$85,15,0))</f>
        <v>0</v>
      </c>
      <c r="W94" s="6">
        <f>IF(ISERROR(VLOOKUP($T$94,'TAR FIN'!$A$1:$O$85,15,0)),0,VLOOKUP($T$94,'TAR FIN'!$A$1:$O$85,15,0))</f>
        <v>72.23</v>
      </c>
      <c r="X94" s="6">
        <f>IF(ISERROR(VLOOKUP($U$94,'TAR FIN'!$A$1:$O$85,15,0)),0,VLOOKUP($U$94,'TAR FIN'!$A$1:$O$85,15,0))</f>
        <v>0</v>
      </c>
      <c r="Y94" s="6"/>
      <c r="Z94" s="6">
        <f ca="1">('TUSD BE'!$AM$12+'TUSD BF'!$AM$12+'TUSD CVA'!$AM$12)*1</f>
        <v>103.30505917577378</v>
      </c>
      <c r="AA94" s="6"/>
      <c r="AB94" s="6">
        <f>$K$94*$V$94</f>
        <v>0</v>
      </c>
      <c r="AC94" s="6">
        <f>$M$94*$W$94</f>
        <v>14189.041775</v>
      </c>
      <c r="AD94" s="6">
        <f>$O$94*$X$94</f>
        <v>0</v>
      </c>
      <c r="AE94" s="6">
        <f>$K$94*$Y$94</f>
        <v>0</v>
      </c>
      <c r="AF94" s="6">
        <f ca="1">$M$94*$Z$94</f>
        <v>20293.504087136938</v>
      </c>
      <c r="AG94" s="6">
        <f>$O$94*$AA$94</f>
        <v>0</v>
      </c>
    </row>
    <row r="95" spans="1:33" ht="11.25" customHeight="1" x14ac:dyDescent="0.25">
      <c r="A95" s="4" t="s">
        <v>21</v>
      </c>
      <c r="B95" s="4" t="s">
        <v>33</v>
      </c>
      <c r="C95" s="4" t="s">
        <v>34</v>
      </c>
      <c r="D95" s="4" t="s">
        <v>38</v>
      </c>
      <c r="E95" s="4" t="s">
        <v>25</v>
      </c>
      <c r="F95" s="4" t="s">
        <v>55</v>
      </c>
      <c r="G95" s="4" t="s">
        <v>25</v>
      </c>
      <c r="H95" s="4" t="s">
        <v>36</v>
      </c>
      <c r="I95" s="5">
        <v>44531</v>
      </c>
      <c r="J95" s="6">
        <v>0</v>
      </c>
      <c r="K95" s="6">
        <v>0</v>
      </c>
      <c r="L95" s="6">
        <v>674.35599999999999</v>
      </c>
      <c r="M95" s="6">
        <v>337.178</v>
      </c>
      <c r="N95" s="6">
        <v>0</v>
      </c>
      <c r="O95" s="6">
        <v>0</v>
      </c>
      <c r="P95" s="6">
        <v>0</v>
      </c>
      <c r="Q95" s="4" t="s">
        <v>56</v>
      </c>
      <c r="R95" s="4">
        <v>0</v>
      </c>
      <c r="S95" s="6">
        <v>0</v>
      </c>
      <c r="T95" s="6">
        <v>47</v>
      </c>
      <c r="U95" s="6">
        <v>0</v>
      </c>
      <c r="V95" s="6">
        <f>IF(ISERROR(VLOOKUP($S$95,'TAR FIN'!$A$1:$O$85,15,0)),0,VLOOKUP($S$95,'TAR FIN'!$A$1:$O$85,15,0))</f>
        <v>0</v>
      </c>
      <c r="W95" s="6">
        <f>IF(ISERROR(VLOOKUP($T$95,'TAR FIN'!$A$1:$O$85,15,0)),0,VLOOKUP($T$95,'TAR FIN'!$A$1:$O$85,15,0))</f>
        <v>72.23</v>
      </c>
      <c r="X95" s="6">
        <f>IF(ISERROR(VLOOKUP($U$95,'TAR FIN'!$A$1:$O$85,15,0)),0,VLOOKUP($U$95,'TAR FIN'!$A$1:$O$85,15,0))</f>
        <v>0</v>
      </c>
      <c r="Y95" s="6"/>
      <c r="Z95" s="6">
        <f ca="1">('TUSD BE'!$AM$12+'TUSD BF'!$AM$12+'TUSD CVA'!$AM$12)*1</f>
        <v>103.30505917577378</v>
      </c>
      <c r="AA95" s="6"/>
      <c r="AB95" s="6">
        <f>$K$95*$V$95</f>
        <v>0</v>
      </c>
      <c r="AC95" s="6">
        <f>$M$95*$W$95</f>
        <v>24354.36694</v>
      </c>
      <c r="AD95" s="6">
        <f>$O$95*$X$95</f>
        <v>0</v>
      </c>
      <c r="AE95" s="6">
        <f>$K$95*$Y$95</f>
        <v>0</v>
      </c>
      <c r="AF95" s="6">
        <f ca="1">$M$95*$Z$95</f>
        <v>34832.193242769048</v>
      </c>
      <c r="AG95" s="6">
        <f>$O$95*$AA$95</f>
        <v>0</v>
      </c>
    </row>
    <row r="96" spans="1:33" ht="11.25" customHeight="1" x14ac:dyDescent="0.25">
      <c r="A96" s="4" t="s">
        <v>21</v>
      </c>
      <c r="B96" s="4" t="s">
        <v>33</v>
      </c>
      <c r="C96" s="4" t="s">
        <v>34</v>
      </c>
      <c r="D96" s="4" t="s">
        <v>38</v>
      </c>
      <c r="E96" s="4" t="s">
        <v>25</v>
      </c>
      <c r="F96" s="4" t="s">
        <v>55</v>
      </c>
      <c r="G96" s="4" t="s">
        <v>25</v>
      </c>
      <c r="H96" s="4" t="s">
        <v>36</v>
      </c>
      <c r="I96" s="5">
        <v>44562</v>
      </c>
      <c r="J96" s="6">
        <v>0</v>
      </c>
      <c r="K96" s="6">
        <v>0</v>
      </c>
      <c r="L96" s="6">
        <v>1234.6990000000001</v>
      </c>
      <c r="M96" s="6">
        <v>617.34950000000003</v>
      </c>
      <c r="N96" s="6">
        <v>0</v>
      </c>
      <c r="O96" s="6">
        <v>0</v>
      </c>
      <c r="P96" s="6">
        <v>0</v>
      </c>
      <c r="Q96" s="4" t="s">
        <v>56</v>
      </c>
      <c r="R96" s="4">
        <v>0</v>
      </c>
      <c r="S96" s="6">
        <v>0</v>
      </c>
      <c r="T96" s="6">
        <v>47</v>
      </c>
      <c r="U96" s="6">
        <v>0</v>
      </c>
      <c r="V96" s="6">
        <f>IF(ISERROR(VLOOKUP($S$96,'TAR FIN'!$A$1:$O$85,15,0)),0,VLOOKUP($S$96,'TAR FIN'!$A$1:$O$85,15,0))</f>
        <v>0</v>
      </c>
      <c r="W96" s="6">
        <f>IF(ISERROR(VLOOKUP($T$96,'TAR FIN'!$A$1:$O$85,15,0)),0,VLOOKUP($T$96,'TAR FIN'!$A$1:$O$85,15,0))</f>
        <v>72.23</v>
      </c>
      <c r="X96" s="6">
        <f>IF(ISERROR(VLOOKUP($U$96,'TAR FIN'!$A$1:$O$85,15,0)),0,VLOOKUP($U$96,'TAR FIN'!$A$1:$O$85,15,0))</f>
        <v>0</v>
      </c>
      <c r="Y96" s="6"/>
      <c r="Z96" s="6">
        <f ca="1">('TUSD BE'!$AM$12+'TUSD BF'!$AM$12+'TUSD CVA'!$AM$12)*1</f>
        <v>103.30505917577378</v>
      </c>
      <c r="AA96" s="6"/>
      <c r="AB96" s="6">
        <f>$K$96*$V$96</f>
        <v>0</v>
      </c>
      <c r="AC96" s="6">
        <f>$M$96*$W$96</f>
        <v>44591.154385000002</v>
      </c>
      <c r="AD96" s="6">
        <f>$O$96*$X$96</f>
        <v>0</v>
      </c>
      <c r="AE96" s="6">
        <f>$K$96*$Y$96</f>
        <v>0</v>
      </c>
      <c r="AF96" s="6">
        <f ca="1">$M$96*$Z$96</f>
        <v>63775.326629634357</v>
      </c>
      <c r="AG96" s="6">
        <f>$O$96*$AA$96</f>
        <v>0</v>
      </c>
    </row>
    <row r="97" spans="1:33" ht="11.25" customHeight="1" x14ac:dyDescent="0.25">
      <c r="A97" s="4" t="s">
        <v>21</v>
      </c>
      <c r="B97" s="4" t="s">
        <v>33</v>
      </c>
      <c r="C97" s="4" t="s">
        <v>34</v>
      </c>
      <c r="D97" s="4" t="s">
        <v>38</v>
      </c>
      <c r="E97" s="4" t="s">
        <v>25</v>
      </c>
      <c r="F97" s="4" t="s">
        <v>55</v>
      </c>
      <c r="G97" s="4" t="s">
        <v>25</v>
      </c>
      <c r="H97" s="4" t="s">
        <v>36</v>
      </c>
      <c r="I97" s="5">
        <v>44593</v>
      </c>
      <c r="J97" s="6">
        <v>0</v>
      </c>
      <c r="K97" s="6">
        <v>0</v>
      </c>
      <c r="L97" s="6">
        <v>354.33600000000001</v>
      </c>
      <c r="M97" s="6">
        <v>177.16800000000001</v>
      </c>
      <c r="N97" s="6">
        <v>0</v>
      </c>
      <c r="O97" s="6">
        <v>0</v>
      </c>
      <c r="P97" s="6">
        <v>0</v>
      </c>
      <c r="Q97" s="4" t="s">
        <v>56</v>
      </c>
      <c r="R97" s="4">
        <v>0</v>
      </c>
      <c r="S97" s="6">
        <v>0</v>
      </c>
      <c r="T97" s="6">
        <v>47</v>
      </c>
      <c r="U97" s="6">
        <v>0</v>
      </c>
      <c r="V97" s="6">
        <f>IF(ISERROR(VLOOKUP($S$97,'TAR FIN'!$A$1:$O$85,15,0)),0,VLOOKUP($S$97,'TAR FIN'!$A$1:$O$85,15,0))</f>
        <v>0</v>
      </c>
      <c r="W97" s="6">
        <f>IF(ISERROR(VLOOKUP($T$97,'TAR FIN'!$A$1:$O$85,15,0)),0,VLOOKUP($T$97,'TAR FIN'!$A$1:$O$85,15,0))</f>
        <v>72.23</v>
      </c>
      <c r="X97" s="6">
        <f>IF(ISERROR(VLOOKUP($U$97,'TAR FIN'!$A$1:$O$85,15,0)),0,VLOOKUP($U$97,'TAR FIN'!$A$1:$O$85,15,0))</f>
        <v>0</v>
      </c>
      <c r="Y97" s="6"/>
      <c r="Z97" s="6">
        <f ca="1">('TUSD BE'!$AM$12+'TUSD BF'!$AM$12+'TUSD CVA'!$AM$12)*1</f>
        <v>103.30505917577378</v>
      </c>
      <c r="AA97" s="6"/>
      <c r="AB97" s="6">
        <f>$K$97*$V$97</f>
        <v>0</v>
      </c>
      <c r="AC97" s="6">
        <f>$M$97*$W$97</f>
        <v>12796.844640000001</v>
      </c>
      <c r="AD97" s="6">
        <f>$O$97*$X$97</f>
        <v>0</v>
      </c>
      <c r="AE97" s="6">
        <f>$K$97*$Y$97</f>
        <v>0</v>
      </c>
      <c r="AF97" s="6">
        <f ca="1">$M$97*$Z$97</f>
        <v>18302.350724053489</v>
      </c>
      <c r="AG97" s="6">
        <f>$O$97*$AA$97</f>
        <v>0</v>
      </c>
    </row>
    <row r="98" spans="1:33" ht="11.25" customHeight="1" x14ac:dyDescent="0.25">
      <c r="A98" s="4" t="s">
        <v>54</v>
      </c>
      <c r="B98" s="4" t="s">
        <v>33</v>
      </c>
      <c r="C98" s="4" t="s">
        <v>34</v>
      </c>
      <c r="D98" s="4" t="s">
        <v>38</v>
      </c>
      <c r="E98" s="4" t="s">
        <v>25</v>
      </c>
      <c r="F98" s="4" t="s">
        <v>55</v>
      </c>
      <c r="G98" s="4" t="s">
        <v>25</v>
      </c>
      <c r="H98" s="4" t="s">
        <v>36</v>
      </c>
      <c r="I98" s="5">
        <v>44621</v>
      </c>
      <c r="J98" s="6">
        <v>0</v>
      </c>
      <c r="K98" s="6">
        <v>0</v>
      </c>
      <c r="L98" s="6">
        <v>354.33600000000001</v>
      </c>
      <c r="M98" s="6">
        <v>177.16800000000001</v>
      </c>
      <c r="N98" s="6">
        <v>0</v>
      </c>
      <c r="O98" s="6">
        <v>0</v>
      </c>
      <c r="P98" s="6">
        <v>0</v>
      </c>
      <c r="Q98" s="4" t="s">
        <v>56</v>
      </c>
      <c r="R98" s="4">
        <v>0</v>
      </c>
      <c r="S98" s="6">
        <v>0</v>
      </c>
      <c r="T98" s="6">
        <v>47</v>
      </c>
      <c r="U98" s="6">
        <v>0</v>
      </c>
      <c r="V98" s="6">
        <f>IF(ISERROR(VLOOKUP($S$98,'TAR FIN'!$A$1:$O$85,15,0)),0,VLOOKUP($S$98,'TAR FIN'!$A$1:$O$85,15,0))</f>
        <v>0</v>
      </c>
      <c r="W98" s="6">
        <f>IF(ISERROR(VLOOKUP($T$98,'TAR FIN'!$A$1:$O$85,15,0)),0,VLOOKUP($T$98,'TAR FIN'!$A$1:$O$85,15,0))</f>
        <v>72.23</v>
      </c>
      <c r="X98" s="6">
        <f>IF(ISERROR(VLOOKUP($U$98,'TAR FIN'!$A$1:$O$85,15,0)),0,VLOOKUP($U$98,'TAR FIN'!$A$1:$O$85,15,0))</f>
        <v>0</v>
      </c>
      <c r="Y98" s="6"/>
      <c r="Z98" s="6">
        <f ca="1">('TUSD BE'!$AM$12+'TUSD BF'!$AM$12+'TUSD CVA'!$AM$12)*1</f>
        <v>103.30505917577378</v>
      </c>
      <c r="AA98" s="6"/>
      <c r="AB98" s="6">
        <f>$K$98*$V$98</f>
        <v>0</v>
      </c>
      <c r="AC98" s="6">
        <f>$M$98*$W$98</f>
        <v>12796.844640000001</v>
      </c>
      <c r="AD98" s="6">
        <f>$O$98*$X$98</f>
        <v>0</v>
      </c>
      <c r="AE98" s="6">
        <f>$K$98*$Y$98</f>
        <v>0</v>
      </c>
      <c r="AF98" s="6">
        <f ca="1">$M$98*$Z$98</f>
        <v>18302.350724053489</v>
      </c>
      <c r="AG98" s="6">
        <f>$O$98*$AA$98</f>
        <v>0</v>
      </c>
    </row>
    <row r="99" spans="1:33" ht="11.25" customHeight="1" x14ac:dyDescent="0.25">
      <c r="A99" s="4" t="s">
        <v>21</v>
      </c>
      <c r="B99" s="4" t="s">
        <v>33</v>
      </c>
      <c r="C99" s="4" t="s">
        <v>34</v>
      </c>
      <c r="D99" s="4" t="s">
        <v>38</v>
      </c>
      <c r="E99" s="4" t="s">
        <v>25</v>
      </c>
      <c r="F99" s="4" t="s">
        <v>55</v>
      </c>
      <c r="G99" s="4" t="s">
        <v>25</v>
      </c>
      <c r="H99" s="4" t="s">
        <v>25</v>
      </c>
      <c r="I99" s="5">
        <v>44287</v>
      </c>
      <c r="J99" s="6">
        <v>985</v>
      </c>
      <c r="K99" s="6">
        <v>492.5</v>
      </c>
      <c r="L99" s="6">
        <v>0</v>
      </c>
      <c r="M99" s="6">
        <v>0</v>
      </c>
      <c r="N99" s="6">
        <v>0</v>
      </c>
      <c r="O99" s="6">
        <v>0</v>
      </c>
      <c r="P99" s="6">
        <v>1</v>
      </c>
      <c r="Q99" s="4" t="s">
        <v>56</v>
      </c>
      <c r="R99" s="4">
        <v>0</v>
      </c>
      <c r="S99" s="6">
        <v>65</v>
      </c>
      <c r="T99" s="6">
        <v>0</v>
      </c>
      <c r="U99" s="6">
        <v>0</v>
      </c>
      <c r="V99" s="6">
        <f>IF(ISERROR(VLOOKUP($S$99,'TAR FIN'!$A$1:$O$85,15,0)),0,VLOOKUP($S$99,'TAR FIN'!$A$1:$O$85,15,0))</f>
        <v>23.41</v>
      </c>
      <c r="W99" s="6">
        <f>IF(ISERROR(VLOOKUP($T$99,'TAR FIN'!$A$1:$O$85,15,0)),0,VLOOKUP($T$99,'TAR FIN'!$A$1:$O$85,15,0))</f>
        <v>0</v>
      </c>
      <c r="X99" s="6">
        <f>IF(ISERROR(VLOOKUP($U$99,'TAR FIN'!$A$1:$O$85,15,0)),0,VLOOKUP($U$99,'TAR FIN'!$A$1:$O$85,15,0))</f>
        <v>0</v>
      </c>
      <c r="Y99" s="6">
        <f ca="1">('TUSD BE'!$AM$10+'TUSD BF'!$AM$10+'TUSD CVA'!$AM$10)*1</f>
        <v>24.267918723282428</v>
      </c>
      <c r="Z99" s="6"/>
      <c r="AA99" s="6"/>
      <c r="AB99" s="6">
        <f>$K$99*$V$99</f>
        <v>11529.424999999999</v>
      </c>
      <c r="AC99" s="6">
        <f>$M$99*$W$99</f>
        <v>0</v>
      </c>
      <c r="AD99" s="6">
        <f>$O$99*$X$99</f>
        <v>0</v>
      </c>
      <c r="AE99" s="6">
        <f ca="1">$K$99*$Y$99</f>
        <v>11951.949971216596</v>
      </c>
      <c r="AF99" s="6">
        <f>$M$99*$Z$99</f>
        <v>0</v>
      </c>
      <c r="AG99" s="6">
        <f>$O$99*$AA$99</f>
        <v>0</v>
      </c>
    </row>
    <row r="100" spans="1:33" ht="11.25" customHeight="1" x14ac:dyDescent="0.25">
      <c r="A100" s="4" t="s">
        <v>21</v>
      </c>
      <c r="B100" s="4" t="s">
        <v>33</v>
      </c>
      <c r="C100" s="4" t="s">
        <v>34</v>
      </c>
      <c r="D100" s="4" t="s">
        <v>38</v>
      </c>
      <c r="E100" s="4" t="s">
        <v>25</v>
      </c>
      <c r="F100" s="4" t="s">
        <v>55</v>
      </c>
      <c r="G100" s="4" t="s">
        <v>25</v>
      </c>
      <c r="H100" s="4" t="s">
        <v>25</v>
      </c>
      <c r="I100" s="5">
        <v>44317</v>
      </c>
      <c r="J100" s="6">
        <v>1342</v>
      </c>
      <c r="K100" s="6">
        <v>671</v>
      </c>
      <c r="L100" s="6">
        <v>0</v>
      </c>
      <c r="M100" s="6">
        <v>0</v>
      </c>
      <c r="N100" s="6">
        <v>0</v>
      </c>
      <c r="O100" s="6">
        <v>0</v>
      </c>
      <c r="P100" s="6">
        <v>1</v>
      </c>
      <c r="Q100" s="4" t="s">
        <v>56</v>
      </c>
      <c r="R100" s="4">
        <v>0</v>
      </c>
      <c r="S100" s="6">
        <v>65</v>
      </c>
      <c r="T100" s="6">
        <v>0</v>
      </c>
      <c r="U100" s="6">
        <v>0</v>
      </c>
      <c r="V100" s="6">
        <f>IF(ISERROR(VLOOKUP($S$100,'TAR FIN'!$A$1:$O$85,15,0)),0,VLOOKUP($S$100,'TAR FIN'!$A$1:$O$85,15,0))</f>
        <v>23.41</v>
      </c>
      <c r="W100" s="6">
        <f>IF(ISERROR(VLOOKUP($T$100,'TAR FIN'!$A$1:$O$85,15,0)),0,VLOOKUP($T$100,'TAR FIN'!$A$1:$O$85,15,0))</f>
        <v>0</v>
      </c>
      <c r="X100" s="6">
        <f>IF(ISERROR(VLOOKUP($U$100,'TAR FIN'!$A$1:$O$85,15,0)),0,VLOOKUP($U$100,'TAR FIN'!$A$1:$O$85,15,0))</f>
        <v>0</v>
      </c>
      <c r="Y100" s="6">
        <f ca="1">('TUSD BE'!$AM$10+'TUSD BF'!$AM$10+'TUSD CVA'!$AM$10)*1</f>
        <v>24.267918723282428</v>
      </c>
      <c r="Z100" s="6"/>
      <c r="AA100" s="6"/>
      <c r="AB100" s="6">
        <f>$K$100*$V$100</f>
        <v>15708.11</v>
      </c>
      <c r="AC100" s="6">
        <f>$M$100*$W$100</f>
        <v>0</v>
      </c>
      <c r="AD100" s="6">
        <f>$O$100*$X$100</f>
        <v>0</v>
      </c>
      <c r="AE100" s="6">
        <f ca="1">$K$100*$Y$100</f>
        <v>16283.773463322508</v>
      </c>
      <c r="AF100" s="6">
        <f>$M$100*$Z$100</f>
        <v>0</v>
      </c>
      <c r="AG100" s="6">
        <f>$O$100*$AA$100</f>
        <v>0</v>
      </c>
    </row>
    <row r="101" spans="1:33" ht="11.25" customHeight="1" x14ac:dyDescent="0.25">
      <c r="A101" s="4" t="s">
        <v>21</v>
      </c>
      <c r="B101" s="4" t="s">
        <v>33</v>
      </c>
      <c r="C101" s="4" t="s">
        <v>34</v>
      </c>
      <c r="D101" s="4" t="s">
        <v>38</v>
      </c>
      <c r="E101" s="4" t="s">
        <v>25</v>
      </c>
      <c r="F101" s="4" t="s">
        <v>55</v>
      </c>
      <c r="G101" s="4" t="s">
        <v>25</v>
      </c>
      <c r="H101" s="4" t="s">
        <v>25</v>
      </c>
      <c r="I101" s="5">
        <v>44348</v>
      </c>
      <c r="J101" s="6">
        <v>8938</v>
      </c>
      <c r="K101" s="6">
        <v>4469</v>
      </c>
      <c r="L101" s="6">
        <v>0</v>
      </c>
      <c r="M101" s="6">
        <v>0</v>
      </c>
      <c r="N101" s="6">
        <v>0</v>
      </c>
      <c r="O101" s="6">
        <v>0</v>
      </c>
      <c r="P101" s="6">
        <v>1</v>
      </c>
      <c r="Q101" s="4" t="s">
        <v>56</v>
      </c>
      <c r="R101" s="4">
        <v>0</v>
      </c>
      <c r="S101" s="6">
        <v>65</v>
      </c>
      <c r="T101" s="6">
        <v>0</v>
      </c>
      <c r="U101" s="6">
        <v>0</v>
      </c>
      <c r="V101" s="6">
        <f>IF(ISERROR(VLOOKUP($S$101,'TAR FIN'!$A$1:$O$85,15,0)),0,VLOOKUP($S$101,'TAR FIN'!$A$1:$O$85,15,0))</f>
        <v>23.41</v>
      </c>
      <c r="W101" s="6">
        <f>IF(ISERROR(VLOOKUP($T$101,'TAR FIN'!$A$1:$O$85,15,0)),0,VLOOKUP($T$101,'TAR FIN'!$A$1:$O$85,15,0))</f>
        <v>0</v>
      </c>
      <c r="X101" s="6">
        <f>IF(ISERROR(VLOOKUP($U$101,'TAR FIN'!$A$1:$O$85,15,0)),0,VLOOKUP($U$101,'TAR FIN'!$A$1:$O$85,15,0))</f>
        <v>0</v>
      </c>
      <c r="Y101" s="6">
        <f ca="1">('TUSD BE'!$AM$10+'TUSD BF'!$AM$10+'TUSD CVA'!$AM$10)*1</f>
        <v>24.267918723282428</v>
      </c>
      <c r="Z101" s="6"/>
      <c r="AA101" s="6"/>
      <c r="AB101" s="6">
        <f>$K$101*$V$101</f>
        <v>104619.29</v>
      </c>
      <c r="AC101" s="6">
        <f>$M$101*$W$101</f>
        <v>0</v>
      </c>
      <c r="AD101" s="6">
        <f>$O$101*$X$101</f>
        <v>0</v>
      </c>
      <c r="AE101" s="6">
        <f ca="1">$K$101*$Y$101</f>
        <v>108453.32877434917</v>
      </c>
      <c r="AF101" s="6">
        <f>$M$101*$Z$101</f>
        <v>0</v>
      </c>
      <c r="AG101" s="6">
        <f>$O$101*$AA$101</f>
        <v>0</v>
      </c>
    </row>
    <row r="102" spans="1:33" ht="11.25" customHeight="1" x14ac:dyDescent="0.25">
      <c r="A102" s="4" t="s">
        <v>21</v>
      </c>
      <c r="B102" s="4" t="s">
        <v>33</v>
      </c>
      <c r="C102" s="4" t="s">
        <v>34</v>
      </c>
      <c r="D102" s="4" t="s">
        <v>38</v>
      </c>
      <c r="E102" s="4" t="s">
        <v>25</v>
      </c>
      <c r="F102" s="4" t="s">
        <v>55</v>
      </c>
      <c r="G102" s="4" t="s">
        <v>25</v>
      </c>
      <c r="H102" s="4" t="s">
        <v>25</v>
      </c>
      <c r="I102" s="5">
        <v>44378</v>
      </c>
      <c r="J102" s="6">
        <v>2485</v>
      </c>
      <c r="K102" s="6">
        <v>1242.5</v>
      </c>
      <c r="L102" s="6">
        <v>0</v>
      </c>
      <c r="M102" s="6">
        <v>0</v>
      </c>
      <c r="N102" s="6">
        <v>0</v>
      </c>
      <c r="O102" s="6">
        <v>0</v>
      </c>
      <c r="P102" s="6">
        <v>1</v>
      </c>
      <c r="Q102" s="4" t="s">
        <v>56</v>
      </c>
      <c r="R102" s="4">
        <v>0</v>
      </c>
      <c r="S102" s="6">
        <v>65</v>
      </c>
      <c r="T102" s="6">
        <v>0</v>
      </c>
      <c r="U102" s="6">
        <v>0</v>
      </c>
      <c r="V102" s="6">
        <f>IF(ISERROR(VLOOKUP($S$102,'TAR FIN'!$A$1:$O$85,15,0)),0,VLOOKUP($S$102,'TAR FIN'!$A$1:$O$85,15,0))</f>
        <v>23.41</v>
      </c>
      <c r="W102" s="6">
        <f>IF(ISERROR(VLOOKUP($T$102,'TAR FIN'!$A$1:$O$85,15,0)),0,VLOOKUP($T$102,'TAR FIN'!$A$1:$O$85,15,0))</f>
        <v>0</v>
      </c>
      <c r="X102" s="6">
        <f>IF(ISERROR(VLOOKUP($U$102,'TAR FIN'!$A$1:$O$85,15,0)),0,VLOOKUP($U$102,'TAR FIN'!$A$1:$O$85,15,0))</f>
        <v>0</v>
      </c>
      <c r="Y102" s="6">
        <f ca="1">('TUSD BE'!$AM$10+'TUSD BF'!$AM$10+'TUSD CVA'!$AM$10)*1</f>
        <v>24.267918723282428</v>
      </c>
      <c r="Z102" s="6"/>
      <c r="AA102" s="6"/>
      <c r="AB102" s="6">
        <f>$K$102*$V$102</f>
        <v>29086.924999999999</v>
      </c>
      <c r="AC102" s="6">
        <f>$M$102*$W$102</f>
        <v>0</v>
      </c>
      <c r="AD102" s="6">
        <f>$O$102*$X$102</f>
        <v>0</v>
      </c>
      <c r="AE102" s="6">
        <f ca="1">$K$102*$Y$102</f>
        <v>30152.889013678418</v>
      </c>
      <c r="AF102" s="6">
        <f>$M$102*$Z$102</f>
        <v>0</v>
      </c>
      <c r="AG102" s="6">
        <f>$O$102*$AA$102</f>
        <v>0</v>
      </c>
    </row>
    <row r="103" spans="1:33" ht="11.25" customHeight="1" x14ac:dyDescent="0.25">
      <c r="A103" s="4" t="s">
        <v>21</v>
      </c>
      <c r="B103" s="4" t="s">
        <v>33</v>
      </c>
      <c r="C103" s="4" t="s">
        <v>34</v>
      </c>
      <c r="D103" s="4" t="s">
        <v>38</v>
      </c>
      <c r="E103" s="4" t="s">
        <v>25</v>
      </c>
      <c r="F103" s="4" t="s">
        <v>55</v>
      </c>
      <c r="G103" s="4" t="s">
        <v>25</v>
      </c>
      <c r="H103" s="4" t="s">
        <v>25</v>
      </c>
      <c r="I103" s="5">
        <v>44409</v>
      </c>
      <c r="J103" s="6">
        <v>5051</v>
      </c>
      <c r="K103" s="6">
        <v>2525.5</v>
      </c>
      <c r="L103" s="6">
        <v>0</v>
      </c>
      <c r="M103" s="6">
        <v>0</v>
      </c>
      <c r="N103" s="6">
        <v>0</v>
      </c>
      <c r="O103" s="6">
        <v>0</v>
      </c>
      <c r="P103" s="6">
        <v>1</v>
      </c>
      <c r="Q103" s="4" t="s">
        <v>56</v>
      </c>
      <c r="R103" s="4">
        <v>0</v>
      </c>
      <c r="S103" s="6">
        <v>65</v>
      </c>
      <c r="T103" s="6">
        <v>0</v>
      </c>
      <c r="U103" s="6">
        <v>0</v>
      </c>
      <c r="V103" s="6">
        <f>IF(ISERROR(VLOOKUP($S$103,'TAR FIN'!$A$1:$O$85,15,0)),0,VLOOKUP($S$103,'TAR FIN'!$A$1:$O$85,15,0))</f>
        <v>23.41</v>
      </c>
      <c r="W103" s="6">
        <f>IF(ISERROR(VLOOKUP($T$103,'TAR FIN'!$A$1:$O$85,15,0)),0,VLOOKUP($T$103,'TAR FIN'!$A$1:$O$85,15,0))</f>
        <v>0</v>
      </c>
      <c r="X103" s="6">
        <f>IF(ISERROR(VLOOKUP($U$103,'TAR FIN'!$A$1:$O$85,15,0)),0,VLOOKUP($U$103,'TAR FIN'!$A$1:$O$85,15,0))</f>
        <v>0</v>
      </c>
      <c r="Y103" s="6">
        <f ca="1">('TUSD BE'!$AM$10+'TUSD BF'!$AM$10+'TUSD CVA'!$AM$10)*1</f>
        <v>24.267918723282428</v>
      </c>
      <c r="Z103" s="6"/>
      <c r="AA103" s="6"/>
      <c r="AB103" s="6">
        <f>$K$103*$V$103</f>
        <v>59121.955000000002</v>
      </c>
      <c r="AC103" s="6">
        <f>$M$103*$W$103</f>
        <v>0</v>
      </c>
      <c r="AD103" s="6">
        <f>$O$103*$X$103</f>
        <v>0</v>
      </c>
      <c r="AE103" s="6">
        <f ca="1">$K$103*$Y$103</f>
        <v>61288.628735649771</v>
      </c>
      <c r="AF103" s="6">
        <f>$M$103*$Z$103</f>
        <v>0</v>
      </c>
      <c r="AG103" s="6">
        <f>$O$103*$AA$103</f>
        <v>0</v>
      </c>
    </row>
    <row r="104" spans="1:33" ht="11.25" customHeight="1" x14ac:dyDescent="0.25">
      <c r="A104" s="4" t="s">
        <v>21</v>
      </c>
      <c r="B104" s="4" t="s">
        <v>33</v>
      </c>
      <c r="C104" s="4" t="s">
        <v>34</v>
      </c>
      <c r="D104" s="4" t="s">
        <v>38</v>
      </c>
      <c r="E104" s="4" t="s">
        <v>25</v>
      </c>
      <c r="F104" s="4" t="s">
        <v>55</v>
      </c>
      <c r="G104" s="4" t="s">
        <v>25</v>
      </c>
      <c r="H104" s="4" t="s">
        <v>25</v>
      </c>
      <c r="I104" s="5">
        <v>44440</v>
      </c>
      <c r="J104" s="6">
        <v>4911</v>
      </c>
      <c r="K104" s="6">
        <v>2455.5</v>
      </c>
      <c r="L104" s="6">
        <v>0</v>
      </c>
      <c r="M104" s="6">
        <v>0</v>
      </c>
      <c r="N104" s="6">
        <v>0</v>
      </c>
      <c r="O104" s="6">
        <v>0</v>
      </c>
      <c r="P104" s="6">
        <v>1</v>
      </c>
      <c r="Q104" s="4" t="s">
        <v>56</v>
      </c>
      <c r="R104" s="4">
        <v>0</v>
      </c>
      <c r="S104" s="6">
        <v>65</v>
      </c>
      <c r="T104" s="6">
        <v>0</v>
      </c>
      <c r="U104" s="6">
        <v>0</v>
      </c>
      <c r="V104" s="6">
        <f>IF(ISERROR(VLOOKUP($S$104,'TAR FIN'!$A$1:$O$85,15,0)),0,VLOOKUP($S$104,'TAR FIN'!$A$1:$O$85,15,0))</f>
        <v>23.41</v>
      </c>
      <c r="W104" s="6">
        <f>IF(ISERROR(VLOOKUP($T$104,'TAR FIN'!$A$1:$O$85,15,0)),0,VLOOKUP($T$104,'TAR FIN'!$A$1:$O$85,15,0))</f>
        <v>0</v>
      </c>
      <c r="X104" s="6">
        <f>IF(ISERROR(VLOOKUP($U$104,'TAR FIN'!$A$1:$O$85,15,0)),0,VLOOKUP($U$104,'TAR FIN'!$A$1:$O$85,15,0))</f>
        <v>0</v>
      </c>
      <c r="Y104" s="6">
        <f ca="1">('TUSD BE'!$AM$10+'TUSD BF'!$AM$10+'TUSD CVA'!$AM$10)*1</f>
        <v>24.267918723282428</v>
      </c>
      <c r="Z104" s="6"/>
      <c r="AA104" s="6"/>
      <c r="AB104" s="6">
        <f>$K$104*$V$104</f>
        <v>57483.254999999997</v>
      </c>
      <c r="AC104" s="6">
        <f>$M$104*$W$104</f>
        <v>0</v>
      </c>
      <c r="AD104" s="6">
        <f>$O$104*$X$104</f>
        <v>0</v>
      </c>
      <c r="AE104" s="6">
        <f ca="1">$K$104*$Y$104</f>
        <v>59589.874425020003</v>
      </c>
      <c r="AF104" s="6">
        <f>$M$104*$Z$104</f>
        <v>0</v>
      </c>
      <c r="AG104" s="6">
        <f>$O$104*$AA$104</f>
        <v>0</v>
      </c>
    </row>
    <row r="105" spans="1:33" ht="11.25" customHeight="1" x14ac:dyDescent="0.25">
      <c r="A105" s="4" t="s">
        <v>21</v>
      </c>
      <c r="B105" s="4" t="s">
        <v>33</v>
      </c>
      <c r="C105" s="4" t="s">
        <v>34</v>
      </c>
      <c r="D105" s="4" t="s">
        <v>38</v>
      </c>
      <c r="E105" s="4" t="s">
        <v>25</v>
      </c>
      <c r="F105" s="4" t="s">
        <v>55</v>
      </c>
      <c r="G105" s="4" t="s">
        <v>25</v>
      </c>
      <c r="H105" s="4" t="s">
        <v>25</v>
      </c>
      <c r="I105" s="5">
        <v>44470</v>
      </c>
      <c r="J105" s="6">
        <v>5028</v>
      </c>
      <c r="K105" s="6">
        <v>2514</v>
      </c>
      <c r="L105" s="6">
        <v>0</v>
      </c>
      <c r="M105" s="6">
        <v>0</v>
      </c>
      <c r="N105" s="6">
        <v>0</v>
      </c>
      <c r="O105" s="6">
        <v>0</v>
      </c>
      <c r="P105" s="6">
        <v>1</v>
      </c>
      <c r="Q105" s="4" t="s">
        <v>56</v>
      </c>
      <c r="R105" s="4">
        <v>0</v>
      </c>
      <c r="S105" s="6">
        <v>65</v>
      </c>
      <c r="T105" s="6">
        <v>0</v>
      </c>
      <c r="U105" s="6">
        <v>0</v>
      </c>
      <c r="V105" s="6">
        <f>IF(ISERROR(VLOOKUP($S$105,'TAR FIN'!$A$1:$O$85,15,0)),0,VLOOKUP($S$105,'TAR FIN'!$A$1:$O$85,15,0))</f>
        <v>23.41</v>
      </c>
      <c r="W105" s="6">
        <f>IF(ISERROR(VLOOKUP($T$105,'TAR FIN'!$A$1:$O$85,15,0)),0,VLOOKUP($T$105,'TAR FIN'!$A$1:$O$85,15,0))</f>
        <v>0</v>
      </c>
      <c r="X105" s="6">
        <f>IF(ISERROR(VLOOKUP($U$105,'TAR FIN'!$A$1:$O$85,15,0)),0,VLOOKUP($U$105,'TAR FIN'!$A$1:$O$85,15,0))</f>
        <v>0</v>
      </c>
      <c r="Y105" s="6">
        <f ca="1">('TUSD BE'!$AM$10+'TUSD BF'!$AM$10+'TUSD CVA'!$AM$10)*1</f>
        <v>24.267918723282428</v>
      </c>
      <c r="Z105" s="6"/>
      <c r="AA105" s="6"/>
      <c r="AB105" s="6">
        <f>$K$105*$V$105</f>
        <v>58852.74</v>
      </c>
      <c r="AC105" s="6">
        <f>$M$105*$W$105</f>
        <v>0</v>
      </c>
      <c r="AD105" s="6">
        <f>$O$105*$X$105</f>
        <v>0</v>
      </c>
      <c r="AE105" s="6">
        <f ca="1">$K$105*$Y$105</f>
        <v>61009.547670332024</v>
      </c>
      <c r="AF105" s="6">
        <f>$M$105*$Z$105</f>
        <v>0</v>
      </c>
      <c r="AG105" s="6">
        <f>$O$105*$AA$105</f>
        <v>0</v>
      </c>
    </row>
    <row r="106" spans="1:33" ht="11.25" customHeight="1" x14ac:dyDescent="0.25">
      <c r="A106" s="4" t="s">
        <v>21</v>
      </c>
      <c r="B106" s="4" t="s">
        <v>33</v>
      </c>
      <c r="C106" s="4" t="s">
        <v>34</v>
      </c>
      <c r="D106" s="4" t="s">
        <v>38</v>
      </c>
      <c r="E106" s="4" t="s">
        <v>25</v>
      </c>
      <c r="F106" s="4" t="s">
        <v>55</v>
      </c>
      <c r="G106" s="4" t="s">
        <v>25</v>
      </c>
      <c r="H106" s="4" t="s">
        <v>25</v>
      </c>
      <c r="I106" s="5">
        <v>44501</v>
      </c>
      <c r="J106" s="6">
        <v>5012</v>
      </c>
      <c r="K106" s="6">
        <v>2506</v>
      </c>
      <c r="L106" s="6">
        <v>0</v>
      </c>
      <c r="M106" s="6">
        <v>0</v>
      </c>
      <c r="N106" s="6">
        <v>0</v>
      </c>
      <c r="O106" s="6">
        <v>0</v>
      </c>
      <c r="P106" s="6">
        <v>1</v>
      </c>
      <c r="Q106" s="4" t="s">
        <v>56</v>
      </c>
      <c r="R106" s="4">
        <v>0</v>
      </c>
      <c r="S106" s="6">
        <v>65</v>
      </c>
      <c r="T106" s="6">
        <v>0</v>
      </c>
      <c r="U106" s="6">
        <v>0</v>
      </c>
      <c r="V106" s="6">
        <f>IF(ISERROR(VLOOKUP($S$106,'TAR FIN'!$A$1:$O$85,15,0)),0,VLOOKUP($S$106,'TAR FIN'!$A$1:$O$85,15,0))</f>
        <v>23.41</v>
      </c>
      <c r="W106" s="6">
        <f>IF(ISERROR(VLOOKUP($T$106,'TAR FIN'!$A$1:$O$85,15,0)),0,VLOOKUP($T$106,'TAR FIN'!$A$1:$O$85,15,0))</f>
        <v>0</v>
      </c>
      <c r="X106" s="6">
        <f>IF(ISERROR(VLOOKUP($U$106,'TAR FIN'!$A$1:$O$85,15,0)),0,VLOOKUP($U$106,'TAR FIN'!$A$1:$O$85,15,0))</f>
        <v>0</v>
      </c>
      <c r="Y106" s="6">
        <f ca="1">('TUSD BE'!$AM$10+'TUSD BF'!$AM$10+'TUSD CVA'!$AM$10)*1</f>
        <v>24.267918723282428</v>
      </c>
      <c r="Z106" s="6"/>
      <c r="AA106" s="6"/>
      <c r="AB106" s="6">
        <f>$K$106*$V$106</f>
        <v>58665.46</v>
      </c>
      <c r="AC106" s="6">
        <f>$M$106*$W$106</f>
        <v>0</v>
      </c>
      <c r="AD106" s="6">
        <f>$O$106*$X$106</f>
        <v>0</v>
      </c>
      <c r="AE106" s="6">
        <f ca="1">$K$106*$Y$106</f>
        <v>60815.404320545764</v>
      </c>
      <c r="AF106" s="6">
        <f>$M$106*$Z$106</f>
        <v>0</v>
      </c>
      <c r="AG106" s="6">
        <f>$O$106*$AA$106</f>
        <v>0</v>
      </c>
    </row>
    <row r="107" spans="1:33" ht="11.25" customHeight="1" x14ac:dyDescent="0.25">
      <c r="A107" s="4" t="s">
        <v>21</v>
      </c>
      <c r="B107" s="4" t="s">
        <v>33</v>
      </c>
      <c r="C107" s="4" t="s">
        <v>34</v>
      </c>
      <c r="D107" s="4" t="s">
        <v>38</v>
      </c>
      <c r="E107" s="4" t="s">
        <v>25</v>
      </c>
      <c r="F107" s="4" t="s">
        <v>55</v>
      </c>
      <c r="G107" s="4" t="s">
        <v>25</v>
      </c>
      <c r="H107" s="4" t="s">
        <v>25</v>
      </c>
      <c r="I107" s="5">
        <v>44531</v>
      </c>
      <c r="J107" s="6">
        <v>5009</v>
      </c>
      <c r="K107" s="6">
        <v>2504.5</v>
      </c>
      <c r="L107" s="6">
        <v>0</v>
      </c>
      <c r="M107" s="6">
        <v>0</v>
      </c>
      <c r="N107" s="6">
        <v>0</v>
      </c>
      <c r="O107" s="6">
        <v>0</v>
      </c>
      <c r="P107" s="6">
        <v>1</v>
      </c>
      <c r="Q107" s="4" t="s">
        <v>56</v>
      </c>
      <c r="R107" s="4">
        <v>0</v>
      </c>
      <c r="S107" s="6">
        <v>65</v>
      </c>
      <c r="T107" s="6">
        <v>0</v>
      </c>
      <c r="U107" s="6">
        <v>0</v>
      </c>
      <c r="V107" s="6">
        <f>IF(ISERROR(VLOOKUP($S$107,'TAR FIN'!$A$1:$O$85,15,0)),0,VLOOKUP($S$107,'TAR FIN'!$A$1:$O$85,15,0))</f>
        <v>23.41</v>
      </c>
      <c r="W107" s="6">
        <f>IF(ISERROR(VLOOKUP($T$107,'TAR FIN'!$A$1:$O$85,15,0)),0,VLOOKUP($T$107,'TAR FIN'!$A$1:$O$85,15,0))</f>
        <v>0</v>
      </c>
      <c r="X107" s="6">
        <f>IF(ISERROR(VLOOKUP($U$107,'TAR FIN'!$A$1:$O$85,15,0)),0,VLOOKUP($U$107,'TAR FIN'!$A$1:$O$85,15,0))</f>
        <v>0</v>
      </c>
      <c r="Y107" s="6">
        <f ca="1">('TUSD BE'!$AM$10+'TUSD BF'!$AM$10+'TUSD CVA'!$AM$10)*1</f>
        <v>24.267918723282428</v>
      </c>
      <c r="Z107" s="6"/>
      <c r="AA107" s="6"/>
      <c r="AB107" s="6">
        <f>$K$107*$V$107</f>
        <v>58630.345000000001</v>
      </c>
      <c r="AC107" s="6">
        <f>$M$107*$W$107</f>
        <v>0</v>
      </c>
      <c r="AD107" s="6">
        <f>$O$107*$X$107</f>
        <v>0</v>
      </c>
      <c r="AE107" s="6">
        <f ca="1">$K$107*$Y$107</f>
        <v>60779.002442460842</v>
      </c>
      <c r="AF107" s="6">
        <f>$M$107*$Z$107</f>
        <v>0</v>
      </c>
      <c r="AG107" s="6">
        <f>$O$107*$AA$107</f>
        <v>0</v>
      </c>
    </row>
    <row r="108" spans="1:33" ht="11.25" customHeight="1" x14ac:dyDescent="0.25">
      <c r="A108" s="4" t="s">
        <v>21</v>
      </c>
      <c r="B108" s="4" t="s">
        <v>33</v>
      </c>
      <c r="C108" s="4" t="s">
        <v>34</v>
      </c>
      <c r="D108" s="4" t="s">
        <v>38</v>
      </c>
      <c r="E108" s="4" t="s">
        <v>25</v>
      </c>
      <c r="F108" s="4" t="s">
        <v>55</v>
      </c>
      <c r="G108" s="4" t="s">
        <v>25</v>
      </c>
      <c r="H108" s="4" t="s">
        <v>25</v>
      </c>
      <c r="I108" s="5">
        <v>44562</v>
      </c>
      <c r="J108" s="6">
        <v>4969</v>
      </c>
      <c r="K108" s="6">
        <v>2484.5</v>
      </c>
      <c r="L108" s="6">
        <v>0</v>
      </c>
      <c r="M108" s="6">
        <v>0</v>
      </c>
      <c r="N108" s="6">
        <v>0</v>
      </c>
      <c r="O108" s="6">
        <v>0</v>
      </c>
      <c r="P108" s="6">
        <v>1</v>
      </c>
      <c r="Q108" s="4" t="s">
        <v>56</v>
      </c>
      <c r="R108" s="4">
        <v>0</v>
      </c>
      <c r="S108" s="6">
        <v>65</v>
      </c>
      <c r="T108" s="6">
        <v>0</v>
      </c>
      <c r="U108" s="6">
        <v>0</v>
      </c>
      <c r="V108" s="6">
        <f>IF(ISERROR(VLOOKUP($S$108,'TAR FIN'!$A$1:$O$85,15,0)),0,VLOOKUP($S$108,'TAR FIN'!$A$1:$O$85,15,0))</f>
        <v>23.41</v>
      </c>
      <c r="W108" s="6">
        <f>IF(ISERROR(VLOOKUP($T$108,'TAR FIN'!$A$1:$O$85,15,0)),0,VLOOKUP($T$108,'TAR FIN'!$A$1:$O$85,15,0))</f>
        <v>0</v>
      </c>
      <c r="X108" s="6">
        <f>IF(ISERROR(VLOOKUP($U$108,'TAR FIN'!$A$1:$O$85,15,0)),0,VLOOKUP($U$108,'TAR FIN'!$A$1:$O$85,15,0))</f>
        <v>0</v>
      </c>
      <c r="Y108" s="6">
        <f ca="1">('TUSD BE'!$AM$10+'TUSD BF'!$AM$10+'TUSD CVA'!$AM$10)*1</f>
        <v>24.267918723282428</v>
      </c>
      <c r="Z108" s="6"/>
      <c r="AA108" s="6"/>
      <c r="AB108" s="6">
        <f>$K$108*$V$108</f>
        <v>58162.144999999997</v>
      </c>
      <c r="AC108" s="6">
        <f>$M$108*$W$108</f>
        <v>0</v>
      </c>
      <c r="AD108" s="6">
        <f>$O$108*$X$108</f>
        <v>0</v>
      </c>
      <c r="AE108" s="6">
        <f ca="1">$K$108*$Y$108</f>
        <v>60293.644067995192</v>
      </c>
      <c r="AF108" s="6">
        <f>$M$108*$Z$108</f>
        <v>0</v>
      </c>
      <c r="AG108" s="6">
        <f>$O$108*$AA$108</f>
        <v>0</v>
      </c>
    </row>
    <row r="109" spans="1:33" ht="11.25" customHeight="1" x14ac:dyDescent="0.25">
      <c r="A109" s="4" t="s">
        <v>21</v>
      </c>
      <c r="B109" s="4" t="s">
        <v>33</v>
      </c>
      <c r="C109" s="4" t="s">
        <v>34</v>
      </c>
      <c r="D109" s="4" t="s">
        <v>38</v>
      </c>
      <c r="E109" s="4" t="s">
        <v>25</v>
      </c>
      <c r="F109" s="4" t="s">
        <v>55</v>
      </c>
      <c r="G109" s="4" t="s">
        <v>25</v>
      </c>
      <c r="H109" s="4" t="s">
        <v>25</v>
      </c>
      <c r="I109" s="5">
        <v>44593</v>
      </c>
      <c r="J109" s="6">
        <v>5273</v>
      </c>
      <c r="K109" s="6">
        <v>2636.5</v>
      </c>
      <c r="L109" s="6">
        <v>0</v>
      </c>
      <c r="M109" s="6">
        <v>0</v>
      </c>
      <c r="N109" s="6">
        <v>0</v>
      </c>
      <c r="O109" s="6">
        <v>0</v>
      </c>
      <c r="P109" s="6">
        <v>8</v>
      </c>
      <c r="Q109" s="4" t="s">
        <v>56</v>
      </c>
      <c r="R109" s="4">
        <v>0</v>
      </c>
      <c r="S109" s="6">
        <v>65</v>
      </c>
      <c r="T109" s="6">
        <v>0</v>
      </c>
      <c r="U109" s="6">
        <v>0</v>
      </c>
      <c r="V109" s="6">
        <f>IF(ISERROR(VLOOKUP($S$109,'TAR FIN'!$A$1:$O$85,15,0)),0,VLOOKUP($S$109,'TAR FIN'!$A$1:$O$85,15,0))</f>
        <v>23.41</v>
      </c>
      <c r="W109" s="6">
        <f>IF(ISERROR(VLOOKUP($T$109,'TAR FIN'!$A$1:$O$85,15,0)),0,VLOOKUP($T$109,'TAR FIN'!$A$1:$O$85,15,0))</f>
        <v>0</v>
      </c>
      <c r="X109" s="6">
        <f>IF(ISERROR(VLOOKUP($U$109,'TAR FIN'!$A$1:$O$85,15,0)),0,VLOOKUP($U$109,'TAR FIN'!$A$1:$O$85,15,0))</f>
        <v>0</v>
      </c>
      <c r="Y109" s="6">
        <f ca="1">('TUSD BE'!$AM$10+'TUSD BF'!$AM$10+'TUSD CVA'!$AM$10)*1</f>
        <v>24.267918723282428</v>
      </c>
      <c r="Z109" s="6"/>
      <c r="AA109" s="6"/>
      <c r="AB109" s="6">
        <f>$K$109*$V$109</f>
        <v>61720.465000000004</v>
      </c>
      <c r="AC109" s="6">
        <f>$M$109*$W$109</f>
        <v>0</v>
      </c>
      <c r="AD109" s="6">
        <f>$O$109*$X$109</f>
        <v>0</v>
      </c>
      <c r="AE109" s="6">
        <f ca="1">$K$109*$Y$109</f>
        <v>63982.367713934123</v>
      </c>
      <c r="AF109" s="6">
        <f>$M$109*$Z$109</f>
        <v>0</v>
      </c>
      <c r="AG109" s="6">
        <f>$O$109*$AA$109</f>
        <v>0</v>
      </c>
    </row>
    <row r="110" spans="1:33" ht="11.25" customHeight="1" x14ac:dyDescent="0.25">
      <c r="A110" s="4" t="s">
        <v>54</v>
      </c>
      <c r="B110" s="4" t="s">
        <v>33</v>
      </c>
      <c r="C110" s="4" t="s">
        <v>34</v>
      </c>
      <c r="D110" s="4" t="s">
        <v>38</v>
      </c>
      <c r="E110" s="4" t="s">
        <v>25</v>
      </c>
      <c r="F110" s="4" t="s">
        <v>55</v>
      </c>
      <c r="G110" s="4" t="s">
        <v>25</v>
      </c>
      <c r="H110" s="4" t="s">
        <v>25</v>
      </c>
      <c r="I110" s="5">
        <v>44621</v>
      </c>
      <c r="J110" s="6">
        <v>5273</v>
      </c>
      <c r="K110" s="6">
        <v>2636.5</v>
      </c>
      <c r="L110" s="6">
        <v>0</v>
      </c>
      <c r="M110" s="6">
        <v>0</v>
      </c>
      <c r="N110" s="6">
        <v>0</v>
      </c>
      <c r="O110" s="6">
        <v>0</v>
      </c>
      <c r="P110" s="6">
        <v>8</v>
      </c>
      <c r="Q110" s="4" t="s">
        <v>56</v>
      </c>
      <c r="R110" s="4">
        <v>0</v>
      </c>
      <c r="S110" s="6">
        <v>65</v>
      </c>
      <c r="T110" s="6">
        <v>0</v>
      </c>
      <c r="U110" s="6">
        <v>0</v>
      </c>
      <c r="V110" s="6">
        <f>IF(ISERROR(VLOOKUP($S$110,'TAR FIN'!$A$1:$O$85,15,0)),0,VLOOKUP($S$110,'TAR FIN'!$A$1:$O$85,15,0))</f>
        <v>23.41</v>
      </c>
      <c r="W110" s="6">
        <f>IF(ISERROR(VLOOKUP($T$110,'TAR FIN'!$A$1:$O$85,15,0)),0,VLOOKUP($T$110,'TAR FIN'!$A$1:$O$85,15,0))</f>
        <v>0</v>
      </c>
      <c r="X110" s="6">
        <f>IF(ISERROR(VLOOKUP($U$110,'TAR FIN'!$A$1:$O$85,15,0)),0,VLOOKUP($U$110,'TAR FIN'!$A$1:$O$85,15,0))</f>
        <v>0</v>
      </c>
      <c r="Y110" s="6">
        <f ca="1">('TUSD BE'!$AM$10+'TUSD BF'!$AM$10+'TUSD CVA'!$AM$10)*1</f>
        <v>24.267918723282428</v>
      </c>
      <c r="Z110" s="6"/>
      <c r="AA110" s="6"/>
      <c r="AB110" s="6">
        <f>$K$110*$V$110</f>
        <v>61720.465000000004</v>
      </c>
      <c r="AC110" s="6">
        <f>$M$110*$W$110</f>
        <v>0</v>
      </c>
      <c r="AD110" s="6">
        <f>$O$110*$X$110</f>
        <v>0</v>
      </c>
      <c r="AE110" s="6">
        <f ca="1">$K$110*$Y$110</f>
        <v>63982.367713934123</v>
      </c>
      <c r="AF110" s="6">
        <f>$M$110*$Z$110</f>
        <v>0</v>
      </c>
      <c r="AG110" s="6">
        <f>$O$110*$AA$110</f>
        <v>0</v>
      </c>
    </row>
    <row r="111" spans="1:33" ht="11.25" customHeight="1" x14ac:dyDescent="0.25">
      <c r="A111" s="4" t="s">
        <v>21</v>
      </c>
      <c r="B111" s="4" t="s">
        <v>33</v>
      </c>
      <c r="C111" s="4" t="s">
        <v>34</v>
      </c>
      <c r="D111" s="4" t="s">
        <v>38</v>
      </c>
      <c r="E111" s="4" t="s">
        <v>25</v>
      </c>
      <c r="F111" s="4" t="s">
        <v>55</v>
      </c>
      <c r="G111" s="4" t="s">
        <v>25</v>
      </c>
      <c r="H111" s="4" t="s">
        <v>35</v>
      </c>
      <c r="I111" s="5">
        <v>44287</v>
      </c>
      <c r="J111" s="6">
        <v>0</v>
      </c>
      <c r="K111" s="6">
        <v>0</v>
      </c>
      <c r="L111" s="6">
        <v>19.989000000000001</v>
      </c>
      <c r="M111" s="6">
        <v>9.9945000000000004</v>
      </c>
      <c r="N111" s="6">
        <v>0</v>
      </c>
      <c r="O111" s="6">
        <v>0</v>
      </c>
      <c r="P111" s="6">
        <v>0</v>
      </c>
      <c r="Q111" s="4" t="s">
        <v>56</v>
      </c>
      <c r="R111" s="4">
        <v>0</v>
      </c>
      <c r="S111" s="6">
        <v>0</v>
      </c>
      <c r="T111" s="6">
        <v>66</v>
      </c>
      <c r="U111" s="6">
        <v>0</v>
      </c>
      <c r="V111" s="6">
        <f>IF(ISERROR(VLOOKUP($S$111,'TAR FIN'!$A$1:$O$85,15,0)),0,VLOOKUP($S$111,'TAR FIN'!$A$1:$O$85,15,0))</f>
        <v>0</v>
      </c>
      <c r="W111" s="6">
        <f>IF(ISERROR(VLOOKUP($T$111,'TAR FIN'!$A$1:$O$85,15,0)),0,VLOOKUP($T$111,'TAR FIN'!$A$1:$O$85,15,0))</f>
        <v>2263.58</v>
      </c>
      <c r="X111" s="6">
        <f>IF(ISERROR(VLOOKUP($U$111,'TAR FIN'!$A$1:$O$85,15,0)),0,VLOOKUP($U$111,'TAR FIN'!$A$1:$O$85,15,0))</f>
        <v>0</v>
      </c>
      <c r="Y111" s="6"/>
      <c r="Z111" s="6">
        <f ca="1">('TUSD BE'!$AM$11+'TUSD BF'!$AM$11+'TUSD CVA'!$AM$11)*1</f>
        <v>2373.6759655636811</v>
      </c>
      <c r="AA111" s="6"/>
      <c r="AB111" s="6">
        <f>$K$111*$V$111</f>
        <v>0</v>
      </c>
      <c r="AC111" s="6">
        <f>$M$111*$W$111</f>
        <v>22623.350310000002</v>
      </c>
      <c r="AD111" s="6">
        <f>$O$111*$X$111</f>
        <v>0</v>
      </c>
      <c r="AE111" s="6">
        <f>$K$111*$Y$111</f>
        <v>0</v>
      </c>
      <c r="AF111" s="6">
        <f ca="1">$M$111*$Z$111</f>
        <v>23723.704437826211</v>
      </c>
      <c r="AG111" s="6">
        <f>$O$111*$AA$111</f>
        <v>0</v>
      </c>
    </row>
    <row r="112" spans="1:33" ht="11.25" customHeight="1" x14ac:dyDescent="0.25">
      <c r="A112" s="4" t="s">
        <v>21</v>
      </c>
      <c r="B112" s="4" t="s">
        <v>33</v>
      </c>
      <c r="C112" s="4" t="s">
        <v>34</v>
      </c>
      <c r="D112" s="4" t="s">
        <v>38</v>
      </c>
      <c r="E112" s="4" t="s">
        <v>25</v>
      </c>
      <c r="F112" s="4" t="s">
        <v>55</v>
      </c>
      <c r="G112" s="4" t="s">
        <v>25</v>
      </c>
      <c r="H112" s="4" t="s">
        <v>35</v>
      </c>
      <c r="I112" s="5">
        <v>44317</v>
      </c>
      <c r="J112" s="6">
        <v>0</v>
      </c>
      <c r="K112" s="6">
        <v>0</v>
      </c>
      <c r="L112" s="6">
        <v>23.256</v>
      </c>
      <c r="M112" s="6">
        <v>11.628</v>
      </c>
      <c r="N112" s="6">
        <v>0</v>
      </c>
      <c r="O112" s="6">
        <v>0</v>
      </c>
      <c r="P112" s="6">
        <v>0</v>
      </c>
      <c r="Q112" s="4" t="s">
        <v>56</v>
      </c>
      <c r="R112" s="4">
        <v>0</v>
      </c>
      <c r="S112" s="6">
        <v>0</v>
      </c>
      <c r="T112" s="6">
        <v>66</v>
      </c>
      <c r="U112" s="6">
        <v>0</v>
      </c>
      <c r="V112" s="6">
        <f>IF(ISERROR(VLOOKUP($S$112,'TAR FIN'!$A$1:$O$85,15,0)),0,VLOOKUP($S$112,'TAR FIN'!$A$1:$O$85,15,0))</f>
        <v>0</v>
      </c>
      <c r="W112" s="6">
        <f>IF(ISERROR(VLOOKUP($T$112,'TAR FIN'!$A$1:$O$85,15,0)),0,VLOOKUP($T$112,'TAR FIN'!$A$1:$O$85,15,0))</f>
        <v>2263.58</v>
      </c>
      <c r="X112" s="6">
        <f>IF(ISERROR(VLOOKUP($U$112,'TAR FIN'!$A$1:$O$85,15,0)),0,VLOOKUP($U$112,'TAR FIN'!$A$1:$O$85,15,0))</f>
        <v>0</v>
      </c>
      <c r="Y112" s="6"/>
      <c r="Z112" s="6">
        <f ca="1">('TUSD BE'!$AM$11+'TUSD BF'!$AM$11+'TUSD CVA'!$AM$11)*1</f>
        <v>2373.6759655636811</v>
      </c>
      <c r="AA112" s="6"/>
      <c r="AB112" s="6">
        <f>$K$112*$V$112</f>
        <v>0</v>
      </c>
      <c r="AC112" s="6">
        <f>$M$112*$W$112</f>
        <v>26320.908240000001</v>
      </c>
      <c r="AD112" s="6">
        <f>$O$112*$X$112</f>
        <v>0</v>
      </c>
      <c r="AE112" s="6">
        <f>$K$112*$Y$112</f>
        <v>0</v>
      </c>
      <c r="AF112" s="6">
        <f ca="1">$M$112*$Z$112</f>
        <v>27601.104127574483</v>
      </c>
      <c r="AG112" s="6">
        <f>$O$112*$AA$112</f>
        <v>0</v>
      </c>
    </row>
    <row r="113" spans="1:33" ht="11.25" customHeight="1" x14ac:dyDescent="0.25">
      <c r="A113" s="4" t="s">
        <v>21</v>
      </c>
      <c r="B113" s="4" t="s">
        <v>33</v>
      </c>
      <c r="C113" s="4" t="s">
        <v>34</v>
      </c>
      <c r="D113" s="4" t="s">
        <v>38</v>
      </c>
      <c r="E113" s="4" t="s">
        <v>25</v>
      </c>
      <c r="F113" s="4" t="s">
        <v>55</v>
      </c>
      <c r="G113" s="4" t="s">
        <v>25</v>
      </c>
      <c r="H113" s="4" t="s">
        <v>35</v>
      </c>
      <c r="I113" s="5">
        <v>44348</v>
      </c>
      <c r="J113" s="6">
        <v>0</v>
      </c>
      <c r="K113" s="6">
        <v>0</v>
      </c>
      <c r="L113" s="6">
        <v>107.532</v>
      </c>
      <c r="M113" s="6">
        <v>53.765999999999998</v>
      </c>
      <c r="N113" s="6">
        <v>0</v>
      </c>
      <c r="O113" s="6">
        <v>0</v>
      </c>
      <c r="P113" s="6">
        <v>0</v>
      </c>
      <c r="Q113" s="4" t="s">
        <v>56</v>
      </c>
      <c r="R113" s="4">
        <v>0</v>
      </c>
      <c r="S113" s="6">
        <v>0</v>
      </c>
      <c r="T113" s="6">
        <v>66</v>
      </c>
      <c r="U113" s="6">
        <v>0</v>
      </c>
      <c r="V113" s="6">
        <f>IF(ISERROR(VLOOKUP($S$113,'TAR FIN'!$A$1:$O$85,15,0)),0,VLOOKUP($S$113,'TAR FIN'!$A$1:$O$85,15,0))</f>
        <v>0</v>
      </c>
      <c r="W113" s="6">
        <f>IF(ISERROR(VLOOKUP($T$113,'TAR FIN'!$A$1:$O$85,15,0)),0,VLOOKUP($T$113,'TAR FIN'!$A$1:$O$85,15,0))</f>
        <v>2263.58</v>
      </c>
      <c r="X113" s="6">
        <f>IF(ISERROR(VLOOKUP($U$113,'TAR FIN'!$A$1:$O$85,15,0)),0,VLOOKUP($U$113,'TAR FIN'!$A$1:$O$85,15,0))</f>
        <v>0</v>
      </c>
      <c r="Y113" s="6"/>
      <c r="Z113" s="6">
        <f ca="1">('TUSD BE'!$AM$11+'TUSD BF'!$AM$11+'TUSD CVA'!$AM$11)*1</f>
        <v>2373.6759655636811</v>
      </c>
      <c r="AA113" s="6"/>
      <c r="AB113" s="6">
        <f>$K$113*$V$113</f>
        <v>0</v>
      </c>
      <c r="AC113" s="6">
        <f>$M$113*$W$113</f>
        <v>121703.64227999999</v>
      </c>
      <c r="AD113" s="6">
        <f>$O$113*$X$113</f>
        <v>0</v>
      </c>
      <c r="AE113" s="6">
        <f>$K$113*$Y$113</f>
        <v>0</v>
      </c>
      <c r="AF113" s="6">
        <f ca="1">$M$113*$Z$113</f>
        <v>127623.06196449687</v>
      </c>
      <c r="AG113" s="6">
        <f>$O$113*$AA$113</f>
        <v>0</v>
      </c>
    </row>
    <row r="114" spans="1:33" ht="11.25" customHeight="1" x14ac:dyDescent="0.25">
      <c r="A114" s="4" t="s">
        <v>21</v>
      </c>
      <c r="B114" s="4" t="s">
        <v>33</v>
      </c>
      <c r="C114" s="4" t="s">
        <v>34</v>
      </c>
      <c r="D114" s="4" t="s">
        <v>38</v>
      </c>
      <c r="E114" s="4" t="s">
        <v>25</v>
      </c>
      <c r="F114" s="4" t="s">
        <v>55</v>
      </c>
      <c r="G114" s="4" t="s">
        <v>25</v>
      </c>
      <c r="H114" s="4" t="s">
        <v>35</v>
      </c>
      <c r="I114" s="5">
        <v>44378</v>
      </c>
      <c r="J114" s="6">
        <v>0</v>
      </c>
      <c r="K114" s="6">
        <v>0</v>
      </c>
      <c r="L114" s="6">
        <v>171.18299999999999</v>
      </c>
      <c r="M114" s="6">
        <v>85.591499999999996</v>
      </c>
      <c r="N114" s="6">
        <v>0</v>
      </c>
      <c r="O114" s="6">
        <v>0</v>
      </c>
      <c r="P114" s="6">
        <v>0</v>
      </c>
      <c r="Q114" s="4" t="s">
        <v>56</v>
      </c>
      <c r="R114" s="4">
        <v>0</v>
      </c>
      <c r="S114" s="6">
        <v>0</v>
      </c>
      <c r="T114" s="6">
        <v>66</v>
      </c>
      <c r="U114" s="6">
        <v>0</v>
      </c>
      <c r="V114" s="6">
        <f>IF(ISERROR(VLOOKUP($S$114,'TAR FIN'!$A$1:$O$85,15,0)),0,VLOOKUP($S$114,'TAR FIN'!$A$1:$O$85,15,0))</f>
        <v>0</v>
      </c>
      <c r="W114" s="6">
        <f>IF(ISERROR(VLOOKUP($T$114,'TAR FIN'!$A$1:$O$85,15,0)),0,VLOOKUP($T$114,'TAR FIN'!$A$1:$O$85,15,0))</f>
        <v>2263.58</v>
      </c>
      <c r="X114" s="6">
        <f>IF(ISERROR(VLOOKUP($U$114,'TAR FIN'!$A$1:$O$85,15,0)),0,VLOOKUP($U$114,'TAR FIN'!$A$1:$O$85,15,0))</f>
        <v>0</v>
      </c>
      <c r="Y114" s="6"/>
      <c r="Z114" s="6">
        <f ca="1">('TUSD BE'!$AM$11+'TUSD BF'!$AM$11+'TUSD CVA'!$AM$11)*1</f>
        <v>2373.6759655636811</v>
      </c>
      <c r="AA114" s="6"/>
      <c r="AB114" s="6">
        <f>$K$114*$V$114</f>
        <v>0</v>
      </c>
      <c r="AC114" s="6">
        <f>$M$114*$W$114</f>
        <v>193743.20757</v>
      </c>
      <c r="AD114" s="6">
        <f>$O$114*$X$114</f>
        <v>0</v>
      </c>
      <c r="AE114" s="6">
        <f>$K$114*$Y$114</f>
        <v>0</v>
      </c>
      <c r="AF114" s="6">
        <f ca="1">$M$114*$Z$114</f>
        <v>203166.48640654379</v>
      </c>
      <c r="AG114" s="6">
        <f>$O$114*$AA$114</f>
        <v>0</v>
      </c>
    </row>
    <row r="115" spans="1:33" ht="11.25" customHeight="1" x14ac:dyDescent="0.25">
      <c r="A115" s="4" t="s">
        <v>21</v>
      </c>
      <c r="B115" s="4" t="s">
        <v>33</v>
      </c>
      <c r="C115" s="4" t="s">
        <v>34</v>
      </c>
      <c r="D115" s="4" t="s">
        <v>38</v>
      </c>
      <c r="E115" s="4" t="s">
        <v>25</v>
      </c>
      <c r="F115" s="4" t="s">
        <v>55</v>
      </c>
      <c r="G115" s="4" t="s">
        <v>25</v>
      </c>
      <c r="H115" s="4" t="s">
        <v>35</v>
      </c>
      <c r="I115" s="5">
        <v>44409</v>
      </c>
      <c r="J115" s="6">
        <v>0</v>
      </c>
      <c r="K115" s="6">
        <v>0</v>
      </c>
      <c r="L115" s="6">
        <v>123.505</v>
      </c>
      <c r="M115" s="6">
        <v>61.752499999999998</v>
      </c>
      <c r="N115" s="6">
        <v>0</v>
      </c>
      <c r="O115" s="6">
        <v>0</v>
      </c>
      <c r="P115" s="6">
        <v>0</v>
      </c>
      <c r="Q115" s="4" t="s">
        <v>56</v>
      </c>
      <c r="R115" s="4">
        <v>0</v>
      </c>
      <c r="S115" s="6">
        <v>0</v>
      </c>
      <c r="T115" s="6">
        <v>66</v>
      </c>
      <c r="U115" s="6">
        <v>0</v>
      </c>
      <c r="V115" s="6">
        <f>IF(ISERROR(VLOOKUP($S$115,'TAR FIN'!$A$1:$O$85,15,0)),0,VLOOKUP($S$115,'TAR FIN'!$A$1:$O$85,15,0))</f>
        <v>0</v>
      </c>
      <c r="W115" s="6">
        <f>IF(ISERROR(VLOOKUP($T$115,'TAR FIN'!$A$1:$O$85,15,0)),0,VLOOKUP($T$115,'TAR FIN'!$A$1:$O$85,15,0))</f>
        <v>2263.58</v>
      </c>
      <c r="X115" s="6">
        <f>IF(ISERROR(VLOOKUP($U$115,'TAR FIN'!$A$1:$O$85,15,0)),0,VLOOKUP($U$115,'TAR FIN'!$A$1:$O$85,15,0))</f>
        <v>0</v>
      </c>
      <c r="Y115" s="6"/>
      <c r="Z115" s="6">
        <f ca="1">('TUSD BE'!$AM$11+'TUSD BF'!$AM$11+'TUSD CVA'!$AM$11)*1</f>
        <v>2373.6759655636811</v>
      </c>
      <c r="AA115" s="6"/>
      <c r="AB115" s="6">
        <f>$K$115*$V$115</f>
        <v>0</v>
      </c>
      <c r="AC115" s="6">
        <f>$M$115*$W$115</f>
        <v>139781.72394999999</v>
      </c>
      <c r="AD115" s="6">
        <f>$O$115*$X$115</f>
        <v>0</v>
      </c>
      <c r="AE115" s="6">
        <f>$K$115*$Y$115</f>
        <v>0</v>
      </c>
      <c r="AF115" s="6">
        <f ca="1">$M$115*$Z$115</f>
        <v>146580.42506347122</v>
      </c>
      <c r="AG115" s="6">
        <f>$O$115*$AA$115</f>
        <v>0</v>
      </c>
    </row>
    <row r="116" spans="1:33" ht="11.25" customHeight="1" x14ac:dyDescent="0.25">
      <c r="A116" s="4" t="s">
        <v>21</v>
      </c>
      <c r="B116" s="4" t="s">
        <v>33</v>
      </c>
      <c r="C116" s="4" t="s">
        <v>34</v>
      </c>
      <c r="D116" s="4" t="s">
        <v>38</v>
      </c>
      <c r="E116" s="4" t="s">
        <v>25</v>
      </c>
      <c r="F116" s="4" t="s">
        <v>55</v>
      </c>
      <c r="G116" s="4" t="s">
        <v>25</v>
      </c>
      <c r="H116" s="4" t="s">
        <v>35</v>
      </c>
      <c r="I116" s="5">
        <v>44440</v>
      </c>
      <c r="J116" s="6">
        <v>0</v>
      </c>
      <c r="K116" s="6">
        <v>0</v>
      </c>
      <c r="L116" s="6">
        <v>77.082999999999998</v>
      </c>
      <c r="M116" s="6">
        <v>38.541499999999999</v>
      </c>
      <c r="N116" s="6">
        <v>0</v>
      </c>
      <c r="O116" s="6">
        <v>0</v>
      </c>
      <c r="P116" s="6">
        <v>0</v>
      </c>
      <c r="Q116" s="4" t="s">
        <v>56</v>
      </c>
      <c r="R116" s="4">
        <v>0</v>
      </c>
      <c r="S116" s="6">
        <v>0</v>
      </c>
      <c r="T116" s="6">
        <v>66</v>
      </c>
      <c r="U116" s="6">
        <v>0</v>
      </c>
      <c r="V116" s="6">
        <f>IF(ISERROR(VLOOKUP($S$116,'TAR FIN'!$A$1:$O$85,15,0)),0,VLOOKUP($S$116,'TAR FIN'!$A$1:$O$85,15,0))</f>
        <v>0</v>
      </c>
      <c r="W116" s="6">
        <f>IF(ISERROR(VLOOKUP($T$116,'TAR FIN'!$A$1:$O$85,15,0)),0,VLOOKUP($T$116,'TAR FIN'!$A$1:$O$85,15,0))</f>
        <v>2263.58</v>
      </c>
      <c r="X116" s="6">
        <f>IF(ISERROR(VLOOKUP($U$116,'TAR FIN'!$A$1:$O$85,15,0)),0,VLOOKUP($U$116,'TAR FIN'!$A$1:$O$85,15,0))</f>
        <v>0</v>
      </c>
      <c r="Y116" s="6"/>
      <c r="Z116" s="6">
        <f ca="1">('TUSD BE'!$AM$11+'TUSD BF'!$AM$11+'TUSD CVA'!$AM$11)*1</f>
        <v>2373.6759655636811</v>
      </c>
      <c r="AA116" s="6"/>
      <c r="AB116" s="6">
        <f>$K$116*$V$116</f>
        <v>0</v>
      </c>
      <c r="AC116" s="6">
        <f>$M$116*$W$116</f>
        <v>87241.76857</v>
      </c>
      <c r="AD116" s="6">
        <f>$O$116*$X$116</f>
        <v>0</v>
      </c>
      <c r="AE116" s="6">
        <f>$K$116*$Y$116</f>
        <v>0</v>
      </c>
      <c r="AF116" s="6">
        <f ca="1">$M$116*$Z$116</f>
        <v>91485.032226772615</v>
      </c>
      <c r="AG116" s="6">
        <f>$O$116*$AA$116</f>
        <v>0</v>
      </c>
    </row>
    <row r="117" spans="1:33" ht="11.25" customHeight="1" x14ac:dyDescent="0.25">
      <c r="A117" s="4" t="s">
        <v>21</v>
      </c>
      <c r="B117" s="4" t="s">
        <v>33</v>
      </c>
      <c r="C117" s="4" t="s">
        <v>34</v>
      </c>
      <c r="D117" s="4" t="s">
        <v>38</v>
      </c>
      <c r="E117" s="4" t="s">
        <v>25</v>
      </c>
      <c r="F117" s="4" t="s">
        <v>55</v>
      </c>
      <c r="G117" s="4" t="s">
        <v>25</v>
      </c>
      <c r="H117" s="4" t="s">
        <v>35</v>
      </c>
      <c r="I117" s="5">
        <v>44470</v>
      </c>
      <c r="J117" s="6">
        <v>0</v>
      </c>
      <c r="K117" s="6">
        <v>0</v>
      </c>
      <c r="L117" s="6">
        <v>61.756999999999998</v>
      </c>
      <c r="M117" s="6">
        <v>30.878499999999999</v>
      </c>
      <c r="N117" s="6">
        <v>0</v>
      </c>
      <c r="O117" s="6">
        <v>0</v>
      </c>
      <c r="P117" s="6">
        <v>0</v>
      </c>
      <c r="Q117" s="4" t="s">
        <v>56</v>
      </c>
      <c r="R117" s="4">
        <v>0</v>
      </c>
      <c r="S117" s="6">
        <v>0</v>
      </c>
      <c r="T117" s="6">
        <v>66</v>
      </c>
      <c r="U117" s="6">
        <v>0</v>
      </c>
      <c r="V117" s="6">
        <f>IF(ISERROR(VLOOKUP($S$117,'TAR FIN'!$A$1:$O$85,15,0)),0,VLOOKUP($S$117,'TAR FIN'!$A$1:$O$85,15,0))</f>
        <v>0</v>
      </c>
      <c r="W117" s="6">
        <f>IF(ISERROR(VLOOKUP($T$117,'TAR FIN'!$A$1:$O$85,15,0)),0,VLOOKUP($T$117,'TAR FIN'!$A$1:$O$85,15,0))</f>
        <v>2263.58</v>
      </c>
      <c r="X117" s="6">
        <f>IF(ISERROR(VLOOKUP($U$117,'TAR FIN'!$A$1:$O$85,15,0)),0,VLOOKUP($U$117,'TAR FIN'!$A$1:$O$85,15,0))</f>
        <v>0</v>
      </c>
      <c r="Y117" s="6"/>
      <c r="Z117" s="6">
        <f ca="1">('TUSD BE'!$AM$11+'TUSD BF'!$AM$11+'TUSD CVA'!$AM$11)*1</f>
        <v>2373.6759655636811</v>
      </c>
      <c r="AA117" s="6"/>
      <c r="AB117" s="6">
        <f>$K$117*$V$117</f>
        <v>0</v>
      </c>
      <c r="AC117" s="6">
        <f>$M$117*$W$117</f>
        <v>69895.955029999997</v>
      </c>
      <c r="AD117" s="6">
        <f>$O$117*$X$117</f>
        <v>0</v>
      </c>
      <c r="AE117" s="6">
        <f>$K$117*$Y$117</f>
        <v>0</v>
      </c>
      <c r="AF117" s="6">
        <f ca="1">$M$117*$Z$117</f>
        <v>73295.553302658125</v>
      </c>
      <c r="AG117" s="6">
        <f>$O$117*$AA$117</f>
        <v>0</v>
      </c>
    </row>
    <row r="118" spans="1:33" ht="11.25" customHeight="1" x14ac:dyDescent="0.25">
      <c r="A118" s="4" t="s">
        <v>21</v>
      </c>
      <c r="B118" s="4" t="s">
        <v>33</v>
      </c>
      <c r="C118" s="4" t="s">
        <v>34</v>
      </c>
      <c r="D118" s="4" t="s">
        <v>38</v>
      </c>
      <c r="E118" s="4" t="s">
        <v>25</v>
      </c>
      <c r="F118" s="4" t="s">
        <v>55</v>
      </c>
      <c r="G118" s="4" t="s">
        <v>25</v>
      </c>
      <c r="H118" s="4" t="s">
        <v>35</v>
      </c>
      <c r="I118" s="5">
        <v>44501</v>
      </c>
      <c r="J118" s="6">
        <v>0</v>
      </c>
      <c r="K118" s="6">
        <v>0</v>
      </c>
      <c r="L118" s="6">
        <v>38.241999999999997</v>
      </c>
      <c r="M118" s="6">
        <v>19.120999999999999</v>
      </c>
      <c r="N118" s="6">
        <v>0</v>
      </c>
      <c r="O118" s="6">
        <v>0</v>
      </c>
      <c r="P118" s="6">
        <v>0</v>
      </c>
      <c r="Q118" s="4" t="s">
        <v>56</v>
      </c>
      <c r="R118" s="4">
        <v>0</v>
      </c>
      <c r="S118" s="6">
        <v>0</v>
      </c>
      <c r="T118" s="6">
        <v>66</v>
      </c>
      <c r="U118" s="6">
        <v>0</v>
      </c>
      <c r="V118" s="6">
        <f>IF(ISERROR(VLOOKUP($S$118,'TAR FIN'!$A$1:$O$85,15,0)),0,VLOOKUP($S$118,'TAR FIN'!$A$1:$O$85,15,0))</f>
        <v>0</v>
      </c>
      <c r="W118" s="6">
        <f>IF(ISERROR(VLOOKUP($T$118,'TAR FIN'!$A$1:$O$85,15,0)),0,VLOOKUP($T$118,'TAR FIN'!$A$1:$O$85,15,0))</f>
        <v>2263.58</v>
      </c>
      <c r="X118" s="6">
        <f>IF(ISERROR(VLOOKUP($U$118,'TAR FIN'!$A$1:$O$85,15,0)),0,VLOOKUP($U$118,'TAR FIN'!$A$1:$O$85,15,0))</f>
        <v>0</v>
      </c>
      <c r="Y118" s="6"/>
      <c r="Z118" s="6">
        <f ca="1">('TUSD BE'!$AM$11+'TUSD BF'!$AM$11+'TUSD CVA'!$AM$11)*1</f>
        <v>2373.6759655636811</v>
      </c>
      <c r="AA118" s="6"/>
      <c r="AB118" s="6">
        <f>$K$118*$V$118</f>
        <v>0</v>
      </c>
      <c r="AC118" s="6">
        <f>$M$118*$W$118</f>
        <v>43281.913179999996</v>
      </c>
      <c r="AD118" s="6">
        <f>$O$118*$X$118</f>
        <v>0</v>
      </c>
      <c r="AE118" s="6">
        <f>$K$118*$Y$118</f>
        <v>0</v>
      </c>
      <c r="AF118" s="6">
        <f ca="1">$M$118*$Z$118</f>
        <v>45387.058137543143</v>
      </c>
      <c r="AG118" s="6">
        <f>$O$118*$AA$118</f>
        <v>0</v>
      </c>
    </row>
    <row r="119" spans="1:33" ht="11.25" customHeight="1" x14ac:dyDescent="0.25">
      <c r="A119" s="4" t="s">
        <v>21</v>
      </c>
      <c r="B119" s="4" t="s">
        <v>33</v>
      </c>
      <c r="C119" s="4" t="s">
        <v>34</v>
      </c>
      <c r="D119" s="4" t="s">
        <v>38</v>
      </c>
      <c r="E119" s="4" t="s">
        <v>25</v>
      </c>
      <c r="F119" s="4" t="s">
        <v>55</v>
      </c>
      <c r="G119" s="4" t="s">
        <v>25</v>
      </c>
      <c r="H119" s="4" t="s">
        <v>35</v>
      </c>
      <c r="I119" s="5">
        <v>44531</v>
      </c>
      <c r="J119" s="6">
        <v>0</v>
      </c>
      <c r="K119" s="6">
        <v>0</v>
      </c>
      <c r="L119" s="6">
        <v>69.284999999999997</v>
      </c>
      <c r="M119" s="6">
        <v>34.642499999999998</v>
      </c>
      <c r="N119" s="6">
        <v>0</v>
      </c>
      <c r="O119" s="6">
        <v>0</v>
      </c>
      <c r="P119" s="6">
        <v>0</v>
      </c>
      <c r="Q119" s="4" t="s">
        <v>56</v>
      </c>
      <c r="R119" s="4">
        <v>0</v>
      </c>
      <c r="S119" s="6">
        <v>0</v>
      </c>
      <c r="T119" s="6">
        <v>66</v>
      </c>
      <c r="U119" s="6">
        <v>0</v>
      </c>
      <c r="V119" s="6">
        <f>IF(ISERROR(VLOOKUP($S$119,'TAR FIN'!$A$1:$O$85,15,0)),0,VLOOKUP($S$119,'TAR FIN'!$A$1:$O$85,15,0))</f>
        <v>0</v>
      </c>
      <c r="W119" s="6">
        <f>IF(ISERROR(VLOOKUP($T$119,'TAR FIN'!$A$1:$O$85,15,0)),0,VLOOKUP($T$119,'TAR FIN'!$A$1:$O$85,15,0))</f>
        <v>2263.58</v>
      </c>
      <c r="X119" s="6">
        <f>IF(ISERROR(VLOOKUP($U$119,'TAR FIN'!$A$1:$O$85,15,0)),0,VLOOKUP($U$119,'TAR FIN'!$A$1:$O$85,15,0))</f>
        <v>0</v>
      </c>
      <c r="Y119" s="6"/>
      <c r="Z119" s="6">
        <f ca="1">('TUSD BE'!$AM$11+'TUSD BF'!$AM$11+'TUSD CVA'!$AM$11)*1</f>
        <v>2373.6759655636811</v>
      </c>
      <c r="AA119" s="6"/>
      <c r="AB119" s="6">
        <f>$K$119*$V$119</f>
        <v>0</v>
      </c>
      <c r="AC119" s="6">
        <f>$M$119*$W$119</f>
        <v>78416.07015</v>
      </c>
      <c r="AD119" s="6">
        <f>$O$119*$X$119</f>
        <v>0</v>
      </c>
      <c r="AE119" s="6">
        <f>$K$119*$Y$119</f>
        <v>0</v>
      </c>
      <c r="AF119" s="6">
        <f ca="1">$M$119*$Z$119</f>
        <v>82230.069637039822</v>
      </c>
      <c r="AG119" s="6">
        <f>$O$119*$AA$119</f>
        <v>0</v>
      </c>
    </row>
    <row r="120" spans="1:33" ht="11.25" customHeight="1" x14ac:dyDescent="0.25">
      <c r="A120" s="4" t="s">
        <v>21</v>
      </c>
      <c r="B120" s="4" t="s">
        <v>33</v>
      </c>
      <c r="C120" s="4" t="s">
        <v>34</v>
      </c>
      <c r="D120" s="4" t="s">
        <v>38</v>
      </c>
      <c r="E120" s="4" t="s">
        <v>25</v>
      </c>
      <c r="F120" s="4" t="s">
        <v>55</v>
      </c>
      <c r="G120" s="4" t="s">
        <v>25</v>
      </c>
      <c r="H120" s="4" t="s">
        <v>35</v>
      </c>
      <c r="I120" s="5">
        <v>44562</v>
      </c>
      <c r="J120" s="6">
        <v>0</v>
      </c>
      <c r="K120" s="6">
        <v>0</v>
      </c>
      <c r="L120" s="6">
        <v>118.67</v>
      </c>
      <c r="M120" s="6">
        <v>59.335000000000001</v>
      </c>
      <c r="N120" s="6">
        <v>0</v>
      </c>
      <c r="O120" s="6">
        <v>0</v>
      </c>
      <c r="P120" s="6">
        <v>0</v>
      </c>
      <c r="Q120" s="4" t="s">
        <v>56</v>
      </c>
      <c r="R120" s="4">
        <v>0</v>
      </c>
      <c r="S120" s="6">
        <v>0</v>
      </c>
      <c r="T120" s="6">
        <v>66</v>
      </c>
      <c r="U120" s="6">
        <v>0</v>
      </c>
      <c r="V120" s="6">
        <f>IF(ISERROR(VLOOKUP($S$120,'TAR FIN'!$A$1:$O$85,15,0)),0,VLOOKUP($S$120,'TAR FIN'!$A$1:$O$85,15,0))</f>
        <v>0</v>
      </c>
      <c r="W120" s="6">
        <f>IF(ISERROR(VLOOKUP($T$120,'TAR FIN'!$A$1:$O$85,15,0)),0,VLOOKUP($T$120,'TAR FIN'!$A$1:$O$85,15,0))</f>
        <v>2263.58</v>
      </c>
      <c r="X120" s="6">
        <f>IF(ISERROR(VLOOKUP($U$120,'TAR FIN'!$A$1:$O$85,15,0)),0,VLOOKUP($U$120,'TAR FIN'!$A$1:$O$85,15,0))</f>
        <v>0</v>
      </c>
      <c r="Y120" s="6"/>
      <c r="Z120" s="6">
        <f ca="1">('TUSD BE'!$AM$11+'TUSD BF'!$AM$11+'TUSD CVA'!$AM$11)*1</f>
        <v>2373.6759655636811</v>
      </c>
      <c r="AA120" s="6"/>
      <c r="AB120" s="6">
        <f>$K$120*$V$120</f>
        <v>0</v>
      </c>
      <c r="AC120" s="6">
        <f>$M$120*$W$120</f>
        <v>134309.51929999999</v>
      </c>
      <c r="AD120" s="6">
        <f>$O$120*$X$120</f>
        <v>0</v>
      </c>
      <c r="AE120" s="6">
        <f>$K$120*$Y$120</f>
        <v>0</v>
      </c>
      <c r="AF120" s="6">
        <f ca="1">$M$120*$Z$120</f>
        <v>140842.06341672101</v>
      </c>
      <c r="AG120" s="6">
        <f>$O$120*$AA$120</f>
        <v>0</v>
      </c>
    </row>
    <row r="121" spans="1:33" ht="11.25" customHeight="1" x14ac:dyDescent="0.25">
      <c r="A121" s="4" t="s">
        <v>21</v>
      </c>
      <c r="B121" s="4" t="s">
        <v>33</v>
      </c>
      <c r="C121" s="4" t="s">
        <v>34</v>
      </c>
      <c r="D121" s="4" t="s">
        <v>38</v>
      </c>
      <c r="E121" s="4" t="s">
        <v>25</v>
      </c>
      <c r="F121" s="4" t="s">
        <v>55</v>
      </c>
      <c r="G121" s="4" t="s">
        <v>25</v>
      </c>
      <c r="H121" s="4" t="s">
        <v>35</v>
      </c>
      <c r="I121" s="5">
        <v>44593</v>
      </c>
      <c r="J121" s="6">
        <v>0</v>
      </c>
      <c r="K121" s="6">
        <v>0</v>
      </c>
      <c r="L121" s="6">
        <v>158.113</v>
      </c>
      <c r="M121" s="6">
        <v>79.0565</v>
      </c>
      <c r="N121" s="6">
        <v>0</v>
      </c>
      <c r="O121" s="6">
        <v>0</v>
      </c>
      <c r="P121" s="6">
        <v>0</v>
      </c>
      <c r="Q121" s="4" t="s">
        <v>56</v>
      </c>
      <c r="R121" s="4">
        <v>0</v>
      </c>
      <c r="S121" s="6">
        <v>0</v>
      </c>
      <c r="T121" s="6">
        <v>66</v>
      </c>
      <c r="U121" s="6">
        <v>0</v>
      </c>
      <c r="V121" s="6">
        <f>IF(ISERROR(VLOOKUP($S$121,'TAR FIN'!$A$1:$O$85,15,0)),0,VLOOKUP($S$121,'TAR FIN'!$A$1:$O$85,15,0))</f>
        <v>0</v>
      </c>
      <c r="W121" s="6">
        <f>IF(ISERROR(VLOOKUP($T$121,'TAR FIN'!$A$1:$O$85,15,0)),0,VLOOKUP($T$121,'TAR FIN'!$A$1:$O$85,15,0))</f>
        <v>2263.58</v>
      </c>
      <c r="X121" s="6">
        <f>IF(ISERROR(VLOOKUP($U$121,'TAR FIN'!$A$1:$O$85,15,0)),0,VLOOKUP($U$121,'TAR FIN'!$A$1:$O$85,15,0))</f>
        <v>0</v>
      </c>
      <c r="Y121" s="6"/>
      <c r="Z121" s="6">
        <f ca="1">('TUSD BE'!$AM$11+'TUSD BF'!$AM$11+'TUSD CVA'!$AM$11)*1</f>
        <v>2373.6759655636811</v>
      </c>
      <c r="AA121" s="6"/>
      <c r="AB121" s="6">
        <f>$K$121*$V$121</f>
        <v>0</v>
      </c>
      <c r="AC121" s="6">
        <f>$M$121*$W$121</f>
        <v>178950.71226999999</v>
      </c>
      <c r="AD121" s="6">
        <f>$O$121*$X$121</f>
        <v>0</v>
      </c>
      <c r="AE121" s="6">
        <f>$K$121*$Y$121</f>
        <v>0</v>
      </c>
      <c r="AF121" s="6">
        <f ca="1">$M$121*$Z$121</f>
        <v>187654.51397158514</v>
      </c>
      <c r="AG121" s="6">
        <f>$O$121*$AA$121</f>
        <v>0</v>
      </c>
    </row>
    <row r="122" spans="1:33" ht="11.25" customHeight="1" x14ac:dyDescent="0.25">
      <c r="A122" s="4" t="s">
        <v>54</v>
      </c>
      <c r="B122" s="4" t="s">
        <v>33</v>
      </c>
      <c r="C122" s="4" t="s">
        <v>34</v>
      </c>
      <c r="D122" s="4" t="s">
        <v>38</v>
      </c>
      <c r="E122" s="4" t="s">
        <v>25</v>
      </c>
      <c r="F122" s="4" t="s">
        <v>55</v>
      </c>
      <c r="G122" s="4" t="s">
        <v>25</v>
      </c>
      <c r="H122" s="4" t="s">
        <v>35</v>
      </c>
      <c r="I122" s="5">
        <v>44621</v>
      </c>
      <c r="J122" s="6">
        <v>0</v>
      </c>
      <c r="K122" s="6">
        <v>0</v>
      </c>
      <c r="L122" s="6">
        <v>158.113</v>
      </c>
      <c r="M122" s="6">
        <v>79.0565</v>
      </c>
      <c r="N122" s="6">
        <v>0</v>
      </c>
      <c r="O122" s="6">
        <v>0</v>
      </c>
      <c r="P122" s="6">
        <v>0</v>
      </c>
      <c r="Q122" s="4" t="s">
        <v>56</v>
      </c>
      <c r="R122" s="4">
        <v>0</v>
      </c>
      <c r="S122" s="6">
        <v>0</v>
      </c>
      <c r="T122" s="6">
        <v>66</v>
      </c>
      <c r="U122" s="6">
        <v>0</v>
      </c>
      <c r="V122" s="6">
        <f>IF(ISERROR(VLOOKUP($S$122,'TAR FIN'!$A$1:$O$85,15,0)),0,VLOOKUP($S$122,'TAR FIN'!$A$1:$O$85,15,0))</f>
        <v>0</v>
      </c>
      <c r="W122" s="6">
        <f>IF(ISERROR(VLOOKUP($T$122,'TAR FIN'!$A$1:$O$85,15,0)),0,VLOOKUP($T$122,'TAR FIN'!$A$1:$O$85,15,0))</f>
        <v>2263.58</v>
      </c>
      <c r="X122" s="6">
        <f>IF(ISERROR(VLOOKUP($U$122,'TAR FIN'!$A$1:$O$85,15,0)),0,VLOOKUP($U$122,'TAR FIN'!$A$1:$O$85,15,0))</f>
        <v>0</v>
      </c>
      <c r="Y122" s="6"/>
      <c r="Z122" s="6">
        <f ca="1">('TUSD BE'!$AM$11+'TUSD BF'!$AM$11+'TUSD CVA'!$AM$11)*1</f>
        <v>2373.6759655636811</v>
      </c>
      <c r="AA122" s="6"/>
      <c r="AB122" s="6">
        <f>$K$122*$V$122</f>
        <v>0</v>
      </c>
      <c r="AC122" s="6">
        <f>$M$122*$W$122</f>
        <v>178950.71226999999</v>
      </c>
      <c r="AD122" s="6">
        <f>$O$122*$X$122</f>
        <v>0</v>
      </c>
      <c r="AE122" s="6">
        <f>$K$122*$Y$122</f>
        <v>0</v>
      </c>
      <c r="AF122" s="6">
        <f ca="1">$M$122*$Z$122</f>
        <v>187654.51397158514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33</v>
      </c>
      <c r="C123" s="4" t="s">
        <v>34</v>
      </c>
      <c r="D123" s="4" t="s">
        <v>38</v>
      </c>
      <c r="E123" s="4" t="s">
        <v>25</v>
      </c>
      <c r="F123" s="4" t="s">
        <v>25</v>
      </c>
      <c r="G123" s="4" t="s">
        <v>25</v>
      </c>
      <c r="H123" s="4" t="s">
        <v>36</v>
      </c>
      <c r="I123" s="5">
        <v>44287</v>
      </c>
      <c r="J123" s="6">
        <v>0</v>
      </c>
      <c r="K123" s="6">
        <v>0</v>
      </c>
      <c r="L123" s="6">
        <v>1163.3989999999999</v>
      </c>
      <c r="M123" s="6">
        <v>1163.3989999999999</v>
      </c>
      <c r="N123" s="6">
        <v>1163.3989999999999</v>
      </c>
      <c r="O123" s="6">
        <v>1163.3989999999999</v>
      </c>
      <c r="P123" s="6">
        <v>0</v>
      </c>
      <c r="Q123" s="4" t="s">
        <v>26</v>
      </c>
      <c r="R123" s="4">
        <v>0</v>
      </c>
      <c r="S123" s="6">
        <v>0</v>
      </c>
      <c r="T123" s="6">
        <v>47</v>
      </c>
      <c r="U123" s="6">
        <v>27</v>
      </c>
      <c r="V123" s="6">
        <f>IF(ISERROR(VLOOKUP($S$123,'TAR FIN'!$A$1:$O$85,15,0)),0,VLOOKUP($S$123,'TAR FIN'!$A$1:$O$85,15,0))</f>
        <v>0</v>
      </c>
      <c r="W123" s="6">
        <f>IF(ISERROR(VLOOKUP($T$123,'TAR FIN'!$A$1:$O$85,15,0)),0,VLOOKUP($T$123,'TAR FIN'!$A$1:$O$85,15,0))</f>
        <v>72.23</v>
      </c>
      <c r="X123" s="6">
        <f>IF(ISERROR(VLOOKUP($U$123,'TAR FIN'!$A$1:$O$85,15,0)),0,VLOOKUP($U$123,'TAR FIN'!$A$1:$O$85,15,0))</f>
        <v>223.72</v>
      </c>
      <c r="Y123" s="6"/>
      <c r="Z123" s="6">
        <f ca="1">('TUSD BE'!$AM$12+'TUSD BF'!$AM$12+'TUSD CVA'!$AM$12)*1</f>
        <v>103.30505917577378</v>
      </c>
      <c r="AA123" s="6">
        <f>('TE BE'!$AA$6+'TE BF'!$AA$6+'TE CVA'!$AA$6)*1</f>
        <v>217.62939920622892</v>
      </c>
      <c r="AB123" s="6">
        <f>$K$123*$V$123</f>
        <v>0</v>
      </c>
      <c r="AC123" s="6">
        <f>$M$123*$W$123</f>
        <v>84032.309769999993</v>
      </c>
      <c r="AD123" s="6">
        <f>$O$123*$X$123</f>
        <v>260275.62427999996</v>
      </c>
      <c r="AE123" s="6">
        <f>$K$123*$Y$123</f>
        <v>0</v>
      </c>
      <c r="AF123" s="6">
        <f ca="1">$M$123*$Z$123</f>
        <v>120185.00254003603</v>
      </c>
      <c r="AG123" s="6">
        <f>$O$123*$AA$123</f>
        <v>253189.8254071275</v>
      </c>
    </row>
    <row r="124" spans="1:33" ht="11.25" customHeight="1" x14ac:dyDescent="0.25">
      <c r="A124" s="4" t="s">
        <v>21</v>
      </c>
      <c r="B124" s="4" t="s">
        <v>33</v>
      </c>
      <c r="C124" s="4" t="s">
        <v>34</v>
      </c>
      <c r="D124" s="4" t="s">
        <v>38</v>
      </c>
      <c r="E124" s="4" t="s">
        <v>25</v>
      </c>
      <c r="F124" s="4" t="s">
        <v>25</v>
      </c>
      <c r="G124" s="4" t="s">
        <v>25</v>
      </c>
      <c r="H124" s="4" t="s">
        <v>36</v>
      </c>
      <c r="I124" s="5">
        <v>44317</v>
      </c>
      <c r="J124" s="6">
        <v>0</v>
      </c>
      <c r="K124" s="6">
        <v>0</v>
      </c>
      <c r="L124" s="6">
        <v>889.20600000000002</v>
      </c>
      <c r="M124" s="6">
        <v>889.20600000000002</v>
      </c>
      <c r="N124" s="6">
        <v>889.20600000000002</v>
      </c>
      <c r="O124" s="6">
        <v>889.20600000000002</v>
      </c>
      <c r="P124" s="6">
        <v>0</v>
      </c>
      <c r="Q124" s="4" t="s">
        <v>26</v>
      </c>
      <c r="R124" s="4">
        <v>0</v>
      </c>
      <c r="S124" s="6">
        <v>0</v>
      </c>
      <c r="T124" s="6">
        <v>47</v>
      </c>
      <c r="U124" s="6">
        <v>27</v>
      </c>
      <c r="V124" s="6">
        <f>IF(ISERROR(VLOOKUP($S$124,'TAR FIN'!$A$1:$O$85,15,0)),0,VLOOKUP($S$124,'TAR FIN'!$A$1:$O$85,15,0))</f>
        <v>0</v>
      </c>
      <c r="W124" s="6">
        <f>IF(ISERROR(VLOOKUP($T$124,'TAR FIN'!$A$1:$O$85,15,0)),0,VLOOKUP($T$124,'TAR FIN'!$A$1:$O$85,15,0))</f>
        <v>72.23</v>
      </c>
      <c r="X124" s="6">
        <f>IF(ISERROR(VLOOKUP($U$124,'TAR FIN'!$A$1:$O$85,15,0)),0,VLOOKUP($U$124,'TAR FIN'!$A$1:$O$85,15,0))</f>
        <v>223.72</v>
      </c>
      <c r="Y124" s="6"/>
      <c r="Z124" s="6">
        <f ca="1">('TUSD BE'!$AM$12+'TUSD BF'!$AM$12+'TUSD CVA'!$AM$12)*1</f>
        <v>103.30505917577378</v>
      </c>
      <c r="AA124" s="6">
        <f>('TE BE'!$AA$6+'TE BF'!$AA$6+'TE CVA'!$AA$6)*1</f>
        <v>217.62939920622892</v>
      </c>
      <c r="AB124" s="6">
        <f>$K$124*$V$124</f>
        <v>0</v>
      </c>
      <c r="AC124" s="6">
        <f>$M$124*$W$124</f>
        <v>64227.349380000007</v>
      </c>
      <c r="AD124" s="6">
        <f>$O$124*$X$124</f>
        <v>198933.16631999999</v>
      </c>
      <c r="AE124" s="6">
        <f>$K$124*$Y$124</f>
        <v>0</v>
      </c>
      <c r="AF124" s="6">
        <f ca="1">$M$124*$Z$124</f>
        <v>91859.478449453105</v>
      </c>
      <c r="AG124" s="6">
        <f>$O$124*$AA$124</f>
        <v>193517.36755057401</v>
      </c>
    </row>
    <row r="125" spans="1:33" ht="11.25" customHeight="1" x14ac:dyDescent="0.25">
      <c r="A125" s="4" t="s">
        <v>21</v>
      </c>
      <c r="B125" s="4" t="s">
        <v>33</v>
      </c>
      <c r="C125" s="4" t="s">
        <v>34</v>
      </c>
      <c r="D125" s="4" t="s">
        <v>38</v>
      </c>
      <c r="E125" s="4" t="s">
        <v>25</v>
      </c>
      <c r="F125" s="4" t="s">
        <v>25</v>
      </c>
      <c r="G125" s="4" t="s">
        <v>25</v>
      </c>
      <c r="H125" s="4" t="s">
        <v>36</v>
      </c>
      <c r="I125" s="5">
        <v>44348</v>
      </c>
      <c r="J125" s="6">
        <v>0</v>
      </c>
      <c r="K125" s="6">
        <v>0</v>
      </c>
      <c r="L125" s="6">
        <v>372.80500000000001</v>
      </c>
      <c r="M125" s="6">
        <v>372.80500000000001</v>
      </c>
      <c r="N125" s="6">
        <v>372.80500000000001</v>
      </c>
      <c r="O125" s="6">
        <v>372.80500000000001</v>
      </c>
      <c r="P125" s="6">
        <v>0</v>
      </c>
      <c r="Q125" s="4" t="s">
        <v>26</v>
      </c>
      <c r="R125" s="4">
        <v>0</v>
      </c>
      <c r="S125" s="6">
        <v>0</v>
      </c>
      <c r="T125" s="6">
        <v>47</v>
      </c>
      <c r="U125" s="6">
        <v>27</v>
      </c>
      <c r="V125" s="6">
        <f>IF(ISERROR(VLOOKUP($S$125,'TAR FIN'!$A$1:$O$85,15,0)),0,VLOOKUP($S$125,'TAR FIN'!$A$1:$O$85,15,0))</f>
        <v>0</v>
      </c>
      <c r="W125" s="6">
        <f>IF(ISERROR(VLOOKUP($T$125,'TAR FIN'!$A$1:$O$85,15,0)),0,VLOOKUP($T$125,'TAR FIN'!$A$1:$O$85,15,0))</f>
        <v>72.23</v>
      </c>
      <c r="X125" s="6">
        <f>IF(ISERROR(VLOOKUP($U$125,'TAR FIN'!$A$1:$O$85,15,0)),0,VLOOKUP($U$125,'TAR FIN'!$A$1:$O$85,15,0))</f>
        <v>223.72</v>
      </c>
      <c r="Y125" s="6"/>
      <c r="Z125" s="6">
        <f ca="1">('TUSD BE'!$AM$12+'TUSD BF'!$AM$12+'TUSD CVA'!$AM$12)*1</f>
        <v>103.30505917577378</v>
      </c>
      <c r="AA125" s="6">
        <f>('TE BE'!$AA$6+'TE BF'!$AA$6+'TE CVA'!$AA$6)*1</f>
        <v>217.62939920622892</v>
      </c>
      <c r="AB125" s="6">
        <f>$K$125*$V$125</f>
        <v>0</v>
      </c>
      <c r="AC125" s="6">
        <f>$M$125*$W$125</f>
        <v>26927.705150000002</v>
      </c>
      <c r="AD125" s="6">
        <f>$O$125*$X$125</f>
        <v>83403.934600000008</v>
      </c>
      <c r="AE125" s="6">
        <f>$K$125*$Y$125</f>
        <v>0</v>
      </c>
      <c r="AF125" s="6">
        <f ca="1">$M$125*$Z$125</f>
        <v>38512.642586024347</v>
      </c>
      <c r="AG125" s="6">
        <f>$O$125*$AA$125</f>
        <v>81133.328171078174</v>
      </c>
    </row>
    <row r="126" spans="1:33" ht="11.25" customHeight="1" x14ac:dyDescent="0.25">
      <c r="A126" s="4" t="s">
        <v>21</v>
      </c>
      <c r="B126" s="4" t="s">
        <v>33</v>
      </c>
      <c r="C126" s="4" t="s">
        <v>34</v>
      </c>
      <c r="D126" s="4" t="s">
        <v>38</v>
      </c>
      <c r="E126" s="4" t="s">
        <v>25</v>
      </c>
      <c r="F126" s="4" t="s">
        <v>25</v>
      </c>
      <c r="G126" s="4" t="s">
        <v>25</v>
      </c>
      <c r="H126" s="4" t="s">
        <v>36</v>
      </c>
      <c r="I126" s="5">
        <v>44378</v>
      </c>
      <c r="J126" s="6">
        <v>0</v>
      </c>
      <c r="K126" s="6">
        <v>0</v>
      </c>
      <c r="L126" s="6">
        <v>290.12</v>
      </c>
      <c r="M126" s="6">
        <v>290.12</v>
      </c>
      <c r="N126" s="6">
        <v>290.12</v>
      </c>
      <c r="O126" s="6">
        <v>290.12</v>
      </c>
      <c r="P126" s="6">
        <v>0</v>
      </c>
      <c r="Q126" s="4" t="s">
        <v>26</v>
      </c>
      <c r="R126" s="4">
        <v>0</v>
      </c>
      <c r="S126" s="6">
        <v>0</v>
      </c>
      <c r="T126" s="6">
        <v>47</v>
      </c>
      <c r="U126" s="6">
        <v>27</v>
      </c>
      <c r="V126" s="6">
        <f>IF(ISERROR(VLOOKUP($S$126,'TAR FIN'!$A$1:$O$85,15,0)),0,VLOOKUP($S$126,'TAR FIN'!$A$1:$O$85,15,0))</f>
        <v>0</v>
      </c>
      <c r="W126" s="6">
        <f>IF(ISERROR(VLOOKUP($T$126,'TAR FIN'!$A$1:$O$85,15,0)),0,VLOOKUP($T$126,'TAR FIN'!$A$1:$O$85,15,0))</f>
        <v>72.23</v>
      </c>
      <c r="X126" s="6">
        <f>IF(ISERROR(VLOOKUP($U$126,'TAR FIN'!$A$1:$O$85,15,0)),0,VLOOKUP($U$126,'TAR FIN'!$A$1:$O$85,15,0))</f>
        <v>223.72</v>
      </c>
      <c r="Y126" s="6"/>
      <c r="Z126" s="6">
        <f ca="1">('TUSD BE'!$AM$12+'TUSD BF'!$AM$12+'TUSD CVA'!$AM$12)*1</f>
        <v>103.30505917577378</v>
      </c>
      <c r="AA126" s="6">
        <f>('TE BE'!$AA$6+'TE BF'!$AA$6+'TE CVA'!$AA$6)*1</f>
        <v>217.62939920622892</v>
      </c>
      <c r="AB126" s="6">
        <f>$K$126*$V$126</f>
        <v>0</v>
      </c>
      <c r="AC126" s="6">
        <f>$M$126*$W$126</f>
        <v>20955.367600000001</v>
      </c>
      <c r="AD126" s="6">
        <f>$O$126*$X$126</f>
        <v>64905.646399999998</v>
      </c>
      <c r="AE126" s="6">
        <f>$K$126*$Y$126</f>
        <v>0</v>
      </c>
      <c r="AF126" s="6">
        <f ca="1">$M$126*$Z$126</f>
        <v>29970.863768075487</v>
      </c>
      <c r="AG126" s="6">
        <f>$O$126*$AA$126</f>
        <v>63138.641297711139</v>
      </c>
    </row>
    <row r="127" spans="1:33" ht="11.25" customHeight="1" x14ac:dyDescent="0.25">
      <c r="A127" s="4" t="s">
        <v>21</v>
      </c>
      <c r="B127" s="4" t="s">
        <v>33</v>
      </c>
      <c r="C127" s="4" t="s">
        <v>34</v>
      </c>
      <c r="D127" s="4" t="s">
        <v>38</v>
      </c>
      <c r="E127" s="4" t="s">
        <v>25</v>
      </c>
      <c r="F127" s="4" t="s">
        <v>25</v>
      </c>
      <c r="G127" s="4" t="s">
        <v>25</v>
      </c>
      <c r="H127" s="4" t="s">
        <v>36</v>
      </c>
      <c r="I127" s="5">
        <v>44409</v>
      </c>
      <c r="J127" s="6">
        <v>0</v>
      </c>
      <c r="K127" s="6">
        <v>0</v>
      </c>
      <c r="L127" s="6">
        <v>234.22800000000001</v>
      </c>
      <c r="M127" s="6">
        <v>234.22800000000001</v>
      </c>
      <c r="N127" s="6">
        <v>234.22800000000001</v>
      </c>
      <c r="O127" s="6">
        <v>234.22800000000001</v>
      </c>
      <c r="P127" s="6">
        <v>0</v>
      </c>
      <c r="Q127" s="4" t="s">
        <v>26</v>
      </c>
      <c r="R127" s="4">
        <v>0</v>
      </c>
      <c r="S127" s="6">
        <v>0</v>
      </c>
      <c r="T127" s="6">
        <v>47</v>
      </c>
      <c r="U127" s="6">
        <v>27</v>
      </c>
      <c r="V127" s="6">
        <f>IF(ISERROR(VLOOKUP($S$127,'TAR FIN'!$A$1:$O$85,15,0)),0,VLOOKUP($S$127,'TAR FIN'!$A$1:$O$85,15,0))</f>
        <v>0</v>
      </c>
      <c r="W127" s="6">
        <f>IF(ISERROR(VLOOKUP($T$127,'TAR FIN'!$A$1:$O$85,15,0)),0,VLOOKUP($T$127,'TAR FIN'!$A$1:$O$85,15,0))</f>
        <v>72.23</v>
      </c>
      <c r="X127" s="6">
        <f>IF(ISERROR(VLOOKUP($U$127,'TAR FIN'!$A$1:$O$85,15,0)),0,VLOOKUP($U$127,'TAR FIN'!$A$1:$O$85,15,0))</f>
        <v>223.72</v>
      </c>
      <c r="Y127" s="6"/>
      <c r="Z127" s="6">
        <f ca="1">('TUSD BE'!$AM$12+'TUSD BF'!$AM$12+'TUSD CVA'!$AM$12)*1</f>
        <v>103.30505917577378</v>
      </c>
      <c r="AA127" s="6">
        <f>('TE BE'!$AA$6+'TE BF'!$AA$6+'TE CVA'!$AA$6)*1</f>
        <v>217.62939920622892</v>
      </c>
      <c r="AB127" s="6">
        <f>$K$127*$V$127</f>
        <v>0</v>
      </c>
      <c r="AC127" s="6">
        <f>$M$127*$W$127</f>
        <v>16918.28844</v>
      </c>
      <c r="AD127" s="6">
        <f>$O$127*$X$127</f>
        <v>52401.488160000001</v>
      </c>
      <c r="AE127" s="6">
        <f>$K$127*$Y$127</f>
        <v>0</v>
      </c>
      <c r="AF127" s="6">
        <f ca="1">$M$127*$Z$127</f>
        <v>24196.937400623141</v>
      </c>
      <c r="AG127" s="6">
        <f>$O$127*$AA$127</f>
        <v>50974.898917276587</v>
      </c>
    </row>
    <row r="128" spans="1:33" ht="11.25" customHeight="1" x14ac:dyDescent="0.25">
      <c r="A128" s="4" t="s">
        <v>28</v>
      </c>
      <c r="B128" s="4" t="s">
        <v>33</v>
      </c>
      <c r="C128" s="4" t="s">
        <v>34</v>
      </c>
      <c r="D128" s="4" t="s">
        <v>38</v>
      </c>
      <c r="E128" s="4" t="s">
        <v>25</v>
      </c>
      <c r="F128" s="4" t="s">
        <v>25</v>
      </c>
      <c r="G128" s="4" t="s">
        <v>25</v>
      </c>
      <c r="H128" s="4" t="s">
        <v>36</v>
      </c>
      <c r="I128" s="5">
        <v>44409</v>
      </c>
      <c r="J128" s="6">
        <v>0</v>
      </c>
      <c r="K128" s="6">
        <v>0</v>
      </c>
      <c r="L128" s="6">
        <v>35.497999999999998</v>
      </c>
      <c r="M128" s="6">
        <v>35.497999999999998</v>
      </c>
      <c r="N128" s="6">
        <v>35.497999999999998</v>
      </c>
      <c r="O128" s="6">
        <v>35.497999999999998</v>
      </c>
      <c r="P128" s="6">
        <v>0</v>
      </c>
      <c r="Q128" s="4" t="s">
        <v>26</v>
      </c>
      <c r="R128" s="4">
        <v>0</v>
      </c>
      <c r="S128" s="6">
        <v>0</v>
      </c>
      <c r="T128" s="6">
        <v>47</v>
      </c>
      <c r="U128" s="6">
        <v>27</v>
      </c>
      <c r="V128" s="6">
        <f>IF(ISERROR(VLOOKUP($S$128,'TAR FIN'!$A$1:$O$85,15,0)),0,VLOOKUP($S$128,'TAR FIN'!$A$1:$O$85,15,0))</f>
        <v>0</v>
      </c>
      <c r="W128" s="6">
        <f>IF(ISERROR(VLOOKUP($T$128,'TAR FIN'!$A$1:$O$85,15,0)),0,VLOOKUP($T$128,'TAR FIN'!$A$1:$O$85,15,0))</f>
        <v>72.23</v>
      </c>
      <c r="X128" s="6">
        <f>IF(ISERROR(VLOOKUP($U$128,'TAR FIN'!$A$1:$O$85,15,0)),0,VLOOKUP($U$128,'TAR FIN'!$A$1:$O$85,15,0))</f>
        <v>223.72</v>
      </c>
      <c r="Y128" s="6"/>
      <c r="Z128" s="6">
        <f ca="1">('TUSD BE'!$AM$12+'TUSD BF'!$AM$12+'TUSD CVA'!$AM$12)*1</f>
        <v>103.30505917577378</v>
      </c>
      <c r="AA128" s="6">
        <f>('TE BE'!$AA$6+'TE BF'!$AA$6+'TE CVA'!$AA$6)*1</f>
        <v>217.62939920622892</v>
      </c>
      <c r="AB128" s="6">
        <f>$K$128*$V$128</f>
        <v>0</v>
      </c>
      <c r="AC128" s="6">
        <f>$M$128*$W$128</f>
        <v>2564.02054</v>
      </c>
      <c r="AD128" s="6">
        <f>$O$128*$X$128</f>
        <v>7941.6125599999996</v>
      </c>
      <c r="AE128" s="6">
        <f>$K$128*$Y$128</f>
        <v>0</v>
      </c>
      <c r="AF128" s="6">
        <f ca="1">$M$128*$Z$128</f>
        <v>3667.1229906216172</v>
      </c>
      <c r="AG128" s="6">
        <f>$O$128*$AA$128</f>
        <v>7725.4084130227138</v>
      </c>
    </row>
    <row r="129" spans="1:33" ht="11.25" customHeight="1" x14ac:dyDescent="0.25">
      <c r="A129" s="4" t="s">
        <v>21</v>
      </c>
      <c r="B129" s="4" t="s">
        <v>33</v>
      </c>
      <c r="C129" s="4" t="s">
        <v>34</v>
      </c>
      <c r="D129" s="4" t="s">
        <v>38</v>
      </c>
      <c r="E129" s="4" t="s">
        <v>25</v>
      </c>
      <c r="F129" s="4" t="s">
        <v>25</v>
      </c>
      <c r="G129" s="4" t="s">
        <v>25</v>
      </c>
      <c r="H129" s="4" t="s">
        <v>36</v>
      </c>
      <c r="I129" s="5">
        <v>44440</v>
      </c>
      <c r="J129" s="6">
        <v>0</v>
      </c>
      <c r="K129" s="6">
        <v>0</v>
      </c>
      <c r="L129" s="6">
        <v>248.56700000000001</v>
      </c>
      <c r="M129" s="6">
        <v>248.56700000000001</v>
      </c>
      <c r="N129" s="6">
        <v>248.56700000000001</v>
      </c>
      <c r="O129" s="6">
        <v>248.56700000000001</v>
      </c>
      <c r="P129" s="6">
        <v>0</v>
      </c>
      <c r="Q129" s="4" t="s">
        <v>26</v>
      </c>
      <c r="R129" s="4">
        <v>0</v>
      </c>
      <c r="S129" s="6">
        <v>0</v>
      </c>
      <c r="T129" s="6">
        <v>47</v>
      </c>
      <c r="U129" s="6">
        <v>27</v>
      </c>
      <c r="V129" s="6">
        <f>IF(ISERROR(VLOOKUP($S$129,'TAR FIN'!$A$1:$O$85,15,0)),0,VLOOKUP($S$129,'TAR FIN'!$A$1:$O$85,15,0))</f>
        <v>0</v>
      </c>
      <c r="W129" s="6">
        <f>IF(ISERROR(VLOOKUP($T$129,'TAR FIN'!$A$1:$O$85,15,0)),0,VLOOKUP($T$129,'TAR FIN'!$A$1:$O$85,15,0))</f>
        <v>72.23</v>
      </c>
      <c r="X129" s="6">
        <f>IF(ISERROR(VLOOKUP($U$129,'TAR FIN'!$A$1:$O$85,15,0)),0,VLOOKUP($U$129,'TAR FIN'!$A$1:$O$85,15,0))</f>
        <v>223.72</v>
      </c>
      <c r="Y129" s="6"/>
      <c r="Z129" s="6">
        <f ca="1">('TUSD BE'!$AM$12+'TUSD BF'!$AM$12+'TUSD CVA'!$AM$12)*1</f>
        <v>103.30505917577378</v>
      </c>
      <c r="AA129" s="6">
        <f>('TE BE'!$AA$6+'TE BF'!$AA$6+'TE CVA'!$AA$6)*1</f>
        <v>217.62939920622892</v>
      </c>
      <c r="AB129" s="6">
        <f>$K$129*$V$129</f>
        <v>0</v>
      </c>
      <c r="AC129" s="6">
        <f>$M$129*$W$129</f>
        <v>17953.994410000003</v>
      </c>
      <c r="AD129" s="6">
        <f>$O$129*$X$129</f>
        <v>55609.409240000001</v>
      </c>
      <c r="AE129" s="6">
        <f>$K$129*$Y$129</f>
        <v>0</v>
      </c>
      <c r="AF129" s="6">
        <f ca="1">$M$129*$Z$129</f>
        <v>25678.228644144561</v>
      </c>
      <c r="AG129" s="6">
        <f>$O$129*$AA$129</f>
        <v>54095.486872494708</v>
      </c>
    </row>
    <row r="130" spans="1:33" ht="11.25" customHeight="1" x14ac:dyDescent="0.25">
      <c r="A130" s="4" t="s">
        <v>28</v>
      </c>
      <c r="B130" s="4" t="s">
        <v>33</v>
      </c>
      <c r="C130" s="4" t="s">
        <v>34</v>
      </c>
      <c r="D130" s="4" t="s">
        <v>38</v>
      </c>
      <c r="E130" s="4" t="s">
        <v>25</v>
      </c>
      <c r="F130" s="4" t="s">
        <v>25</v>
      </c>
      <c r="G130" s="4" t="s">
        <v>25</v>
      </c>
      <c r="H130" s="4" t="s">
        <v>36</v>
      </c>
      <c r="I130" s="5">
        <v>44440</v>
      </c>
      <c r="J130" s="6">
        <v>0</v>
      </c>
      <c r="K130" s="6">
        <v>0</v>
      </c>
      <c r="L130" s="6">
        <v>24.978999999999999</v>
      </c>
      <c r="M130" s="6">
        <v>24.978999999999999</v>
      </c>
      <c r="N130" s="6">
        <v>24.978999999999999</v>
      </c>
      <c r="O130" s="6">
        <v>24.978999999999999</v>
      </c>
      <c r="P130" s="6">
        <v>0</v>
      </c>
      <c r="Q130" s="4" t="s">
        <v>26</v>
      </c>
      <c r="R130" s="4">
        <v>0</v>
      </c>
      <c r="S130" s="6">
        <v>0</v>
      </c>
      <c r="T130" s="6">
        <v>47</v>
      </c>
      <c r="U130" s="6">
        <v>27</v>
      </c>
      <c r="V130" s="6">
        <f>IF(ISERROR(VLOOKUP($S$130,'TAR FIN'!$A$1:$O$85,15,0)),0,VLOOKUP($S$130,'TAR FIN'!$A$1:$O$85,15,0))</f>
        <v>0</v>
      </c>
      <c r="W130" s="6">
        <f>IF(ISERROR(VLOOKUP($T$130,'TAR FIN'!$A$1:$O$85,15,0)),0,VLOOKUP($T$130,'TAR FIN'!$A$1:$O$85,15,0))</f>
        <v>72.23</v>
      </c>
      <c r="X130" s="6">
        <f>IF(ISERROR(VLOOKUP($U$130,'TAR FIN'!$A$1:$O$85,15,0)),0,VLOOKUP($U$130,'TAR FIN'!$A$1:$O$85,15,0))</f>
        <v>223.72</v>
      </c>
      <c r="Y130" s="6"/>
      <c r="Z130" s="6">
        <f ca="1">('TUSD BE'!$AM$12+'TUSD BF'!$AM$12+'TUSD CVA'!$AM$12)*1</f>
        <v>103.30505917577378</v>
      </c>
      <c r="AA130" s="6">
        <f>('TE BE'!$AA$6+'TE BF'!$AA$6+'TE CVA'!$AA$6)*1</f>
        <v>217.62939920622892</v>
      </c>
      <c r="AB130" s="6">
        <f>$K$130*$V$130</f>
        <v>0</v>
      </c>
      <c r="AC130" s="6">
        <f>$M$130*$W$130</f>
        <v>1804.23317</v>
      </c>
      <c r="AD130" s="6">
        <f>$O$130*$X$130</f>
        <v>5588.30188</v>
      </c>
      <c r="AE130" s="6">
        <f>$K$130*$Y$130</f>
        <v>0</v>
      </c>
      <c r="AF130" s="6">
        <f ca="1">$M$130*$Z$130</f>
        <v>2580.4570731516533</v>
      </c>
      <c r="AG130" s="6">
        <f>$O$130*$AA$130</f>
        <v>5436.1647627723924</v>
      </c>
    </row>
    <row r="131" spans="1:33" ht="11.25" customHeight="1" x14ac:dyDescent="0.25">
      <c r="A131" s="4" t="s">
        <v>21</v>
      </c>
      <c r="B131" s="4" t="s">
        <v>33</v>
      </c>
      <c r="C131" s="4" t="s">
        <v>34</v>
      </c>
      <c r="D131" s="4" t="s">
        <v>38</v>
      </c>
      <c r="E131" s="4" t="s">
        <v>25</v>
      </c>
      <c r="F131" s="4" t="s">
        <v>25</v>
      </c>
      <c r="G131" s="4" t="s">
        <v>25</v>
      </c>
      <c r="H131" s="4" t="s">
        <v>36</v>
      </c>
      <c r="I131" s="5">
        <v>44470</v>
      </c>
      <c r="J131" s="6">
        <v>0</v>
      </c>
      <c r="K131" s="6">
        <v>0</v>
      </c>
      <c r="L131" s="6">
        <v>248.84200000000001</v>
      </c>
      <c r="M131" s="6">
        <v>248.84200000000001</v>
      </c>
      <c r="N131" s="6">
        <v>248.84200000000001</v>
      </c>
      <c r="O131" s="6">
        <v>248.84200000000001</v>
      </c>
      <c r="P131" s="6">
        <v>0</v>
      </c>
      <c r="Q131" s="4" t="s">
        <v>26</v>
      </c>
      <c r="R131" s="4">
        <v>0</v>
      </c>
      <c r="S131" s="6">
        <v>0</v>
      </c>
      <c r="T131" s="6">
        <v>47</v>
      </c>
      <c r="U131" s="6">
        <v>27</v>
      </c>
      <c r="V131" s="6">
        <f>IF(ISERROR(VLOOKUP($S$131,'TAR FIN'!$A$1:$O$85,15,0)),0,VLOOKUP($S$131,'TAR FIN'!$A$1:$O$85,15,0))</f>
        <v>0</v>
      </c>
      <c r="W131" s="6">
        <f>IF(ISERROR(VLOOKUP($T$131,'TAR FIN'!$A$1:$O$85,15,0)),0,VLOOKUP($T$131,'TAR FIN'!$A$1:$O$85,15,0))</f>
        <v>72.23</v>
      </c>
      <c r="X131" s="6">
        <f>IF(ISERROR(VLOOKUP($U$131,'TAR FIN'!$A$1:$O$85,15,0)),0,VLOOKUP($U$131,'TAR FIN'!$A$1:$O$85,15,0))</f>
        <v>223.72</v>
      </c>
      <c r="Y131" s="6"/>
      <c r="Z131" s="6">
        <f ca="1">('TUSD BE'!$AM$12+'TUSD BF'!$AM$12+'TUSD CVA'!$AM$12)*1</f>
        <v>103.30505917577378</v>
      </c>
      <c r="AA131" s="6">
        <f>('TE BE'!$AA$6+'TE BF'!$AA$6+'TE CVA'!$AA$6)*1</f>
        <v>217.62939920622892</v>
      </c>
      <c r="AB131" s="6">
        <f>$K$131*$V$131</f>
        <v>0</v>
      </c>
      <c r="AC131" s="6">
        <f>$M$131*$W$131</f>
        <v>17973.857660000001</v>
      </c>
      <c r="AD131" s="6">
        <f>$O$131*$X$131</f>
        <v>55670.932240000002</v>
      </c>
      <c r="AE131" s="6">
        <f>$K$131*$Y$131</f>
        <v>0</v>
      </c>
      <c r="AF131" s="6">
        <f ca="1">$M$131*$Z$131</f>
        <v>25706.6375354179</v>
      </c>
      <c r="AG131" s="6">
        <f>$O$131*$AA$131</f>
        <v>54155.33495727642</v>
      </c>
    </row>
    <row r="132" spans="1:33" ht="11.25" customHeight="1" x14ac:dyDescent="0.25">
      <c r="A132" s="4" t="s">
        <v>28</v>
      </c>
      <c r="B132" s="4" t="s">
        <v>33</v>
      </c>
      <c r="C132" s="4" t="s">
        <v>34</v>
      </c>
      <c r="D132" s="4" t="s">
        <v>38</v>
      </c>
      <c r="E132" s="4" t="s">
        <v>25</v>
      </c>
      <c r="F132" s="4" t="s">
        <v>25</v>
      </c>
      <c r="G132" s="4" t="s">
        <v>25</v>
      </c>
      <c r="H132" s="4" t="s">
        <v>36</v>
      </c>
      <c r="I132" s="5">
        <v>44470</v>
      </c>
      <c r="J132" s="6">
        <v>0</v>
      </c>
      <c r="K132" s="6">
        <v>0</v>
      </c>
      <c r="L132" s="6">
        <v>29.53</v>
      </c>
      <c r="M132" s="6">
        <v>29.53</v>
      </c>
      <c r="N132" s="6">
        <v>29.53</v>
      </c>
      <c r="O132" s="6">
        <v>29.53</v>
      </c>
      <c r="P132" s="6">
        <v>0</v>
      </c>
      <c r="Q132" s="4" t="s">
        <v>26</v>
      </c>
      <c r="R132" s="4">
        <v>0</v>
      </c>
      <c r="S132" s="6">
        <v>0</v>
      </c>
      <c r="T132" s="6">
        <v>47</v>
      </c>
      <c r="U132" s="6">
        <v>27</v>
      </c>
      <c r="V132" s="6">
        <f>IF(ISERROR(VLOOKUP($S$132,'TAR FIN'!$A$1:$O$85,15,0)),0,VLOOKUP($S$132,'TAR FIN'!$A$1:$O$85,15,0))</f>
        <v>0</v>
      </c>
      <c r="W132" s="6">
        <f>IF(ISERROR(VLOOKUP($T$132,'TAR FIN'!$A$1:$O$85,15,0)),0,VLOOKUP($T$132,'TAR FIN'!$A$1:$O$85,15,0))</f>
        <v>72.23</v>
      </c>
      <c r="X132" s="6">
        <f>IF(ISERROR(VLOOKUP($U$132,'TAR FIN'!$A$1:$O$85,15,0)),0,VLOOKUP($U$132,'TAR FIN'!$A$1:$O$85,15,0))</f>
        <v>223.72</v>
      </c>
      <c r="Y132" s="6"/>
      <c r="Z132" s="6">
        <f ca="1">('TUSD BE'!$AM$12+'TUSD BF'!$AM$12+'TUSD CVA'!$AM$12)*1</f>
        <v>103.30505917577378</v>
      </c>
      <c r="AA132" s="6">
        <f>('TE BE'!$AA$6+'TE BF'!$AA$6+'TE CVA'!$AA$6)*1</f>
        <v>217.62939920622892</v>
      </c>
      <c r="AB132" s="6">
        <f>$K$132*$V$132</f>
        <v>0</v>
      </c>
      <c r="AC132" s="6">
        <f>$M$132*$W$132</f>
        <v>2132.9519</v>
      </c>
      <c r="AD132" s="6">
        <f>$O$132*$X$132</f>
        <v>6606.4516000000003</v>
      </c>
      <c r="AE132" s="6">
        <f>$K$132*$Y$132</f>
        <v>0</v>
      </c>
      <c r="AF132" s="6">
        <f ca="1">$M$132*$Z$132</f>
        <v>3050.5983974605997</v>
      </c>
      <c r="AG132" s="6">
        <f>$O$132*$AA$132</f>
        <v>6426.5961585599407</v>
      </c>
    </row>
    <row r="133" spans="1:33" ht="11.25" customHeight="1" x14ac:dyDescent="0.25">
      <c r="A133" s="4" t="s">
        <v>21</v>
      </c>
      <c r="B133" s="4" t="s">
        <v>33</v>
      </c>
      <c r="C133" s="4" t="s">
        <v>34</v>
      </c>
      <c r="D133" s="4" t="s">
        <v>38</v>
      </c>
      <c r="E133" s="4" t="s">
        <v>25</v>
      </c>
      <c r="F133" s="4" t="s">
        <v>25</v>
      </c>
      <c r="G133" s="4" t="s">
        <v>25</v>
      </c>
      <c r="H133" s="4" t="s">
        <v>36</v>
      </c>
      <c r="I133" s="5">
        <v>44501</v>
      </c>
      <c r="J133" s="6">
        <v>0</v>
      </c>
      <c r="K133" s="6">
        <v>0</v>
      </c>
      <c r="L133" s="6">
        <v>218.44300000000001</v>
      </c>
      <c r="M133" s="6">
        <v>218.44300000000001</v>
      </c>
      <c r="N133" s="6">
        <v>218.44300000000001</v>
      </c>
      <c r="O133" s="6">
        <v>218.44300000000001</v>
      </c>
      <c r="P133" s="6">
        <v>0</v>
      </c>
      <c r="Q133" s="4" t="s">
        <v>26</v>
      </c>
      <c r="R133" s="4">
        <v>0</v>
      </c>
      <c r="S133" s="6">
        <v>0</v>
      </c>
      <c r="T133" s="6">
        <v>47</v>
      </c>
      <c r="U133" s="6">
        <v>27</v>
      </c>
      <c r="V133" s="6">
        <f>IF(ISERROR(VLOOKUP($S$133,'TAR FIN'!$A$1:$O$85,15,0)),0,VLOOKUP($S$133,'TAR FIN'!$A$1:$O$85,15,0))</f>
        <v>0</v>
      </c>
      <c r="W133" s="6">
        <f>IF(ISERROR(VLOOKUP($T$133,'TAR FIN'!$A$1:$O$85,15,0)),0,VLOOKUP($T$133,'TAR FIN'!$A$1:$O$85,15,0))</f>
        <v>72.23</v>
      </c>
      <c r="X133" s="6">
        <f>IF(ISERROR(VLOOKUP($U$133,'TAR FIN'!$A$1:$O$85,15,0)),0,VLOOKUP($U$133,'TAR FIN'!$A$1:$O$85,15,0))</f>
        <v>223.72</v>
      </c>
      <c r="Y133" s="6"/>
      <c r="Z133" s="6">
        <f ca="1">('TUSD BE'!$AM$12+'TUSD BF'!$AM$12+'TUSD CVA'!$AM$12)*1</f>
        <v>103.30505917577378</v>
      </c>
      <c r="AA133" s="6">
        <f>('TE BE'!$AA$6+'TE BF'!$AA$6+'TE CVA'!$AA$6)*1</f>
        <v>217.62939920622892</v>
      </c>
      <c r="AB133" s="6">
        <f>$K$133*$V$133</f>
        <v>0</v>
      </c>
      <c r="AC133" s="6">
        <f>$M$133*$W$133</f>
        <v>15778.137890000002</v>
      </c>
      <c r="AD133" s="6">
        <f>$O$133*$X$133</f>
        <v>48870.06796</v>
      </c>
      <c r="AE133" s="6">
        <f>$K$133*$Y$133</f>
        <v>0</v>
      </c>
      <c r="AF133" s="6">
        <f ca="1">$M$133*$Z$133</f>
        <v>22566.267041533552</v>
      </c>
      <c r="AG133" s="6">
        <f>$O$133*$AA$133</f>
        <v>47539.61885080627</v>
      </c>
    </row>
    <row r="134" spans="1:33" ht="11.25" customHeight="1" x14ac:dyDescent="0.25">
      <c r="A134" s="4" t="s">
        <v>28</v>
      </c>
      <c r="B134" s="4" t="s">
        <v>33</v>
      </c>
      <c r="C134" s="4" t="s">
        <v>34</v>
      </c>
      <c r="D134" s="4" t="s">
        <v>38</v>
      </c>
      <c r="E134" s="4" t="s">
        <v>25</v>
      </c>
      <c r="F134" s="4" t="s">
        <v>25</v>
      </c>
      <c r="G134" s="4" t="s">
        <v>25</v>
      </c>
      <c r="H134" s="4" t="s">
        <v>36</v>
      </c>
      <c r="I134" s="5">
        <v>44501</v>
      </c>
      <c r="J134" s="6">
        <v>0</v>
      </c>
      <c r="K134" s="6">
        <v>0</v>
      </c>
      <c r="L134" s="6">
        <v>16.986000000000001</v>
      </c>
      <c r="M134" s="6">
        <v>16.986000000000001</v>
      </c>
      <c r="N134" s="6">
        <v>16.986000000000001</v>
      </c>
      <c r="O134" s="6">
        <v>16.986000000000001</v>
      </c>
      <c r="P134" s="6">
        <v>0</v>
      </c>
      <c r="Q134" s="4" t="s">
        <v>26</v>
      </c>
      <c r="R134" s="4">
        <v>0</v>
      </c>
      <c r="S134" s="6">
        <v>0</v>
      </c>
      <c r="T134" s="6">
        <v>47</v>
      </c>
      <c r="U134" s="6">
        <v>27</v>
      </c>
      <c r="V134" s="6">
        <f>IF(ISERROR(VLOOKUP($S$134,'TAR FIN'!$A$1:$O$85,15,0)),0,VLOOKUP($S$134,'TAR FIN'!$A$1:$O$85,15,0))</f>
        <v>0</v>
      </c>
      <c r="W134" s="6">
        <f>IF(ISERROR(VLOOKUP($T$134,'TAR FIN'!$A$1:$O$85,15,0)),0,VLOOKUP($T$134,'TAR FIN'!$A$1:$O$85,15,0))</f>
        <v>72.23</v>
      </c>
      <c r="X134" s="6">
        <f>IF(ISERROR(VLOOKUP($U$134,'TAR FIN'!$A$1:$O$85,15,0)),0,VLOOKUP($U$134,'TAR FIN'!$A$1:$O$85,15,0))</f>
        <v>223.72</v>
      </c>
      <c r="Y134" s="6"/>
      <c r="Z134" s="6">
        <f ca="1">('TUSD BE'!$AM$12+'TUSD BF'!$AM$12+'TUSD CVA'!$AM$12)*1</f>
        <v>103.30505917577378</v>
      </c>
      <c r="AA134" s="6">
        <f>('TE BE'!$AA$6+'TE BF'!$AA$6+'TE CVA'!$AA$6)*1</f>
        <v>217.62939920622892</v>
      </c>
      <c r="AB134" s="6">
        <f>$K$134*$V$134</f>
        <v>0</v>
      </c>
      <c r="AC134" s="6">
        <f>$M$134*$W$134</f>
        <v>1226.8987800000002</v>
      </c>
      <c r="AD134" s="6">
        <f>$O$134*$X$134</f>
        <v>3800.1079199999999</v>
      </c>
      <c r="AE134" s="6">
        <f>$K$134*$Y$134</f>
        <v>0</v>
      </c>
      <c r="AF134" s="6">
        <f ca="1">$M$134*$Z$134</f>
        <v>1754.7397351596935</v>
      </c>
      <c r="AG134" s="6">
        <f>$O$134*$AA$134</f>
        <v>3696.6529749170045</v>
      </c>
    </row>
    <row r="135" spans="1:33" ht="11.25" customHeight="1" x14ac:dyDescent="0.25">
      <c r="A135" s="4" t="s">
        <v>21</v>
      </c>
      <c r="B135" s="4" t="s">
        <v>33</v>
      </c>
      <c r="C135" s="4" t="s">
        <v>34</v>
      </c>
      <c r="D135" s="4" t="s">
        <v>38</v>
      </c>
      <c r="E135" s="4" t="s">
        <v>25</v>
      </c>
      <c r="F135" s="4" t="s">
        <v>25</v>
      </c>
      <c r="G135" s="4" t="s">
        <v>25</v>
      </c>
      <c r="H135" s="4" t="s">
        <v>36</v>
      </c>
      <c r="I135" s="5">
        <v>44531</v>
      </c>
      <c r="J135" s="6">
        <v>0</v>
      </c>
      <c r="K135" s="6">
        <v>0</v>
      </c>
      <c r="L135" s="6">
        <v>236.62799999999999</v>
      </c>
      <c r="M135" s="6">
        <v>236.62799999999999</v>
      </c>
      <c r="N135" s="6">
        <v>236.62799999999999</v>
      </c>
      <c r="O135" s="6">
        <v>236.62799999999999</v>
      </c>
      <c r="P135" s="6">
        <v>0</v>
      </c>
      <c r="Q135" s="4" t="s">
        <v>26</v>
      </c>
      <c r="R135" s="4">
        <v>0</v>
      </c>
      <c r="S135" s="6">
        <v>0</v>
      </c>
      <c r="T135" s="6">
        <v>47</v>
      </c>
      <c r="U135" s="6">
        <v>27</v>
      </c>
      <c r="V135" s="6">
        <f>IF(ISERROR(VLOOKUP($S$135,'TAR FIN'!$A$1:$O$85,15,0)),0,VLOOKUP($S$135,'TAR FIN'!$A$1:$O$85,15,0))</f>
        <v>0</v>
      </c>
      <c r="W135" s="6">
        <f>IF(ISERROR(VLOOKUP($T$135,'TAR FIN'!$A$1:$O$85,15,0)),0,VLOOKUP($T$135,'TAR FIN'!$A$1:$O$85,15,0))</f>
        <v>72.23</v>
      </c>
      <c r="X135" s="6">
        <f>IF(ISERROR(VLOOKUP($U$135,'TAR FIN'!$A$1:$O$85,15,0)),0,VLOOKUP($U$135,'TAR FIN'!$A$1:$O$85,15,0))</f>
        <v>223.72</v>
      </c>
      <c r="Y135" s="6"/>
      <c r="Z135" s="6">
        <f ca="1">('TUSD BE'!$AM$12+'TUSD BF'!$AM$12+'TUSD CVA'!$AM$12)*1</f>
        <v>103.30505917577378</v>
      </c>
      <c r="AA135" s="6">
        <f>('TE BE'!$AA$6+'TE BF'!$AA$6+'TE CVA'!$AA$6)*1</f>
        <v>217.62939920622892</v>
      </c>
      <c r="AB135" s="6">
        <f>$K$135*$V$135</f>
        <v>0</v>
      </c>
      <c r="AC135" s="6">
        <f>$M$135*$W$135</f>
        <v>17091.640439999999</v>
      </c>
      <c r="AD135" s="6">
        <f>$O$135*$X$135</f>
        <v>52938.416159999993</v>
      </c>
      <c r="AE135" s="6">
        <f>$K$135*$Y$135</f>
        <v>0</v>
      </c>
      <c r="AF135" s="6">
        <f ca="1">$M$135*$Z$135</f>
        <v>24444.869542644996</v>
      </c>
      <c r="AG135" s="6">
        <f>$O$135*$AA$135</f>
        <v>51497.209475371536</v>
      </c>
    </row>
    <row r="136" spans="1:33" ht="11.25" customHeight="1" x14ac:dyDescent="0.25">
      <c r="A136" s="4" t="s">
        <v>28</v>
      </c>
      <c r="B136" s="4" t="s">
        <v>33</v>
      </c>
      <c r="C136" s="4" t="s">
        <v>34</v>
      </c>
      <c r="D136" s="4" t="s">
        <v>38</v>
      </c>
      <c r="E136" s="4" t="s">
        <v>25</v>
      </c>
      <c r="F136" s="4" t="s">
        <v>25</v>
      </c>
      <c r="G136" s="4" t="s">
        <v>25</v>
      </c>
      <c r="H136" s="4" t="s">
        <v>36</v>
      </c>
      <c r="I136" s="5">
        <v>44531</v>
      </c>
      <c r="J136" s="6">
        <v>0</v>
      </c>
      <c r="K136" s="6">
        <v>0</v>
      </c>
      <c r="L136" s="6">
        <v>28.372</v>
      </c>
      <c r="M136" s="6">
        <v>28.372</v>
      </c>
      <c r="N136" s="6">
        <v>28.372</v>
      </c>
      <c r="O136" s="6">
        <v>28.372</v>
      </c>
      <c r="P136" s="6">
        <v>0</v>
      </c>
      <c r="Q136" s="4" t="s">
        <v>26</v>
      </c>
      <c r="R136" s="4">
        <v>0</v>
      </c>
      <c r="S136" s="6">
        <v>0</v>
      </c>
      <c r="T136" s="6">
        <v>47</v>
      </c>
      <c r="U136" s="6">
        <v>27</v>
      </c>
      <c r="V136" s="6">
        <f>IF(ISERROR(VLOOKUP($S$136,'TAR FIN'!$A$1:$O$85,15,0)),0,VLOOKUP($S$136,'TAR FIN'!$A$1:$O$85,15,0))</f>
        <v>0</v>
      </c>
      <c r="W136" s="6">
        <f>IF(ISERROR(VLOOKUP($T$136,'TAR FIN'!$A$1:$O$85,15,0)),0,VLOOKUP($T$136,'TAR FIN'!$A$1:$O$85,15,0))</f>
        <v>72.23</v>
      </c>
      <c r="X136" s="6">
        <f>IF(ISERROR(VLOOKUP($U$136,'TAR FIN'!$A$1:$O$85,15,0)),0,VLOOKUP($U$136,'TAR FIN'!$A$1:$O$85,15,0))</f>
        <v>223.72</v>
      </c>
      <c r="Y136" s="6"/>
      <c r="Z136" s="6">
        <f ca="1">('TUSD BE'!$AM$12+'TUSD BF'!$AM$12+'TUSD CVA'!$AM$12)*1</f>
        <v>103.30505917577378</v>
      </c>
      <c r="AA136" s="6">
        <f>('TE BE'!$AA$6+'TE BF'!$AA$6+'TE CVA'!$AA$6)*1</f>
        <v>217.62939920622892</v>
      </c>
      <c r="AB136" s="6">
        <f>$K$136*$V$136</f>
        <v>0</v>
      </c>
      <c r="AC136" s="6">
        <f>$M$136*$W$136</f>
        <v>2049.3095600000001</v>
      </c>
      <c r="AD136" s="6">
        <f>$O$136*$X$136</f>
        <v>6347.3838399999995</v>
      </c>
      <c r="AE136" s="6">
        <f>$K$136*$Y$136</f>
        <v>0</v>
      </c>
      <c r="AF136" s="6">
        <f ca="1">$M$136*$Z$136</f>
        <v>2930.9711389350537</v>
      </c>
      <c r="AG136" s="6">
        <f>$O$136*$AA$136</f>
        <v>6174.5813142791267</v>
      </c>
    </row>
    <row r="137" spans="1:33" ht="11.25" customHeight="1" x14ac:dyDescent="0.25">
      <c r="A137" s="4" t="s">
        <v>21</v>
      </c>
      <c r="B137" s="4" t="s">
        <v>33</v>
      </c>
      <c r="C137" s="4" t="s">
        <v>34</v>
      </c>
      <c r="D137" s="4" t="s">
        <v>38</v>
      </c>
      <c r="E137" s="4" t="s">
        <v>25</v>
      </c>
      <c r="F137" s="4" t="s">
        <v>25</v>
      </c>
      <c r="G137" s="4" t="s">
        <v>25</v>
      </c>
      <c r="H137" s="4" t="s">
        <v>36</v>
      </c>
      <c r="I137" s="5">
        <v>44562</v>
      </c>
      <c r="J137" s="6">
        <v>0</v>
      </c>
      <c r="K137" s="6">
        <v>0</v>
      </c>
      <c r="L137" s="6">
        <v>200.732</v>
      </c>
      <c r="M137" s="6">
        <v>200.732</v>
      </c>
      <c r="N137" s="6">
        <v>200.732</v>
      </c>
      <c r="O137" s="6">
        <v>200.732</v>
      </c>
      <c r="P137" s="6">
        <v>0</v>
      </c>
      <c r="Q137" s="4" t="s">
        <v>26</v>
      </c>
      <c r="R137" s="4">
        <v>0</v>
      </c>
      <c r="S137" s="6">
        <v>0</v>
      </c>
      <c r="T137" s="6">
        <v>47</v>
      </c>
      <c r="U137" s="6">
        <v>27</v>
      </c>
      <c r="V137" s="6">
        <f>IF(ISERROR(VLOOKUP($S$137,'TAR FIN'!$A$1:$O$85,15,0)),0,VLOOKUP($S$137,'TAR FIN'!$A$1:$O$85,15,0))</f>
        <v>0</v>
      </c>
      <c r="W137" s="6">
        <f>IF(ISERROR(VLOOKUP($T$137,'TAR FIN'!$A$1:$O$85,15,0)),0,VLOOKUP($T$137,'TAR FIN'!$A$1:$O$85,15,0))</f>
        <v>72.23</v>
      </c>
      <c r="X137" s="6">
        <f>IF(ISERROR(VLOOKUP($U$137,'TAR FIN'!$A$1:$O$85,15,0)),0,VLOOKUP($U$137,'TAR FIN'!$A$1:$O$85,15,0))</f>
        <v>223.72</v>
      </c>
      <c r="Y137" s="6"/>
      <c r="Z137" s="6">
        <f ca="1">('TUSD BE'!$AM$12+'TUSD BF'!$AM$12+'TUSD CVA'!$AM$12)*1</f>
        <v>103.30505917577378</v>
      </c>
      <c r="AA137" s="6">
        <f>('TE BE'!$AA$6+'TE BF'!$AA$6+'TE CVA'!$AA$6)*1</f>
        <v>217.62939920622892</v>
      </c>
      <c r="AB137" s="6">
        <f>$K$137*$V$137</f>
        <v>0</v>
      </c>
      <c r="AC137" s="6">
        <f>$M$137*$W$137</f>
        <v>14498.872360000001</v>
      </c>
      <c r="AD137" s="6">
        <f>$O$137*$X$137</f>
        <v>44907.763039999998</v>
      </c>
      <c r="AE137" s="6">
        <f>$K$137*$Y$137</f>
        <v>0</v>
      </c>
      <c r="AF137" s="6">
        <f ca="1">$M$137*$Z$137</f>
        <v>20736.631138471421</v>
      </c>
      <c r="AG137" s="6">
        <f>$O$137*$AA$137</f>
        <v>43685.184561464746</v>
      </c>
    </row>
    <row r="138" spans="1:33" ht="11.25" customHeight="1" x14ac:dyDescent="0.25">
      <c r="A138" s="4" t="s">
        <v>28</v>
      </c>
      <c r="B138" s="4" t="s">
        <v>33</v>
      </c>
      <c r="C138" s="4" t="s">
        <v>34</v>
      </c>
      <c r="D138" s="4" t="s">
        <v>38</v>
      </c>
      <c r="E138" s="4" t="s">
        <v>25</v>
      </c>
      <c r="F138" s="4" t="s">
        <v>25</v>
      </c>
      <c r="G138" s="4" t="s">
        <v>25</v>
      </c>
      <c r="H138" s="4" t="s">
        <v>36</v>
      </c>
      <c r="I138" s="5">
        <v>44562</v>
      </c>
      <c r="J138" s="6">
        <v>0</v>
      </c>
      <c r="K138" s="6">
        <v>0</v>
      </c>
      <c r="L138" s="6">
        <v>27.233000000000001</v>
      </c>
      <c r="M138" s="6">
        <v>27.233000000000001</v>
      </c>
      <c r="N138" s="6">
        <v>27.233000000000001</v>
      </c>
      <c r="O138" s="6">
        <v>27.233000000000001</v>
      </c>
      <c r="P138" s="6">
        <v>0</v>
      </c>
      <c r="Q138" s="4" t="s">
        <v>26</v>
      </c>
      <c r="R138" s="4">
        <v>0</v>
      </c>
      <c r="S138" s="6">
        <v>0</v>
      </c>
      <c r="T138" s="6">
        <v>47</v>
      </c>
      <c r="U138" s="6">
        <v>27</v>
      </c>
      <c r="V138" s="6">
        <f>IF(ISERROR(VLOOKUP($S$138,'TAR FIN'!$A$1:$O$85,15,0)),0,VLOOKUP($S$138,'TAR FIN'!$A$1:$O$85,15,0))</f>
        <v>0</v>
      </c>
      <c r="W138" s="6">
        <f>IF(ISERROR(VLOOKUP($T$138,'TAR FIN'!$A$1:$O$85,15,0)),0,VLOOKUP($T$138,'TAR FIN'!$A$1:$O$85,15,0))</f>
        <v>72.23</v>
      </c>
      <c r="X138" s="6">
        <f>IF(ISERROR(VLOOKUP($U$138,'TAR FIN'!$A$1:$O$85,15,0)),0,VLOOKUP($U$138,'TAR FIN'!$A$1:$O$85,15,0))</f>
        <v>223.72</v>
      </c>
      <c r="Y138" s="6"/>
      <c r="Z138" s="6">
        <f ca="1">('TUSD BE'!$AM$12+'TUSD BF'!$AM$12+'TUSD CVA'!$AM$12)*1</f>
        <v>103.30505917577378</v>
      </c>
      <c r="AA138" s="6">
        <f>('TE BE'!$AA$6+'TE BF'!$AA$6+'TE CVA'!$AA$6)*1</f>
        <v>217.62939920622892</v>
      </c>
      <c r="AB138" s="6">
        <f>$K$138*$V$138</f>
        <v>0</v>
      </c>
      <c r="AC138" s="6">
        <f>$M$138*$W$138</f>
        <v>1967.0395900000001</v>
      </c>
      <c r="AD138" s="6">
        <f>$O$138*$X$138</f>
        <v>6092.5667599999997</v>
      </c>
      <c r="AE138" s="6">
        <f>$K$138*$Y$138</f>
        <v>0</v>
      </c>
      <c r="AF138" s="6">
        <f ca="1">$M$138*$Z$138</f>
        <v>2813.3066765338472</v>
      </c>
      <c r="AG138" s="6">
        <f>$O$138*$AA$138</f>
        <v>5926.7014285832329</v>
      </c>
    </row>
    <row r="139" spans="1:33" ht="11.25" customHeight="1" x14ac:dyDescent="0.25">
      <c r="A139" s="4" t="s">
        <v>21</v>
      </c>
      <c r="B139" s="4" t="s">
        <v>33</v>
      </c>
      <c r="C139" s="4" t="s">
        <v>34</v>
      </c>
      <c r="D139" s="4" t="s">
        <v>38</v>
      </c>
      <c r="E139" s="4" t="s">
        <v>25</v>
      </c>
      <c r="F139" s="4" t="s">
        <v>25</v>
      </c>
      <c r="G139" s="4" t="s">
        <v>25</v>
      </c>
      <c r="H139" s="4" t="s">
        <v>36</v>
      </c>
      <c r="I139" s="5">
        <v>44593</v>
      </c>
      <c r="J139" s="6">
        <v>0</v>
      </c>
      <c r="K139" s="6">
        <v>0</v>
      </c>
      <c r="L139" s="6">
        <v>233.959</v>
      </c>
      <c r="M139" s="6">
        <v>233.959</v>
      </c>
      <c r="N139" s="6">
        <v>233.959</v>
      </c>
      <c r="O139" s="6">
        <v>233.959</v>
      </c>
      <c r="P139" s="6">
        <v>0</v>
      </c>
      <c r="Q139" s="4" t="s">
        <v>26</v>
      </c>
      <c r="R139" s="4">
        <v>0</v>
      </c>
      <c r="S139" s="6">
        <v>0</v>
      </c>
      <c r="T139" s="6">
        <v>47</v>
      </c>
      <c r="U139" s="6">
        <v>27</v>
      </c>
      <c r="V139" s="6">
        <f>IF(ISERROR(VLOOKUP($S$139,'TAR FIN'!$A$1:$O$85,15,0)),0,VLOOKUP($S$139,'TAR FIN'!$A$1:$O$85,15,0))</f>
        <v>0</v>
      </c>
      <c r="W139" s="6">
        <f>IF(ISERROR(VLOOKUP($T$139,'TAR FIN'!$A$1:$O$85,15,0)),0,VLOOKUP($T$139,'TAR FIN'!$A$1:$O$85,15,0))</f>
        <v>72.23</v>
      </c>
      <c r="X139" s="6">
        <f>IF(ISERROR(VLOOKUP($U$139,'TAR FIN'!$A$1:$O$85,15,0)),0,VLOOKUP($U$139,'TAR FIN'!$A$1:$O$85,15,0))</f>
        <v>223.72</v>
      </c>
      <c r="Y139" s="6"/>
      <c r="Z139" s="6">
        <f ca="1">('TUSD BE'!$AM$12+'TUSD BF'!$AM$12+'TUSD CVA'!$AM$12)*1</f>
        <v>103.30505917577378</v>
      </c>
      <c r="AA139" s="6">
        <f>('TE BE'!$AA$6+'TE BF'!$AA$6+'TE CVA'!$AA$6)*1</f>
        <v>217.62939920622892</v>
      </c>
      <c r="AB139" s="6">
        <f>$K$139*$V$139</f>
        <v>0</v>
      </c>
      <c r="AC139" s="6">
        <f>$M$139*$W$139</f>
        <v>16898.85857</v>
      </c>
      <c r="AD139" s="6">
        <f>$O$139*$X$139</f>
        <v>52341.307480000003</v>
      </c>
      <c r="AE139" s="6">
        <f>$K$139*$Y$139</f>
        <v>0</v>
      </c>
      <c r="AF139" s="6">
        <f ca="1">$M$139*$Z$139</f>
        <v>24169.148339704858</v>
      </c>
      <c r="AG139" s="6">
        <f>$O$139*$AA$139</f>
        <v>50916.356608890113</v>
      </c>
    </row>
    <row r="140" spans="1:33" ht="11.25" customHeight="1" x14ac:dyDescent="0.25">
      <c r="A140" s="4" t="s">
        <v>28</v>
      </c>
      <c r="B140" s="4" t="s">
        <v>33</v>
      </c>
      <c r="C140" s="4" t="s">
        <v>34</v>
      </c>
      <c r="D140" s="4" t="s">
        <v>38</v>
      </c>
      <c r="E140" s="4" t="s">
        <v>25</v>
      </c>
      <c r="F140" s="4" t="s">
        <v>25</v>
      </c>
      <c r="G140" s="4" t="s">
        <v>25</v>
      </c>
      <c r="H140" s="4" t="s">
        <v>36</v>
      </c>
      <c r="I140" s="5">
        <v>44593</v>
      </c>
      <c r="J140" s="6">
        <v>0</v>
      </c>
      <c r="K140" s="6">
        <v>0</v>
      </c>
      <c r="L140" s="6">
        <v>31.376999999999999</v>
      </c>
      <c r="M140" s="6">
        <v>31.376999999999999</v>
      </c>
      <c r="N140" s="6">
        <v>31.376999999999999</v>
      </c>
      <c r="O140" s="6">
        <v>31.376999999999999</v>
      </c>
      <c r="P140" s="6">
        <v>0</v>
      </c>
      <c r="Q140" s="4" t="s">
        <v>26</v>
      </c>
      <c r="R140" s="4">
        <v>0</v>
      </c>
      <c r="S140" s="6">
        <v>0</v>
      </c>
      <c r="T140" s="6">
        <v>47</v>
      </c>
      <c r="U140" s="6">
        <v>27</v>
      </c>
      <c r="V140" s="6">
        <f>IF(ISERROR(VLOOKUP($S$140,'TAR FIN'!$A$1:$O$85,15,0)),0,VLOOKUP($S$140,'TAR FIN'!$A$1:$O$85,15,0))</f>
        <v>0</v>
      </c>
      <c r="W140" s="6">
        <f>IF(ISERROR(VLOOKUP($T$140,'TAR FIN'!$A$1:$O$85,15,0)),0,VLOOKUP($T$140,'TAR FIN'!$A$1:$O$85,15,0))</f>
        <v>72.23</v>
      </c>
      <c r="X140" s="6">
        <f>IF(ISERROR(VLOOKUP($U$140,'TAR FIN'!$A$1:$O$85,15,0)),0,VLOOKUP($U$140,'TAR FIN'!$A$1:$O$85,15,0))</f>
        <v>223.72</v>
      </c>
      <c r="Y140" s="6"/>
      <c r="Z140" s="6">
        <f ca="1">('TUSD BE'!$AM$12+'TUSD BF'!$AM$12+'TUSD CVA'!$AM$12)*1</f>
        <v>103.30505917577378</v>
      </c>
      <c r="AA140" s="6">
        <f>('TE BE'!$AA$6+'TE BF'!$AA$6+'TE CVA'!$AA$6)*1</f>
        <v>217.62939920622892</v>
      </c>
      <c r="AB140" s="6">
        <f>$K$140*$V$140</f>
        <v>0</v>
      </c>
      <c r="AC140" s="6">
        <f>$M$140*$W$140</f>
        <v>2266.3607099999999</v>
      </c>
      <c r="AD140" s="6">
        <f>$O$140*$X$140</f>
        <v>7019.6624400000001</v>
      </c>
      <c r="AE140" s="6">
        <f>$K$140*$Y$140</f>
        <v>0</v>
      </c>
      <c r="AF140" s="6">
        <f ca="1">$M$140*$Z$140</f>
        <v>3241.4028417582535</v>
      </c>
      <c r="AG140" s="6">
        <f>$O$140*$AA$140</f>
        <v>6828.5576588938447</v>
      </c>
    </row>
    <row r="141" spans="1:33" ht="11.25" customHeight="1" x14ac:dyDescent="0.25">
      <c r="A141" s="4" t="s">
        <v>54</v>
      </c>
      <c r="B141" s="4" t="s">
        <v>33</v>
      </c>
      <c r="C141" s="4" t="s">
        <v>34</v>
      </c>
      <c r="D141" s="4" t="s">
        <v>38</v>
      </c>
      <c r="E141" s="4" t="s">
        <v>25</v>
      </c>
      <c r="F141" s="4" t="s">
        <v>25</v>
      </c>
      <c r="G141" s="4" t="s">
        <v>25</v>
      </c>
      <c r="H141" s="4" t="s">
        <v>36</v>
      </c>
      <c r="I141" s="5">
        <v>44621</v>
      </c>
      <c r="J141" s="6">
        <v>0</v>
      </c>
      <c r="K141" s="6">
        <v>0</v>
      </c>
      <c r="L141" s="6">
        <v>233.959</v>
      </c>
      <c r="M141" s="6">
        <v>233.959</v>
      </c>
      <c r="N141" s="6">
        <v>233.959</v>
      </c>
      <c r="O141" s="6">
        <v>233.959</v>
      </c>
      <c r="P141" s="6">
        <v>0</v>
      </c>
      <c r="Q141" s="4" t="s">
        <v>26</v>
      </c>
      <c r="R141" s="4">
        <v>0</v>
      </c>
      <c r="S141" s="6">
        <v>0</v>
      </c>
      <c r="T141" s="6">
        <v>47</v>
      </c>
      <c r="U141" s="6">
        <v>27</v>
      </c>
      <c r="V141" s="6">
        <f>IF(ISERROR(VLOOKUP($S$141,'TAR FIN'!$A$1:$O$85,15,0)),0,VLOOKUP($S$141,'TAR FIN'!$A$1:$O$85,15,0))</f>
        <v>0</v>
      </c>
      <c r="W141" s="6">
        <f>IF(ISERROR(VLOOKUP($T$141,'TAR FIN'!$A$1:$O$85,15,0)),0,VLOOKUP($T$141,'TAR FIN'!$A$1:$O$85,15,0))</f>
        <v>72.23</v>
      </c>
      <c r="X141" s="6">
        <f>IF(ISERROR(VLOOKUP($U$141,'TAR FIN'!$A$1:$O$85,15,0)),0,VLOOKUP($U$141,'TAR FIN'!$A$1:$O$85,15,0))</f>
        <v>223.72</v>
      </c>
      <c r="Y141" s="6"/>
      <c r="Z141" s="6">
        <f ca="1">('TUSD BE'!$AM$12+'TUSD BF'!$AM$12+'TUSD CVA'!$AM$12)*1</f>
        <v>103.30505917577378</v>
      </c>
      <c r="AA141" s="6">
        <f>('TE BE'!$AA$6+'TE BF'!$AA$6+'TE CVA'!$AA$6)*1</f>
        <v>217.62939920622892</v>
      </c>
      <c r="AB141" s="6">
        <f>$K$141*$V$141</f>
        <v>0</v>
      </c>
      <c r="AC141" s="6">
        <f>$M$141*$W$141</f>
        <v>16898.85857</v>
      </c>
      <c r="AD141" s="6">
        <f>$O$141*$X$141</f>
        <v>52341.307480000003</v>
      </c>
      <c r="AE141" s="6">
        <f>$K$141*$Y$141</f>
        <v>0</v>
      </c>
      <c r="AF141" s="6">
        <f ca="1">$M$141*$Z$141</f>
        <v>24169.148339704858</v>
      </c>
      <c r="AG141" s="6">
        <f>$O$141*$AA$141</f>
        <v>50916.356608890113</v>
      </c>
    </row>
    <row r="142" spans="1:33" ht="11.25" customHeight="1" x14ac:dyDescent="0.25">
      <c r="A142" s="4" t="s">
        <v>54</v>
      </c>
      <c r="B142" s="4" t="s">
        <v>33</v>
      </c>
      <c r="C142" s="4" t="s">
        <v>34</v>
      </c>
      <c r="D142" s="4" t="s">
        <v>38</v>
      </c>
      <c r="E142" s="4" t="s">
        <v>25</v>
      </c>
      <c r="F142" s="4" t="s">
        <v>25</v>
      </c>
      <c r="G142" s="4" t="s">
        <v>25</v>
      </c>
      <c r="H142" s="4" t="s">
        <v>36</v>
      </c>
      <c r="I142" s="5">
        <v>44621</v>
      </c>
      <c r="J142" s="6">
        <v>0</v>
      </c>
      <c r="K142" s="6">
        <v>0</v>
      </c>
      <c r="L142" s="6">
        <v>31.376999999999999</v>
      </c>
      <c r="M142" s="6">
        <v>31.376999999999999</v>
      </c>
      <c r="N142" s="6">
        <v>31.376999999999999</v>
      </c>
      <c r="O142" s="6">
        <v>31.376999999999999</v>
      </c>
      <c r="P142" s="6">
        <v>0</v>
      </c>
      <c r="Q142" s="4" t="s">
        <v>26</v>
      </c>
      <c r="R142" s="4">
        <v>0</v>
      </c>
      <c r="S142" s="6">
        <v>0</v>
      </c>
      <c r="T142" s="6">
        <v>47</v>
      </c>
      <c r="U142" s="6">
        <v>27</v>
      </c>
      <c r="V142" s="6">
        <f>IF(ISERROR(VLOOKUP($S$142,'TAR FIN'!$A$1:$O$85,15,0)),0,VLOOKUP($S$142,'TAR FIN'!$A$1:$O$85,15,0))</f>
        <v>0</v>
      </c>
      <c r="W142" s="6">
        <f>IF(ISERROR(VLOOKUP($T$142,'TAR FIN'!$A$1:$O$85,15,0)),0,VLOOKUP($T$142,'TAR FIN'!$A$1:$O$85,15,0))</f>
        <v>72.23</v>
      </c>
      <c r="X142" s="6">
        <f>IF(ISERROR(VLOOKUP($U$142,'TAR FIN'!$A$1:$O$85,15,0)),0,VLOOKUP($U$142,'TAR FIN'!$A$1:$O$85,15,0))</f>
        <v>223.72</v>
      </c>
      <c r="Y142" s="6"/>
      <c r="Z142" s="6">
        <f ca="1">('TUSD BE'!$AM$12+'TUSD BF'!$AM$12+'TUSD CVA'!$AM$12)*1</f>
        <v>103.30505917577378</v>
      </c>
      <c r="AA142" s="6">
        <f>('TE BE'!$AA$6+'TE BF'!$AA$6+'TE CVA'!$AA$6)*1</f>
        <v>217.62939920622892</v>
      </c>
      <c r="AB142" s="6">
        <f>$K$142*$V$142</f>
        <v>0</v>
      </c>
      <c r="AC142" s="6">
        <f>$M$142*$W$142</f>
        <v>2266.3607099999999</v>
      </c>
      <c r="AD142" s="6">
        <f>$O$142*$X$142</f>
        <v>7019.6624400000001</v>
      </c>
      <c r="AE142" s="6">
        <f>$K$142*$Y$142</f>
        <v>0</v>
      </c>
      <c r="AF142" s="6">
        <f ca="1">$M$142*$Z$142</f>
        <v>3241.4028417582535</v>
      </c>
      <c r="AG142" s="6">
        <f>$O$142*$AA$142</f>
        <v>6828.5576588938447</v>
      </c>
    </row>
    <row r="143" spans="1:33" ht="11.25" customHeight="1" x14ac:dyDescent="0.25">
      <c r="A143" s="4" t="s">
        <v>21</v>
      </c>
      <c r="B143" s="4" t="s">
        <v>33</v>
      </c>
      <c r="C143" s="4" t="s">
        <v>34</v>
      </c>
      <c r="D143" s="4" t="s">
        <v>38</v>
      </c>
      <c r="E143" s="4" t="s">
        <v>25</v>
      </c>
      <c r="F143" s="4" t="s">
        <v>25</v>
      </c>
      <c r="G143" s="4" t="s">
        <v>25</v>
      </c>
      <c r="H143" s="4" t="s">
        <v>25</v>
      </c>
      <c r="I143" s="5">
        <v>44287</v>
      </c>
      <c r="J143" s="6">
        <v>7321</v>
      </c>
      <c r="K143" s="6">
        <v>7321</v>
      </c>
      <c r="L143" s="6">
        <v>0</v>
      </c>
      <c r="M143" s="6">
        <v>0</v>
      </c>
      <c r="N143" s="6">
        <v>0</v>
      </c>
      <c r="O143" s="6">
        <v>0</v>
      </c>
      <c r="P143" s="6">
        <v>14</v>
      </c>
      <c r="Q143" s="4" t="s">
        <v>26</v>
      </c>
      <c r="R143" s="4">
        <v>0</v>
      </c>
      <c r="S143" s="6">
        <v>65</v>
      </c>
      <c r="T143" s="6">
        <v>0</v>
      </c>
      <c r="U143" s="6">
        <v>0</v>
      </c>
      <c r="V143" s="6">
        <f>IF(ISERROR(VLOOKUP($S$143,'TAR FIN'!$A$1:$O$85,15,0)),0,VLOOKUP($S$143,'TAR FIN'!$A$1:$O$85,15,0))</f>
        <v>23.41</v>
      </c>
      <c r="W143" s="6">
        <f>IF(ISERROR(VLOOKUP($T$143,'TAR FIN'!$A$1:$O$85,15,0)),0,VLOOKUP($T$143,'TAR FIN'!$A$1:$O$85,15,0))</f>
        <v>0</v>
      </c>
      <c r="X143" s="6">
        <f>IF(ISERROR(VLOOKUP($U$143,'TAR FIN'!$A$1:$O$85,15,0)),0,VLOOKUP($U$143,'TAR FIN'!$A$1:$O$85,15,0))</f>
        <v>0</v>
      </c>
      <c r="Y143" s="6">
        <f ca="1">('TUSD BE'!$AM$10+'TUSD BF'!$AM$10+'TUSD CVA'!$AM$10)*1</f>
        <v>24.267918723282428</v>
      </c>
      <c r="Z143" s="6"/>
      <c r="AA143" s="6"/>
      <c r="AB143" s="6">
        <f>$K$143*$V$143</f>
        <v>171384.61000000002</v>
      </c>
      <c r="AC143" s="6">
        <f>$M$143*$W$143</f>
        <v>0</v>
      </c>
      <c r="AD143" s="6">
        <f>$O$143*$X$143</f>
        <v>0</v>
      </c>
      <c r="AE143" s="6">
        <f ca="1">$K$143*$Y$143</f>
        <v>177665.43297315066</v>
      </c>
      <c r="AF143" s="6">
        <f>$M$143*$Z$143</f>
        <v>0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33</v>
      </c>
      <c r="C144" s="4" t="s">
        <v>34</v>
      </c>
      <c r="D144" s="4" t="s">
        <v>38</v>
      </c>
      <c r="E144" s="4" t="s">
        <v>25</v>
      </c>
      <c r="F144" s="4" t="s">
        <v>25</v>
      </c>
      <c r="G144" s="4" t="s">
        <v>25</v>
      </c>
      <c r="H144" s="4" t="s">
        <v>25</v>
      </c>
      <c r="I144" s="5">
        <v>44317</v>
      </c>
      <c r="J144" s="6">
        <v>7019</v>
      </c>
      <c r="K144" s="6">
        <v>7019</v>
      </c>
      <c r="L144" s="6">
        <v>0</v>
      </c>
      <c r="M144" s="6">
        <v>0</v>
      </c>
      <c r="N144" s="6">
        <v>0</v>
      </c>
      <c r="O144" s="6">
        <v>0</v>
      </c>
      <c r="P144" s="6">
        <v>14</v>
      </c>
      <c r="Q144" s="4" t="s">
        <v>26</v>
      </c>
      <c r="R144" s="4">
        <v>0</v>
      </c>
      <c r="S144" s="6">
        <v>65</v>
      </c>
      <c r="T144" s="6">
        <v>0</v>
      </c>
      <c r="U144" s="6">
        <v>0</v>
      </c>
      <c r="V144" s="6">
        <f>IF(ISERROR(VLOOKUP($S$144,'TAR FIN'!$A$1:$O$85,15,0)),0,VLOOKUP($S$144,'TAR FIN'!$A$1:$O$85,15,0))</f>
        <v>23.41</v>
      </c>
      <c r="W144" s="6">
        <f>IF(ISERROR(VLOOKUP($T$144,'TAR FIN'!$A$1:$O$85,15,0)),0,VLOOKUP($T$144,'TAR FIN'!$A$1:$O$85,15,0))</f>
        <v>0</v>
      </c>
      <c r="X144" s="6">
        <f>IF(ISERROR(VLOOKUP($U$144,'TAR FIN'!$A$1:$O$85,15,0)),0,VLOOKUP($U$144,'TAR FIN'!$A$1:$O$85,15,0))</f>
        <v>0</v>
      </c>
      <c r="Y144" s="6">
        <f ca="1">('TUSD BE'!$AM$10+'TUSD BF'!$AM$10+'TUSD CVA'!$AM$10)*1</f>
        <v>24.267918723282428</v>
      </c>
      <c r="Z144" s="6"/>
      <c r="AA144" s="6"/>
      <c r="AB144" s="6">
        <f>$K$144*$V$144</f>
        <v>164314.79</v>
      </c>
      <c r="AC144" s="6">
        <f>$M$144*$W$144</f>
        <v>0</v>
      </c>
      <c r="AD144" s="6">
        <f>$O$144*$X$144</f>
        <v>0</v>
      </c>
      <c r="AE144" s="6">
        <f ca="1">$K$144*$Y$144</f>
        <v>170336.52151871935</v>
      </c>
      <c r="AF144" s="6">
        <f>$M$144*$Z$144</f>
        <v>0</v>
      </c>
      <c r="AG144" s="6">
        <f>$O$144*$AA$144</f>
        <v>0</v>
      </c>
    </row>
    <row r="145" spans="1:33" ht="11.25" customHeight="1" x14ac:dyDescent="0.25">
      <c r="A145" s="4" t="s">
        <v>21</v>
      </c>
      <c r="B145" s="4" t="s">
        <v>33</v>
      </c>
      <c r="C145" s="4" t="s">
        <v>34</v>
      </c>
      <c r="D145" s="4" t="s">
        <v>38</v>
      </c>
      <c r="E145" s="4" t="s">
        <v>25</v>
      </c>
      <c r="F145" s="4" t="s">
        <v>25</v>
      </c>
      <c r="G145" s="4" t="s">
        <v>25</v>
      </c>
      <c r="H145" s="4" t="s">
        <v>25</v>
      </c>
      <c r="I145" s="5">
        <v>44348</v>
      </c>
      <c r="J145" s="6">
        <v>4402</v>
      </c>
      <c r="K145" s="6">
        <v>4402</v>
      </c>
      <c r="L145" s="6">
        <v>0</v>
      </c>
      <c r="M145" s="6">
        <v>0</v>
      </c>
      <c r="N145" s="6">
        <v>0</v>
      </c>
      <c r="O145" s="6">
        <v>0</v>
      </c>
      <c r="P145" s="6">
        <v>13</v>
      </c>
      <c r="Q145" s="4" t="s">
        <v>26</v>
      </c>
      <c r="R145" s="4">
        <v>0</v>
      </c>
      <c r="S145" s="6">
        <v>65</v>
      </c>
      <c r="T145" s="6">
        <v>0</v>
      </c>
      <c r="U145" s="6">
        <v>0</v>
      </c>
      <c r="V145" s="6">
        <f>IF(ISERROR(VLOOKUP($S$145,'TAR FIN'!$A$1:$O$85,15,0)),0,VLOOKUP($S$145,'TAR FIN'!$A$1:$O$85,15,0))</f>
        <v>23.41</v>
      </c>
      <c r="W145" s="6">
        <f>IF(ISERROR(VLOOKUP($T$145,'TAR FIN'!$A$1:$O$85,15,0)),0,VLOOKUP($T$145,'TAR FIN'!$A$1:$O$85,15,0))</f>
        <v>0</v>
      </c>
      <c r="X145" s="6">
        <f>IF(ISERROR(VLOOKUP($U$145,'TAR FIN'!$A$1:$O$85,15,0)),0,VLOOKUP($U$145,'TAR FIN'!$A$1:$O$85,15,0))</f>
        <v>0</v>
      </c>
      <c r="Y145" s="6">
        <f ca="1">('TUSD BE'!$AM$10+'TUSD BF'!$AM$10+'TUSD CVA'!$AM$10)*1</f>
        <v>24.267918723282428</v>
      </c>
      <c r="Z145" s="6"/>
      <c r="AA145" s="6"/>
      <c r="AB145" s="6">
        <f>$K$145*$V$145</f>
        <v>103050.82</v>
      </c>
      <c r="AC145" s="6">
        <f>$M$145*$W$145</f>
        <v>0</v>
      </c>
      <c r="AD145" s="6">
        <f>$O$145*$X$145</f>
        <v>0</v>
      </c>
      <c r="AE145" s="6">
        <f ca="1">$K$145*$Y$145</f>
        <v>106827.37821988924</v>
      </c>
      <c r="AF145" s="6">
        <f>$M$145*$Z$145</f>
        <v>0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33</v>
      </c>
      <c r="C146" s="4" t="s">
        <v>34</v>
      </c>
      <c r="D146" s="4" t="s">
        <v>38</v>
      </c>
      <c r="E146" s="4" t="s">
        <v>25</v>
      </c>
      <c r="F146" s="4" t="s">
        <v>25</v>
      </c>
      <c r="G146" s="4" t="s">
        <v>25</v>
      </c>
      <c r="H146" s="4" t="s">
        <v>25</v>
      </c>
      <c r="I146" s="5">
        <v>44378</v>
      </c>
      <c r="J146" s="6">
        <v>2340</v>
      </c>
      <c r="K146" s="6">
        <v>2340</v>
      </c>
      <c r="L146" s="6">
        <v>0</v>
      </c>
      <c r="M146" s="6">
        <v>0</v>
      </c>
      <c r="N146" s="6">
        <v>0</v>
      </c>
      <c r="O146" s="6">
        <v>0</v>
      </c>
      <c r="P146" s="6">
        <v>10</v>
      </c>
      <c r="Q146" s="4" t="s">
        <v>26</v>
      </c>
      <c r="R146" s="4">
        <v>0</v>
      </c>
      <c r="S146" s="6">
        <v>65</v>
      </c>
      <c r="T146" s="6">
        <v>0</v>
      </c>
      <c r="U146" s="6">
        <v>0</v>
      </c>
      <c r="V146" s="6">
        <f>IF(ISERROR(VLOOKUP($S$146,'TAR FIN'!$A$1:$O$85,15,0)),0,VLOOKUP($S$146,'TAR FIN'!$A$1:$O$85,15,0))</f>
        <v>23.41</v>
      </c>
      <c r="W146" s="6">
        <f>IF(ISERROR(VLOOKUP($T$146,'TAR FIN'!$A$1:$O$85,15,0)),0,VLOOKUP($T$146,'TAR FIN'!$A$1:$O$85,15,0))</f>
        <v>0</v>
      </c>
      <c r="X146" s="6">
        <f>IF(ISERROR(VLOOKUP($U$146,'TAR FIN'!$A$1:$O$85,15,0)),0,VLOOKUP($U$146,'TAR FIN'!$A$1:$O$85,15,0))</f>
        <v>0</v>
      </c>
      <c r="Y146" s="6">
        <f ca="1">('TUSD BE'!$AM$10+'TUSD BF'!$AM$10+'TUSD CVA'!$AM$10)*1</f>
        <v>24.267918723282428</v>
      </c>
      <c r="Z146" s="6"/>
      <c r="AA146" s="6"/>
      <c r="AB146" s="6">
        <f>$K$146*$V$146</f>
        <v>54779.4</v>
      </c>
      <c r="AC146" s="6">
        <f>$M$146*$W$146</f>
        <v>0</v>
      </c>
      <c r="AD146" s="6">
        <f>$O$146*$X$146</f>
        <v>0</v>
      </c>
      <c r="AE146" s="6">
        <f ca="1">$K$146*$Y$146</f>
        <v>56786.929812480877</v>
      </c>
      <c r="AF146" s="6">
        <f>$M$146*$Z$146</f>
        <v>0</v>
      </c>
      <c r="AG146" s="6">
        <f>$O$146*$AA$146</f>
        <v>0</v>
      </c>
    </row>
    <row r="147" spans="1:33" ht="11.25" customHeight="1" x14ac:dyDescent="0.25">
      <c r="A147" s="4" t="s">
        <v>21</v>
      </c>
      <c r="B147" s="4" t="s">
        <v>33</v>
      </c>
      <c r="C147" s="4" t="s">
        <v>34</v>
      </c>
      <c r="D147" s="4" t="s">
        <v>38</v>
      </c>
      <c r="E147" s="4" t="s">
        <v>25</v>
      </c>
      <c r="F147" s="4" t="s">
        <v>25</v>
      </c>
      <c r="G147" s="4" t="s">
        <v>25</v>
      </c>
      <c r="H147" s="4" t="s">
        <v>25</v>
      </c>
      <c r="I147" s="5">
        <v>44409</v>
      </c>
      <c r="J147" s="6">
        <v>2044</v>
      </c>
      <c r="K147" s="6">
        <v>2044</v>
      </c>
      <c r="L147" s="6">
        <v>0</v>
      </c>
      <c r="M147" s="6">
        <v>0</v>
      </c>
      <c r="N147" s="6">
        <v>0</v>
      </c>
      <c r="O147" s="6">
        <v>0</v>
      </c>
      <c r="P147" s="6">
        <v>9</v>
      </c>
      <c r="Q147" s="4" t="s">
        <v>26</v>
      </c>
      <c r="R147" s="4">
        <v>0</v>
      </c>
      <c r="S147" s="6">
        <v>65</v>
      </c>
      <c r="T147" s="6">
        <v>0</v>
      </c>
      <c r="U147" s="6">
        <v>0</v>
      </c>
      <c r="V147" s="6">
        <f>IF(ISERROR(VLOOKUP($S$147,'TAR FIN'!$A$1:$O$85,15,0)),0,VLOOKUP($S$147,'TAR FIN'!$A$1:$O$85,15,0))</f>
        <v>23.41</v>
      </c>
      <c r="W147" s="6">
        <f>IF(ISERROR(VLOOKUP($T$147,'TAR FIN'!$A$1:$O$85,15,0)),0,VLOOKUP($T$147,'TAR FIN'!$A$1:$O$85,15,0))</f>
        <v>0</v>
      </c>
      <c r="X147" s="6">
        <f>IF(ISERROR(VLOOKUP($U$147,'TAR FIN'!$A$1:$O$85,15,0)),0,VLOOKUP($U$147,'TAR FIN'!$A$1:$O$85,15,0))</f>
        <v>0</v>
      </c>
      <c r="Y147" s="6">
        <f ca="1">('TUSD BE'!$AM$10+'TUSD BF'!$AM$10+'TUSD CVA'!$AM$10)*1</f>
        <v>24.267918723282428</v>
      </c>
      <c r="Z147" s="6"/>
      <c r="AA147" s="6"/>
      <c r="AB147" s="6">
        <f>$K$147*$V$147</f>
        <v>47850.04</v>
      </c>
      <c r="AC147" s="6">
        <f>$M$147*$W$147</f>
        <v>0</v>
      </c>
      <c r="AD147" s="6">
        <f>$O$147*$X$147</f>
        <v>0</v>
      </c>
      <c r="AE147" s="6">
        <f ca="1">$K$147*$Y$147</f>
        <v>49603.625870389282</v>
      </c>
      <c r="AF147" s="6">
        <f>$M$147*$Z$147</f>
        <v>0</v>
      </c>
      <c r="AG147" s="6">
        <f>$O$147*$AA$147</f>
        <v>0</v>
      </c>
    </row>
    <row r="148" spans="1:33" ht="11.25" customHeight="1" x14ac:dyDescent="0.25">
      <c r="A148" s="4" t="s">
        <v>28</v>
      </c>
      <c r="B148" s="4" t="s">
        <v>33</v>
      </c>
      <c r="C148" s="4" t="s">
        <v>34</v>
      </c>
      <c r="D148" s="4" t="s">
        <v>38</v>
      </c>
      <c r="E148" s="4" t="s">
        <v>25</v>
      </c>
      <c r="F148" s="4" t="s">
        <v>25</v>
      </c>
      <c r="G148" s="4" t="s">
        <v>25</v>
      </c>
      <c r="H148" s="4" t="s">
        <v>25</v>
      </c>
      <c r="I148" s="5">
        <v>44409</v>
      </c>
      <c r="J148" s="6">
        <v>270</v>
      </c>
      <c r="K148" s="6">
        <v>270</v>
      </c>
      <c r="L148" s="6">
        <v>0</v>
      </c>
      <c r="M148" s="6">
        <v>0</v>
      </c>
      <c r="N148" s="6">
        <v>0</v>
      </c>
      <c r="O148" s="6">
        <v>0</v>
      </c>
      <c r="P148" s="6">
        <v>1</v>
      </c>
      <c r="Q148" s="4" t="s">
        <v>26</v>
      </c>
      <c r="R148" s="4">
        <v>0</v>
      </c>
      <c r="S148" s="6">
        <v>65</v>
      </c>
      <c r="T148" s="6">
        <v>0</v>
      </c>
      <c r="U148" s="6">
        <v>0</v>
      </c>
      <c r="V148" s="6">
        <f>IF(ISERROR(VLOOKUP($S$148,'TAR FIN'!$A$1:$O$85,15,0)),0,VLOOKUP($S$148,'TAR FIN'!$A$1:$O$85,15,0))</f>
        <v>23.41</v>
      </c>
      <c r="W148" s="6">
        <f>IF(ISERROR(VLOOKUP($T$148,'TAR FIN'!$A$1:$O$85,15,0)),0,VLOOKUP($T$148,'TAR FIN'!$A$1:$O$85,15,0))</f>
        <v>0</v>
      </c>
      <c r="X148" s="6">
        <f>IF(ISERROR(VLOOKUP($U$148,'TAR FIN'!$A$1:$O$85,15,0)),0,VLOOKUP($U$148,'TAR FIN'!$A$1:$O$85,15,0))</f>
        <v>0</v>
      </c>
      <c r="Y148" s="6">
        <f ca="1">('TUSD BE'!$AM$10+'TUSD BF'!$AM$10+'TUSD CVA'!$AM$10)*1</f>
        <v>24.267918723282428</v>
      </c>
      <c r="Z148" s="6"/>
      <c r="AA148" s="6"/>
      <c r="AB148" s="6">
        <f>$K$148*$V$148</f>
        <v>6320.7</v>
      </c>
      <c r="AC148" s="6">
        <f>$M$148*$W$148</f>
        <v>0</v>
      </c>
      <c r="AD148" s="6">
        <f>$O$148*$X$148</f>
        <v>0</v>
      </c>
      <c r="AE148" s="6">
        <f ca="1">$K$148*$Y$148</f>
        <v>6552.3380552862554</v>
      </c>
      <c r="AF148" s="6">
        <f>$M$148*$Z$148</f>
        <v>0</v>
      </c>
      <c r="AG148" s="6">
        <f>$O$148*$AA$148</f>
        <v>0</v>
      </c>
    </row>
    <row r="149" spans="1:33" ht="11.25" customHeight="1" x14ac:dyDescent="0.25">
      <c r="A149" s="4" t="s">
        <v>21</v>
      </c>
      <c r="B149" s="4" t="s">
        <v>33</v>
      </c>
      <c r="C149" s="4" t="s">
        <v>34</v>
      </c>
      <c r="D149" s="4" t="s">
        <v>38</v>
      </c>
      <c r="E149" s="4" t="s">
        <v>25</v>
      </c>
      <c r="F149" s="4" t="s">
        <v>25</v>
      </c>
      <c r="G149" s="4" t="s">
        <v>25</v>
      </c>
      <c r="H149" s="4" t="s">
        <v>25</v>
      </c>
      <c r="I149" s="5">
        <v>44440</v>
      </c>
      <c r="J149" s="6">
        <v>2094</v>
      </c>
      <c r="K149" s="6">
        <v>2094</v>
      </c>
      <c r="L149" s="6">
        <v>0</v>
      </c>
      <c r="M149" s="6">
        <v>0</v>
      </c>
      <c r="N149" s="6">
        <v>0</v>
      </c>
      <c r="O149" s="6">
        <v>0</v>
      </c>
      <c r="P149" s="6">
        <v>9</v>
      </c>
      <c r="Q149" s="4" t="s">
        <v>26</v>
      </c>
      <c r="R149" s="4">
        <v>0</v>
      </c>
      <c r="S149" s="6">
        <v>65</v>
      </c>
      <c r="T149" s="6">
        <v>0</v>
      </c>
      <c r="U149" s="6">
        <v>0</v>
      </c>
      <c r="V149" s="6">
        <f>IF(ISERROR(VLOOKUP($S$149,'TAR FIN'!$A$1:$O$85,15,0)),0,VLOOKUP($S$149,'TAR FIN'!$A$1:$O$85,15,0))</f>
        <v>23.41</v>
      </c>
      <c r="W149" s="6">
        <f>IF(ISERROR(VLOOKUP($T$149,'TAR FIN'!$A$1:$O$85,15,0)),0,VLOOKUP($T$149,'TAR FIN'!$A$1:$O$85,15,0))</f>
        <v>0</v>
      </c>
      <c r="X149" s="6">
        <f>IF(ISERROR(VLOOKUP($U$149,'TAR FIN'!$A$1:$O$85,15,0)),0,VLOOKUP($U$149,'TAR FIN'!$A$1:$O$85,15,0))</f>
        <v>0</v>
      </c>
      <c r="Y149" s="6">
        <f ca="1">('TUSD BE'!$AM$10+'TUSD BF'!$AM$10+'TUSD CVA'!$AM$10)*1</f>
        <v>24.267918723282428</v>
      </c>
      <c r="Z149" s="6"/>
      <c r="AA149" s="6"/>
      <c r="AB149" s="6">
        <f>$K$149*$V$149</f>
        <v>49020.54</v>
      </c>
      <c r="AC149" s="6">
        <f>$M$149*$W$149</f>
        <v>0</v>
      </c>
      <c r="AD149" s="6">
        <f>$O$149*$X$149</f>
        <v>0</v>
      </c>
      <c r="AE149" s="6">
        <f ca="1">$K$149*$Y$149</f>
        <v>50817.021806553406</v>
      </c>
      <c r="AF149" s="6">
        <f>$M$149*$Z$149</f>
        <v>0</v>
      </c>
      <c r="AG149" s="6">
        <f>$O$149*$AA$149</f>
        <v>0</v>
      </c>
    </row>
    <row r="150" spans="1:33" ht="11.25" customHeight="1" x14ac:dyDescent="0.25">
      <c r="A150" s="4" t="s">
        <v>28</v>
      </c>
      <c r="B150" s="4" t="s">
        <v>33</v>
      </c>
      <c r="C150" s="4" t="s">
        <v>34</v>
      </c>
      <c r="D150" s="4" t="s">
        <v>38</v>
      </c>
      <c r="E150" s="4" t="s">
        <v>25</v>
      </c>
      <c r="F150" s="4" t="s">
        <v>25</v>
      </c>
      <c r="G150" s="4" t="s">
        <v>25</v>
      </c>
      <c r="H150" s="4" t="s">
        <v>25</v>
      </c>
      <c r="I150" s="5">
        <v>44440</v>
      </c>
      <c r="J150" s="6">
        <v>270</v>
      </c>
      <c r="K150" s="6">
        <v>270</v>
      </c>
      <c r="L150" s="6">
        <v>0</v>
      </c>
      <c r="M150" s="6">
        <v>0</v>
      </c>
      <c r="N150" s="6">
        <v>0</v>
      </c>
      <c r="O150" s="6">
        <v>0</v>
      </c>
      <c r="P150" s="6">
        <v>1</v>
      </c>
      <c r="Q150" s="4" t="s">
        <v>26</v>
      </c>
      <c r="R150" s="4">
        <v>0</v>
      </c>
      <c r="S150" s="6">
        <v>65</v>
      </c>
      <c r="T150" s="6">
        <v>0</v>
      </c>
      <c r="U150" s="6">
        <v>0</v>
      </c>
      <c r="V150" s="6">
        <f>IF(ISERROR(VLOOKUP($S$150,'TAR FIN'!$A$1:$O$85,15,0)),0,VLOOKUP($S$150,'TAR FIN'!$A$1:$O$85,15,0))</f>
        <v>23.41</v>
      </c>
      <c r="W150" s="6">
        <f>IF(ISERROR(VLOOKUP($T$150,'TAR FIN'!$A$1:$O$85,15,0)),0,VLOOKUP($T$150,'TAR FIN'!$A$1:$O$85,15,0))</f>
        <v>0</v>
      </c>
      <c r="X150" s="6">
        <f>IF(ISERROR(VLOOKUP($U$150,'TAR FIN'!$A$1:$O$85,15,0)),0,VLOOKUP($U$150,'TAR FIN'!$A$1:$O$85,15,0))</f>
        <v>0</v>
      </c>
      <c r="Y150" s="6">
        <f ca="1">('TUSD BE'!$AM$10+'TUSD BF'!$AM$10+'TUSD CVA'!$AM$10)*1</f>
        <v>24.267918723282428</v>
      </c>
      <c r="Z150" s="6"/>
      <c r="AA150" s="6"/>
      <c r="AB150" s="6">
        <f>$K$150*$V$150</f>
        <v>6320.7</v>
      </c>
      <c r="AC150" s="6">
        <f>$M$150*$W$150</f>
        <v>0</v>
      </c>
      <c r="AD150" s="6">
        <f>$O$150*$X$150</f>
        <v>0</v>
      </c>
      <c r="AE150" s="6">
        <f ca="1">$K$150*$Y$150</f>
        <v>6552.3380552862554</v>
      </c>
      <c r="AF150" s="6">
        <f>$M$150*$Z$150</f>
        <v>0</v>
      </c>
      <c r="AG150" s="6">
        <f>$O$150*$AA$150</f>
        <v>0</v>
      </c>
    </row>
    <row r="151" spans="1:33" ht="11.25" customHeight="1" x14ac:dyDescent="0.25">
      <c r="A151" s="4" t="s">
        <v>21</v>
      </c>
      <c r="B151" s="4" t="s">
        <v>33</v>
      </c>
      <c r="C151" s="4" t="s">
        <v>34</v>
      </c>
      <c r="D151" s="4" t="s">
        <v>38</v>
      </c>
      <c r="E151" s="4" t="s">
        <v>25</v>
      </c>
      <c r="F151" s="4" t="s">
        <v>25</v>
      </c>
      <c r="G151" s="4" t="s">
        <v>25</v>
      </c>
      <c r="H151" s="4" t="s">
        <v>25</v>
      </c>
      <c r="I151" s="5">
        <v>44470</v>
      </c>
      <c r="J151" s="6">
        <v>2148</v>
      </c>
      <c r="K151" s="6">
        <v>2148</v>
      </c>
      <c r="L151" s="6">
        <v>0</v>
      </c>
      <c r="M151" s="6">
        <v>0</v>
      </c>
      <c r="N151" s="6">
        <v>0</v>
      </c>
      <c r="O151" s="6">
        <v>0</v>
      </c>
      <c r="P151" s="6">
        <v>10</v>
      </c>
      <c r="Q151" s="4" t="s">
        <v>26</v>
      </c>
      <c r="R151" s="4">
        <v>0</v>
      </c>
      <c r="S151" s="6">
        <v>65</v>
      </c>
      <c r="T151" s="6">
        <v>0</v>
      </c>
      <c r="U151" s="6">
        <v>0</v>
      </c>
      <c r="V151" s="6">
        <f>IF(ISERROR(VLOOKUP($S$151,'TAR FIN'!$A$1:$O$85,15,0)),0,VLOOKUP($S$151,'TAR FIN'!$A$1:$O$85,15,0))</f>
        <v>23.41</v>
      </c>
      <c r="W151" s="6">
        <f>IF(ISERROR(VLOOKUP($T$151,'TAR FIN'!$A$1:$O$85,15,0)),0,VLOOKUP($T$151,'TAR FIN'!$A$1:$O$85,15,0))</f>
        <v>0</v>
      </c>
      <c r="X151" s="6">
        <f>IF(ISERROR(VLOOKUP($U$151,'TAR FIN'!$A$1:$O$85,15,0)),0,VLOOKUP($U$151,'TAR FIN'!$A$1:$O$85,15,0))</f>
        <v>0</v>
      </c>
      <c r="Y151" s="6">
        <f ca="1">('TUSD BE'!$AM$10+'TUSD BF'!$AM$10+'TUSD CVA'!$AM$10)*1</f>
        <v>24.267918723282428</v>
      </c>
      <c r="Z151" s="6"/>
      <c r="AA151" s="6"/>
      <c r="AB151" s="6">
        <f>$K$151*$V$151</f>
        <v>50284.68</v>
      </c>
      <c r="AC151" s="6">
        <f>$M$151*$W$151</f>
        <v>0</v>
      </c>
      <c r="AD151" s="6">
        <f>$O$151*$X$151</f>
        <v>0</v>
      </c>
      <c r="AE151" s="6">
        <f ca="1">$K$151*$Y$151</f>
        <v>52127.489417610654</v>
      </c>
      <c r="AF151" s="6">
        <f>$M$151*$Z$151</f>
        <v>0</v>
      </c>
      <c r="AG151" s="6">
        <f>$O$151*$AA$151</f>
        <v>0</v>
      </c>
    </row>
    <row r="152" spans="1:33" ht="11.25" customHeight="1" x14ac:dyDescent="0.25">
      <c r="A152" s="4" t="s">
        <v>28</v>
      </c>
      <c r="B152" s="4" t="s">
        <v>33</v>
      </c>
      <c r="C152" s="4" t="s">
        <v>34</v>
      </c>
      <c r="D152" s="4" t="s">
        <v>38</v>
      </c>
      <c r="E152" s="4" t="s">
        <v>25</v>
      </c>
      <c r="F152" s="4" t="s">
        <v>25</v>
      </c>
      <c r="G152" s="4" t="s">
        <v>25</v>
      </c>
      <c r="H152" s="4" t="s">
        <v>25</v>
      </c>
      <c r="I152" s="5">
        <v>44470</v>
      </c>
      <c r="J152" s="6">
        <v>270</v>
      </c>
      <c r="K152" s="6">
        <v>270</v>
      </c>
      <c r="L152" s="6">
        <v>0</v>
      </c>
      <c r="M152" s="6">
        <v>0</v>
      </c>
      <c r="N152" s="6">
        <v>0</v>
      </c>
      <c r="O152" s="6">
        <v>0</v>
      </c>
      <c r="P152" s="6">
        <v>1</v>
      </c>
      <c r="Q152" s="4" t="s">
        <v>26</v>
      </c>
      <c r="R152" s="4">
        <v>0</v>
      </c>
      <c r="S152" s="6">
        <v>65</v>
      </c>
      <c r="T152" s="6">
        <v>0</v>
      </c>
      <c r="U152" s="6">
        <v>0</v>
      </c>
      <c r="V152" s="6">
        <f>IF(ISERROR(VLOOKUP($S$152,'TAR FIN'!$A$1:$O$85,15,0)),0,VLOOKUP($S$152,'TAR FIN'!$A$1:$O$85,15,0))</f>
        <v>23.41</v>
      </c>
      <c r="W152" s="6">
        <f>IF(ISERROR(VLOOKUP($T$152,'TAR FIN'!$A$1:$O$85,15,0)),0,VLOOKUP($T$152,'TAR FIN'!$A$1:$O$85,15,0))</f>
        <v>0</v>
      </c>
      <c r="X152" s="6">
        <f>IF(ISERROR(VLOOKUP($U$152,'TAR FIN'!$A$1:$O$85,15,0)),0,VLOOKUP($U$152,'TAR FIN'!$A$1:$O$85,15,0))</f>
        <v>0</v>
      </c>
      <c r="Y152" s="6">
        <f ca="1">('TUSD BE'!$AM$10+'TUSD BF'!$AM$10+'TUSD CVA'!$AM$10)*1</f>
        <v>24.267918723282428</v>
      </c>
      <c r="Z152" s="6"/>
      <c r="AA152" s="6"/>
      <c r="AB152" s="6">
        <f>$K$152*$V$152</f>
        <v>6320.7</v>
      </c>
      <c r="AC152" s="6">
        <f>$M$152*$W$152</f>
        <v>0</v>
      </c>
      <c r="AD152" s="6">
        <f>$O$152*$X$152</f>
        <v>0</v>
      </c>
      <c r="AE152" s="6">
        <f ca="1">$K$152*$Y$152</f>
        <v>6552.3380552862554</v>
      </c>
      <c r="AF152" s="6">
        <f>$M$152*$Z$152</f>
        <v>0</v>
      </c>
      <c r="AG152" s="6">
        <f>$O$152*$AA$152</f>
        <v>0</v>
      </c>
    </row>
    <row r="153" spans="1:33" ht="11.25" customHeight="1" x14ac:dyDescent="0.25">
      <c r="A153" s="4" t="s">
        <v>21</v>
      </c>
      <c r="B153" s="4" t="s">
        <v>33</v>
      </c>
      <c r="C153" s="4" t="s">
        <v>34</v>
      </c>
      <c r="D153" s="4" t="s">
        <v>38</v>
      </c>
      <c r="E153" s="4" t="s">
        <v>25</v>
      </c>
      <c r="F153" s="4" t="s">
        <v>25</v>
      </c>
      <c r="G153" s="4" t="s">
        <v>25</v>
      </c>
      <c r="H153" s="4" t="s">
        <v>25</v>
      </c>
      <c r="I153" s="5">
        <v>44501</v>
      </c>
      <c r="J153" s="6">
        <v>2097</v>
      </c>
      <c r="K153" s="6">
        <v>2097</v>
      </c>
      <c r="L153" s="6">
        <v>0</v>
      </c>
      <c r="M153" s="6">
        <v>0</v>
      </c>
      <c r="N153" s="6">
        <v>0</v>
      </c>
      <c r="O153" s="6">
        <v>0</v>
      </c>
      <c r="P153" s="6">
        <v>10</v>
      </c>
      <c r="Q153" s="4" t="s">
        <v>26</v>
      </c>
      <c r="R153" s="4">
        <v>0</v>
      </c>
      <c r="S153" s="6">
        <v>65</v>
      </c>
      <c r="T153" s="6">
        <v>0</v>
      </c>
      <c r="U153" s="6">
        <v>0</v>
      </c>
      <c r="V153" s="6">
        <f>IF(ISERROR(VLOOKUP($S$153,'TAR FIN'!$A$1:$O$85,15,0)),0,VLOOKUP($S$153,'TAR FIN'!$A$1:$O$85,15,0))</f>
        <v>23.41</v>
      </c>
      <c r="W153" s="6">
        <f>IF(ISERROR(VLOOKUP($T$153,'TAR FIN'!$A$1:$O$85,15,0)),0,VLOOKUP($T$153,'TAR FIN'!$A$1:$O$85,15,0))</f>
        <v>0</v>
      </c>
      <c r="X153" s="6">
        <f>IF(ISERROR(VLOOKUP($U$153,'TAR FIN'!$A$1:$O$85,15,0)),0,VLOOKUP($U$153,'TAR FIN'!$A$1:$O$85,15,0))</f>
        <v>0</v>
      </c>
      <c r="Y153" s="6">
        <f ca="1">('TUSD BE'!$AM$10+'TUSD BF'!$AM$10+'TUSD CVA'!$AM$10)*1</f>
        <v>24.267918723282428</v>
      </c>
      <c r="Z153" s="6"/>
      <c r="AA153" s="6"/>
      <c r="AB153" s="6">
        <f>$K$153*$V$153</f>
        <v>49090.77</v>
      </c>
      <c r="AC153" s="6">
        <f>$M$153*$W$153</f>
        <v>0</v>
      </c>
      <c r="AD153" s="6">
        <f>$O$153*$X$153</f>
        <v>0</v>
      </c>
      <c r="AE153" s="6">
        <f ca="1">$K$153*$Y$153</f>
        <v>50889.82556272325</v>
      </c>
      <c r="AF153" s="6">
        <f>$M$153*$Z$153</f>
        <v>0</v>
      </c>
      <c r="AG153" s="6">
        <f>$O$153*$AA$153</f>
        <v>0</v>
      </c>
    </row>
    <row r="154" spans="1:33" ht="11.25" customHeight="1" x14ac:dyDescent="0.25">
      <c r="A154" s="4" t="s">
        <v>28</v>
      </c>
      <c r="B154" s="4" t="s">
        <v>33</v>
      </c>
      <c r="C154" s="4" t="s">
        <v>34</v>
      </c>
      <c r="D154" s="4" t="s">
        <v>38</v>
      </c>
      <c r="E154" s="4" t="s">
        <v>25</v>
      </c>
      <c r="F154" s="4" t="s">
        <v>25</v>
      </c>
      <c r="G154" s="4" t="s">
        <v>25</v>
      </c>
      <c r="H154" s="4" t="s">
        <v>25</v>
      </c>
      <c r="I154" s="5">
        <v>44501</v>
      </c>
      <c r="J154" s="6">
        <v>270</v>
      </c>
      <c r="K154" s="6">
        <v>270</v>
      </c>
      <c r="L154" s="6">
        <v>0</v>
      </c>
      <c r="M154" s="6">
        <v>0</v>
      </c>
      <c r="N154" s="6">
        <v>0</v>
      </c>
      <c r="O154" s="6">
        <v>0</v>
      </c>
      <c r="P154" s="6">
        <v>1</v>
      </c>
      <c r="Q154" s="4" t="s">
        <v>26</v>
      </c>
      <c r="R154" s="4">
        <v>0</v>
      </c>
      <c r="S154" s="6">
        <v>65</v>
      </c>
      <c r="T154" s="6">
        <v>0</v>
      </c>
      <c r="U154" s="6">
        <v>0</v>
      </c>
      <c r="V154" s="6">
        <f>IF(ISERROR(VLOOKUP($S$154,'TAR FIN'!$A$1:$O$85,15,0)),0,VLOOKUP($S$154,'TAR FIN'!$A$1:$O$85,15,0))</f>
        <v>23.41</v>
      </c>
      <c r="W154" s="6">
        <f>IF(ISERROR(VLOOKUP($T$154,'TAR FIN'!$A$1:$O$85,15,0)),0,VLOOKUP($T$154,'TAR FIN'!$A$1:$O$85,15,0))</f>
        <v>0</v>
      </c>
      <c r="X154" s="6">
        <f>IF(ISERROR(VLOOKUP($U$154,'TAR FIN'!$A$1:$O$85,15,0)),0,VLOOKUP($U$154,'TAR FIN'!$A$1:$O$85,15,0))</f>
        <v>0</v>
      </c>
      <c r="Y154" s="6">
        <f ca="1">('TUSD BE'!$AM$10+'TUSD BF'!$AM$10+'TUSD CVA'!$AM$10)*1</f>
        <v>24.267918723282428</v>
      </c>
      <c r="Z154" s="6"/>
      <c r="AA154" s="6"/>
      <c r="AB154" s="6">
        <f>$K$154*$V$154</f>
        <v>6320.7</v>
      </c>
      <c r="AC154" s="6">
        <f>$M$154*$W$154</f>
        <v>0</v>
      </c>
      <c r="AD154" s="6">
        <f>$O$154*$X$154</f>
        <v>0</v>
      </c>
      <c r="AE154" s="6">
        <f ca="1">$K$154*$Y$154</f>
        <v>6552.3380552862554</v>
      </c>
      <c r="AF154" s="6">
        <f>$M$154*$Z$154</f>
        <v>0</v>
      </c>
      <c r="AG154" s="6">
        <f>$O$154*$AA$154</f>
        <v>0</v>
      </c>
    </row>
    <row r="155" spans="1:33" ht="11.25" customHeight="1" x14ac:dyDescent="0.25">
      <c r="A155" s="4" t="s">
        <v>21</v>
      </c>
      <c r="B155" s="4" t="s">
        <v>33</v>
      </c>
      <c r="C155" s="4" t="s">
        <v>34</v>
      </c>
      <c r="D155" s="4" t="s">
        <v>38</v>
      </c>
      <c r="E155" s="4" t="s">
        <v>25</v>
      </c>
      <c r="F155" s="4" t="s">
        <v>25</v>
      </c>
      <c r="G155" s="4" t="s">
        <v>25</v>
      </c>
      <c r="H155" s="4" t="s">
        <v>25</v>
      </c>
      <c r="I155" s="5">
        <v>44531</v>
      </c>
      <c r="J155" s="6">
        <v>1972</v>
      </c>
      <c r="K155" s="6">
        <v>1972</v>
      </c>
      <c r="L155" s="6">
        <v>0</v>
      </c>
      <c r="M155" s="6">
        <v>0</v>
      </c>
      <c r="N155" s="6">
        <v>0</v>
      </c>
      <c r="O155" s="6">
        <v>0</v>
      </c>
      <c r="P155" s="6">
        <v>10</v>
      </c>
      <c r="Q155" s="4" t="s">
        <v>26</v>
      </c>
      <c r="R155" s="4">
        <v>0</v>
      </c>
      <c r="S155" s="6">
        <v>65</v>
      </c>
      <c r="T155" s="6">
        <v>0</v>
      </c>
      <c r="U155" s="6">
        <v>0</v>
      </c>
      <c r="V155" s="6">
        <f>IF(ISERROR(VLOOKUP($S$155,'TAR FIN'!$A$1:$O$85,15,0)),0,VLOOKUP($S$155,'TAR FIN'!$A$1:$O$85,15,0))</f>
        <v>23.41</v>
      </c>
      <c r="W155" s="6">
        <f>IF(ISERROR(VLOOKUP($T$155,'TAR FIN'!$A$1:$O$85,15,0)),0,VLOOKUP($T$155,'TAR FIN'!$A$1:$O$85,15,0))</f>
        <v>0</v>
      </c>
      <c r="X155" s="6">
        <f>IF(ISERROR(VLOOKUP($U$155,'TAR FIN'!$A$1:$O$85,15,0)),0,VLOOKUP($U$155,'TAR FIN'!$A$1:$O$85,15,0))</f>
        <v>0</v>
      </c>
      <c r="Y155" s="6">
        <f ca="1">('TUSD BE'!$AM$10+'TUSD BF'!$AM$10+'TUSD CVA'!$AM$10)*1</f>
        <v>24.267918723282428</v>
      </c>
      <c r="Z155" s="6"/>
      <c r="AA155" s="6"/>
      <c r="AB155" s="6">
        <f>$K$155*$V$155</f>
        <v>46164.52</v>
      </c>
      <c r="AC155" s="6">
        <f>$M$155*$W$155</f>
        <v>0</v>
      </c>
      <c r="AD155" s="6">
        <f>$O$155*$X$155</f>
        <v>0</v>
      </c>
      <c r="AE155" s="6">
        <f ca="1">$K$155*$Y$155</f>
        <v>47856.33572231295</v>
      </c>
      <c r="AF155" s="6">
        <f>$M$155*$Z$155</f>
        <v>0</v>
      </c>
      <c r="AG155" s="6">
        <f>$O$155*$AA$155</f>
        <v>0</v>
      </c>
    </row>
    <row r="156" spans="1:33" ht="11.25" customHeight="1" x14ac:dyDescent="0.25">
      <c r="A156" s="4" t="s">
        <v>28</v>
      </c>
      <c r="B156" s="4" t="s">
        <v>33</v>
      </c>
      <c r="C156" s="4" t="s">
        <v>34</v>
      </c>
      <c r="D156" s="4" t="s">
        <v>38</v>
      </c>
      <c r="E156" s="4" t="s">
        <v>25</v>
      </c>
      <c r="F156" s="4" t="s">
        <v>25</v>
      </c>
      <c r="G156" s="4" t="s">
        <v>25</v>
      </c>
      <c r="H156" s="4" t="s">
        <v>25</v>
      </c>
      <c r="I156" s="5">
        <v>44531</v>
      </c>
      <c r="J156" s="6">
        <v>270</v>
      </c>
      <c r="K156" s="6">
        <v>270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4" t="s">
        <v>26</v>
      </c>
      <c r="R156" s="4">
        <v>0</v>
      </c>
      <c r="S156" s="6">
        <v>65</v>
      </c>
      <c r="T156" s="6">
        <v>0</v>
      </c>
      <c r="U156" s="6">
        <v>0</v>
      </c>
      <c r="V156" s="6">
        <f>IF(ISERROR(VLOOKUP($S$156,'TAR FIN'!$A$1:$O$85,15,0)),0,VLOOKUP($S$156,'TAR FIN'!$A$1:$O$85,15,0))</f>
        <v>23.41</v>
      </c>
      <c r="W156" s="6">
        <f>IF(ISERROR(VLOOKUP($T$156,'TAR FIN'!$A$1:$O$85,15,0)),0,VLOOKUP($T$156,'TAR FIN'!$A$1:$O$85,15,0))</f>
        <v>0</v>
      </c>
      <c r="X156" s="6">
        <f>IF(ISERROR(VLOOKUP($U$156,'TAR FIN'!$A$1:$O$85,15,0)),0,VLOOKUP($U$156,'TAR FIN'!$A$1:$O$85,15,0))</f>
        <v>0</v>
      </c>
      <c r="Y156" s="6">
        <f ca="1">('TUSD BE'!$AM$10+'TUSD BF'!$AM$10+'TUSD CVA'!$AM$10)*1</f>
        <v>24.267918723282428</v>
      </c>
      <c r="Z156" s="6"/>
      <c r="AA156" s="6"/>
      <c r="AB156" s="6">
        <f>$K$156*$V$156</f>
        <v>6320.7</v>
      </c>
      <c r="AC156" s="6">
        <f>$M$156*$W$156</f>
        <v>0</v>
      </c>
      <c r="AD156" s="6">
        <f>$O$156*$X$156</f>
        <v>0</v>
      </c>
      <c r="AE156" s="6">
        <f ca="1">$K$156*$Y$156</f>
        <v>6552.3380552862554</v>
      </c>
      <c r="AF156" s="6">
        <f>$M$156*$Z$156</f>
        <v>0</v>
      </c>
      <c r="AG156" s="6">
        <f>$O$156*$AA$156</f>
        <v>0</v>
      </c>
    </row>
    <row r="157" spans="1:33" ht="11.25" customHeight="1" x14ac:dyDescent="0.25">
      <c r="A157" s="4" t="s">
        <v>21</v>
      </c>
      <c r="B157" s="4" t="s">
        <v>33</v>
      </c>
      <c r="C157" s="4" t="s">
        <v>34</v>
      </c>
      <c r="D157" s="4" t="s">
        <v>38</v>
      </c>
      <c r="E157" s="4" t="s">
        <v>25</v>
      </c>
      <c r="F157" s="4" t="s">
        <v>25</v>
      </c>
      <c r="G157" s="4" t="s">
        <v>25</v>
      </c>
      <c r="H157" s="4" t="s">
        <v>25</v>
      </c>
      <c r="I157" s="5">
        <v>44562</v>
      </c>
      <c r="J157" s="6">
        <v>2286</v>
      </c>
      <c r="K157" s="6">
        <v>2286</v>
      </c>
      <c r="L157" s="6">
        <v>0</v>
      </c>
      <c r="M157" s="6">
        <v>0</v>
      </c>
      <c r="N157" s="6">
        <v>0</v>
      </c>
      <c r="O157" s="6">
        <v>0</v>
      </c>
      <c r="P157" s="6">
        <v>11</v>
      </c>
      <c r="Q157" s="4" t="s">
        <v>26</v>
      </c>
      <c r="R157" s="4">
        <v>0</v>
      </c>
      <c r="S157" s="6">
        <v>65</v>
      </c>
      <c r="T157" s="6">
        <v>0</v>
      </c>
      <c r="U157" s="6">
        <v>0</v>
      </c>
      <c r="V157" s="6">
        <f>IF(ISERROR(VLOOKUP($S$157,'TAR FIN'!$A$1:$O$85,15,0)),0,VLOOKUP($S$157,'TAR FIN'!$A$1:$O$85,15,0))</f>
        <v>23.41</v>
      </c>
      <c r="W157" s="6">
        <f>IF(ISERROR(VLOOKUP($T$157,'TAR FIN'!$A$1:$O$85,15,0)),0,VLOOKUP($T$157,'TAR FIN'!$A$1:$O$85,15,0))</f>
        <v>0</v>
      </c>
      <c r="X157" s="6">
        <f>IF(ISERROR(VLOOKUP($U$157,'TAR FIN'!$A$1:$O$85,15,0)),0,VLOOKUP($U$157,'TAR FIN'!$A$1:$O$85,15,0))</f>
        <v>0</v>
      </c>
      <c r="Y157" s="6">
        <f ca="1">('TUSD BE'!$AM$10+'TUSD BF'!$AM$10+'TUSD CVA'!$AM$10)*1</f>
        <v>24.267918723282428</v>
      </c>
      <c r="Z157" s="6"/>
      <c r="AA157" s="6"/>
      <c r="AB157" s="6">
        <f>$K$157*$V$157</f>
        <v>53515.26</v>
      </c>
      <c r="AC157" s="6">
        <f>$M$157*$W$157</f>
        <v>0</v>
      </c>
      <c r="AD157" s="6">
        <f>$O$157*$X$157</f>
        <v>0</v>
      </c>
      <c r="AE157" s="6">
        <f ca="1">$K$157*$Y$157</f>
        <v>55476.46220142363</v>
      </c>
      <c r="AF157" s="6">
        <f>$M$157*$Z$157</f>
        <v>0</v>
      </c>
      <c r="AG157" s="6">
        <f>$O$157*$AA$157</f>
        <v>0</v>
      </c>
    </row>
    <row r="158" spans="1:33" ht="11.25" customHeight="1" x14ac:dyDescent="0.25">
      <c r="A158" s="4" t="s">
        <v>28</v>
      </c>
      <c r="B158" s="4" t="s">
        <v>33</v>
      </c>
      <c r="C158" s="4" t="s">
        <v>34</v>
      </c>
      <c r="D158" s="4" t="s">
        <v>38</v>
      </c>
      <c r="E158" s="4" t="s">
        <v>25</v>
      </c>
      <c r="F158" s="4" t="s">
        <v>25</v>
      </c>
      <c r="G158" s="4" t="s">
        <v>25</v>
      </c>
      <c r="H158" s="4" t="s">
        <v>25</v>
      </c>
      <c r="I158" s="5">
        <v>44562</v>
      </c>
      <c r="J158" s="6">
        <v>270</v>
      </c>
      <c r="K158" s="6">
        <v>270</v>
      </c>
      <c r="L158" s="6">
        <v>0</v>
      </c>
      <c r="M158" s="6">
        <v>0</v>
      </c>
      <c r="N158" s="6">
        <v>0</v>
      </c>
      <c r="O158" s="6">
        <v>0</v>
      </c>
      <c r="P158" s="6">
        <v>1</v>
      </c>
      <c r="Q158" s="4" t="s">
        <v>26</v>
      </c>
      <c r="R158" s="4">
        <v>0</v>
      </c>
      <c r="S158" s="6">
        <v>65</v>
      </c>
      <c r="T158" s="6">
        <v>0</v>
      </c>
      <c r="U158" s="6">
        <v>0</v>
      </c>
      <c r="V158" s="6">
        <f>IF(ISERROR(VLOOKUP($S$158,'TAR FIN'!$A$1:$O$85,15,0)),0,VLOOKUP($S$158,'TAR FIN'!$A$1:$O$85,15,0))</f>
        <v>23.41</v>
      </c>
      <c r="W158" s="6">
        <f>IF(ISERROR(VLOOKUP($T$158,'TAR FIN'!$A$1:$O$85,15,0)),0,VLOOKUP($T$158,'TAR FIN'!$A$1:$O$85,15,0))</f>
        <v>0</v>
      </c>
      <c r="X158" s="6">
        <f>IF(ISERROR(VLOOKUP($U$158,'TAR FIN'!$A$1:$O$85,15,0)),0,VLOOKUP($U$158,'TAR FIN'!$A$1:$O$85,15,0))</f>
        <v>0</v>
      </c>
      <c r="Y158" s="6">
        <f ca="1">('TUSD BE'!$AM$10+'TUSD BF'!$AM$10+'TUSD CVA'!$AM$10)*1</f>
        <v>24.267918723282428</v>
      </c>
      <c r="Z158" s="6"/>
      <c r="AA158" s="6"/>
      <c r="AB158" s="6">
        <f>$K$158*$V$158</f>
        <v>6320.7</v>
      </c>
      <c r="AC158" s="6">
        <f>$M$158*$W$158</f>
        <v>0</v>
      </c>
      <c r="AD158" s="6">
        <f>$O$158*$X$158</f>
        <v>0</v>
      </c>
      <c r="AE158" s="6">
        <f ca="1">$K$158*$Y$158</f>
        <v>6552.3380552862554</v>
      </c>
      <c r="AF158" s="6">
        <f>$M$158*$Z$158</f>
        <v>0</v>
      </c>
      <c r="AG158" s="6">
        <f>$O$158*$AA$158</f>
        <v>0</v>
      </c>
    </row>
    <row r="159" spans="1:33" ht="11.25" customHeight="1" x14ac:dyDescent="0.25">
      <c r="A159" s="4" t="s">
        <v>21</v>
      </c>
      <c r="B159" s="4" t="s">
        <v>33</v>
      </c>
      <c r="C159" s="4" t="s">
        <v>34</v>
      </c>
      <c r="D159" s="4" t="s">
        <v>38</v>
      </c>
      <c r="E159" s="4" t="s">
        <v>25</v>
      </c>
      <c r="F159" s="4" t="s">
        <v>25</v>
      </c>
      <c r="G159" s="4" t="s">
        <v>25</v>
      </c>
      <c r="H159" s="4" t="s">
        <v>25</v>
      </c>
      <c r="I159" s="5">
        <v>44593</v>
      </c>
      <c r="J159" s="6">
        <v>2296</v>
      </c>
      <c r="K159" s="6">
        <v>2296</v>
      </c>
      <c r="L159" s="6">
        <v>0</v>
      </c>
      <c r="M159" s="6">
        <v>0</v>
      </c>
      <c r="N159" s="6">
        <v>0</v>
      </c>
      <c r="O159" s="6">
        <v>0</v>
      </c>
      <c r="P159" s="6">
        <v>11</v>
      </c>
      <c r="Q159" s="4" t="s">
        <v>26</v>
      </c>
      <c r="R159" s="4">
        <v>0</v>
      </c>
      <c r="S159" s="6">
        <v>65</v>
      </c>
      <c r="T159" s="6">
        <v>0</v>
      </c>
      <c r="U159" s="6">
        <v>0</v>
      </c>
      <c r="V159" s="6">
        <f>IF(ISERROR(VLOOKUP($S$159,'TAR FIN'!$A$1:$O$85,15,0)),0,VLOOKUP($S$159,'TAR FIN'!$A$1:$O$85,15,0))</f>
        <v>23.41</v>
      </c>
      <c r="W159" s="6">
        <f>IF(ISERROR(VLOOKUP($T$159,'TAR FIN'!$A$1:$O$85,15,0)),0,VLOOKUP($T$159,'TAR FIN'!$A$1:$O$85,15,0))</f>
        <v>0</v>
      </c>
      <c r="X159" s="6">
        <f>IF(ISERROR(VLOOKUP($U$159,'TAR FIN'!$A$1:$O$85,15,0)),0,VLOOKUP($U$159,'TAR FIN'!$A$1:$O$85,15,0))</f>
        <v>0</v>
      </c>
      <c r="Y159" s="6">
        <f ca="1">('TUSD BE'!$AM$10+'TUSD BF'!$AM$10+'TUSD CVA'!$AM$10)*1</f>
        <v>24.267918723282428</v>
      </c>
      <c r="Z159" s="6"/>
      <c r="AA159" s="6"/>
      <c r="AB159" s="6">
        <f>$K$159*$V$159</f>
        <v>53749.36</v>
      </c>
      <c r="AC159" s="6">
        <f>$M$159*$W$159</f>
        <v>0</v>
      </c>
      <c r="AD159" s="6">
        <f>$O$159*$X$159</f>
        <v>0</v>
      </c>
      <c r="AE159" s="6">
        <f ca="1">$K$159*$Y$159</f>
        <v>55719.141388656455</v>
      </c>
      <c r="AF159" s="6">
        <f>$M$159*$Z$159</f>
        <v>0</v>
      </c>
      <c r="AG159" s="6">
        <f>$O$159*$AA$159</f>
        <v>0</v>
      </c>
    </row>
    <row r="160" spans="1:33" ht="11.25" customHeight="1" x14ac:dyDescent="0.25">
      <c r="A160" s="4" t="s">
        <v>28</v>
      </c>
      <c r="B160" s="4" t="s">
        <v>33</v>
      </c>
      <c r="C160" s="4" t="s">
        <v>34</v>
      </c>
      <c r="D160" s="4" t="s">
        <v>38</v>
      </c>
      <c r="E160" s="4" t="s">
        <v>25</v>
      </c>
      <c r="F160" s="4" t="s">
        <v>25</v>
      </c>
      <c r="G160" s="4" t="s">
        <v>25</v>
      </c>
      <c r="H160" s="4" t="s">
        <v>25</v>
      </c>
      <c r="I160" s="5">
        <v>44593</v>
      </c>
      <c r="J160" s="6">
        <v>270</v>
      </c>
      <c r="K160" s="6">
        <v>270</v>
      </c>
      <c r="L160" s="6">
        <v>0</v>
      </c>
      <c r="M160" s="6">
        <v>0</v>
      </c>
      <c r="N160" s="6">
        <v>0</v>
      </c>
      <c r="O160" s="6">
        <v>0</v>
      </c>
      <c r="P160" s="6">
        <v>1</v>
      </c>
      <c r="Q160" s="4" t="s">
        <v>26</v>
      </c>
      <c r="R160" s="4">
        <v>0</v>
      </c>
      <c r="S160" s="6">
        <v>65</v>
      </c>
      <c r="T160" s="6">
        <v>0</v>
      </c>
      <c r="U160" s="6">
        <v>0</v>
      </c>
      <c r="V160" s="6">
        <f>IF(ISERROR(VLOOKUP($S$160,'TAR FIN'!$A$1:$O$85,15,0)),0,VLOOKUP($S$160,'TAR FIN'!$A$1:$O$85,15,0))</f>
        <v>23.41</v>
      </c>
      <c r="W160" s="6">
        <f>IF(ISERROR(VLOOKUP($T$160,'TAR FIN'!$A$1:$O$85,15,0)),0,VLOOKUP($T$160,'TAR FIN'!$A$1:$O$85,15,0))</f>
        <v>0</v>
      </c>
      <c r="X160" s="6">
        <f>IF(ISERROR(VLOOKUP($U$160,'TAR FIN'!$A$1:$O$85,15,0)),0,VLOOKUP($U$160,'TAR FIN'!$A$1:$O$85,15,0))</f>
        <v>0</v>
      </c>
      <c r="Y160" s="6">
        <f ca="1">('TUSD BE'!$AM$10+'TUSD BF'!$AM$10+'TUSD CVA'!$AM$10)*1</f>
        <v>24.267918723282428</v>
      </c>
      <c r="Z160" s="6"/>
      <c r="AA160" s="6"/>
      <c r="AB160" s="6">
        <f>$K$160*$V$160</f>
        <v>6320.7</v>
      </c>
      <c r="AC160" s="6">
        <f>$M$160*$W$160</f>
        <v>0</v>
      </c>
      <c r="AD160" s="6">
        <f>$O$160*$X$160</f>
        <v>0</v>
      </c>
      <c r="AE160" s="6">
        <f ca="1">$K$160*$Y$160</f>
        <v>6552.3380552862554</v>
      </c>
      <c r="AF160" s="6">
        <f>$M$160*$Z$160</f>
        <v>0</v>
      </c>
      <c r="AG160" s="6">
        <f>$O$160*$AA$160</f>
        <v>0</v>
      </c>
    </row>
    <row r="161" spans="1:33" ht="11.25" customHeight="1" x14ac:dyDescent="0.25">
      <c r="A161" s="4" t="s">
        <v>54</v>
      </c>
      <c r="B161" s="4" t="s">
        <v>33</v>
      </c>
      <c r="C161" s="4" t="s">
        <v>34</v>
      </c>
      <c r="D161" s="4" t="s">
        <v>38</v>
      </c>
      <c r="E161" s="4" t="s">
        <v>25</v>
      </c>
      <c r="F161" s="4" t="s">
        <v>25</v>
      </c>
      <c r="G161" s="4" t="s">
        <v>25</v>
      </c>
      <c r="H161" s="4" t="s">
        <v>25</v>
      </c>
      <c r="I161" s="5">
        <v>44621</v>
      </c>
      <c r="J161" s="6">
        <v>2296</v>
      </c>
      <c r="K161" s="6">
        <v>2296</v>
      </c>
      <c r="L161" s="6">
        <v>0</v>
      </c>
      <c r="M161" s="6">
        <v>0</v>
      </c>
      <c r="N161" s="6">
        <v>0</v>
      </c>
      <c r="O161" s="6">
        <v>0</v>
      </c>
      <c r="P161" s="6">
        <v>11</v>
      </c>
      <c r="Q161" s="4" t="s">
        <v>26</v>
      </c>
      <c r="R161" s="4">
        <v>0</v>
      </c>
      <c r="S161" s="6">
        <v>65</v>
      </c>
      <c r="T161" s="6">
        <v>0</v>
      </c>
      <c r="U161" s="6">
        <v>0</v>
      </c>
      <c r="V161" s="6">
        <f>IF(ISERROR(VLOOKUP($S$161,'TAR FIN'!$A$1:$O$85,15,0)),0,VLOOKUP($S$161,'TAR FIN'!$A$1:$O$85,15,0))</f>
        <v>23.41</v>
      </c>
      <c r="W161" s="6">
        <f>IF(ISERROR(VLOOKUP($T$161,'TAR FIN'!$A$1:$O$85,15,0)),0,VLOOKUP($T$161,'TAR FIN'!$A$1:$O$85,15,0))</f>
        <v>0</v>
      </c>
      <c r="X161" s="6">
        <f>IF(ISERROR(VLOOKUP($U$161,'TAR FIN'!$A$1:$O$85,15,0)),0,VLOOKUP($U$161,'TAR FIN'!$A$1:$O$85,15,0))</f>
        <v>0</v>
      </c>
      <c r="Y161" s="6">
        <f ca="1">('TUSD BE'!$AM$10+'TUSD BF'!$AM$10+'TUSD CVA'!$AM$10)*1</f>
        <v>24.267918723282428</v>
      </c>
      <c r="Z161" s="6"/>
      <c r="AA161" s="6"/>
      <c r="AB161" s="6">
        <f>$K$161*$V$161</f>
        <v>53749.36</v>
      </c>
      <c r="AC161" s="6">
        <f>$M$161*$W$161</f>
        <v>0</v>
      </c>
      <c r="AD161" s="6">
        <f>$O$161*$X$161</f>
        <v>0</v>
      </c>
      <c r="AE161" s="6">
        <f ca="1">$K$161*$Y$161</f>
        <v>55719.141388656455</v>
      </c>
      <c r="AF161" s="6">
        <f>$M$161*$Z$161</f>
        <v>0</v>
      </c>
      <c r="AG161" s="6">
        <f>$O$161*$AA$161</f>
        <v>0</v>
      </c>
    </row>
    <row r="162" spans="1:33" ht="11.25" customHeight="1" x14ac:dyDescent="0.25">
      <c r="A162" s="4" t="s">
        <v>54</v>
      </c>
      <c r="B162" s="4" t="s">
        <v>33</v>
      </c>
      <c r="C162" s="4" t="s">
        <v>34</v>
      </c>
      <c r="D162" s="4" t="s">
        <v>38</v>
      </c>
      <c r="E162" s="4" t="s">
        <v>25</v>
      </c>
      <c r="F162" s="4" t="s">
        <v>25</v>
      </c>
      <c r="G162" s="4" t="s">
        <v>25</v>
      </c>
      <c r="H162" s="4" t="s">
        <v>25</v>
      </c>
      <c r="I162" s="5">
        <v>44621</v>
      </c>
      <c r="J162" s="6">
        <v>270</v>
      </c>
      <c r="K162" s="6">
        <v>270</v>
      </c>
      <c r="L162" s="6">
        <v>0</v>
      </c>
      <c r="M162" s="6">
        <v>0</v>
      </c>
      <c r="N162" s="6">
        <v>0</v>
      </c>
      <c r="O162" s="6">
        <v>0</v>
      </c>
      <c r="P162" s="6">
        <v>1</v>
      </c>
      <c r="Q162" s="4" t="s">
        <v>26</v>
      </c>
      <c r="R162" s="4">
        <v>0</v>
      </c>
      <c r="S162" s="6">
        <v>65</v>
      </c>
      <c r="T162" s="6">
        <v>0</v>
      </c>
      <c r="U162" s="6">
        <v>0</v>
      </c>
      <c r="V162" s="6">
        <f>IF(ISERROR(VLOOKUP($S$162,'TAR FIN'!$A$1:$O$85,15,0)),0,VLOOKUP($S$162,'TAR FIN'!$A$1:$O$85,15,0))</f>
        <v>23.41</v>
      </c>
      <c r="W162" s="6">
        <f>IF(ISERROR(VLOOKUP($T$162,'TAR FIN'!$A$1:$O$85,15,0)),0,VLOOKUP($T$162,'TAR FIN'!$A$1:$O$85,15,0))</f>
        <v>0</v>
      </c>
      <c r="X162" s="6">
        <f>IF(ISERROR(VLOOKUP($U$162,'TAR FIN'!$A$1:$O$85,15,0)),0,VLOOKUP($U$162,'TAR FIN'!$A$1:$O$85,15,0))</f>
        <v>0</v>
      </c>
      <c r="Y162" s="6">
        <f ca="1">('TUSD BE'!$AM$10+'TUSD BF'!$AM$10+'TUSD CVA'!$AM$10)*1</f>
        <v>24.267918723282428</v>
      </c>
      <c r="Z162" s="6"/>
      <c r="AA162" s="6"/>
      <c r="AB162" s="6">
        <f>$K$162*$V$162</f>
        <v>6320.7</v>
      </c>
      <c r="AC162" s="6">
        <f>$M$162*$W$162</f>
        <v>0</v>
      </c>
      <c r="AD162" s="6">
        <f>$O$162*$X$162</f>
        <v>0</v>
      </c>
      <c r="AE162" s="6">
        <f ca="1">$K$162*$Y$162</f>
        <v>6552.3380552862554</v>
      </c>
      <c r="AF162" s="6">
        <f>$M$162*$Z$162</f>
        <v>0</v>
      </c>
      <c r="AG162" s="6">
        <f>$O$162*$AA$162</f>
        <v>0</v>
      </c>
    </row>
    <row r="163" spans="1:33" ht="11.25" customHeight="1" x14ac:dyDescent="0.25">
      <c r="A163" s="4" t="s">
        <v>21</v>
      </c>
      <c r="B163" s="4" t="s">
        <v>33</v>
      </c>
      <c r="C163" s="4" t="s">
        <v>34</v>
      </c>
      <c r="D163" s="4" t="s">
        <v>38</v>
      </c>
      <c r="E163" s="4" t="s">
        <v>25</v>
      </c>
      <c r="F163" s="4" t="s">
        <v>25</v>
      </c>
      <c r="G163" s="4" t="s">
        <v>25</v>
      </c>
      <c r="H163" s="4" t="s">
        <v>35</v>
      </c>
      <c r="I163" s="5">
        <v>44287</v>
      </c>
      <c r="J163" s="6">
        <v>0</v>
      </c>
      <c r="K163" s="6">
        <v>0</v>
      </c>
      <c r="L163" s="6">
        <v>83.936000000000007</v>
      </c>
      <c r="M163" s="6">
        <v>83.936000000000007</v>
      </c>
      <c r="N163" s="6">
        <v>83.936000000000007</v>
      </c>
      <c r="O163" s="6">
        <v>83.936000000000007</v>
      </c>
      <c r="P163" s="6">
        <v>0</v>
      </c>
      <c r="Q163" s="4" t="s">
        <v>26</v>
      </c>
      <c r="R163" s="4">
        <v>0</v>
      </c>
      <c r="S163" s="6">
        <v>0</v>
      </c>
      <c r="T163" s="6">
        <v>66</v>
      </c>
      <c r="U163" s="6">
        <v>6</v>
      </c>
      <c r="V163" s="6">
        <f>IF(ISERROR(VLOOKUP($S$163,'TAR FIN'!$A$1:$O$85,15,0)),0,VLOOKUP($S$163,'TAR FIN'!$A$1:$O$85,15,0))</f>
        <v>0</v>
      </c>
      <c r="W163" s="6">
        <f>IF(ISERROR(VLOOKUP($T$163,'TAR FIN'!$A$1:$O$85,15,0)),0,VLOOKUP($T$163,'TAR FIN'!$A$1:$O$85,15,0))</f>
        <v>2263.58</v>
      </c>
      <c r="X163" s="6">
        <f>IF(ISERROR(VLOOKUP($U$163,'TAR FIN'!$A$1:$O$85,15,0)),0,VLOOKUP($U$163,'TAR FIN'!$A$1:$O$85,15,0))</f>
        <v>223.72</v>
      </c>
      <c r="Y163" s="6"/>
      <c r="Z163" s="6">
        <f ca="1">('TUSD BE'!$AM$11+'TUSD BF'!$AM$11+'TUSD CVA'!$AM$11)*1</f>
        <v>2373.6759655636811</v>
      </c>
      <c r="AA163" s="6">
        <f>('TE BE'!$AA$5+'TE BF'!$AA$5+'TE CVA'!$AA$5)*1</f>
        <v>217.62939920622892</v>
      </c>
      <c r="AB163" s="6">
        <f>$K$163*$V$163</f>
        <v>0</v>
      </c>
      <c r="AC163" s="6">
        <f>$M$163*$W$163</f>
        <v>189995.85088000001</v>
      </c>
      <c r="AD163" s="6">
        <f>$O$163*$X$163</f>
        <v>18778.161920000002</v>
      </c>
      <c r="AE163" s="6">
        <f>$K$163*$Y$163</f>
        <v>0</v>
      </c>
      <c r="AF163" s="6">
        <f ca="1">$M$163*$Z$163</f>
        <v>199236.86584555314</v>
      </c>
      <c r="AG163" s="6">
        <f>$O$163*$AA$163</f>
        <v>18266.941251774031</v>
      </c>
    </row>
    <row r="164" spans="1:33" ht="11.25" customHeight="1" x14ac:dyDescent="0.25">
      <c r="A164" s="4" t="s">
        <v>21</v>
      </c>
      <c r="B164" s="4" t="s">
        <v>33</v>
      </c>
      <c r="C164" s="4" t="s">
        <v>34</v>
      </c>
      <c r="D164" s="4" t="s">
        <v>38</v>
      </c>
      <c r="E164" s="4" t="s">
        <v>25</v>
      </c>
      <c r="F164" s="4" t="s">
        <v>25</v>
      </c>
      <c r="G164" s="4" t="s">
        <v>25</v>
      </c>
      <c r="H164" s="4" t="s">
        <v>35</v>
      </c>
      <c r="I164" s="5">
        <v>44317</v>
      </c>
      <c r="J164" s="6">
        <v>0</v>
      </c>
      <c r="K164" s="6">
        <v>0</v>
      </c>
      <c r="L164" s="6">
        <v>60.029000000000003</v>
      </c>
      <c r="M164" s="6">
        <v>60.029000000000003</v>
      </c>
      <c r="N164" s="6">
        <v>60.029000000000003</v>
      </c>
      <c r="O164" s="6">
        <v>60.029000000000003</v>
      </c>
      <c r="P164" s="6">
        <v>0</v>
      </c>
      <c r="Q164" s="4" t="s">
        <v>26</v>
      </c>
      <c r="R164" s="4">
        <v>0</v>
      </c>
      <c r="S164" s="6">
        <v>0</v>
      </c>
      <c r="T164" s="6">
        <v>66</v>
      </c>
      <c r="U164" s="6">
        <v>6</v>
      </c>
      <c r="V164" s="6">
        <f>IF(ISERROR(VLOOKUP($S$164,'TAR FIN'!$A$1:$O$85,15,0)),0,VLOOKUP($S$164,'TAR FIN'!$A$1:$O$85,15,0))</f>
        <v>0</v>
      </c>
      <c r="W164" s="6">
        <f>IF(ISERROR(VLOOKUP($T$164,'TAR FIN'!$A$1:$O$85,15,0)),0,VLOOKUP($T$164,'TAR FIN'!$A$1:$O$85,15,0))</f>
        <v>2263.58</v>
      </c>
      <c r="X164" s="6">
        <f>IF(ISERROR(VLOOKUP($U$164,'TAR FIN'!$A$1:$O$85,15,0)),0,VLOOKUP($U$164,'TAR FIN'!$A$1:$O$85,15,0))</f>
        <v>223.72</v>
      </c>
      <c r="Y164" s="6"/>
      <c r="Z164" s="6">
        <f ca="1">('TUSD BE'!$AM$11+'TUSD BF'!$AM$11+'TUSD CVA'!$AM$11)*1</f>
        <v>2373.6759655636811</v>
      </c>
      <c r="AA164" s="6">
        <f>('TE BE'!$AA$5+'TE BF'!$AA$5+'TE CVA'!$AA$5)*1</f>
        <v>217.62939920622892</v>
      </c>
      <c r="AB164" s="6">
        <f>$K$164*$V$164</f>
        <v>0</v>
      </c>
      <c r="AC164" s="6">
        <f>$M$164*$W$164</f>
        <v>135880.44382000001</v>
      </c>
      <c r="AD164" s="6">
        <f>$O$164*$X$164</f>
        <v>13429.687880000001</v>
      </c>
      <c r="AE164" s="6">
        <f>$K$164*$Y$164</f>
        <v>0</v>
      </c>
      <c r="AF164" s="6">
        <f ca="1">$M$164*$Z$164</f>
        <v>142489.39453682222</v>
      </c>
      <c r="AG164" s="6">
        <f>$O$164*$AA$164</f>
        <v>13064.075204950717</v>
      </c>
    </row>
    <row r="165" spans="1:33" ht="11.25" customHeight="1" x14ac:dyDescent="0.25">
      <c r="A165" s="4" t="s">
        <v>21</v>
      </c>
      <c r="B165" s="4" t="s">
        <v>33</v>
      </c>
      <c r="C165" s="4" t="s">
        <v>34</v>
      </c>
      <c r="D165" s="4" t="s">
        <v>38</v>
      </c>
      <c r="E165" s="4" t="s">
        <v>25</v>
      </c>
      <c r="F165" s="4" t="s">
        <v>25</v>
      </c>
      <c r="G165" s="4" t="s">
        <v>25</v>
      </c>
      <c r="H165" s="4" t="s">
        <v>35</v>
      </c>
      <c r="I165" s="5">
        <v>44348</v>
      </c>
      <c r="J165" s="6">
        <v>0</v>
      </c>
      <c r="K165" s="6">
        <v>0</v>
      </c>
      <c r="L165" s="6">
        <v>30.277000000000001</v>
      </c>
      <c r="M165" s="6">
        <v>30.277000000000001</v>
      </c>
      <c r="N165" s="6">
        <v>30.277000000000001</v>
      </c>
      <c r="O165" s="6">
        <v>30.277000000000001</v>
      </c>
      <c r="P165" s="6">
        <v>0</v>
      </c>
      <c r="Q165" s="4" t="s">
        <v>26</v>
      </c>
      <c r="R165" s="4">
        <v>0</v>
      </c>
      <c r="S165" s="6">
        <v>0</v>
      </c>
      <c r="T165" s="6">
        <v>66</v>
      </c>
      <c r="U165" s="6">
        <v>6</v>
      </c>
      <c r="V165" s="6">
        <f>IF(ISERROR(VLOOKUP($S$165,'TAR FIN'!$A$1:$O$85,15,0)),0,VLOOKUP($S$165,'TAR FIN'!$A$1:$O$85,15,0))</f>
        <v>0</v>
      </c>
      <c r="W165" s="6">
        <f>IF(ISERROR(VLOOKUP($T$165,'TAR FIN'!$A$1:$O$85,15,0)),0,VLOOKUP($T$165,'TAR FIN'!$A$1:$O$85,15,0))</f>
        <v>2263.58</v>
      </c>
      <c r="X165" s="6">
        <f>IF(ISERROR(VLOOKUP($U$165,'TAR FIN'!$A$1:$O$85,15,0)),0,VLOOKUP($U$165,'TAR FIN'!$A$1:$O$85,15,0))</f>
        <v>223.72</v>
      </c>
      <c r="Y165" s="6"/>
      <c r="Z165" s="6">
        <f ca="1">('TUSD BE'!$AM$11+'TUSD BF'!$AM$11+'TUSD CVA'!$AM$11)*1</f>
        <v>2373.6759655636811</v>
      </c>
      <c r="AA165" s="6">
        <f>('TE BE'!$AA$5+'TE BF'!$AA$5+'TE CVA'!$AA$5)*1</f>
        <v>217.62939920622892</v>
      </c>
      <c r="AB165" s="6">
        <f>$K$165*$V$165</f>
        <v>0</v>
      </c>
      <c r="AC165" s="6">
        <f>$M$165*$W$165</f>
        <v>68534.411659999998</v>
      </c>
      <c r="AD165" s="6">
        <f>$O$165*$X$165</f>
        <v>6773.5704400000004</v>
      </c>
      <c r="AE165" s="6">
        <f>$K$165*$Y$165</f>
        <v>0</v>
      </c>
      <c r="AF165" s="6">
        <f ca="1">$M$165*$Z$165</f>
        <v>71867.78720937157</v>
      </c>
      <c r="AG165" s="6">
        <f>$O$165*$AA$165</f>
        <v>6589.165319766993</v>
      </c>
    </row>
    <row r="166" spans="1:33" ht="11.25" customHeight="1" x14ac:dyDescent="0.25">
      <c r="A166" s="4" t="s">
        <v>21</v>
      </c>
      <c r="B166" s="4" t="s">
        <v>33</v>
      </c>
      <c r="C166" s="4" t="s">
        <v>34</v>
      </c>
      <c r="D166" s="4" t="s">
        <v>38</v>
      </c>
      <c r="E166" s="4" t="s">
        <v>25</v>
      </c>
      <c r="F166" s="4" t="s">
        <v>25</v>
      </c>
      <c r="G166" s="4" t="s">
        <v>25</v>
      </c>
      <c r="H166" s="4" t="s">
        <v>35</v>
      </c>
      <c r="I166" s="5">
        <v>44378</v>
      </c>
      <c r="J166" s="6">
        <v>0</v>
      </c>
      <c r="K166" s="6">
        <v>0</v>
      </c>
      <c r="L166" s="6">
        <v>21.472000000000001</v>
      </c>
      <c r="M166" s="6">
        <v>21.472000000000001</v>
      </c>
      <c r="N166" s="6">
        <v>21.472000000000001</v>
      </c>
      <c r="O166" s="6">
        <v>21.472000000000001</v>
      </c>
      <c r="P166" s="6">
        <v>0</v>
      </c>
      <c r="Q166" s="4" t="s">
        <v>26</v>
      </c>
      <c r="R166" s="4">
        <v>0</v>
      </c>
      <c r="S166" s="6">
        <v>0</v>
      </c>
      <c r="T166" s="6">
        <v>66</v>
      </c>
      <c r="U166" s="6">
        <v>6</v>
      </c>
      <c r="V166" s="6">
        <f>IF(ISERROR(VLOOKUP($S$166,'TAR FIN'!$A$1:$O$85,15,0)),0,VLOOKUP($S$166,'TAR FIN'!$A$1:$O$85,15,0))</f>
        <v>0</v>
      </c>
      <c r="W166" s="6">
        <f>IF(ISERROR(VLOOKUP($T$166,'TAR FIN'!$A$1:$O$85,15,0)),0,VLOOKUP($T$166,'TAR FIN'!$A$1:$O$85,15,0))</f>
        <v>2263.58</v>
      </c>
      <c r="X166" s="6">
        <f>IF(ISERROR(VLOOKUP($U$166,'TAR FIN'!$A$1:$O$85,15,0)),0,VLOOKUP($U$166,'TAR FIN'!$A$1:$O$85,15,0))</f>
        <v>223.72</v>
      </c>
      <c r="Y166" s="6"/>
      <c r="Z166" s="6">
        <f ca="1">('TUSD BE'!$AM$11+'TUSD BF'!$AM$11+'TUSD CVA'!$AM$11)*1</f>
        <v>2373.6759655636811</v>
      </c>
      <c r="AA166" s="6">
        <f>('TE BE'!$AA$5+'TE BF'!$AA$5+'TE CVA'!$AA$5)*1</f>
        <v>217.62939920622892</v>
      </c>
      <c r="AB166" s="6">
        <f>$K$166*$V$166</f>
        <v>0</v>
      </c>
      <c r="AC166" s="6">
        <f>$M$166*$W$166</f>
        <v>48603.589760000003</v>
      </c>
      <c r="AD166" s="6">
        <f>$O$166*$X$166</f>
        <v>4803.7158399999998</v>
      </c>
      <c r="AE166" s="6">
        <f>$K$166*$Y$166</f>
        <v>0</v>
      </c>
      <c r="AF166" s="6">
        <f ca="1">$M$166*$Z$166</f>
        <v>50967.57033258336</v>
      </c>
      <c r="AG166" s="6">
        <f>$O$166*$AA$166</f>
        <v>4672.9384597561475</v>
      </c>
    </row>
    <row r="167" spans="1:33" ht="11.25" customHeight="1" x14ac:dyDescent="0.25">
      <c r="A167" s="4" t="s">
        <v>21</v>
      </c>
      <c r="B167" s="4" t="s">
        <v>33</v>
      </c>
      <c r="C167" s="4" t="s">
        <v>34</v>
      </c>
      <c r="D167" s="4" t="s">
        <v>38</v>
      </c>
      <c r="E167" s="4" t="s">
        <v>25</v>
      </c>
      <c r="F167" s="4" t="s">
        <v>25</v>
      </c>
      <c r="G167" s="4" t="s">
        <v>25</v>
      </c>
      <c r="H167" s="4" t="s">
        <v>35</v>
      </c>
      <c r="I167" s="5">
        <v>44409</v>
      </c>
      <c r="J167" s="6">
        <v>0</v>
      </c>
      <c r="K167" s="6">
        <v>0</v>
      </c>
      <c r="L167" s="6">
        <v>16.149999999999999</v>
      </c>
      <c r="M167" s="6">
        <v>16.149999999999999</v>
      </c>
      <c r="N167" s="6">
        <v>16.149999999999999</v>
      </c>
      <c r="O167" s="6">
        <v>16.149999999999999</v>
      </c>
      <c r="P167" s="6">
        <v>0</v>
      </c>
      <c r="Q167" s="4" t="s">
        <v>26</v>
      </c>
      <c r="R167" s="4">
        <v>0</v>
      </c>
      <c r="S167" s="6">
        <v>0</v>
      </c>
      <c r="T167" s="6">
        <v>66</v>
      </c>
      <c r="U167" s="6">
        <v>6</v>
      </c>
      <c r="V167" s="6">
        <f>IF(ISERROR(VLOOKUP($S$167,'TAR FIN'!$A$1:$O$85,15,0)),0,VLOOKUP($S$167,'TAR FIN'!$A$1:$O$85,15,0))</f>
        <v>0</v>
      </c>
      <c r="W167" s="6">
        <f>IF(ISERROR(VLOOKUP($T$167,'TAR FIN'!$A$1:$O$85,15,0)),0,VLOOKUP($T$167,'TAR FIN'!$A$1:$O$85,15,0))</f>
        <v>2263.58</v>
      </c>
      <c r="X167" s="6">
        <f>IF(ISERROR(VLOOKUP($U$167,'TAR FIN'!$A$1:$O$85,15,0)),0,VLOOKUP($U$167,'TAR FIN'!$A$1:$O$85,15,0))</f>
        <v>223.72</v>
      </c>
      <c r="Y167" s="6"/>
      <c r="Z167" s="6">
        <f ca="1">('TUSD BE'!$AM$11+'TUSD BF'!$AM$11+'TUSD CVA'!$AM$11)*1</f>
        <v>2373.6759655636811</v>
      </c>
      <c r="AA167" s="6">
        <f>('TE BE'!$AA$5+'TE BF'!$AA$5+'TE CVA'!$AA$5)*1</f>
        <v>217.62939920622892</v>
      </c>
      <c r="AB167" s="6">
        <f>$K$167*$V$167</f>
        <v>0</v>
      </c>
      <c r="AC167" s="6">
        <f>$M$167*$W$167</f>
        <v>36556.816999999995</v>
      </c>
      <c r="AD167" s="6">
        <f>$O$167*$X$167</f>
        <v>3613.0779999999995</v>
      </c>
      <c r="AE167" s="6">
        <f>$K$167*$Y$167</f>
        <v>0</v>
      </c>
      <c r="AF167" s="6">
        <f ca="1">$M$167*$Z$167</f>
        <v>38334.866843853444</v>
      </c>
      <c r="AG167" s="6">
        <f>$O$167*$AA$167</f>
        <v>3514.7147971805966</v>
      </c>
    </row>
    <row r="168" spans="1:33" ht="11.25" customHeight="1" x14ac:dyDescent="0.25">
      <c r="A168" s="4" t="s">
        <v>28</v>
      </c>
      <c r="B168" s="4" t="s">
        <v>33</v>
      </c>
      <c r="C168" s="4" t="s">
        <v>34</v>
      </c>
      <c r="D168" s="4" t="s">
        <v>38</v>
      </c>
      <c r="E168" s="4" t="s">
        <v>25</v>
      </c>
      <c r="F168" s="4" t="s">
        <v>25</v>
      </c>
      <c r="G168" s="4" t="s">
        <v>25</v>
      </c>
      <c r="H168" s="4" t="s">
        <v>35</v>
      </c>
      <c r="I168" s="5">
        <v>44409</v>
      </c>
      <c r="J168" s="6">
        <v>0</v>
      </c>
      <c r="K168" s="6">
        <v>0</v>
      </c>
      <c r="L168" s="6">
        <v>6.3760000000000003</v>
      </c>
      <c r="M168" s="6">
        <v>6.3760000000000003</v>
      </c>
      <c r="N168" s="6">
        <v>6.3760000000000003</v>
      </c>
      <c r="O168" s="6">
        <v>6.3760000000000003</v>
      </c>
      <c r="P168" s="6">
        <v>0</v>
      </c>
      <c r="Q168" s="4" t="s">
        <v>26</v>
      </c>
      <c r="R168" s="4">
        <v>0</v>
      </c>
      <c r="S168" s="6">
        <v>0</v>
      </c>
      <c r="T168" s="6">
        <v>66</v>
      </c>
      <c r="U168" s="6">
        <v>6</v>
      </c>
      <c r="V168" s="6">
        <f>IF(ISERROR(VLOOKUP($S$168,'TAR FIN'!$A$1:$O$85,15,0)),0,VLOOKUP($S$168,'TAR FIN'!$A$1:$O$85,15,0))</f>
        <v>0</v>
      </c>
      <c r="W168" s="6">
        <f>IF(ISERROR(VLOOKUP($T$168,'TAR FIN'!$A$1:$O$85,15,0)),0,VLOOKUP($T$168,'TAR FIN'!$A$1:$O$85,15,0))</f>
        <v>2263.58</v>
      </c>
      <c r="X168" s="6">
        <f>IF(ISERROR(VLOOKUP($U$168,'TAR FIN'!$A$1:$O$85,15,0)),0,VLOOKUP($U$168,'TAR FIN'!$A$1:$O$85,15,0))</f>
        <v>223.72</v>
      </c>
      <c r="Y168" s="6"/>
      <c r="Z168" s="6">
        <f ca="1">('TUSD BE'!$AM$11+'TUSD BF'!$AM$11+'TUSD CVA'!$AM$11)*1</f>
        <v>2373.6759655636811</v>
      </c>
      <c r="AA168" s="6">
        <f>('TE BE'!$AA$5+'TE BF'!$AA$5+'TE CVA'!$AA$5)*1</f>
        <v>217.62939920622892</v>
      </c>
      <c r="AB168" s="6">
        <f>$K$168*$V$168</f>
        <v>0</v>
      </c>
      <c r="AC168" s="6">
        <f>$M$168*$W$168</f>
        <v>14432.586080000001</v>
      </c>
      <c r="AD168" s="6">
        <f>$O$168*$X$168</f>
        <v>1426.4387200000001</v>
      </c>
      <c r="AE168" s="6">
        <f>$K$168*$Y$168</f>
        <v>0</v>
      </c>
      <c r="AF168" s="6">
        <f ca="1">$M$168*$Z$168</f>
        <v>15134.557956434031</v>
      </c>
      <c r="AG168" s="6">
        <f>$O$168*$AA$168</f>
        <v>1387.6050493389157</v>
      </c>
    </row>
    <row r="169" spans="1:33" ht="11.25" customHeight="1" x14ac:dyDescent="0.25">
      <c r="A169" s="4" t="s">
        <v>21</v>
      </c>
      <c r="B169" s="4" t="s">
        <v>33</v>
      </c>
      <c r="C169" s="4" t="s">
        <v>34</v>
      </c>
      <c r="D169" s="4" t="s">
        <v>38</v>
      </c>
      <c r="E169" s="4" t="s">
        <v>25</v>
      </c>
      <c r="F169" s="4" t="s">
        <v>25</v>
      </c>
      <c r="G169" s="4" t="s">
        <v>25</v>
      </c>
      <c r="H169" s="4" t="s">
        <v>35</v>
      </c>
      <c r="I169" s="5">
        <v>44440</v>
      </c>
      <c r="J169" s="6">
        <v>0</v>
      </c>
      <c r="K169" s="6">
        <v>0</v>
      </c>
      <c r="L169" s="6">
        <v>19.266999999999999</v>
      </c>
      <c r="M169" s="6">
        <v>19.266999999999999</v>
      </c>
      <c r="N169" s="6">
        <v>19.266999999999999</v>
      </c>
      <c r="O169" s="6">
        <v>19.266999999999999</v>
      </c>
      <c r="P169" s="6">
        <v>0</v>
      </c>
      <c r="Q169" s="4" t="s">
        <v>26</v>
      </c>
      <c r="R169" s="4">
        <v>0</v>
      </c>
      <c r="S169" s="6">
        <v>0</v>
      </c>
      <c r="T169" s="6">
        <v>66</v>
      </c>
      <c r="U169" s="6">
        <v>6</v>
      </c>
      <c r="V169" s="6">
        <f>IF(ISERROR(VLOOKUP($S$169,'TAR FIN'!$A$1:$O$85,15,0)),0,VLOOKUP($S$169,'TAR FIN'!$A$1:$O$85,15,0))</f>
        <v>0</v>
      </c>
      <c r="W169" s="6">
        <f>IF(ISERROR(VLOOKUP($T$169,'TAR FIN'!$A$1:$O$85,15,0)),0,VLOOKUP($T$169,'TAR FIN'!$A$1:$O$85,15,0))</f>
        <v>2263.58</v>
      </c>
      <c r="X169" s="6">
        <f>IF(ISERROR(VLOOKUP($U$169,'TAR FIN'!$A$1:$O$85,15,0)),0,VLOOKUP($U$169,'TAR FIN'!$A$1:$O$85,15,0))</f>
        <v>223.72</v>
      </c>
      <c r="Y169" s="6"/>
      <c r="Z169" s="6">
        <f ca="1">('TUSD BE'!$AM$11+'TUSD BF'!$AM$11+'TUSD CVA'!$AM$11)*1</f>
        <v>2373.6759655636811</v>
      </c>
      <c r="AA169" s="6">
        <f>('TE BE'!$AA$5+'TE BF'!$AA$5+'TE CVA'!$AA$5)*1</f>
        <v>217.62939920622892</v>
      </c>
      <c r="AB169" s="6">
        <f>$K$169*$V$169</f>
        <v>0</v>
      </c>
      <c r="AC169" s="6">
        <f>$M$169*$W$169</f>
        <v>43612.395859999997</v>
      </c>
      <c r="AD169" s="6">
        <f>$O$169*$X$169</f>
        <v>4310.4132399999999</v>
      </c>
      <c r="AE169" s="6">
        <f>$K$169*$Y$169</f>
        <v>0</v>
      </c>
      <c r="AF169" s="6">
        <f ca="1">$M$169*$Z$169</f>
        <v>45733.614828515441</v>
      </c>
      <c r="AG169" s="6">
        <f>$O$169*$AA$169</f>
        <v>4193.0656345064126</v>
      </c>
    </row>
    <row r="170" spans="1:33" ht="11.25" customHeight="1" x14ac:dyDescent="0.25">
      <c r="A170" s="4" t="s">
        <v>28</v>
      </c>
      <c r="B170" s="4" t="s">
        <v>33</v>
      </c>
      <c r="C170" s="4" t="s">
        <v>34</v>
      </c>
      <c r="D170" s="4" t="s">
        <v>38</v>
      </c>
      <c r="E170" s="4" t="s">
        <v>25</v>
      </c>
      <c r="F170" s="4" t="s">
        <v>25</v>
      </c>
      <c r="G170" s="4" t="s">
        <v>25</v>
      </c>
      <c r="H170" s="4" t="s">
        <v>35</v>
      </c>
      <c r="I170" s="5">
        <v>44440</v>
      </c>
      <c r="J170" s="6">
        <v>0</v>
      </c>
      <c r="K170" s="6">
        <v>0</v>
      </c>
      <c r="L170" s="6">
        <v>6.5819999999999999</v>
      </c>
      <c r="M170" s="6">
        <v>6.5819999999999999</v>
      </c>
      <c r="N170" s="6">
        <v>6.5819999999999999</v>
      </c>
      <c r="O170" s="6">
        <v>6.5819999999999999</v>
      </c>
      <c r="P170" s="6">
        <v>0</v>
      </c>
      <c r="Q170" s="4" t="s">
        <v>26</v>
      </c>
      <c r="R170" s="4">
        <v>0</v>
      </c>
      <c r="S170" s="6">
        <v>0</v>
      </c>
      <c r="T170" s="6">
        <v>66</v>
      </c>
      <c r="U170" s="6">
        <v>6</v>
      </c>
      <c r="V170" s="6">
        <f>IF(ISERROR(VLOOKUP($S$170,'TAR FIN'!$A$1:$O$85,15,0)),0,VLOOKUP($S$170,'TAR FIN'!$A$1:$O$85,15,0))</f>
        <v>0</v>
      </c>
      <c r="W170" s="6">
        <f>IF(ISERROR(VLOOKUP($T$170,'TAR FIN'!$A$1:$O$85,15,0)),0,VLOOKUP($T$170,'TAR FIN'!$A$1:$O$85,15,0))</f>
        <v>2263.58</v>
      </c>
      <c r="X170" s="6">
        <f>IF(ISERROR(VLOOKUP($U$170,'TAR FIN'!$A$1:$O$85,15,0)),0,VLOOKUP($U$170,'TAR FIN'!$A$1:$O$85,15,0))</f>
        <v>223.72</v>
      </c>
      <c r="Y170" s="6"/>
      <c r="Z170" s="6">
        <f ca="1">('TUSD BE'!$AM$11+'TUSD BF'!$AM$11+'TUSD CVA'!$AM$11)*1</f>
        <v>2373.6759655636811</v>
      </c>
      <c r="AA170" s="6">
        <f>('TE BE'!$AA$5+'TE BF'!$AA$5+'TE CVA'!$AA$5)*1</f>
        <v>217.62939920622892</v>
      </c>
      <c r="AB170" s="6">
        <f>$K$170*$V$170</f>
        <v>0</v>
      </c>
      <c r="AC170" s="6">
        <f>$M$170*$W$170</f>
        <v>14898.883559999998</v>
      </c>
      <c r="AD170" s="6">
        <f>$O$170*$X$170</f>
        <v>1472.52504</v>
      </c>
      <c r="AE170" s="6">
        <f>$K$170*$Y$170</f>
        <v>0</v>
      </c>
      <c r="AF170" s="6">
        <f ca="1">$M$170*$Z$170</f>
        <v>15623.535205340149</v>
      </c>
      <c r="AG170" s="6">
        <f>$O$170*$AA$170</f>
        <v>1432.4367055753987</v>
      </c>
    </row>
    <row r="171" spans="1:33" ht="11.25" customHeight="1" x14ac:dyDescent="0.25">
      <c r="A171" s="4" t="s">
        <v>21</v>
      </c>
      <c r="B171" s="4" t="s">
        <v>33</v>
      </c>
      <c r="C171" s="4" t="s">
        <v>34</v>
      </c>
      <c r="D171" s="4" t="s">
        <v>38</v>
      </c>
      <c r="E171" s="4" t="s">
        <v>25</v>
      </c>
      <c r="F171" s="4" t="s">
        <v>25</v>
      </c>
      <c r="G171" s="4" t="s">
        <v>25</v>
      </c>
      <c r="H171" s="4" t="s">
        <v>35</v>
      </c>
      <c r="I171" s="5">
        <v>44470</v>
      </c>
      <c r="J171" s="6">
        <v>0</v>
      </c>
      <c r="K171" s="6">
        <v>0</v>
      </c>
      <c r="L171" s="6">
        <v>14.446999999999999</v>
      </c>
      <c r="M171" s="6">
        <v>14.446999999999999</v>
      </c>
      <c r="N171" s="6">
        <v>14.446999999999999</v>
      </c>
      <c r="O171" s="6">
        <v>14.446999999999999</v>
      </c>
      <c r="P171" s="6">
        <v>0</v>
      </c>
      <c r="Q171" s="4" t="s">
        <v>26</v>
      </c>
      <c r="R171" s="4">
        <v>0</v>
      </c>
      <c r="S171" s="6">
        <v>0</v>
      </c>
      <c r="T171" s="6">
        <v>66</v>
      </c>
      <c r="U171" s="6">
        <v>6</v>
      </c>
      <c r="V171" s="6">
        <f>IF(ISERROR(VLOOKUP($S$171,'TAR FIN'!$A$1:$O$85,15,0)),0,VLOOKUP($S$171,'TAR FIN'!$A$1:$O$85,15,0))</f>
        <v>0</v>
      </c>
      <c r="W171" s="6">
        <f>IF(ISERROR(VLOOKUP($T$171,'TAR FIN'!$A$1:$O$85,15,0)),0,VLOOKUP($T$171,'TAR FIN'!$A$1:$O$85,15,0))</f>
        <v>2263.58</v>
      </c>
      <c r="X171" s="6">
        <f>IF(ISERROR(VLOOKUP($U$171,'TAR FIN'!$A$1:$O$85,15,0)),0,VLOOKUP($U$171,'TAR FIN'!$A$1:$O$85,15,0))</f>
        <v>223.72</v>
      </c>
      <c r="Y171" s="6"/>
      <c r="Z171" s="6">
        <f ca="1">('TUSD BE'!$AM$11+'TUSD BF'!$AM$11+'TUSD CVA'!$AM$11)*1</f>
        <v>2373.6759655636811</v>
      </c>
      <c r="AA171" s="6">
        <f>('TE BE'!$AA$5+'TE BF'!$AA$5+'TE CVA'!$AA$5)*1</f>
        <v>217.62939920622892</v>
      </c>
      <c r="AB171" s="6">
        <f>$K$171*$V$171</f>
        <v>0</v>
      </c>
      <c r="AC171" s="6">
        <f>$M$171*$W$171</f>
        <v>32701.940259999996</v>
      </c>
      <c r="AD171" s="6">
        <f>$O$171*$X$171</f>
        <v>3232.0828399999996</v>
      </c>
      <c r="AE171" s="6">
        <f>$K$171*$Y$171</f>
        <v>0</v>
      </c>
      <c r="AF171" s="6">
        <f ca="1">$M$171*$Z$171</f>
        <v>34292.496674498499</v>
      </c>
      <c r="AG171" s="6">
        <f>$O$171*$AA$171</f>
        <v>3144.091930332389</v>
      </c>
    </row>
    <row r="172" spans="1:33" ht="11.25" customHeight="1" x14ac:dyDescent="0.25">
      <c r="A172" s="4" t="s">
        <v>28</v>
      </c>
      <c r="B172" s="4" t="s">
        <v>33</v>
      </c>
      <c r="C172" s="4" t="s">
        <v>34</v>
      </c>
      <c r="D172" s="4" t="s">
        <v>38</v>
      </c>
      <c r="E172" s="4" t="s">
        <v>25</v>
      </c>
      <c r="F172" s="4" t="s">
        <v>25</v>
      </c>
      <c r="G172" s="4" t="s">
        <v>25</v>
      </c>
      <c r="H172" s="4" t="s">
        <v>35</v>
      </c>
      <c r="I172" s="5">
        <v>44470</v>
      </c>
      <c r="J172" s="6">
        <v>0</v>
      </c>
      <c r="K172" s="6">
        <v>0</v>
      </c>
      <c r="L172" s="6">
        <v>5.23</v>
      </c>
      <c r="M172" s="6">
        <v>5.23</v>
      </c>
      <c r="N172" s="6">
        <v>5.23</v>
      </c>
      <c r="O172" s="6">
        <v>5.23</v>
      </c>
      <c r="P172" s="6">
        <v>0</v>
      </c>
      <c r="Q172" s="4" t="s">
        <v>26</v>
      </c>
      <c r="R172" s="4">
        <v>0</v>
      </c>
      <c r="S172" s="6">
        <v>0</v>
      </c>
      <c r="T172" s="6">
        <v>66</v>
      </c>
      <c r="U172" s="6">
        <v>6</v>
      </c>
      <c r="V172" s="6">
        <f>IF(ISERROR(VLOOKUP($S$172,'TAR FIN'!$A$1:$O$85,15,0)),0,VLOOKUP($S$172,'TAR FIN'!$A$1:$O$85,15,0))</f>
        <v>0</v>
      </c>
      <c r="W172" s="6">
        <f>IF(ISERROR(VLOOKUP($T$172,'TAR FIN'!$A$1:$O$85,15,0)),0,VLOOKUP($T$172,'TAR FIN'!$A$1:$O$85,15,0))</f>
        <v>2263.58</v>
      </c>
      <c r="X172" s="6">
        <f>IF(ISERROR(VLOOKUP($U$172,'TAR FIN'!$A$1:$O$85,15,0)),0,VLOOKUP($U$172,'TAR FIN'!$A$1:$O$85,15,0))</f>
        <v>223.72</v>
      </c>
      <c r="Y172" s="6"/>
      <c r="Z172" s="6">
        <f ca="1">('TUSD BE'!$AM$11+'TUSD BF'!$AM$11+'TUSD CVA'!$AM$11)*1</f>
        <v>2373.6759655636811</v>
      </c>
      <c r="AA172" s="6">
        <f>('TE BE'!$AA$5+'TE BF'!$AA$5+'TE CVA'!$AA$5)*1</f>
        <v>217.62939920622892</v>
      </c>
      <c r="AB172" s="6">
        <f>$K$172*$V$172</f>
        <v>0</v>
      </c>
      <c r="AC172" s="6">
        <f>$M$172*$W$172</f>
        <v>11838.5234</v>
      </c>
      <c r="AD172" s="6">
        <f>$O$172*$X$172</f>
        <v>1170.0556000000001</v>
      </c>
      <c r="AE172" s="6">
        <f>$K$172*$Y$172</f>
        <v>0</v>
      </c>
      <c r="AF172" s="6">
        <f ca="1">$M$172*$Z$172</f>
        <v>12414.325299898053</v>
      </c>
      <c r="AG172" s="6">
        <f>$O$172*$AA$172</f>
        <v>1138.2017578485775</v>
      </c>
    </row>
    <row r="173" spans="1:33" ht="11.25" customHeight="1" x14ac:dyDescent="0.25">
      <c r="A173" s="4" t="s">
        <v>21</v>
      </c>
      <c r="B173" s="4" t="s">
        <v>33</v>
      </c>
      <c r="C173" s="4" t="s">
        <v>34</v>
      </c>
      <c r="D173" s="4" t="s">
        <v>38</v>
      </c>
      <c r="E173" s="4" t="s">
        <v>25</v>
      </c>
      <c r="F173" s="4" t="s">
        <v>25</v>
      </c>
      <c r="G173" s="4" t="s">
        <v>25</v>
      </c>
      <c r="H173" s="4" t="s">
        <v>35</v>
      </c>
      <c r="I173" s="5">
        <v>44501</v>
      </c>
      <c r="J173" s="6">
        <v>0</v>
      </c>
      <c r="K173" s="6">
        <v>0</v>
      </c>
      <c r="L173" s="6">
        <v>16.768999999999998</v>
      </c>
      <c r="M173" s="6">
        <v>16.768999999999998</v>
      </c>
      <c r="N173" s="6">
        <v>16.768999999999998</v>
      </c>
      <c r="O173" s="6">
        <v>16.768999999999998</v>
      </c>
      <c r="P173" s="6">
        <v>0</v>
      </c>
      <c r="Q173" s="4" t="s">
        <v>26</v>
      </c>
      <c r="R173" s="4">
        <v>0</v>
      </c>
      <c r="S173" s="6">
        <v>0</v>
      </c>
      <c r="T173" s="6">
        <v>66</v>
      </c>
      <c r="U173" s="6">
        <v>6</v>
      </c>
      <c r="V173" s="6">
        <f>IF(ISERROR(VLOOKUP($S$173,'TAR FIN'!$A$1:$O$85,15,0)),0,VLOOKUP($S$173,'TAR FIN'!$A$1:$O$85,15,0))</f>
        <v>0</v>
      </c>
      <c r="W173" s="6">
        <f>IF(ISERROR(VLOOKUP($T$173,'TAR FIN'!$A$1:$O$85,15,0)),0,VLOOKUP($T$173,'TAR FIN'!$A$1:$O$85,15,0))</f>
        <v>2263.58</v>
      </c>
      <c r="X173" s="6">
        <f>IF(ISERROR(VLOOKUP($U$173,'TAR FIN'!$A$1:$O$85,15,0)),0,VLOOKUP($U$173,'TAR FIN'!$A$1:$O$85,15,0))</f>
        <v>223.72</v>
      </c>
      <c r="Y173" s="6"/>
      <c r="Z173" s="6">
        <f ca="1">('TUSD BE'!$AM$11+'TUSD BF'!$AM$11+'TUSD CVA'!$AM$11)*1</f>
        <v>2373.6759655636811</v>
      </c>
      <c r="AA173" s="6">
        <f>('TE BE'!$AA$5+'TE BF'!$AA$5+'TE CVA'!$AA$5)*1</f>
        <v>217.62939920622892</v>
      </c>
      <c r="AB173" s="6">
        <f>$K$173*$V$173</f>
        <v>0</v>
      </c>
      <c r="AC173" s="6">
        <f>$M$173*$W$173</f>
        <v>37957.973019999998</v>
      </c>
      <c r="AD173" s="6">
        <f>$O$173*$X$173</f>
        <v>3751.5606799999996</v>
      </c>
      <c r="AE173" s="6">
        <f>$K$173*$Y$173</f>
        <v>0</v>
      </c>
      <c r="AF173" s="6">
        <f ca="1">$M$173*$Z$173</f>
        <v>39804.172266537367</v>
      </c>
      <c r="AG173" s="6">
        <f>$O$173*$AA$173</f>
        <v>3649.4273952892527</v>
      </c>
    </row>
    <row r="174" spans="1:33" ht="11.25" customHeight="1" x14ac:dyDescent="0.25">
      <c r="A174" s="4" t="s">
        <v>28</v>
      </c>
      <c r="B174" s="4" t="s">
        <v>33</v>
      </c>
      <c r="C174" s="4" t="s">
        <v>34</v>
      </c>
      <c r="D174" s="4" t="s">
        <v>38</v>
      </c>
      <c r="E174" s="4" t="s">
        <v>25</v>
      </c>
      <c r="F174" s="4" t="s">
        <v>25</v>
      </c>
      <c r="G174" s="4" t="s">
        <v>25</v>
      </c>
      <c r="H174" s="4" t="s">
        <v>35</v>
      </c>
      <c r="I174" s="5">
        <v>44501</v>
      </c>
      <c r="J174" s="6">
        <v>0</v>
      </c>
      <c r="K174" s="6">
        <v>0</v>
      </c>
      <c r="L174" s="6">
        <v>5.6310000000000002</v>
      </c>
      <c r="M174" s="6">
        <v>5.6310000000000002</v>
      </c>
      <c r="N174" s="6">
        <v>5.6310000000000002</v>
      </c>
      <c r="O174" s="6">
        <v>5.6310000000000002</v>
      </c>
      <c r="P174" s="6">
        <v>0</v>
      </c>
      <c r="Q174" s="4" t="s">
        <v>26</v>
      </c>
      <c r="R174" s="4">
        <v>0</v>
      </c>
      <c r="S174" s="6">
        <v>0</v>
      </c>
      <c r="T174" s="6">
        <v>66</v>
      </c>
      <c r="U174" s="6">
        <v>6</v>
      </c>
      <c r="V174" s="6">
        <f>IF(ISERROR(VLOOKUP($S$174,'TAR FIN'!$A$1:$O$85,15,0)),0,VLOOKUP($S$174,'TAR FIN'!$A$1:$O$85,15,0))</f>
        <v>0</v>
      </c>
      <c r="W174" s="6">
        <f>IF(ISERROR(VLOOKUP($T$174,'TAR FIN'!$A$1:$O$85,15,0)),0,VLOOKUP($T$174,'TAR FIN'!$A$1:$O$85,15,0))</f>
        <v>2263.58</v>
      </c>
      <c r="X174" s="6">
        <f>IF(ISERROR(VLOOKUP($U$174,'TAR FIN'!$A$1:$O$85,15,0)),0,VLOOKUP($U$174,'TAR FIN'!$A$1:$O$85,15,0))</f>
        <v>223.72</v>
      </c>
      <c r="Y174" s="6"/>
      <c r="Z174" s="6">
        <f ca="1">('TUSD BE'!$AM$11+'TUSD BF'!$AM$11+'TUSD CVA'!$AM$11)*1</f>
        <v>2373.6759655636811</v>
      </c>
      <c r="AA174" s="6">
        <f>('TE BE'!$AA$5+'TE BF'!$AA$5+'TE CVA'!$AA$5)*1</f>
        <v>217.62939920622892</v>
      </c>
      <c r="AB174" s="6">
        <f>$K$174*$V$174</f>
        <v>0</v>
      </c>
      <c r="AC174" s="6">
        <f>$M$174*$W$174</f>
        <v>12746.21898</v>
      </c>
      <c r="AD174" s="6">
        <f>$O$174*$X$174</f>
        <v>1259.7673200000002</v>
      </c>
      <c r="AE174" s="6">
        <f>$K$174*$Y$174</f>
        <v>0</v>
      </c>
      <c r="AF174" s="6">
        <f ca="1">$M$174*$Z$174</f>
        <v>13366.169362089089</v>
      </c>
      <c r="AG174" s="6">
        <f>$O$174*$AA$174</f>
        <v>1225.4711469302752</v>
      </c>
    </row>
    <row r="175" spans="1:33" ht="11.25" customHeight="1" x14ac:dyDescent="0.25">
      <c r="A175" s="4" t="s">
        <v>21</v>
      </c>
      <c r="B175" s="4" t="s">
        <v>33</v>
      </c>
      <c r="C175" s="4" t="s">
        <v>34</v>
      </c>
      <c r="D175" s="4" t="s">
        <v>38</v>
      </c>
      <c r="E175" s="4" t="s">
        <v>25</v>
      </c>
      <c r="F175" s="4" t="s">
        <v>25</v>
      </c>
      <c r="G175" s="4" t="s">
        <v>25</v>
      </c>
      <c r="H175" s="4" t="s">
        <v>35</v>
      </c>
      <c r="I175" s="5">
        <v>44531</v>
      </c>
      <c r="J175" s="6">
        <v>0</v>
      </c>
      <c r="K175" s="6">
        <v>0</v>
      </c>
      <c r="L175" s="6">
        <v>19.117999999999999</v>
      </c>
      <c r="M175" s="6">
        <v>19.117999999999999</v>
      </c>
      <c r="N175" s="6">
        <v>19.117999999999999</v>
      </c>
      <c r="O175" s="6">
        <v>19.117999999999999</v>
      </c>
      <c r="P175" s="6">
        <v>0</v>
      </c>
      <c r="Q175" s="4" t="s">
        <v>26</v>
      </c>
      <c r="R175" s="4">
        <v>0</v>
      </c>
      <c r="S175" s="6">
        <v>0</v>
      </c>
      <c r="T175" s="6">
        <v>66</v>
      </c>
      <c r="U175" s="6">
        <v>6</v>
      </c>
      <c r="V175" s="6">
        <f>IF(ISERROR(VLOOKUP($S$175,'TAR FIN'!$A$1:$O$85,15,0)),0,VLOOKUP($S$175,'TAR FIN'!$A$1:$O$85,15,0))</f>
        <v>0</v>
      </c>
      <c r="W175" s="6">
        <f>IF(ISERROR(VLOOKUP($T$175,'TAR FIN'!$A$1:$O$85,15,0)),0,VLOOKUP($T$175,'TAR FIN'!$A$1:$O$85,15,0))</f>
        <v>2263.58</v>
      </c>
      <c r="X175" s="6">
        <f>IF(ISERROR(VLOOKUP($U$175,'TAR FIN'!$A$1:$O$85,15,0)),0,VLOOKUP($U$175,'TAR FIN'!$A$1:$O$85,15,0))</f>
        <v>223.72</v>
      </c>
      <c r="Y175" s="6"/>
      <c r="Z175" s="6">
        <f ca="1">('TUSD BE'!$AM$11+'TUSD BF'!$AM$11+'TUSD CVA'!$AM$11)*1</f>
        <v>2373.6759655636811</v>
      </c>
      <c r="AA175" s="6">
        <f>('TE BE'!$AA$5+'TE BF'!$AA$5+'TE CVA'!$AA$5)*1</f>
        <v>217.62939920622892</v>
      </c>
      <c r="AB175" s="6">
        <f>$K$175*$V$175</f>
        <v>0</v>
      </c>
      <c r="AC175" s="6">
        <f>$M$175*$W$175</f>
        <v>43275.122439999992</v>
      </c>
      <c r="AD175" s="6">
        <f>$O$175*$X$175</f>
        <v>4277.0789599999998</v>
      </c>
      <c r="AE175" s="6">
        <f>$K$175*$Y$175</f>
        <v>0</v>
      </c>
      <c r="AF175" s="6">
        <f ca="1">$M$175*$Z$175</f>
        <v>45379.937109646453</v>
      </c>
      <c r="AG175" s="6">
        <f>$O$175*$AA$175</f>
        <v>4160.6388540246844</v>
      </c>
    </row>
    <row r="176" spans="1:33" ht="11.25" customHeight="1" x14ac:dyDescent="0.25">
      <c r="A176" s="4" t="s">
        <v>28</v>
      </c>
      <c r="B176" s="4" t="s">
        <v>33</v>
      </c>
      <c r="C176" s="4" t="s">
        <v>34</v>
      </c>
      <c r="D176" s="4" t="s">
        <v>38</v>
      </c>
      <c r="E176" s="4" t="s">
        <v>25</v>
      </c>
      <c r="F176" s="4" t="s">
        <v>25</v>
      </c>
      <c r="G176" s="4" t="s">
        <v>25</v>
      </c>
      <c r="H176" s="4" t="s">
        <v>35</v>
      </c>
      <c r="I176" s="5">
        <v>44531</v>
      </c>
      <c r="J176" s="6">
        <v>0</v>
      </c>
      <c r="K176" s="6">
        <v>0</v>
      </c>
      <c r="L176" s="6">
        <v>6.766</v>
      </c>
      <c r="M176" s="6">
        <v>6.766</v>
      </c>
      <c r="N176" s="6">
        <v>6.766</v>
      </c>
      <c r="O176" s="6">
        <v>6.766</v>
      </c>
      <c r="P176" s="6">
        <v>0</v>
      </c>
      <c r="Q176" s="4" t="s">
        <v>26</v>
      </c>
      <c r="R176" s="4">
        <v>0</v>
      </c>
      <c r="S176" s="6">
        <v>0</v>
      </c>
      <c r="T176" s="6">
        <v>66</v>
      </c>
      <c r="U176" s="6">
        <v>6</v>
      </c>
      <c r="V176" s="6">
        <f>IF(ISERROR(VLOOKUP($S$176,'TAR FIN'!$A$1:$O$85,15,0)),0,VLOOKUP($S$176,'TAR FIN'!$A$1:$O$85,15,0))</f>
        <v>0</v>
      </c>
      <c r="W176" s="6">
        <f>IF(ISERROR(VLOOKUP($T$176,'TAR FIN'!$A$1:$O$85,15,0)),0,VLOOKUP($T$176,'TAR FIN'!$A$1:$O$85,15,0))</f>
        <v>2263.58</v>
      </c>
      <c r="X176" s="6">
        <f>IF(ISERROR(VLOOKUP($U$176,'TAR FIN'!$A$1:$O$85,15,0)),0,VLOOKUP($U$176,'TAR FIN'!$A$1:$O$85,15,0))</f>
        <v>223.72</v>
      </c>
      <c r="Y176" s="6"/>
      <c r="Z176" s="6">
        <f ca="1">('TUSD BE'!$AM$11+'TUSD BF'!$AM$11+'TUSD CVA'!$AM$11)*1</f>
        <v>2373.6759655636811</v>
      </c>
      <c r="AA176" s="6">
        <f>('TE BE'!$AA$5+'TE BF'!$AA$5+'TE CVA'!$AA$5)*1</f>
        <v>217.62939920622892</v>
      </c>
      <c r="AB176" s="6">
        <f>$K$176*$V$176</f>
        <v>0</v>
      </c>
      <c r="AC176" s="6">
        <f>$M$176*$W$176</f>
        <v>15315.38228</v>
      </c>
      <c r="AD176" s="6">
        <f>$O$176*$X$176</f>
        <v>1513.6895199999999</v>
      </c>
      <c r="AE176" s="6">
        <f>$K$176*$Y$176</f>
        <v>0</v>
      </c>
      <c r="AF176" s="6">
        <f ca="1">$M$176*$Z$176</f>
        <v>16060.291583003866</v>
      </c>
      <c r="AG176" s="6">
        <f>$O$176*$AA$176</f>
        <v>1472.4805150293448</v>
      </c>
    </row>
    <row r="177" spans="1:33" ht="11.25" customHeight="1" x14ac:dyDescent="0.25">
      <c r="A177" s="4" t="s">
        <v>21</v>
      </c>
      <c r="B177" s="4" t="s">
        <v>33</v>
      </c>
      <c r="C177" s="4" t="s">
        <v>34</v>
      </c>
      <c r="D177" s="4" t="s">
        <v>38</v>
      </c>
      <c r="E177" s="4" t="s">
        <v>25</v>
      </c>
      <c r="F177" s="4" t="s">
        <v>25</v>
      </c>
      <c r="G177" s="4" t="s">
        <v>25</v>
      </c>
      <c r="H177" s="4" t="s">
        <v>35</v>
      </c>
      <c r="I177" s="5">
        <v>44562</v>
      </c>
      <c r="J177" s="6">
        <v>0</v>
      </c>
      <c r="K177" s="6">
        <v>0</v>
      </c>
      <c r="L177" s="6">
        <v>17.288</v>
      </c>
      <c r="M177" s="6">
        <v>17.288</v>
      </c>
      <c r="N177" s="6">
        <v>17.288</v>
      </c>
      <c r="O177" s="6">
        <v>17.288</v>
      </c>
      <c r="P177" s="6">
        <v>0</v>
      </c>
      <c r="Q177" s="4" t="s">
        <v>26</v>
      </c>
      <c r="R177" s="4">
        <v>0</v>
      </c>
      <c r="S177" s="6">
        <v>0</v>
      </c>
      <c r="T177" s="6">
        <v>66</v>
      </c>
      <c r="U177" s="6">
        <v>6</v>
      </c>
      <c r="V177" s="6">
        <f>IF(ISERROR(VLOOKUP($S$177,'TAR FIN'!$A$1:$O$85,15,0)),0,VLOOKUP($S$177,'TAR FIN'!$A$1:$O$85,15,0))</f>
        <v>0</v>
      </c>
      <c r="W177" s="6">
        <f>IF(ISERROR(VLOOKUP($T$177,'TAR FIN'!$A$1:$O$85,15,0)),0,VLOOKUP($T$177,'TAR FIN'!$A$1:$O$85,15,0))</f>
        <v>2263.58</v>
      </c>
      <c r="X177" s="6">
        <f>IF(ISERROR(VLOOKUP($U$177,'TAR FIN'!$A$1:$O$85,15,0)),0,VLOOKUP($U$177,'TAR FIN'!$A$1:$O$85,15,0))</f>
        <v>223.72</v>
      </c>
      <c r="Y177" s="6"/>
      <c r="Z177" s="6">
        <f ca="1">('TUSD BE'!$AM$11+'TUSD BF'!$AM$11+'TUSD CVA'!$AM$11)*1</f>
        <v>2373.6759655636811</v>
      </c>
      <c r="AA177" s="6">
        <f>('TE BE'!$AA$5+'TE BF'!$AA$5+'TE CVA'!$AA$5)*1</f>
        <v>217.62939920622892</v>
      </c>
      <c r="AB177" s="6">
        <f>$K$177*$V$177</f>
        <v>0</v>
      </c>
      <c r="AC177" s="6">
        <f>$M$177*$W$177</f>
        <v>39132.77104</v>
      </c>
      <c r="AD177" s="6">
        <f>$O$177*$X$177</f>
        <v>3867.6713599999998</v>
      </c>
      <c r="AE177" s="6">
        <f>$K$177*$Y$177</f>
        <v>0</v>
      </c>
      <c r="AF177" s="6">
        <f ca="1">$M$177*$Z$177</f>
        <v>41036.110092664916</v>
      </c>
      <c r="AG177" s="6">
        <f>$O$177*$AA$177</f>
        <v>3762.3770534772857</v>
      </c>
    </row>
    <row r="178" spans="1:33" ht="11.25" customHeight="1" x14ac:dyDescent="0.25">
      <c r="A178" s="4" t="s">
        <v>28</v>
      </c>
      <c r="B178" s="4" t="s">
        <v>33</v>
      </c>
      <c r="C178" s="4" t="s">
        <v>34</v>
      </c>
      <c r="D178" s="4" t="s">
        <v>38</v>
      </c>
      <c r="E178" s="4" t="s">
        <v>25</v>
      </c>
      <c r="F178" s="4" t="s">
        <v>25</v>
      </c>
      <c r="G178" s="4" t="s">
        <v>25</v>
      </c>
      <c r="H178" s="4" t="s">
        <v>35</v>
      </c>
      <c r="I178" s="5">
        <v>44562</v>
      </c>
      <c r="J178" s="6">
        <v>0</v>
      </c>
      <c r="K178" s="6">
        <v>0</v>
      </c>
      <c r="L178" s="6">
        <v>5.931</v>
      </c>
      <c r="M178" s="6">
        <v>5.931</v>
      </c>
      <c r="N178" s="6">
        <v>5.931</v>
      </c>
      <c r="O178" s="6">
        <v>5.931</v>
      </c>
      <c r="P178" s="6">
        <v>0</v>
      </c>
      <c r="Q178" s="4" t="s">
        <v>26</v>
      </c>
      <c r="R178" s="4">
        <v>0</v>
      </c>
      <c r="S178" s="6">
        <v>0</v>
      </c>
      <c r="T178" s="6">
        <v>66</v>
      </c>
      <c r="U178" s="6">
        <v>6</v>
      </c>
      <c r="V178" s="6">
        <f>IF(ISERROR(VLOOKUP($S$178,'TAR FIN'!$A$1:$O$85,15,0)),0,VLOOKUP($S$178,'TAR FIN'!$A$1:$O$85,15,0))</f>
        <v>0</v>
      </c>
      <c r="W178" s="6">
        <f>IF(ISERROR(VLOOKUP($T$178,'TAR FIN'!$A$1:$O$85,15,0)),0,VLOOKUP($T$178,'TAR FIN'!$A$1:$O$85,15,0))</f>
        <v>2263.58</v>
      </c>
      <c r="X178" s="6">
        <f>IF(ISERROR(VLOOKUP($U$178,'TAR FIN'!$A$1:$O$85,15,0)),0,VLOOKUP($U$178,'TAR FIN'!$A$1:$O$85,15,0))</f>
        <v>223.72</v>
      </c>
      <c r="Y178" s="6"/>
      <c r="Z178" s="6">
        <f ca="1">('TUSD BE'!$AM$11+'TUSD BF'!$AM$11+'TUSD CVA'!$AM$11)*1</f>
        <v>2373.6759655636811</v>
      </c>
      <c r="AA178" s="6">
        <f>('TE BE'!$AA$5+'TE BF'!$AA$5+'TE CVA'!$AA$5)*1</f>
        <v>217.62939920622892</v>
      </c>
      <c r="AB178" s="6">
        <f>$K$178*$V$178</f>
        <v>0</v>
      </c>
      <c r="AC178" s="6">
        <f>$M$178*$W$178</f>
        <v>13425.29298</v>
      </c>
      <c r="AD178" s="6">
        <f>$O$178*$X$178</f>
        <v>1326.8833199999999</v>
      </c>
      <c r="AE178" s="6">
        <f>$K$178*$Y$178</f>
        <v>0</v>
      </c>
      <c r="AF178" s="6">
        <f ca="1">$M$178*$Z$178</f>
        <v>14078.272151758192</v>
      </c>
      <c r="AG178" s="6">
        <f>$O$178*$AA$178</f>
        <v>1290.7599666921437</v>
      </c>
    </row>
    <row r="179" spans="1:33" ht="11.25" customHeight="1" x14ac:dyDescent="0.25">
      <c r="A179" s="4" t="s">
        <v>21</v>
      </c>
      <c r="B179" s="4" t="s">
        <v>33</v>
      </c>
      <c r="C179" s="4" t="s">
        <v>34</v>
      </c>
      <c r="D179" s="4" t="s">
        <v>38</v>
      </c>
      <c r="E179" s="4" t="s">
        <v>25</v>
      </c>
      <c r="F179" s="4" t="s">
        <v>25</v>
      </c>
      <c r="G179" s="4" t="s">
        <v>25</v>
      </c>
      <c r="H179" s="4" t="s">
        <v>35</v>
      </c>
      <c r="I179" s="5">
        <v>44593</v>
      </c>
      <c r="J179" s="6">
        <v>0</v>
      </c>
      <c r="K179" s="6">
        <v>0</v>
      </c>
      <c r="L179" s="6">
        <v>19.457999999999998</v>
      </c>
      <c r="M179" s="6">
        <v>19.457999999999998</v>
      </c>
      <c r="N179" s="6">
        <v>19.457999999999998</v>
      </c>
      <c r="O179" s="6">
        <v>19.457999999999998</v>
      </c>
      <c r="P179" s="6">
        <v>0</v>
      </c>
      <c r="Q179" s="4" t="s">
        <v>26</v>
      </c>
      <c r="R179" s="4">
        <v>0</v>
      </c>
      <c r="S179" s="6">
        <v>0</v>
      </c>
      <c r="T179" s="6">
        <v>66</v>
      </c>
      <c r="U179" s="6">
        <v>6</v>
      </c>
      <c r="V179" s="6">
        <f>IF(ISERROR(VLOOKUP($S$179,'TAR FIN'!$A$1:$O$85,15,0)),0,VLOOKUP($S$179,'TAR FIN'!$A$1:$O$85,15,0))</f>
        <v>0</v>
      </c>
      <c r="W179" s="6">
        <f>IF(ISERROR(VLOOKUP($T$179,'TAR FIN'!$A$1:$O$85,15,0)),0,VLOOKUP($T$179,'TAR FIN'!$A$1:$O$85,15,0))</f>
        <v>2263.58</v>
      </c>
      <c r="X179" s="6">
        <f>IF(ISERROR(VLOOKUP($U$179,'TAR FIN'!$A$1:$O$85,15,0)),0,VLOOKUP($U$179,'TAR FIN'!$A$1:$O$85,15,0))</f>
        <v>223.72</v>
      </c>
      <c r="Y179" s="6"/>
      <c r="Z179" s="6">
        <f ca="1">('TUSD BE'!$AM$11+'TUSD BF'!$AM$11+'TUSD CVA'!$AM$11)*1</f>
        <v>2373.6759655636811</v>
      </c>
      <c r="AA179" s="6">
        <f>('TE BE'!$AA$5+'TE BF'!$AA$5+'TE CVA'!$AA$5)*1</f>
        <v>217.62939920622892</v>
      </c>
      <c r="AB179" s="6">
        <f>$K$179*$V$179</f>
        <v>0</v>
      </c>
      <c r="AC179" s="6">
        <f>$M$179*$W$179</f>
        <v>44044.739639999993</v>
      </c>
      <c r="AD179" s="6">
        <f>$O$179*$X$179</f>
        <v>4353.1437599999999</v>
      </c>
      <c r="AE179" s="6">
        <f>$K$179*$Y$179</f>
        <v>0</v>
      </c>
      <c r="AF179" s="6">
        <f ca="1">$M$179*$Z$179</f>
        <v>46186.986937938105</v>
      </c>
      <c r="AG179" s="6">
        <f>$O$179*$AA$179</f>
        <v>4234.632849754802</v>
      </c>
    </row>
    <row r="180" spans="1:33" ht="11.25" customHeight="1" x14ac:dyDescent="0.25">
      <c r="A180" s="4" t="s">
        <v>28</v>
      </c>
      <c r="B180" s="4" t="s">
        <v>33</v>
      </c>
      <c r="C180" s="4" t="s">
        <v>34</v>
      </c>
      <c r="D180" s="4" t="s">
        <v>38</v>
      </c>
      <c r="E180" s="4" t="s">
        <v>25</v>
      </c>
      <c r="F180" s="4" t="s">
        <v>25</v>
      </c>
      <c r="G180" s="4" t="s">
        <v>25</v>
      </c>
      <c r="H180" s="4" t="s">
        <v>35</v>
      </c>
      <c r="I180" s="5">
        <v>44593</v>
      </c>
      <c r="J180" s="6">
        <v>0</v>
      </c>
      <c r="K180" s="6">
        <v>0</v>
      </c>
      <c r="L180" s="6">
        <v>8.843</v>
      </c>
      <c r="M180" s="6">
        <v>8.843</v>
      </c>
      <c r="N180" s="6">
        <v>8.843</v>
      </c>
      <c r="O180" s="6">
        <v>8.843</v>
      </c>
      <c r="P180" s="6">
        <v>0</v>
      </c>
      <c r="Q180" s="4" t="s">
        <v>26</v>
      </c>
      <c r="R180" s="4">
        <v>0</v>
      </c>
      <c r="S180" s="6">
        <v>0</v>
      </c>
      <c r="T180" s="6">
        <v>66</v>
      </c>
      <c r="U180" s="6">
        <v>6</v>
      </c>
      <c r="V180" s="6">
        <f>IF(ISERROR(VLOOKUP($S$180,'TAR FIN'!$A$1:$O$85,15,0)),0,VLOOKUP($S$180,'TAR FIN'!$A$1:$O$85,15,0))</f>
        <v>0</v>
      </c>
      <c r="W180" s="6">
        <f>IF(ISERROR(VLOOKUP($T$180,'TAR FIN'!$A$1:$O$85,15,0)),0,VLOOKUP($T$180,'TAR FIN'!$A$1:$O$85,15,0))</f>
        <v>2263.58</v>
      </c>
      <c r="X180" s="6">
        <f>IF(ISERROR(VLOOKUP($U$180,'TAR FIN'!$A$1:$O$85,15,0)),0,VLOOKUP($U$180,'TAR FIN'!$A$1:$O$85,15,0))</f>
        <v>223.72</v>
      </c>
      <c r="Y180" s="6"/>
      <c r="Z180" s="6">
        <f ca="1">('TUSD BE'!$AM$11+'TUSD BF'!$AM$11+'TUSD CVA'!$AM$11)*1</f>
        <v>2373.6759655636811</v>
      </c>
      <c r="AA180" s="6">
        <f>('TE BE'!$AA$5+'TE BF'!$AA$5+'TE CVA'!$AA$5)*1</f>
        <v>217.62939920622892</v>
      </c>
      <c r="AB180" s="6">
        <f>$K$180*$V$180</f>
        <v>0</v>
      </c>
      <c r="AC180" s="6">
        <f>$M$180*$W$180</f>
        <v>20016.837939999998</v>
      </c>
      <c r="AD180" s="6">
        <f>$O$180*$X$180</f>
        <v>1978.3559600000001</v>
      </c>
      <c r="AE180" s="6">
        <f>$K$180*$Y$180</f>
        <v>0</v>
      </c>
      <c r="AF180" s="6">
        <f ca="1">$M$180*$Z$180</f>
        <v>20990.41656347963</v>
      </c>
      <c r="AG180" s="6">
        <f>$O$180*$AA$180</f>
        <v>1924.4967771806823</v>
      </c>
    </row>
    <row r="181" spans="1:33" ht="11.25" customHeight="1" x14ac:dyDescent="0.25">
      <c r="A181" s="4" t="s">
        <v>54</v>
      </c>
      <c r="B181" s="4" t="s">
        <v>33</v>
      </c>
      <c r="C181" s="4" t="s">
        <v>34</v>
      </c>
      <c r="D181" s="4" t="s">
        <v>38</v>
      </c>
      <c r="E181" s="4" t="s">
        <v>25</v>
      </c>
      <c r="F181" s="4" t="s">
        <v>25</v>
      </c>
      <c r="G181" s="4" t="s">
        <v>25</v>
      </c>
      <c r="H181" s="4" t="s">
        <v>35</v>
      </c>
      <c r="I181" s="5">
        <v>44621</v>
      </c>
      <c r="J181" s="6">
        <v>0</v>
      </c>
      <c r="K181" s="6">
        <v>0</v>
      </c>
      <c r="L181" s="6">
        <v>19.457999999999998</v>
      </c>
      <c r="M181" s="6">
        <v>19.457999999999998</v>
      </c>
      <c r="N181" s="6">
        <v>19.457999999999998</v>
      </c>
      <c r="O181" s="6">
        <v>19.457999999999998</v>
      </c>
      <c r="P181" s="6">
        <v>0</v>
      </c>
      <c r="Q181" s="4" t="s">
        <v>26</v>
      </c>
      <c r="R181" s="4">
        <v>0</v>
      </c>
      <c r="S181" s="6">
        <v>0</v>
      </c>
      <c r="T181" s="6">
        <v>66</v>
      </c>
      <c r="U181" s="6">
        <v>6</v>
      </c>
      <c r="V181" s="6">
        <f>IF(ISERROR(VLOOKUP($S$181,'TAR FIN'!$A$1:$O$85,15,0)),0,VLOOKUP($S$181,'TAR FIN'!$A$1:$O$85,15,0))</f>
        <v>0</v>
      </c>
      <c r="W181" s="6">
        <f>IF(ISERROR(VLOOKUP($T$181,'TAR FIN'!$A$1:$O$85,15,0)),0,VLOOKUP($T$181,'TAR FIN'!$A$1:$O$85,15,0))</f>
        <v>2263.58</v>
      </c>
      <c r="X181" s="6">
        <f>IF(ISERROR(VLOOKUP($U$181,'TAR FIN'!$A$1:$O$85,15,0)),0,VLOOKUP($U$181,'TAR FIN'!$A$1:$O$85,15,0))</f>
        <v>223.72</v>
      </c>
      <c r="Y181" s="6"/>
      <c r="Z181" s="6">
        <f ca="1">('TUSD BE'!$AM$11+'TUSD BF'!$AM$11+'TUSD CVA'!$AM$11)*1</f>
        <v>2373.6759655636811</v>
      </c>
      <c r="AA181" s="6">
        <f>('TE BE'!$AA$5+'TE BF'!$AA$5+'TE CVA'!$AA$5)*1</f>
        <v>217.62939920622892</v>
      </c>
      <c r="AB181" s="6">
        <f>$K$181*$V$181</f>
        <v>0</v>
      </c>
      <c r="AC181" s="6">
        <f>$M$181*$W$181</f>
        <v>44044.739639999993</v>
      </c>
      <c r="AD181" s="6">
        <f>$O$181*$X$181</f>
        <v>4353.1437599999999</v>
      </c>
      <c r="AE181" s="6">
        <f>$K$181*$Y$181</f>
        <v>0</v>
      </c>
      <c r="AF181" s="6">
        <f ca="1">$M$181*$Z$181</f>
        <v>46186.986937938105</v>
      </c>
      <c r="AG181" s="6">
        <f>$O$181*$AA$181</f>
        <v>4234.632849754802</v>
      </c>
    </row>
    <row r="182" spans="1:33" ht="11.25" customHeight="1" x14ac:dyDescent="0.25">
      <c r="A182" s="4" t="s">
        <v>54</v>
      </c>
      <c r="B182" s="4" t="s">
        <v>33</v>
      </c>
      <c r="C182" s="4" t="s">
        <v>34</v>
      </c>
      <c r="D182" s="4" t="s">
        <v>38</v>
      </c>
      <c r="E182" s="4" t="s">
        <v>25</v>
      </c>
      <c r="F182" s="4" t="s">
        <v>25</v>
      </c>
      <c r="G182" s="4" t="s">
        <v>25</v>
      </c>
      <c r="H182" s="4" t="s">
        <v>35</v>
      </c>
      <c r="I182" s="5">
        <v>44621</v>
      </c>
      <c r="J182" s="6">
        <v>0</v>
      </c>
      <c r="K182" s="6">
        <v>0</v>
      </c>
      <c r="L182" s="6">
        <v>8.843</v>
      </c>
      <c r="M182" s="6">
        <v>8.843</v>
      </c>
      <c r="N182" s="6">
        <v>8.843</v>
      </c>
      <c r="O182" s="6">
        <v>8.843</v>
      </c>
      <c r="P182" s="6">
        <v>0</v>
      </c>
      <c r="Q182" s="4" t="s">
        <v>26</v>
      </c>
      <c r="R182" s="4">
        <v>0</v>
      </c>
      <c r="S182" s="6">
        <v>0</v>
      </c>
      <c r="T182" s="6">
        <v>66</v>
      </c>
      <c r="U182" s="6">
        <v>6</v>
      </c>
      <c r="V182" s="6">
        <f>IF(ISERROR(VLOOKUP($S$182,'TAR FIN'!$A$1:$O$85,15,0)),0,VLOOKUP($S$182,'TAR FIN'!$A$1:$O$85,15,0))</f>
        <v>0</v>
      </c>
      <c r="W182" s="6">
        <f>IF(ISERROR(VLOOKUP($T$182,'TAR FIN'!$A$1:$O$85,15,0)),0,VLOOKUP($T$182,'TAR FIN'!$A$1:$O$85,15,0))</f>
        <v>2263.58</v>
      </c>
      <c r="X182" s="6">
        <f>IF(ISERROR(VLOOKUP($U$182,'TAR FIN'!$A$1:$O$85,15,0)),0,VLOOKUP($U$182,'TAR FIN'!$A$1:$O$85,15,0))</f>
        <v>223.72</v>
      </c>
      <c r="Y182" s="6"/>
      <c r="Z182" s="6">
        <f ca="1">('TUSD BE'!$AM$11+'TUSD BF'!$AM$11+'TUSD CVA'!$AM$11)*1</f>
        <v>2373.6759655636811</v>
      </c>
      <c r="AA182" s="6">
        <f>('TE BE'!$AA$5+'TE BF'!$AA$5+'TE CVA'!$AA$5)*1</f>
        <v>217.62939920622892</v>
      </c>
      <c r="AB182" s="6">
        <f>$K$182*$V$182</f>
        <v>0</v>
      </c>
      <c r="AC182" s="6">
        <f>$M$182*$W$182</f>
        <v>20016.837939999998</v>
      </c>
      <c r="AD182" s="6">
        <f>$O$182*$X$182</f>
        <v>1978.3559600000001</v>
      </c>
      <c r="AE182" s="6">
        <f>$K$182*$Y$182</f>
        <v>0</v>
      </c>
      <c r="AF182" s="6">
        <f ca="1">$M$182*$Z$182</f>
        <v>20990.41656347963</v>
      </c>
      <c r="AG182" s="6">
        <f>$O$182*$AA$182</f>
        <v>1924.4967771806823</v>
      </c>
    </row>
    <row r="183" spans="1:33" ht="11.25" customHeight="1" x14ac:dyDescent="0.25">
      <c r="A183" s="4" t="s">
        <v>21</v>
      </c>
      <c r="B183" s="4" t="s">
        <v>33</v>
      </c>
      <c r="C183" s="4" t="s">
        <v>34</v>
      </c>
      <c r="D183" s="4" t="s">
        <v>42</v>
      </c>
      <c r="E183" s="4" t="s">
        <v>25</v>
      </c>
      <c r="F183" s="4" t="s">
        <v>25</v>
      </c>
      <c r="G183" s="4" t="s">
        <v>25</v>
      </c>
      <c r="H183" s="4" t="s">
        <v>36</v>
      </c>
      <c r="I183" s="5">
        <v>44287</v>
      </c>
      <c r="J183" s="6">
        <v>0</v>
      </c>
      <c r="K183" s="6">
        <v>0</v>
      </c>
      <c r="L183" s="6">
        <v>66.531000000000006</v>
      </c>
      <c r="M183" s="6">
        <v>66.531000000000006</v>
      </c>
      <c r="N183" s="6">
        <v>66.531000000000006</v>
      </c>
      <c r="O183" s="6">
        <v>66.531000000000006</v>
      </c>
      <c r="P183" s="6">
        <v>0</v>
      </c>
      <c r="Q183" s="4" t="s">
        <v>26</v>
      </c>
      <c r="R183" s="4">
        <v>0</v>
      </c>
      <c r="S183" s="6">
        <v>0</v>
      </c>
      <c r="T183" s="6">
        <v>47</v>
      </c>
      <c r="U183" s="6">
        <v>27</v>
      </c>
      <c r="V183" s="6">
        <f>IF(ISERROR(VLOOKUP($S$183,'TAR FIN'!$A$1:$O$85,15,0)),0,VLOOKUP($S$183,'TAR FIN'!$A$1:$O$85,15,0))</f>
        <v>0</v>
      </c>
      <c r="W183" s="6">
        <f>IF(ISERROR(VLOOKUP($T$183,'TAR FIN'!$A$1:$O$85,15,0)),0,VLOOKUP($T$183,'TAR FIN'!$A$1:$O$85,15,0))</f>
        <v>72.23</v>
      </c>
      <c r="X183" s="6">
        <f>IF(ISERROR(VLOOKUP($U$183,'TAR FIN'!$A$1:$O$85,15,0)),0,VLOOKUP($U$183,'TAR FIN'!$A$1:$O$85,15,0))</f>
        <v>223.72</v>
      </c>
      <c r="Y183" s="6"/>
      <c r="Z183" s="6">
        <f ca="1">('TUSD BE'!$AM$12+'TUSD BF'!$AM$12+'TUSD CVA'!$AM$12)*1</f>
        <v>103.30505917577378</v>
      </c>
      <c r="AA183" s="6">
        <f>('TE BE'!$AA$6+'TE BF'!$AA$6+'TE CVA'!$AA$6)*1</f>
        <v>217.62939920622892</v>
      </c>
      <c r="AB183" s="6">
        <f>$K$183*$V$183</f>
        <v>0</v>
      </c>
      <c r="AC183" s="6">
        <f>$M$183*$W$183</f>
        <v>4805.5341300000009</v>
      </c>
      <c r="AD183" s="6">
        <f>$O$183*$X$183</f>
        <v>14884.315320000002</v>
      </c>
      <c r="AE183" s="6">
        <f>$K$183*$Y$183</f>
        <v>0</v>
      </c>
      <c r="AF183" s="6">
        <f ca="1">$M$183*$Z$183</f>
        <v>6872.9888920234062</v>
      </c>
      <c r="AG183" s="6">
        <f>$O$183*$AA$183</f>
        <v>14479.101558589618</v>
      </c>
    </row>
    <row r="184" spans="1:33" ht="11.25" customHeight="1" x14ac:dyDescent="0.25">
      <c r="A184" s="4" t="s">
        <v>21</v>
      </c>
      <c r="B184" s="4" t="s">
        <v>33</v>
      </c>
      <c r="C184" s="4" t="s">
        <v>34</v>
      </c>
      <c r="D184" s="4" t="s">
        <v>42</v>
      </c>
      <c r="E184" s="4" t="s">
        <v>25</v>
      </c>
      <c r="F184" s="4" t="s">
        <v>25</v>
      </c>
      <c r="G184" s="4" t="s">
        <v>25</v>
      </c>
      <c r="H184" s="4" t="s">
        <v>36</v>
      </c>
      <c r="I184" s="5">
        <v>44317</v>
      </c>
      <c r="J184" s="6">
        <v>0</v>
      </c>
      <c r="K184" s="6">
        <v>0</v>
      </c>
      <c r="L184" s="6">
        <v>63.481000000000002</v>
      </c>
      <c r="M184" s="6">
        <v>63.481000000000002</v>
      </c>
      <c r="N184" s="6">
        <v>63.481000000000002</v>
      </c>
      <c r="O184" s="6">
        <v>63.481000000000002</v>
      </c>
      <c r="P184" s="6">
        <v>0</v>
      </c>
      <c r="Q184" s="4" t="s">
        <v>26</v>
      </c>
      <c r="R184" s="4">
        <v>0</v>
      </c>
      <c r="S184" s="6">
        <v>0</v>
      </c>
      <c r="T184" s="6">
        <v>47</v>
      </c>
      <c r="U184" s="6">
        <v>27</v>
      </c>
      <c r="V184" s="6">
        <f>IF(ISERROR(VLOOKUP($S$184,'TAR FIN'!$A$1:$O$85,15,0)),0,VLOOKUP($S$184,'TAR FIN'!$A$1:$O$85,15,0))</f>
        <v>0</v>
      </c>
      <c r="W184" s="6">
        <f>IF(ISERROR(VLOOKUP($T$184,'TAR FIN'!$A$1:$O$85,15,0)),0,VLOOKUP($T$184,'TAR FIN'!$A$1:$O$85,15,0))</f>
        <v>72.23</v>
      </c>
      <c r="X184" s="6">
        <f>IF(ISERROR(VLOOKUP($U$184,'TAR FIN'!$A$1:$O$85,15,0)),0,VLOOKUP($U$184,'TAR FIN'!$A$1:$O$85,15,0))</f>
        <v>223.72</v>
      </c>
      <c r="Y184" s="6"/>
      <c r="Z184" s="6">
        <f ca="1">('TUSD BE'!$AM$12+'TUSD BF'!$AM$12+'TUSD CVA'!$AM$12)*1</f>
        <v>103.30505917577378</v>
      </c>
      <c r="AA184" s="6">
        <f>('TE BE'!$AA$6+'TE BF'!$AA$6+'TE CVA'!$AA$6)*1</f>
        <v>217.62939920622892</v>
      </c>
      <c r="AB184" s="6">
        <f>$K$184*$V$184</f>
        <v>0</v>
      </c>
      <c r="AC184" s="6">
        <f>$M$184*$W$184</f>
        <v>4585.2326300000004</v>
      </c>
      <c r="AD184" s="6">
        <f>$O$184*$X$184</f>
        <v>14201.96932</v>
      </c>
      <c r="AE184" s="6">
        <f>$K$184*$Y$184</f>
        <v>0</v>
      </c>
      <c r="AF184" s="6">
        <f ca="1">$M$184*$Z$184</f>
        <v>6557.9084615372958</v>
      </c>
      <c r="AG184" s="6">
        <f>$O$184*$AA$184</f>
        <v>13815.331891010619</v>
      </c>
    </row>
    <row r="185" spans="1:33" ht="11.25" customHeight="1" x14ac:dyDescent="0.25">
      <c r="A185" s="4" t="s">
        <v>21</v>
      </c>
      <c r="B185" s="4" t="s">
        <v>33</v>
      </c>
      <c r="C185" s="4" t="s">
        <v>34</v>
      </c>
      <c r="D185" s="4" t="s">
        <v>42</v>
      </c>
      <c r="E185" s="4" t="s">
        <v>25</v>
      </c>
      <c r="F185" s="4" t="s">
        <v>25</v>
      </c>
      <c r="G185" s="4" t="s">
        <v>25</v>
      </c>
      <c r="H185" s="4" t="s">
        <v>36</v>
      </c>
      <c r="I185" s="5">
        <v>44348</v>
      </c>
      <c r="J185" s="6">
        <v>0</v>
      </c>
      <c r="K185" s="6">
        <v>0</v>
      </c>
      <c r="L185" s="6">
        <v>66.194000000000003</v>
      </c>
      <c r="M185" s="6">
        <v>66.194000000000003</v>
      </c>
      <c r="N185" s="6">
        <v>66.194000000000003</v>
      </c>
      <c r="O185" s="6">
        <v>66.194000000000003</v>
      </c>
      <c r="P185" s="6">
        <v>0</v>
      </c>
      <c r="Q185" s="4" t="s">
        <v>26</v>
      </c>
      <c r="R185" s="4">
        <v>0</v>
      </c>
      <c r="S185" s="6">
        <v>0</v>
      </c>
      <c r="T185" s="6">
        <v>47</v>
      </c>
      <c r="U185" s="6">
        <v>27</v>
      </c>
      <c r="V185" s="6">
        <f>IF(ISERROR(VLOOKUP($S$185,'TAR FIN'!$A$1:$O$85,15,0)),0,VLOOKUP($S$185,'TAR FIN'!$A$1:$O$85,15,0))</f>
        <v>0</v>
      </c>
      <c r="W185" s="6">
        <f>IF(ISERROR(VLOOKUP($T$185,'TAR FIN'!$A$1:$O$85,15,0)),0,VLOOKUP($T$185,'TAR FIN'!$A$1:$O$85,15,0))</f>
        <v>72.23</v>
      </c>
      <c r="X185" s="6">
        <f>IF(ISERROR(VLOOKUP($U$185,'TAR FIN'!$A$1:$O$85,15,0)),0,VLOOKUP($U$185,'TAR FIN'!$A$1:$O$85,15,0))</f>
        <v>223.72</v>
      </c>
      <c r="Y185" s="6"/>
      <c r="Z185" s="6">
        <f ca="1">('TUSD BE'!$AM$12+'TUSD BF'!$AM$12+'TUSD CVA'!$AM$12)*1</f>
        <v>103.30505917577378</v>
      </c>
      <c r="AA185" s="6">
        <f>('TE BE'!$AA$6+'TE BF'!$AA$6+'TE CVA'!$AA$6)*1</f>
        <v>217.62939920622892</v>
      </c>
      <c r="AB185" s="6">
        <f>$K$185*$V$185</f>
        <v>0</v>
      </c>
      <c r="AC185" s="6">
        <f>$M$185*$W$185</f>
        <v>4781.1926200000007</v>
      </c>
      <c r="AD185" s="6">
        <f>$O$185*$X$185</f>
        <v>14808.921680000001</v>
      </c>
      <c r="AE185" s="6">
        <f>$K$185*$Y$185</f>
        <v>0</v>
      </c>
      <c r="AF185" s="6">
        <f ca="1">$M$185*$Z$185</f>
        <v>6838.1750870811693</v>
      </c>
      <c r="AG185" s="6">
        <f>$O$185*$AA$185</f>
        <v>14405.760451057118</v>
      </c>
    </row>
    <row r="186" spans="1:33" ht="11.25" customHeight="1" x14ac:dyDescent="0.25">
      <c r="A186" s="4" t="s">
        <v>21</v>
      </c>
      <c r="B186" s="4" t="s">
        <v>33</v>
      </c>
      <c r="C186" s="4" t="s">
        <v>34</v>
      </c>
      <c r="D186" s="4" t="s">
        <v>42</v>
      </c>
      <c r="E186" s="4" t="s">
        <v>25</v>
      </c>
      <c r="F186" s="4" t="s">
        <v>25</v>
      </c>
      <c r="G186" s="4" t="s">
        <v>25</v>
      </c>
      <c r="H186" s="4" t="s">
        <v>36</v>
      </c>
      <c r="I186" s="5">
        <v>44378</v>
      </c>
      <c r="J186" s="6">
        <v>0</v>
      </c>
      <c r="K186" s="6">
        <v>0</v>
      </c>
      <c r="L186" s="6">
        <v>63.581000000000003</v>
      </c>
      <c r="M186" s="6">
        <v>63.581000000000003</v>
      </c>
      <c r="N186" s="6">
        <v>63.581000000000003</v>
      </c>
      <c r="O186" s="6">
        <v>63.581000000000003</v>
      </c>
      <c r="P186" s="6">
        <v>0</v>
      </c>
      <c r="Q186" s="4" t="s">
        <v>26</v>
      </c>
      <c r="R186" s="4">
        <v>0</v>
      </c>
      <c r="S186" s="6">
        <v>0</v>
      </c>
      <c r="T186" s="6">
        <v>47</v>
      </c>
      <c r="U186" s="6">
        <v>27</v>
      </c>
      <c r="V186" s="6">
        <f>IF(ISERROR(VLOOKUP($S$186,'TAR FIN'!$A$1:$O$85,15,0)),0,VLOOKUP($S$186,'TAR FIN'!$A$1:$O$85,15,0))</f>
        <v>0</v>
      </c>
      <c r="W186" s="6">
        <f>IF(ISERROR(VLOOKUP($T$186,'TAR FIN'!$A$1:$O$85,15,0)),0,VLOOKUP($T$186,'TAR FIN'!$A$1:$O$85,15,0))</f>
        <v>72.23</v>
      </c>
      <c r="X186" s="6">
        <f>IF(ISERROR(VLOOKUP($U$186,'TAR FIN'!$A$1:$O$85,15,0)),0,VLOOKUP($U$186,'TAR FIN'!$A$1:$O$85,15,0))</f>
        <v>223.72</v>
      </c>
      <c r="Y186" s="6"/>
      <c r="Z186" s="6">
        <f ca="1">('TUSD BE'!$AM$12+'TUSD BF'!$AM$12+'TUSD CVA'!$AM$12)*1</f>
        <v>103.30505917577378</v>
      </c>
      <c r="AA186" s="6">
        <f>('TE BE'!$AA$6+'TE BF'!$AA$6+'TE CVA'!$AA$6)*1</f>
        <v>217.62939920622892</v>
      </c>
      <c r="AB186" s="6">
        <f>$K$186*$V$186</f>
        <v>0</v>
      </c>
      <c r="AC186" s="6">
        <f>$M$186*$W$186</f>
        <v>4592.4556300000004</v>
      </c>
      <c r="AD186" s="6">
        <f>$O$186*$X$186</f>
        <v>14224.341320000001</v>
      </c>
      <c r="AE186" s="6">
        <f>$K$186*$Y$186</f>
        <v>0</v>
      </c>
      <c r="AF186" s="6">
        <f ca="1">$M$186*$Z$186</f>
        <v>6568.2389674548731</v>
      </c>
      <c r="AG186" s="6">
        <f>$O$186*$AA$186</f>
        <v>13837.094830931243</v>
      </c>
    </row>
    <row r="187" spans="1:33" ht="11.25" customHeight="1" x14ac:dyDescent="0.25">
      <c r="A187" s="4" t="s">
        <v>21</v>
      </c>
      <c r="B187" s="4" t="s">
        <v>33</v>
      </c>
      <c r="C187" s="4" t="s">
        <v>34</v>
      </c>
      <c r="D187" s="4" t="s">
        <v>42</v>
      </c>
      <c r="E187" s="4" t="s">
        <v>25</v>
      </c>
      <c r="F187" s="4" t="s">
        <v>25</v>
      </c>
      <c r="G187" s="4" t="s">
        <v>25</v>
      </c>
      <c r="H187" s="4" t="s">
        <v>36</v>
      </c>
      <c r="I187" s="5">
        <v>44409</v>
      </c>
      <c r="J187" s="6">
        <v>0</v>
      </c>
      <c r="K187" s="6">
        <v>0</v>
      </c>
      <c r="L187" s="6">
        <v>67.027000000000001</v>
      </c>
      <c r="M187" s="6">
        <v>67.027000000000001</v>
      </c>
      <c r="N187" s="6">
        <v>67.027000000000001</v>
      </c>
      <c r="O187" s="6">
        <v>67.027000000000001</v>
      </c>
      <c r="P187" s="6">
        <v>0</v>
      </c>
      <c r="Q187" s="4" t="s">
        <v>26</v>
      </c>
      <c r="R187" s="4">
        <v>0</v>
      </c>
      <c r="S187" s="6">
        <v>0</v>
      </c>
      <c r="T187" s="6">
        <v>47</v>
      </c>
      <c r="U187" s="6">
        <v>27</v>
      </c>
      <c r="V187" s="6">
        <f>IF(ISERROR(VLOOKUP($S$187,'TAR FIN'!$A$1:$O$85,15,0)),0,VLOOKUP($S$187,'TAR FIN'!$A$1:$O$85,15,0))</f>
        <v>0</v>
      </c>
      <c r="W187" s="6">
        <f>IF(ISERROR(VLOOKUP($T$187,'TAR FIN'!$A$1:$O$85,15,0)),0,VLOOKUP($T$187,'TAR FIN'!$A$1:$O$85,15,0))</f>
        <v>72.23</v>
      </c>
      <c r="X187" s="6">
        <f>IF(ISERROR(VLOOKUP($U$187,'TAR FIN'!$A$1:$O$85,15,0)),0,VLOOKUP($U$187,'TAR FIN'!$A$1:$O$85,15,0))</f>
        <v>223.72</v>
      </c>
      <c r="Y187" s="6"/>
      <c r="Z187" s="6">
        <f ca="1">('TUSD BE'!$AM$12+'TUSD BF'!$AM$12+'TUSD CVA'!$AM$12)*1</f>
        <v>103.30505917577378</v>
      </c>
      <c r="AA187" s="6">
        <f>('TE BE'!$AA$6+'TE BF'!$AA$6+'TE CVA'!$AA$6)*1</f>
        <v>217.62939920622892</v>
      </c>
      <c r="AB187" s="6">
        <f>$K$187*$V$187</f>
        <v>0</v>
      </c>
      <c r="AC187" s="6">
        <f>$M$187*$W$187</f>
        <v>4841.3602100000007</v>
      </c>
      <c r="AD187" s="6">
        <f>$O$187*$X$187</f>
        <v>14995.28044</v>
      </c>
      <c r="AE187" s="6">
        <f>$K$187*$Y$187</f>
        <v>0</v>
      </c>
      <c r="AF187" s="6">
        <f ca="1">$M$187*$Z$187</f>
        <v>6924.2282013745889</v>
      </c>
      <c r="AG187" s="6">
        <f>$O$187*$AA$187</f>
        <v>14587.045740595906</v>
      </c>
    </row>
    <row r="188" spans="1:33" ht="11.25" customHeight="1" x14ac:dyDescent="0.25">
      <c r="A188" s="4" t="s">
        <v>21</v>
      </c>
      <c r="B188" s="4" t="s">
        <v>33</v>
      </c>
      <c r="C188" s="4" t="s">
        <v>34</v>
      </c>
      <c r="D188" s="4" t="s">
        <v>42</v>
      </c>
      <c r="E188" s="4" t="s">
        <v>25</v>
      </c>
      <c r="F188" s="4" t="s">
        <v>25</v>
      </c>
      <c r="G188" s="4" t="s">
        <v>25</v>
      </c>
      <c r="H188" s="4" t="s">
        <v>36</v>
      </c>
      <c r="I188" s="5">
        <v>44440</v>
      </c>
      <c r="J188" s="6">
        <v>0</v>
      </c>
      <c r="K188" s="6">
        <v>0</v>
      </c>
      <c r="L188" s="6">
        <v>65.751000000000005</v>
      </c>
      <c r="M188" s="6">
        <v>65.751000000000005</v>
      </c>
      <c r="N188" s="6">
        <v>65.751000000000005</v>
      </c>
      <c r="O188" s="6">
        <v>65.751000000000005</v>
      </c>
      <c r="P188" s="6">
        <v>0</v>
      </c>
      <c r="Q188" s="4" t="s">
        <v>26</v>
      </c>
      <c r="R188" s="4">
        <v>0</v>
      </c>
      <c r="S188" s="6">
        <v>0</v>
      </c>
      <c r="T188" s="6">
        <v>47</v>
      </c>
      <c r="U188" s="6">
        <v>27</v>
      </c>
      <c r="V188" s="6">
        <f>IF(ISERROR(VLOOKUP($S$188,'TAR FIN'!$A$1:$O$85,15,0)),0,VLOOKUP($S$188,'TAR FIN'!$A$1:$O$85,15,0))</f>
        <v>0</v>
      </c>
      <c r="W188" s="6">
        <f>IF(ISERROR(VLOOKUP($T$188,'TAR FIN'!$A$1:$O$85,15,0)),0,VLOOKUP($T$188,'TAR FIN'!$A$1:$O$85,15,0))</f>
        <v>72.23</v>
      </c>
      <c r="X188" s="6">
        <f>IF(ISERROR(VLOOKUP($U$188,'TAR FIN'!$A$1:$O$85,15,0)),0,VLOOKUP($U$188,'TAR FIN'!$A$1:$O$85,15,0))</f>
        <v>223.72</v>
      </c>
      <c r="Y188" s="6"/>
      <c r="Z188" s="6">
        <f ca="1">('TUSD BE'!$AM$12+'TUSD BF'!$AM$12+'TUSD CVA'!$AM$12)*1</f>
        <v>103.30505917577378</v>
      </c>
      <c r="AA188" s="6">
        <f>('TE BE'!$AA$6+'TE BF'!$AA$6+'TE CVA'!$AA$6)*1</f>
        <v>217.62939920622892</v>
      </c>
      <c r="AB188" s="6">
        <f>$K$188*$V$188</f>
        <v>0</v>
      </c>
      <c r="AC188" s="6">
        <f>$M$188*$W$188</f>
        <v>4749.1947300000002</v>
      </c>
      <c r="AD188" s="6">
        <f>$O$188*$X$188</f>
        <v>14709.81372</v>
      </c>
      <c r="AE188" s="6">
        <f>$K$188*$Y$188</f>
        <v>0</v>
      </c>
      <c r="AF188" s="6">
        <f ca="1">$M$188*$Z$188</f>
        <v>6792.4109458663024</v>
      </c>
      <c r="AG188" s="6">
        <f>$O$188*$AA$188</f>
        <v>14309.35062720876</v>
      </c>
    </row>
    <row r="189" spans="1:33" ht="11.25" customHeight="1" x14ac:dyDescent="0.25">
      <c r="A189" s="4" t="s">
        <v>21</v>
      </c>
      <c r="B189" s="4" t="s">
        <v>33</v>
      </c>
      <c r="C189" s="4" t="s">
        <v>34</v>
      </c>
      <c r="D189" s="4" t="s">
        <v>42</v>
      </c>
      <c r="E189" s="4" t="s">
        <v>25</v>
      </c>
      <c r="F189" s="4" t="s">
        <v>25</v>
      </c>
      <c r="G189" s="4" t="s">
        <v>25</v>
      </c>
      <c r="H189" s="4" t="s">
        <v>36</v>
      </c>
      <c r="I189" s="5">
        <v>44470</v>
      </c>
      <c r="J189" s="6">
        <v>0</v>
      </c>
      <c r="K189" s="6">
        <v>0</v>
      </c>
      <c r="L189" s="6">
        <v>65.188999999999993</v>
      </c>
      <c r="M189" s="6">
        <v>65.188999999999993</v>
      </c>
      <c r="N189" s="6">
        <v>65.188999999999993</v>
      </c>
      <c r="O189" s="6">
        <v>65.188999999999993</v>
      </c>
      <c r="P189" s="6">
        <v>0</v>
      </c>
      <c r="Q189" s="4" t="s">
        <v>26</v>
      </c>
      <c r="R189" s="4">
        <v>0</v>
      </c>
      <c r="S189" s="6">
        <v>0</v>
      </c>
      <c r="T189" s="6">
        <v>47</v>
      </c>
      <c r="U189" s="6">
        <v>27</v>
      </c>
      <c r="V189" s="6">
        <f>IF(ISERROR(VLOOKUP($S$189,'TAR FIN'!$A$1:$O$85,15,0)),0,VLOOKUP($S$189,'TAR FIN'!$A$1:$O$85,15,0))</f>
        <v>0</v>
      </c>
      <c r="W189" s="6">
        <f>IF(ISERROR(VLOOKUP($T$189,'TAR FIN'!$A$1:$O$85,15,0)),0,VLOOKUP($T$189,'TAR FIN'!$A$1:$O$85,15,0))</f>
        <v>72.23</v>
      </c>
      <c r="X189" s="6">
        <f>IF(ISERROR(VLOOKUP($U$189,'TAR FIN'!$A$1:$O$85,15,0)),0,VLOOKUP($U$189,'TAR FIN'!$A$1:$O$85,15,0))</f>
        <v>223.72</v>
      </c>
      <c r="Y189" s="6"/>
      <c r="Z189" s="6">
        <f ca="1">('TUSD BE'!$AM$12+'TUSD BF'!$AM$12+'TUSD CVA'!$AM$12)*1</f>
        <v>103.30505917577378</v>
      </c>
      <c r="AA189" s="6">
        <f>('TE BE'!$AA$6+'TE BF'!$AA$6+'TE CVA'!$AA$6)*1</f>
        <v>217.62939920622892</v>
      </c>
      <c r="AB189" s="6">
        <f>$K$189*$V$189</f>
        <v>0</v>
      </c>
      <c r="AC189" s="6">
        <f>$M$189*$W$189</f>
        <v>4708.6014699999996</v>
      </c>
      <c r="AD189" s="6">
        <f>$O$189*$X$189</f>
        <v>14584.083079999999</v>
      </c>
      <c r="AE189" s="6">
        <f>$K$189*$Y$189</f>
        <v>0</v>
      </c>
      <c r="AF189" s="6">
        <f ca="1">$M$189*$Z$189</f>
        <v>6734.353502609516</v>
      </c>
      <c r="AG189" s="6">
        <f>$O$189*$AA$189</f>
        <v>14187.042904854856</v>
      </c>
    </row>
    <row r="190" spans="1:33" ht="11.25" customHeight="1" x14ac:dyDescent="0.25">
      <c r="A190" s="4" t="s">
        <v>21</v>
      </c>
      <c r="B190" s="4" t="s">
        <v>33</v>
      </c>
      <c r="C190" s="4" t="s">
        <v>34</v>
      </c>
      <c r="D190" s="4" t="s">
        <v>42</v>
      </c>
      <c r="E190" s="4" t="s">
        <v>25</v>
      </c>
      <c r="F190" s="4" t="s">
        <v>25</v>
      </c>
      <c r="G190" s="4" t="s">
        <v>25</v>
      </c>
      <c r="H190" s="4" t="s">
        <v>36</v>
      </c>
      <c r="I190" s="5">
        <v>44501</v>
      </c>
      <c r="J190" s="6">
        <v>0</v>
      </c>
      <c r="K190" s="6">
        <v>0</v>
      </c>
      <c r="L190" s="6">
        <v>68.685000000000002</v>
      </c>
      <c r="M190" s="6">
        <v>68.685000000000002</v>
      </c>
      <c r="N190" s="6">
        <v>68.685000000000002</v>
      </c>
      <c r="O190" s="6">
        <v>68.685000000000002</v>
      </c>
      <c r="P190" s="6">
        <v>0</v>
      </c>
      <c r="Q190" s="4" t="s">
        <v>26</v>
      </c>
      <c r="R190" s="4">
        <v>0</v>
      </c>
      <c r="S190" s="6">
        <v>0</v>
      </c>
      <c r="T190" s="6">
        <v>47</v>
      </c>
      <c r="U190" s="6">
        <v>27</v>
      </c>
      <c r="V190" s="6">
        <f>IF(ISERROR(VLOOKUP($S$190,'TAR FIN'!$A$1:$O$85,15,0)),0,VLOOKUP($S$190,'TAR FIN'!$A$1:$O$85,15,0))</f>
        <v>0</v>
      </c>
      <c r="W190" s="6">
        <f>IF(ISERROR(VLOOKUP($T$190,'TAR FIN'!$A$1:$O$85,15,0)),0,VLOOKUP($T$190,'TAR FIN'!$A$1:$O$85,15,0))</f>
        <v>72.23</v>
      </c>
      <c r="X190" s="6">
        <f>IF(ISERROR(VLOOKUP($U$190,'TAR FIN'!$A$1:$O$85,15,0)),0,VLOOKUP($U$190,'TAR FIN'!$A$1:$O$85,15,0))</f>
        <v>223.72</v>
      </c>
      <c r="Y190" s="6"/>
      <c r="Z190" s="6">
        <f ca="1">('TUSD BE'!$AM$12+'TUSD BF'!$AM$12+'TUSD CVA'!$AM$12)*1</f>
        <v>103.30505917577378</v>
      </c>
      <c r="AA190" s="6">
        <f>('TE BE'!$AA$6+'TE BF'!$AA$6+'TE CVA'!$AA$6)*1</f>
        <v>217.62939920622892</v>
      </c>
      <c r="AB190" s="6">
        <f>$K$190*$V$190</f>
        <v>0</v>
      </c>
      <c r="AC190" s="6">
        <f>$M$190*$W$190</f>
        <v>4961.1175500000008</v>
      </c>
      <c r="AD190" s="6">
        <f>$O$190*$X$190</f>
        <v>15366.208200000001</v>
      </c>
      <c r="AE190" s="6">
        <f>$K$190*$Y$190</f>
        <v>0</v>
      </c>
      <c r="AF190" s="6">
        <f ca="1">$M$190*$Z$190</f>
        <v>7095.5079894880218</v>
      </c>
      <c r="AG190" s="6">
        <f>$O$190*$AA$190</f>
        <v>14947.875284479835</v>
      </c>
    </row>
    <row r="191" spans="1:33" ht="11.25" customHeight="1" x14ac:dyDescent="0.25">
      <c r="A191" s="4" t="s">
        <v>21</v>
      </c>
      <c r="B191" s="4" t="s">
        <v>33</v>
      </c>
      <c r="C191" s="4" t="s">
        <v>34</v>
      </c>
      <c r="D191" s="4" t="s">
        <v>42</v>
      </c>
      <c r="E191" s="4" t="s">
        <v>25</v>
      </c>
      <c r="F191" s="4" t="s">
        <v>25</v>
      </c>
      <c r="G191" s="4" t="s">
        <v>25</v>
      </c>
      <c r="H191" s="4" t="s">
        <v>36</v>
      </c>
      <c r="I191" s="5">
        <v>44531</v>
      </c>
      <c r="J191" s="6">
        <v>0</v>
      </c>
      <c r="K191" s="6">
        <v>0</v>
      </c>
      <c r="L191" s="6">
        <v>65.856999999999999</v>
      </c>
      <c r="M191" s="6">
        <v>65.856999999999999</v>
      </c>
      <c r="N191" s="6">
        <v>65.856999999999999</v>
      </c>
      <c r="O191" s="6">
        <v>65.856999999999999</v>
      </c>
      <c r="P191" s="6">
        <v>0</v>
      </c>
      <c r="Q191" s="4" t="s">
        <v>26</v>
      </c>
      <c r="R191" s="4">
        <v>0</v>
      </c>
      <c r="S191" s="6">
        <v>0</v>
      </c>
      <c r="T191" s="6">
        <v>47</v>
      </c>
      <c r="U191" s="6">
        <v>27</v>
      </c>
      <c r="V191" s="6">
        <f>IF(ISERROR(VLOOKUP($S$191,'TAR FIN'!$A$1:$O$85,15,0)),0,VLOOKUP($S$191,'TAR FIN'!$A$1:$O$85,15,0))</f>
        <v>0</v>
      </c>
      <c r="W191" s="6">
        <f>IF(ISERROR(VLOOKUP($T$191,'TAR FIN'!$A$1:$O$85,15,0)),0,VLOOKUP($T$191,'TAR FIN'!$A$1:$O$85,15,0))</f>
        <v>72.23</v>
      </c>
      <c r="X191" s="6">
        <f>IF(ISERROR(VLOOKUP($U$191,'TAR FIN'!$A$1:$O$85,15,0)),0,VLOOKUP($U$191,'TAR FIN'!$A$1:$O$85,15,0))</f>
        <v>223.72</v>
      </c>
      <c r="Y191" s="6"/>
      <c r="Z191" s="6">
        <f ca="1">('TUSD BE'!$AM$12+'TUSD BF'!$AM$12+'TUSD CVA'!$AM$12)*1</f>
        <v>103.30505917577378</v>
      </c>
      <c r="AA191" s="6">
        <f>('TE BE'!$AA$6+'TE BF'!$AA$6+'TE CVA'!$AA$6)*1</f>
        <v>217.62939920622892</v>
      </c>
      <c r="AB191" s="6">
        <f>$K$191*$V$191</f>
        <v>0</v>
      </c>
      <c r="AC191" s="6">
        <f>$M$191*$W$191</f>
        <v>4756.8511100000005</v>
      </c>
      <c r="AD191" s="6">
        <f>$O$191*$X$191</f>
        <v>14733.528039999999</v>
      </c>
      <c r="AE191" s="6">
        <f>$K$191*$Y$191</f>
        <v>0</v>
      </c>
      <c r="AF191" s="6">
        <f ca="1">$M$191*$Z$191</f>
        <v>6803.3612821389333</v>
      </c>
      <c r="AG191" s="6">
        <f>$O$191*$AA$191</f>
        <v>14332.419343524618</v>
      </c>
    </row>
    <row r="192" spans="1:33" ht="11.25" customHeight="1" x14ac:dyDescent="0.25">
      <c r="A192" s="4" t="s">
        <v>21</v>
      </c>
      <c r="B192" s="4" t="s">
        <v>33</v>
      </c>
      <c r="C192" s="4" t="s">
        <v>34</v>
      </c>
      <c r="D192" s="4" t="s">
        <v>42</v>
      </c>
      <c r="E192" s="4" t="s">
        <v>25</v>
      </c>
      <c r="F192" s="4" t="s">
        <v>25</v>
      </c>
      <c r="G192" s="4" t="s">
        <v>25</v>
      </c>
      <c r="H192" s="4" t="s">
        <v>36</v>
      </c>
      <c r="I192" s="5">
        <v>44562</v>
      </c>
      <c r="J192" s="6">
        <v>0</v>
      </c>
      <c r="K192" s="6">
        <v>0</v>
      </c>
      <c r="L192" s="6">
        <v>69.786000000000001</v>
      </c>
      <c r="M192" s="6">
        <v>69.786000000000001</v>
      </c>
      <c r="N192" s="6">
        <v>69.786000000000001</v>
      </c>
      <c r="O192" s="6">
        <v>69.786000000000001</v>
      </c>
      <c r="P192" s="6">
        <v>0</v>
      </c>
      <c r="Q192" s="4" t="s">
        <v>26</v>
      </c>
      <c r="R192" s="4">
        <v>0</v>
      </c>
      <c r="S192" s="6">
        <v>0</v>
      </c>
      <c r="T192" s="6">
        <v>47</v>
      </c>
      <c r="U192" s="6">
        <v>27</v>
      </c>
      <c r="V192" s="6">
        <f>IF(ISERROR(VLOOKUP($S$192,'TAR FIN'!$A$1:$O$85,15,0)),0,VLOOKUP($S$192,'TAR FIN'!$A$1:$O$85,15,0))</f>
        <v>0</v>
      </c>
      <c r="W192" s="6">
        <f>IF(ISERROR(VLOOKUP($T$192,'TAR FIN'!$A$1:$O$85,15,0)),0,VLOOKUP($T$192,'TAR FIN'!$A$1:$O$85,15,0))</f>
        <v>72.23</v>
      </c>
      <c r="X192" s="6">
        <f>IF(ISERROR(VLOOKUP($U$192,'TAR FIN'!$A$1:$O$85,15,0)),0,VLOOKUP($U$192,'TAR FIN'!$A$1:$O$85,15,0))</f>
        <v>223.72</v>
      </c>
      <c r="Y192" s="6"/>
      <c r="Z192" s="6">
        <f ca="1">('TUSD BE'!$AM$12+'TUSD BF'!$AM$12+'TUSD CVA'!$AM$12)*1</f>
        <v>103.30505917577378</v>
      </c>
      <c r="AA192" s="6">
        <f>('TE BE'!$AA$6+'TE BF'!$AA$6+'TE CVA'!$AA$6)*1</f>
        <v>217.62939920622892</v>
      </c>
      <c r="AB192" s="6">
        <f>$K$192*$V$192</f>
        <v>0</v>
      </c>
      <c r="AC192" s="6">
        <f>$M$192*$W$192</f>
        <v>5040.6427800000001</v>
      </c>
      <c r="AD192" s="6">
        <f>$O$192*$X$192</f>
        <v>15612.52392</v>
      </c>
      <c r="AE192" s="6">
        <f>$K$192*$Y$192</f>
        <v>0</v>
      </c>
      <c r="AF192" s="6">
        <f ca="1">$M$192*$Z$192</f>
        <v>7209.2468596405488</v>
      </c>
      <c r="AG192" s="6">
        <f>$O$192*$AA$192</f>
        <v>15187.485253005892</v>
      </c>
    </row>
    <row r="193" spans="1:33" ht="11.25" customHeight="1" x14ac:dyDescent="0.25">
      <c r="A193" s="4" t="s">
        <v>21</v>
      </c>
      <c r="B193" s="4" t="s">
        <v>33</v>
      </c>
      <c r="C193" s="4" t="s">
        <v>34</v>
      </c>
      <c r="D193" s="4" t="s">
        <v>42</v>
      </c>
      <c r="E193" s="4" t="s">
        <v>25</v>
      </c>
      <c r="F193" s="4" t="s">
        <v>25</v>
      </c>
      <c r="G193" s="4" t="s">
        <v>25</v>
      </c>
      <c r="H193" s="4" t="s">
        <v>36</v>
      </c>
      <c r="I193" s="5">
        <v>44593</v>
      </c>
      <c r="J193" s="6">
        <v>0</v>
      </c>
      <c r="K193" s="6">
        <v>0</v>
      </c>
      <c r="L193" s="6">
        <v>69.491</v>
      </c>
      <c r="M193" s="6">
        <v>69.491</v>
      </c>
      <c r="N193" s="6">
        <v>69.491</v>
      </c>
      <c r="O193" s="6">
        <v>69.491</v>
      </c>
      <c r="P193" s="6">
        <v>0</v>
      </c>
      <c r="Q193" s="4" t="s">
        <v>26</v>
      </c>
      <c r="R193" s="4">
        <v>0</v>
      </c>
      <c r="S193" s="6">
        <v>0</v>
      </c>
      <c r="T193" s="6">
        <v>47</v>
      </c>
      <c r="U193" s="6">
        <v>27</v>
      </c>
      <c r="V193" s="6">
        <f>IF(ISERROR(VLOOKUP($S$193,'TAR FIN'!$A$1:$O$85,15,0)),0,VLOOKUP($S$193,'TAR FIN'!$A$1:$O$85,15,0))</f>
        <v>0</v>
      </c>
      <c r="W193" s="6">
        <f>IF(ISERROR(VLOOKUP($T$193,'TAR FIN'!$A$1:$O$85,15,0)),0,VLOOKUP($T$193,'TAR FIN'!$A$1:$O$85,15,0))</f>
        <v>72.23</v>
      </c>
      <c r="X193" s="6">
        <f>IF(ISERROR(VLOOKUP($U$193,'TAR FIN'!$A$1:$O$85,15,0)),0,VLOOKUP($U$193,'TAR FIN'!$A$1:$O$85,15,0))</f>
        <v>223.72</v>
      </c>
      <c r="Y193" s="6"/>
      <c r="Z193" s="6">
        <f ca="1">('TUSD BE'!$AM$12+'TUSD BF'!$AM$12+'TUSD CVA'!$AM$12)*1</f>
        <v>103.30505917577378</v>
      </c>
      <c r="AA193" s="6">
        <f>('TE BE'!$AA$6+'TE BF'!$AA$6+'TE CVA'!$AA$6)*1</f>
        <v>217.62939920622892</v>
      </c>
      <c r="AB193" s="6">
        <f>$K$193*$V$193</f>
        <v>0</v>
      </c>
      <c r="AC193" s="6">
        <f>$M$193*$W$193</f>
        <v>5019.33493</v>
      </c>
      <c r="AD193" s="6">
        <f>$O$193*$X$193</f>
        <v>15546.526519999999</v>
      </c>
      <c r="AE193" s="6">
        <f>$K$193*$Y$193</f>
        <v>0</v>
      </c>
      <c r="AF193" s="6">
        <f ca="1">$M$193*$Z$193</f>
        <v>7178.7718671836956</v>
      </c>
      <c r="AG193" s="6">
        <f>$O$193*$AA$193</f>
        <v>15123.284580240053</v>
      </c>
    </row>
    <row r="194" spans="1:33" ht="11.25" customHeight="1" x14ac:dyDescent="0.25">
      <c r="A194" s="4" t="s">
        <v>54</v>
      </c>
      <c r="B194" s="4" t="s">
        <v>33</v>
      </c>
      <c r="C194" s="4" t="s">
        <v>34</v>
      </c>
      <c r="D194" s="4" t="s">
        <v>42</v>
      </c>
      <c r="E194" s="4" t="s">
        <v>25</v>
      </c>
      <c r="F194" s="4" t="s">
        <v>25</v>
      </c>
      <c r="G194" s="4" t="s">
        <v>25</v>
      </c>
      <c r="H194" s="4" t="s">
        <v>36</v>
      </c>
      <c r="I194" s="5">
        <v>44621</v>
      </c>
      <c r="J194" s="6">
        <v>0</v>
      </c>
      <c r="K194" s="6">
        <v>0</v>
      </c>
      <c r="L194" s="6">
        <v>69.491</v>
      </c>
      <c r="M194" s="6">
        <v>69.491</v>
      </c>
      <c r="N194" s="6">
        <v>69.491</v>
      </c>
      <c r="O194" s="6">
        <v>69.491</v>
      </c>
      <c r="P194" s="6">
        <v>0</v>
      </c>
      <c r="Q194" s="4" t="s">
        <v>26</v>
      </c>
      <c r="R194" s="4">
        <v>0</v>
      </c>
      <c r="S194" s="6">
        <v>0</v>
      </c>
      <c r="T194" s="6">
        <v>47</v>
      </c>
      <c r="U194" s="6">
        <v>27</v>
      </c>
      <c r="V194" s="6">
        <f>IF(ISERROR(VLOOKUP($S$194,'TAR FIN'!$A$1:$O$85,15,0)),0,VLOOKUP($S$194,'TAR FIN'!$A$1:$O$85,15,0))</f>
        <v>0</v>
      </c>
      <c r="W194" s="6">
        <f>IF(ISERROR(VLOOKUP($T$194,'TAR FIN'!$A$1:$O$85,15,0)),0,VLOOKUP($T$194,'TAR FIN'!$A$1:$O$85,15,0))</f>
        <v>72.23</v>
      </c>
      <c r="X194" s="6">
        <f>IF(ISERROR(VLOOKUP($U$194,'TAR FIN'!$A$1:$O$85,15,0)),0,VLOOKUP($U$194,'TAR FIN'!$A$1:$O$85,15,0))</f>
        <v>223.72</v>
      </c>
      <c r="Y194" s="6"/>
      <c r="Z194" s="6">
        <f ca="1">('TUSD BE'!$AM$12+'TUSD BF'!$AM$12+'TUSD CVA'!$AM$12)*1</f>
        <v>103.30505917577378</v>
      </c>
      <c r="AA194" s="6">
        <f>('TE BE'!$AA$6+'TE BF'!$AA$6+'TE CVA'!$AA$6)*1</f>
        <v>217.62939920622892</v>
      </c>
      <c r="AB194" s="6">
        <f>$K$194*$V$194</f>
        <v>0</v>
      </c>
      <c r="AC194" s="6">
        <f>$M$194*$W$194</f>
        <v>5019.33493</v>
      </c>
      <c r="AD194" s="6">
        <f>$O$194*$X$194</f>
        <v>15546.526519999999</v>
      </c>
      <c r="AE194" s="6">
        <f>$K$194*$Y$194</f>
        <v>0</v>
      </c>
      <c r="AF194" s="6">
        <f ca="1">$M$194*$Z$194</f>
        <v>7178.7718671836956</v>
      </c>
      <c r="AG194" s="6">
        <f>$O$194*$AA$194</f>
        <v>15123.284580240053</v>
      </c>
    </row>
    <row r="195" spans="1:33" ht="11.25" customHeight="1" x14ac:dyDescent="0.25">
      <c r="A195" s="4" t="s">
        <v>21</v>
      </c>
      <c r="B195" s="4" t="s">
        <v>33</v>
      </c>
      <c r="C195" s="4" t="s">
        <v>34</v>
      </c>
      <c r="D195" s="4" t="s">
        <v>42</v>
      </c>
      <c r="E195" s="4" t="s">
        <v>25</v>
      </c>
      <c r="F195" s="4" t="s">
        <v>25</v>
      </c>
      <c r="G195" s="4" t="s">
        <v>25</v>
      </c>
      <c r="H195" s="4" t="s">
        <v>25</v>
      </c>
      <c r="I195" s="5">
        <v>44287</v>
      </c>
      <c r="J195" s="6">
        <v>180</v>
      </c>
      <c r="K195" s="6">
        <v>180</v>
      </c>
      <c r="L195" s="6">
        <v>0</v>
      </c>
      <c r="M195" s="6">
        <v>0</v>
      </c>
      <c r="N195" s="6">
        <v>0</v>
      </c>
      <c r="O195" s="6">
        <v>0</v>
      </c>
      <c r="P195" s="6">
        <v>1</v>
      </c>
      <c r="Q195" s="4" t="s">
        <v>26</v>
      </c>
      <c r="R195" s="4">
        <v>0</v>
      </c>
      <c r="S195" s="6">
        <v>65</v>
      </c>
      <c r="T195" s="6">
        <v>0</v>
      </c>
      <c r="U195" s="6">
        <v>0</v>
      </c>
      <c r="V195" s="6">
        <f>IF(ISERROR(VLOOKUP($S$195,'TAR FIN'!$A$1:$O$85,15,0)),0,VLOOKUP($S$195,'TAR FIN'!$A$1:$O$85,15,0))</f>
        <v>23.41</v>
      </c>
      <c r="W195" s="6">
        <f>IF(ISERROR(VLOOKUP($T$195,'TAR FIN'!$A$1:$O$85,15,0)),0,VLOOKUP($T$195,'TAR FIN'!$A$1:$O$85,15,0))</f>
        <v>0</v>
      </c>
      <c r="X195" s="6">
        <f>IF(ISERROR(VLOOKUP($U$195,'TAR FIN'!$A$1:$O$85,15,0)),0,VLOOKUP($U$195,'TAR FIN'!$A$1:$O$85,15,0))</f>
        <v>0</v>
      </c>
      <c r="Y195" s="6">
        <f ca="1">('TUSD BE'!$AM$10+'TUSD BF'!$AM$10+'TUSD CVA'!$AM$10)*1</f>
        <v>24.267918723282428</v>
      </c>
      <c r="Z195" s="6"/>
      <c r="AA195" s="6"/>
      <c r="AB195" s="6">
        <f>$K$195*$V$195</f>
        <v>4213.8</v>
      </c>
      <c r="AC195" s="6">
        <f>$M$195*$W$195</f>
        <v>0</v>
      </c>
      <c r="AD195" s="6">
        <f>$O$195*$X$195</f>
        <v>0</v>
      </c>
      <c r="AE195" s="6">
        <f ca="1">$K$195*$Y$195</f>
        <v>4368.2253701908367</v>
      </c>
      <c r="AF195" s="6">
        <f>$M$195*$Z$195</f>
        <v>0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33</v>
      </c>
      <c r="C196" s="4" t="s">
        <v>34</v>
      </c>
      <c r="D196" s="4" t="s">
        <v>42</v>
      </c>
      <c r="E196" s="4" t="s">
        <v>25</v>
      </c>
      <c r="F196" s="4" t="s">
        <v>25</v>
      </c>
      <c r="G196" s="4" t="s">
        <v>25</v>
      </c>
      <c r="H196" s="4" t="s">
        <v>25</v>
      </c>
      <c r="I196" s="5">
        <v>44317</v>
      </c>
      <c r="J196" s="6">
        <v>180</v>
      </c>
      <c r="K196" s="6">
        <v>180</v>
      </c>
      <c r="L196" s="6">
        <v>0</v>
      </c>
      <c r="M196" s="6">
        <v>0</v>
      </c>
      <c r="N196" s="6">
        <v>0</v>
      </c>
      <c r="O196" s="6">
        <v>0</v>
      </c>
      <c r="P196" s="6">
        <v>1</v>
      </c>
      <c r="Q196" s="4" t="s">
        <v>26</v>
      </c>
      <c r="R196" s="4">
        <v>0</v>
      </c>
      <c r="S196" s="6">
        <v>65</v>
      </c>
      <c r="T196" s="6">
        <v>0</v>
      </c>
      <c r="U196" s="6">
        <v>0</v>
      </c>
      <c r="V196" s="6">
        <f>IF(ISERROR(VLOOKUP($S$196,'TAR FIN'!$A$1:$O$85,15,0)),0,VLOOKUP($S$196,'TAR FIN'!$A$1:$O$85,15,0))</f>
        <v>23.41</v>
      </c>
      <c r="W196" s="6">
        <f>IF(ISERROR(VLOOKUP($T$196,'TAR FIN'!$A$1:$O$85,15,0)),0,VLOOKUP($T$196,'TAR FIN'!$A$1:$O$85,15,0))</f>
        <v>0</v>
      </c>
      <c r="X196" s="6">
        <f>IF(ISERROR(VLOOKUP($U$196,'TAR FIN'!$A$1:$O$85,15,0)),0,VLOOKUP($U$196,'TAR FIN'!$A$1:$O$85,15,0))</f>
        <v>0</v>
      </c>
      <c r="Y196" s="6">
        <f ca="1">('TUSD BE'!$AM$10+'TUSD BF'!$AM$10+'TUSD CVA'!$AM$10)*1</f>
        <v>24.267918723282428</v>
      </c>
      <c r="Z196" s="6"/>
      <c r="AA196" s="6"/>
      <c r="AB196" s="6">
        <f>$K$196*$V$196</f>
        <v>4213.8</v>
      </c>
      <c r="AC196" s="6">
        <f>$M$196*$W$196</f>
        <v>0</v>
      </c>
      <c r="AD196" s="6">
        <f>$O$196*$X$196</f>
        <v>0</v>
      </c>
      <c r="AE196" s="6">
        <f ca="1">$K$196*$Y$196</f>
        <v>4368.2253701908367</v>
      </c>
      <c r="AF196" s="6">
        <f>$M$196*$Z$196</f>
        <v>0</v>
      </c>
      <c r="AG196" s="6">
        <f>$O$196*$AA$196</f>
        <v>0</v>
      </c>
    </row>
    <row r="197" spans="1:33" ht="11.25" customHeight="1" x14ac:dyDescent="0.25">
      <c r="A197" s="4" t="s">
        <v>21</v>
      </c>
      <c r="B197" s="4" t="s">
        <v>33</v>
      </c>
      <c r="C197" s="4" t="s">
        <v>34</v>
      </c>
      <c r="D197" s="4" t="s">
        <v>42</v>
      </c>
      <c r="E197" s="4" t="s">
        <v>25</v>
      </c>
      <c r="F197" s="4" t="s">
        <v>25</v>
      </c>
      <c r="G197" s="4" t="s">
        <v>25</v>
      </c>
      <c r="H197" s="4" t="s">
        <v>25</v>
      </c>
      <c r="I197" s="5">
        <v>44348</v>
      </c>
      <c r="J197" s="6">
        <v>180</v>
      </c>
      <c r="K197" s="6">
        <v>180</v>
      </c>
      <c r="L197" s="6">
        <v>0</v>
      </c>
      <c r="M197" s="6">
        <v>0</v>
      </c>
      <c r="N197" s="6">
        <v>0</v>
      </c>
      <c r="O197" s="6">
        <v>0</v>
      </c>
      <c r="P197" s="6">
        <v>1</v>
      </c>
      <c r="Q197" s="4" t="s">
        <v>26</v>
      </c>
      <c r="R197" s="4">
        <v>0</v>
      </c>
      <c r="S197" s="6">
        <v>65</v>
      </c>
      <c r="T197" s="6">
        <v>0</v>
      </c>
      <c r="U197" s="6">
        <v>0</v>
      </c>
      <c r="V197" s="6">
        <f>IF(ISERROR(VLOOKUP($S$197,'TAR FIN'!$A$1:$O$85,15,0)),0,VLOOKUP($S$197,'TAR FIN'!$A$1:$O$85,15,0))</f>
        <v>23.41</v>
      </c>
      <c r="W197" s="6">
        <f>IF(ISERROR(VLOOKUP($T$197,'TAR FIN'!$A$1:$O$85,15,0)),0,VLOOKUP($T$197,'TAR FIN'!$A$1:$O$85,15,0))</f>
        <v>0</v>
      </c>
      <c r="X197" s="6">
        <f>IF(ISERROR(VLOOKUP($U$197,'TAR FIN'!$A$1:$O$85,15,0)),0,VLOOKUP($U$197,'TAR FIN'!$A$1:$O$85,15,0))</f>
        <v>0</v>
      </c>
      <c r="Y197" s="6">
        <f ca="1">('TUSD BE'!$AM$10+'TUSD BF'!$AM$10+'TUSD CVA'!$AM$10)*1</f>
        <v>24.267918723282428</v>
      </c>
      <c r="Z197" s="6"/>
      <c r="AA197" s="6"/>
      <c r="AB197" s="6">
        <f>$K$197*$V$197</f>
        <v>4213.8</v>
      </c>
      <c r="AC197" s="6">
        <f>$M$197*$W$197</f>
        <v>0</v>
      </c>
      <c r="AD197" s="6">
        <f>$O$197*$X$197</f>
        <v>0</v>
      </c>
      <c r="AE197" s="6">
        <f ca="1">$K$197*$Y$197</f>
        <v>4368.2253701908367</v>
      </c>
      <c r="AF197" s="6">
        <f>$M$197*$Z$197</f>
        <v>0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33</v>
      </c>
      <c r="C198" s="4" t="s">
        <v>34</v>
      </c>
      <c r="D198" s="4" t="s">
        <v>42</v>
      </c>
      <c r="E198" s="4" t="s">
        <v>25</v>
      </c>
      <c r="F198" s="4" t="s">
        <v>25</v>
      </c>
      <c r="G198" s="4" t="s">
        <v>25</v>
      </c>
      <c r="H198" s="4" t="s">
        <v>25</v>
      </c>
      <c r="I198" s="5">
        <v>44378</v>
      </c>
      <c r="J198" s="6">
        <v>180</v>
      </c>
      <c r="K198" s="6">
        <v>180</v>
      </c>
      <c r="L198" s="6">
        <v>0</v>
      </c>
      <c r="M198" s="6">
        <v>0</v>
      </c>
      <c r="N198" s="6">
        <v>0</v>
      </c>
      <c r="O198" s="6">
        <v>0</v>
      </c>
      <c r="P198" s="6">
        <v>1</v>
      </c>
      <c r="Q198" s="4" t="s">
        <v>26</v>
      </c>
      <c r="R198" s="4">
        <v>0</v>
      </c>
      <c r="S198" s="6">
        <v>65</v>
      </c>
      <c r="T198" s="6">
        <v>0</v>
      </c>
      <c r="U198" s="6">
        <v>0</v>
      </c>
      <c r="V198" s="6">
        <f>IF(ISERROR(VLOOKUP($S$198,'TAR FIN'!$A$1:$O$85,15,0)),0,VLOOKUP($S$198,'TAR FIN'!$A$1:$O$85,15,0))</f>
        <v>23.41</v>
      </c>
      <c r="W198" s="6">
        <f>IF(ISERROR(VLOOKUP($T$198,'TAR FIN'!$A$1:$O$85,15,0)),0,VLOOKUP($T$198,'TAR FIN'!$A$1:$O$85,15,0))</f>
        <v>0</v>
      </c>
      <c r="X198" s="6">
        <f>IF(ISERROR(VLOOKUP($U$198,'TAR FIN'!$A$1:$O$85,15,0)),0,VLOOKUP($U$198,'TAR FIN'!$A$1:$O$85,15,0))</f>
        <v>0</v>
      </c>
      <c r="Y198" s="6">
        <f ca="1">('TUSD BE'!$AM$10+'TUSD BF'!$AM$10+'TUSD CVA'!$AM$10)*1</f>
        <v>24.267918723282428</v>
      </c>
      <c r="Z198" s="6"/>
      <c r="AA198" s="6"/>
      <c r="AB198" s="6">
        <f>$K$198*$V$198</f>
        <v>4213.8</v>
      </c>
      <c r="AC198" s="6">
        <f>$M$198*$W$198</f>
        <v>0</v>
      </c>
      <c r="AD198" s="6">
        <f>$O$198*$X$198</f>
        <v>0</v>
      </c>
      <c r="AE198" s="6">
        <f ca="1">$K$198*$Y$198</f>
        <v>4368.2253701908367</v>
      </c>
      <c r="AF198" s="6">
        <f>$M$198*$Z$198</f>
        <v>0</v>
      </c>
      <c r="AG198" s="6">
        <f>$O$198*$AA$198</f>
        <v>0</v>
      </c>
    </row>
    <row r="199" spans="1:33" ht="11.25" customHeight="1" x14ac:dyDescent="0.25">
      <c r="A199" s="4" t="s">
        <v>21</v>
      </c>
      <c r="B199" s="4" t="s">
        <v>33</v>
      </c>
      <c r="C199" s="4" t="s">
        <v>34</v>
      </c>
      <c r="D199" s="4" t="s">
        <v>42</v>
      </c>
      <c r="E199" s="4" t="s">
        <v>25</v>
      </c>
      <c r="F199" s="4" t="s">
        <v>25</v>
      </c>
      <c r="G199" s="4" t="s">
        <v>25</v>
      </c>
      <c r="H199" s="4" t="s">
        <v>25</v>
      </c>
      <c r="I199" s="5">
        <v>44409</v>
      </c>
      <c r="J199" s="6">
        <v>180</v>
      </c>
      <c r="K199" s="6">
        <v>180</v>
      </c>
      <c r="L199" s="6">
        <v>0</v>
      </c>
      <c r="M199" s="6">
        <v>0</v>
      </c>
      <c r="N199" s="6">
        <v>0</v>
      </c>
      <c r="O199" s="6">
        <v>0</v>
      </c>
      <c r="P199" s="6">
        <v>1</v>
      </c>
      <c r="Q199" s="4" t="s">
        <v>26</v>
      </c>
      <c r="R199" s="4">
        <v>0</v>
      </c>
      <c r="S199" s="6">
        <v>65</v>
      </c>
      <c r="T199" s="6">
        <v>0</v>
      </c>
      <c r="U199" s="6">
        <v>0</v>
      </c>
      <c r="V199" s="6">
        <f>IF(ISERROR(VLOOKUP($S$199,'TAR FIN'!$A$1:$O$85,15,0)),0,VLOOKUP($S$199,'TAR FIN'!$A$1:$O$85,15,0))</f>
        <v>23.41</v>
      </c>
      <c r="W199" s="6">
        <f>IF(ISERROR(VLOOKUP($T$199,'TAR FIN'!$A$1:$O$85,15,0)),0,VLOOKUP($T$199,'TAR FIN'!$A$1:$O$85,15,0))</f>
        <v>0</v>
      </c>
      <c r="X199" s="6">
        <f>IF(ISERROR(VLOOKUP($U$199,'TAR FIN'!$A$1:$O$85,15,0)),0,VLOOKUP($U$199,'TAR FIN'!$A$1:$O$85,15,0))</f>
        <v>0</v>
      </c>
      <c r="Y199" s="6">
        <f ca="1">('TUSD BE'!$AM$10+'TUSD BF'!$AM$10+'TUSD CVA'!$AM$10)*1</f>
        <v>24.267918723282428</v>
      </c>
      <c r="Z199" s="6"/>
      <c r="AA199" s="6"/>
      <c r="AB199" s="6">
        <f>$K$199*$V$199</f>
        <v>4213.8</v>
      </c>
      <c r="AC199" s="6">
        <f>$M$199*$W$199</f>
        <v>0</v>
      </c>
      <c r="AD199" s="6">
        <f>$O$199*$X$199</f>
        <v>0</v>
      </c>
      <c r="AE199" s="6">
        <f ca="1">$K$199*$Y$199</f>
        <v>4368.2253701908367</v>
      </c>
      <c r="AF199" s="6">
        <f>$M$199*$Z$199</f>
        <v>0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33</v>
      </c>
      <c r="C200" s="4" t="s">
        <v>34</v>
      </c>
      <c r="D200" s="4" t="s">
        <v>42</v>
      </c>
      <c r="E200" s="4" t="s">
        <v>25</v>
      </c>
      <c r="F200" s="4" t="s">
        <v>25</v>
      </c>
      <c r="G200" s="4" t="s">
        <v>25</v>
      </c>
      <c r="H200" s="4" t="s">
        <v>25</v>
      </c>
      <c r="I200" s="5">
        <v>44440</v>
      </c>
      <c r="J200" s="6">
        <v>180</v>
      </c>
      <c r="K200" s="6">
        <v>180</v>
      </c>
      <c r="L200" s="6">
        <v>0</v>
      </c>
      <c r="M200" s="6">
        <v>0</v>
      </c>
      <c r="N200" s="6">
        <v>0</v>
      </c>
      <c r="O200" s="6">
        <v>0</v>
      </c>
      <c r="P200" s="6">
        <v>1</v>
      </c>
      <c r="Q200" s="4" t="s">
        <v>26</v>
      </c>
      <c r="R200" s="4">
        <v>0</v>
      </c>
      <c r="S200" s="6">
        <v>65</v>
      </c>
      <c r="T200" s="6">
        <v>0</v>
      </c>
      <c r="U200" s="6">
        <v>0</v>
      </c>
      <c r="V200" s="6">
        <f>IF(ISERROR(VLOOKUP($S$200,'TAR FIN'!$A$1:$O$85,15,0)),0,VLOOKUP($S$200,'TAR FIN'!$A$1:$O$85,15,0))</f>
        <v>23.41</v>
      </c>
      <c r="W200" s="6">
        <f>IF(ISERROR(VLOOKUP($T$200,'TAR FIN'!$A$1:$O$85,15,0)),0,VLOOKUP($T$200,'TAR FIN'!$A$1:$O$85,15,0))</f>
        <v>0</v>
      </c>
      <c r="X200" s="6">
        <f>IF(ISERROR(VLOOKUP($U$200,'TAR FIN'!$A$1:$O$85,15,0)),0,VLOOKUP($U$200,'TAR FIN'!$A$1:$O$85,15,0))</f>
        <v>0</v>
      </c>
      <c r="Y200" s="6">
        <f ca="1">('TUSD BE'!$AM$10+'TUSD BF'!$AM$10+'TUSD CVA'!$AM$10)*1</f>
        <v>24.267918723282428</v>
      </c>
      <c r="Z200" s="6"/>
      <c r="AA200" s="6"/>
      <c r="AB200" s="6">
        <f>$K$200*$V$200</f>
        <v>4213.8</v>
      </c>
      <c r="AC200" s="6">
        <f>$M$200*$W$200</f>
        <v>0</v>
      </c>
      <c r="AD200" s="6">
        <f>$O$200*$X$200</f>
        <v>0</v>
      </c>
      <c r="AE200" s="6">
        <f ca="1">$K$200*$Y$200</f>
        <v>4368.2253701908367</v>
      </c>
      <c r="AF200" s="6">
        <f>$M$200*$Z$200</f>
        <v>0</v>
      </c>
      <c r="AG200" s="6">
        <f>$O$200*$AA$200</f>
        <v>0</v>
      </c>
    </row>
    <row r="201" spans="1:33" ht="11.25" customHeight="1" x14ac:dyDescent="0.25">
      <c r="A201" s="4" t="s">
        <v>21</v>
      </c>
      <c r="B201" s="4" t="s">
        <v>33</v>
      </c>
      <c r="C201" s="4" t="s">
        <v>34</v>
      </c>
      <c r="D201" s="4" t="s">
        <v>42</v>
      </c>
      <c r="E201" s="4" t="s">
        <v>25</v>
      </c>
      <c r="F201" s="4" t="s">
        <v>25</v>
      </c>
      <c r="G201" s="4" t="s">
        <v>25</v>
      </c>
      <c r="H201" s="4" t="s">
        <v>25</v>
      </c>
      <c r="I201" s="5">
        <v>44470</v>
      </c>
      <c r="J201" s="6">
        <v>180</v>
      </c>
      <c r="K201" s="6">
        <v>180</v>
      </c>
      <c r="L201" s="6">
        <v>0</v>
      </c>
      <c r="M201" s="6">
        <v>0</v>
      </c>
      <c r="N201" s="6">
        <v>0</v>
      </c>
      <c r="O201" s="6">
        <v>0</v>
      </c>
      <c r="P201" s="6">
        <v>1</v>
      </c>
      <c r="Q201" s="4" t="s">
        <v>26</v>
      </c>
      <c r="R201" s="4">
        <v>0</v>
      </c>
      <c r="S201" s="6">
        <v>65</v>
      </c>
      <c r="T201" s="6">
        <v>0</v>
      </c>
      <c r="U201" s="6">
        <v>0</v>
      </c>
      <c r="V201" s="6">
        <f>IF(ISERROR(VLOOKUP($S$201,'TAR FIN'!$A$1:$O$85,15,0)),0,VLOOKUP($S$201,'TAR FIN'!$A$1:$O$85,15,0))</f>
        <v>23.41</v>
      </c>
      <c r="W201" s="6">
        <f>IF(ISERROR(VLOOKUP($T$201,'TAR FIN'!$A$1:$O$85,15,0)),0,VLOOKUP($T$201,'TAR FIN'!$A$1:$O$85,15,0))</f>
        <v>0</v>
      </c>
      <c r="X201" s="6">
        <f>IF(ISERROR(VLOOKUP($U$201,'TAR FIN'!$A$1:$O$85,15,0)),0,VLOOKUP($U$201,'TAR FIN'!$A$1:$O$85,15,0))</f>
        <v>0</v>
      </c>
      <c r="Y201" s="6">
        <f ca="1">('TUSD BE'!$AM$10+'TUSD BF'!$AM$10+'TUSD CVA'!$AM$10)*1</f>
        <v>24.267918723282428</v>
      </c>
      <c r="Z201" s="6"/>
      <c r="AA201" s="6"/>
      <c r="AB201" s="6">
        <f>$K$201*$V$201</f>
        <v>4213.8</v>
      </c>
      <c r="AC201" s="6">
        <f>$M$201*$W$201</f>
        <v>0</v>
      </c>
      <c r="AD201" s="6">
        <f>$O$201*$X$201</f>
        <v>0</v>
      </c>
      <c r="AE201" s="6">
        <f ca="1">$K$201*$Y$201</f>
        <v>4368.2253701908367</v>
      </c>
      <c r="AF201" s="6">
        <f>$M$201*$Z$201</f>
        <v>0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33</v>
      </c>
      <c r="C202" s="4" t="s">
        <v>34</v>
      </c>
      <c r="D202" s="4" t="s">
        <v>42</v>
      </c>
      <c r="E202" s="4" t="s">
        <v>25</v>
      </c>
      <c r="F202" s="4" t="s">
        <v>25</v>
      </c>
      <c r="G202" s="4" t="s">
        <v>25</v>
      </c>
      <c r="H202" s="4" t="s">
        <v>25</v>
      </c>
      <c r="I202" s="5">
        <v>44501</v>
      </c>
      <c r="J202" s="6">
        <v>180</v>
      </c>
      <c r="K202" s="6">
        <v>180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4" t="s">
        <v>26</v>
      </c>
      <c r="R202" s="4">
        <v>0</v>
      </c>
      <c r="S202" s="6">
        <v>65</v>
      </c>
      <c r="T202" s="6">
        <v>0</v>
      </c>
      <c r="U202" s="6">
        <v>0</v>
      </c>
      <c r="V202" s="6">
        <f>IF(ISERROR(VLOOKUP($S$202,'TAR FIN'!$A$1:$O$85,15,0)),0,VLOOKUP($S$202,'TAR FIN'!$A$1:$O$85,15,0))</f>
        <v>23.41</v>
      </c>
      <c r="W202" s="6">
        <f>IF(ISERROR(VLOOKUP($T$202,'TAR FIN'!$A$1:$O$85,15,0)),0,VLOOKUP($T$202,'TAR FIN'!$A$1:$O$85,15,0))</f>
        <v>0</v>
      </c>
      <c r="X202" s="6">
        <f>IF(ISERROR(VLOOKUP($U$202,'TAR FIN'!$A$1:$O$85,15,0)),0,VLOOKUP($U$202,'TAR FIN'!$A$1:$O$85,15,0))</f>
        <v>0</v>
      </c>
      <c r="Y202" s="6">
        <f ca="1">('TUSD BE'!$AM$10+'TUSD BF'!$AM$10+'TUSD CVA'!$AM$10)*1</f>
        <v>24.267918723282428</v>
      </c>
      <c r="Z202" s="6"/>
      <c r="AA202" s="6"/>
      <c r="AB202" s="6">
        <f>$K$202*$V$202</f>
        <v>4213.8</v>
      </c>
      <c r="AC202" s="6">
        <f>$M$202*$W$202</f>
        <v>0</v>
      </c>
      <c r="AD202" s="6">
        <f>$O$202*$X$202</f>
        <v>0</v>
      </c>
      <c r="AE202" s="6">
        <f ca="1">$K$202*$Y$202</f>
        <v>4368.2253701908367</v>
      </c>
      <c r="AF202" s="6">
        <f>$M$202*$Z$202</f>
        <v>0</v>
      </c>
      <c r="AG202" s="6">
        <f>$O$202*$AA$202</f>
        <v>0</v>
      </c>
    </row>
    <row r="203" spans="1:33" ht="11.25" customHeight="1" x14ac:dyDescent="0.25">
      <c r="A203" s="4" t="s">
        <v>21</v>
      </c>
      <c r="B203" s="4" t="s">
        <v>33</v>
      </c>
      <c r="C203" s="4" t="s">
        <v>34</v>
      </c>
      <c r="D203" s="4" t="s">
        <v>42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44531</v>
      </c>
      <c r="J203" s="6">
        <v>180</v>
      </c>
      <c r="K203" s="6">
        <v>180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4" t="s">
        <v>26</v>
      </c>
      <c r="R203" s="4">
        <v>0</v>
      </c>
      <c r="S203" s="6">
        <v>65</v>
      </c>
      <c r="T203" s="6">
        <v>0</v>
      </c>
      <c r="U203" s="6">
        <v>0</v>
      </c>
      <c r="V203" s="6">
        <f>IF(ISERROR(VLOOKUP($S$203,'TAR FIN'!$A$1:$O$85,15,0)),0,VLOOKUP($S$203,'TAR FIN'!$A$1:$O$85,15,0))</f>
        <v>23.41</v>
      </c>
      <c r="W203" s="6">
        <f>IF(ISERROR(VLOOKUP($T$203,'TAR FIN'!$A$1:$O$85,15,0)),0,VLOOKUP($T$203,'TAR FIN'!$A$1:$O$85,15,0))</f>
        <v>0</v>
      </c>
      <c r="X203" s="6">
        <f>IF(ISERROR(VLOOKUP($U$203,'TAR FIN'!$A$1:$O$85,15,0)),0,VLOOKUP($U$203,'TAR FIN'!$A$1:$O$85,15,0))</f>
        <v>0</v>
      </c>
      <c r="Y203" s="6">
        <f ca="1">('TUSD BE'!$AM$10+'TUSD BF'!$AM$10+'TUSD CVA'!$AM$10)*1</f>
        <v>24.267918723282428</v>
      </c>
      <c r="Z203" s="6"/>
      <c r="AA203" s="6"/>
      <c r="AB203" s="6">
        <f>$K$203*$V$203</f>
        <v>4213.8</v>
      </c>
      <c r="AC203" s="6">
        <f>$M$203*$W$203</f>
        <v>0</v>
      </c>
      <c r="AD203" s="6">
        <f>$O$203*$X$203</f>
        <v>0</v>
      </c>
      <c r="AE203" s="6">
        <f ca="1">$K$203*$Y$203</f>
        <v>4368.2253701908367</v>
      </c>
      <c r="AF203" s="6">
        <f>$M$203*$Z$203</f>
        <v>0</v>
      </c>
      <c r="AG203" s="6">
        <f>$O$203*$AA$203</f>
        <v>0</v>
      </c>
    </row>
    <row r="204" spans="1:33" ht="11.25" customHeight="1" x14ac:dyDescent="0.25">
      <c r="A204" s="4" t="s">
        <v>21</v>
      </c>
      <c r="B204" s="4" t="s">
        <v>33</v>
      </c>
      <c r="C204" s="4" t="s">
        <v>34</v>
      </c>
      <c r="D204" s="4" t="s">
        <v>42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44562</v>
      </c>
      <c r="J204" s="6">
        <v>180</v>
      </c>
      <c r="K204" s="6">
        <v>180</v>
      </c>
      <c r="L204" s="6">
        <v>0</v>
      </c>
      <c r="M204" s="6">
        <v>0</v>
      </c>
      <c r="N204" s="6">
        <v>0</v>
      </c>
      <c r="O204" s="6">
        <v>0</v>
      </c>
      <c r="P204" s="6">
        <v>1</v>
      </c>
      <c r="Q204" s="4" t="s">
        <v>26</v>
      </c>
      <c r="R204" s="4">
        <v>0</v>
      </c>
      <c r="S204" s="6">
        <v>65</v>
      </c>
      <c r="T204" s="6">
        <v>0</v>
      </c>
      <c r="U204" s="6">
        <v>0</v>
      </c>
      <c r="V204" s="6">
        <f>IF(ISERROR(VLOOKUP($S$204,'TAR FIN'!$A$1:$O$85,15,0)),0,VLOOKUP($S$204,'TAR FIN'!$A$1:$O$85,15,0))</f>
        <v>23.41</v>
      </c>
      <c r="W204" s="6">
        <f>IF(ISERROR(VLOOKUP($T$204,'TAR FIN'!$A$1:$O$85,15,0)),0,VLOOKUP($T$204,'TAR FIN'!$A$1:$O$85,15,0))</f>
        <v>0</v>
      </c>
      <c r="X204" s="6">
        <f>IF(ISERROR(VLOOKUP($U$204,'TAR FIN'!$A$1:$O$85,15,0)),0,VLOOKUP($U$204,'TAR FIN'!$A$1:$O$85,15,0))</f>
        <v>0</v>
      </c>
      <c r="Y204" s="6">
        <f ca="1">('TUSD BE'!$AM$10+'TUSD BF'!$AM$10+'TUSD CVA'!$AM$10)*1</f>
        <v>24.267918723282428</v>
      </c>
      <c r="Z204" s="6"/>
      <c r="AA204" s="6"/>
      <c r="AB204" s="6">
        <f>$K$204*$V$204</f>
        <v>4213.8</v>
      </c>
      <c r="AC204" s="6">
        <f>$M$204*$W$204</f>
        <v>0</v>
      </c>
      <c r="AD204" s="6">
        <f>$O$204*$X$204</f>
        <v>0</v>
      </c>
      <c r="AE204" s="6">
        <f ca="1">$K$204*$Y$204</f>
        <v>4368.2253701908367</v>
      </c>
      <c r="AF204" s="6">
        <f>$M$204*$Z$204</f>
        <v>0</v>
      </c>
      <c r="AG204" s="6">
        <f>$O$204*$AA$204</f>
        <v>0</v>
      </c>
    </row>
    <row r="205" spans="1:33" ht="11.25" customHeight="1" x14ac:dyDescent="0.25">
      <c r="A205" s="4" t="s">
        <v>21</v>
      </c>
      <c r="B205" s="4" t="s">
        <v>33</v>
      </c>
      <c r="C205" s="4" t="s">
        <v>34</v>
      </c>
      <c r="D205" s="4" t="s">
        <v>42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44593</v>
      </c>
      <c r="J205" s="6">
        <v>180</v>
      </c>
      <c r="K205" s="6">
        <v>180</v>
      </c>
      <c r="L205" s="6">
        <v>0</v>
      </c>
      <c r="M205" s="6">
        <v>0</v>
      </c>
      <c r="N205" s="6">
        <v>0</v>
      </c>
      <c r="O205" s="6">
        <v>0</v>
      </c>
      <c r="P205" s="6">
        <v>1</v>
      </c>
      <c r="Q205" s="4" t="s">
        <v>26</v>
      </c>
      <c r="R205" s="4">
        <v>0</v>
      </c>
      <c r="S205" s="6">
        <v>65</v>
      </c>
      <c r="T205" s="6">
        <v>0</v>
      </c>
      <c r="U205" s="6">
        <v>0</v>
      </c>
      <c r="V205" s="6">
        <f>IF(ISERROR(VLOOKUP($S$205,'TAR FIN'!$A$1:$O$85,15,0)),0,VLOOKUP($S$205,'TAR FIN'!$A$1:$O$85,15,0))</f>
        <v>23.41</v>
      </c>
      <c r="W205" s="6">
        <f>IF(ISERROR(VLOOKUP($T$205,'TAR FIN'!$A$1:$O$85,15,0)),0,VLOOKUP($T$205,'TAR FIN'!$A$1:$O$85,15,0))</f>
        <v>0</v>
      </c>
      <c r="X205" s="6">
        <f>IF(ISERROR(VLOOKUP($U$205,'TAR FIN'!$A$1:$O$85,15,0)),0,VLOOKUP($U$205,'TAR FIN'!$A$1:$O$85,15,0))</f>
        <v>0</v>
      </c>
      <c r="Y205" s="6">
        <f ca="1">('TUSD BE'!$AM$10+'TUSD BF'!$AM$10+'TUSD CVA'!$AM$10)*1</f>
        <v>24.267918723282428</v>
      </c>
      <c r="Z205" s="6"/>
      <c r="AA205" s="6"/>
      <c r="AB205" s="6">
        <f>$K$205*$V$205</f>
        <v>4213.8</v>
      </c>
      <c r="AC205" s="6">
        <f>$M$205*$W$205</f>
        <v>0</v>
      </c>
      <c r="AD205" s="6">
        <f>$O$205*$X$205</f>
        <v>0</v>
      </c>
      <c r="AE205" s="6">
        <f ca="1">$K$205*$Y$205</f>
        <v>4368.2253701908367</v>
      </c>
      <c r="AF205" s="6">
        <f>$M$205*$Z$205</f>
        <v>0</v>
      </c>
      <c r="AG205" s="6">
        <f>$O$205*$AA$205</f>
        <v>0</v>
      </c>
    </row>
    <row r="206" spans="1:33" ht="11.25" customHeight="1" x14ac:dyDescent="0.25">
      <c r="A206" s="4" t="s">
        <v>54</v>
      </c>
      <c r="B206" s="4" t="s">
        <v>33</v>
      </c>
      <c r="C206" s="4" t="s">
        <v>34</v>
      </c>
      <c r="D206" s="4" t="s">
        <v>42</v>
      </c>
      <c r="E206" s="4" t="s">
        <v>25</v>
      </c>
      <c r="F206" s="4" t="s">
        <v>25</v>
      </c>
      <c r="G206" s="4" t="s">
        <v>25</v>
      </c>
      <c r="H206" s="4" t="s">
        <v>25</v>
      </c>
      <c r="I206" s="5">
        <v>44621</v>
      </c>
      <c r="J206" s="6">
        <v>180</v>
      </c>
      <c r="K206" s="6">
        <v>180</v>
      </c>
      <c r="L206" s="6">
        <v>0</v>
      </c>
      <c r="M206" s="6">
        <v>0</v>
      </c>
      <c r="N206" s="6">
        <v>0</v>
      </c>
      <c r="O206" s="6">
        <v>0</v>
      </c>
      <c r="P206" s="6">
        <v>1</v>
      </c>
      <c r="Q206" s="4" t="s">
        <v>26</v>
      </c>
      <c r="R206" s="4">
        <v>0</v>
      </c>
      <c r="S206" s="6">
        <v>65</v>
      </c>
      <c r="T206" s="6">
        <v>0</v>
      </c>
      <c r="U206" s="6">
        <v>0</v>
      </c>
      <c r="V206" s="6">
        <f>IF(ISERROR(VLOOKUP($S$206,'TAR FIN'!$A$1:$O$85,15,0)),0,VLOOKUP($S$206,'TAR FIN'!$A$1:$O$85,15,0))</f>
        <v>23.41</v>
      </c>
      <c r="W206" s="6">
        <f>IF(ISERROR(VLOOKUP($T$206,'TAR FIN'!$A$1:$O$85,15,0)),0,VLOOKUP($T$206,'TAR FIN'!$A$1:$O$85,15,0))</f>
        <v>0</v>
      </c>
      <c r="X206" s="6">
        <f>IF(ISERROR(VLOOKUP($U$206,'TAR FIN'!$A$1:$O$85,15,0)),0,VLOOKUP($U$206,'TAR FIN'!$A$1:$O$85,15,0))</f>
        <v>0</v>
      </c>
      <c r="Y206" s="6">
        <f ca="1">('TUSD BE'!$AM$10+'TUSD BF'!$AM$10+'TUSD CVA'!$AM$10)*1</f>
        <v>24.267918723282428</v>
      </c>
      <c r="Z206" s="6"/>
      <c r="AA206" s="6"/>
      <c r="AB206" s="6">
        <f>$K$206*$V$206</f>
        <v>4213.8</v>
      </c>
      <c r="AC206" s="6">
        <f>$M$206*$W$206</f>
        <v>0</v>
      </c>
      <c r="AD206" s="6">
        <f>$O$206*$X$206</f>
        <v>0</v>
      </c>
      <c r="AE206" s="6">
        <f ca="1">$K$206*$Y$206</f>
        <v>4368.2253701908367</v>
      </c>
      <c r="AF206" s="6">
        <f>$M$206*$Z$206</f>
        <v>0</v>
      </c>
      <c r="AG206" s="6">
        <f>$O$206*$AA$206</f>
        <v>0</v>
      </c>
    </row>
    <row r="207" spans="1:33" ht="11.25" customHeight="1" x14ac:dyDescent="0.25">
      <c r="A207" s="4" t="s">
        <v>21</v>
      </c>
      <c r="B207" s="4" t="s">
        <v>33</v>
      </c>
      <c r="C207" s="4" t="s">
        <v>34</v>
      </c>
      <c r="D207" s="4" t="s">
        <v>42</v>
      </c>
      <c r="E207" s="4" t="s">
        <v>25</v>
      </c>
      <c r="F207" s="4" t="s">
        <v>25</v>
      </c>
      <c r="G207" s="4" t="s">
        <v>25</v>
      </c>
      <c r="H207" s="4" t="s">
        <v>35</v>
      </c>
      <c r="I207" s="5">
        <v>44287</v>
      </c>
      <c r="J207" s="6">
        <v>0</v>
      </c>
      <c r="K207" s="6">
        <v>0</v>
      </c>
      <c r="L207" s="6">
        <v>6.2560000000000002</v>
      </c>
      <c r="M207" s="6">
        <v>6.2560000000000002</v>
      </c>
      <c r="N207" s="6">
        <v>6.2560000000000002</v>
      </c>
      <c r="O207" s="6">
        <v>6.2560000000000002</v>
      </c>
      <c r="P207" s="6">
        <v>0</v>
      </c>
      <c r="Q207" s="4" t="s">
        <v>26</v>
      </c>
      <c r="R207" s="4">
        <v>0</v>
      </c>
      <c r="S207" s="6">
        <v>0</v>
      </c>
      <c r="T207" s="6">
        <v>66</v>
      </c>
      <c r="U207" s="6">
        <v>6</v>
      </c>
      <c r="V207" s="6">
        <f>IF(ISERROR(VLOOKUP($S$207,'TAR FIN'!$A$1:$O$85,15,0)),0,VLOOKUP($S$207,'TAR FIN'!$A$1:$O$85,15,0))</f>
        <v>0</v>
      </c>
      <c r="W207" s="6">
        <f>IF(ISERROR(VLOOKUP($T$207,'TAR FIN'!$A$1:$O$85,15,0)),0,VLOOKUP($T$207,'TAR FIN'!$A$1:$O$85,15,0))</f>
        <v>2263.58</v>
      </c>
      <c r="X207" s="6">
        <f>IF(ISERROR(VLOOKUP($U$207,'TAR FIN'!$A$1:$O$85,15,0)),0,VLOOKUP($U$207,'TAR FIN'!$A$1:$O$85,15,0))</f>
        <v>223.72</v>
      </c>
      <c r="Y207" s="6"/>
      <c r="Z207" s="6">
        <f ca="1">('TUSD BE'!$AM$11+'TUSD BF'!$AM$11+'TUSD CVA'!$AM$11)*1</f>
        <v>2373.6759655636811</v>
      </c>
      <c r="AA207" s="6">
        <f>('TE BE'!$AA$5+'TE BF'!$AA$5+'TE CVA'!$AA$5)*1</f>
        <v>217.62939920622892</v>
      </c>
      <c r="AB207" s="6">
        <f>$K$207*$V$207</f>
        <v>0</v>
      </c>
      <c r="AC207" s="6">
        <f>$M$207*$W$207</f>
        <v>14160.956480000001</v>
      </c>
      <c r="AD207" s="6">
        <f>$O$207*$X$207</f>
        <v>1399.59232</v>
      </c>
      <c r="AE207" s="6">
        <f>$K$207*$Y$207</f>
        <v>0</v>
      </c>
      <c r="AF207" s="6">
        <f ca="1">$M$207*$Z$207</f>
        <v>14849.716840566389</v>
      </c>
      <c r="AG207" s="6">
        <f>$O$207*$AA$207</f>
        <v>1361.4895214341682</v>
      </c>
    </row>
    <row r="208" spans="1:33" ht="11.25" customHeight="1" x14ac:dyDescent="0.25">
      <c r="A208" s="4" t="s">
        <v>21</v>
      </c>
      <c r="B208" s="4" t="s">
        <v>33</v>
      </c>
      <c r="C208" s="4" t="s">
        <v>34</v>
      </c>
      <c r="D208" s="4" t="s">
        <v>42</v>
      </c>
      <c r="E208" s="4" t="s">
        <v>25</v>
      </c>
      <c r="F208" s="4" t="s">
        <v>25</v>
      </c>
      <c r="G208" s="4" t="s">
        <v>25</v>
      </c>
      <c r="H208" s="4" t="s">
        <v>35</v>
      </c>
      <c r="I208" s="5">
        <v>44317</v>
      </c>
      <c r="J208" s="6">
        <v>0</v>
      </c>
      <c r="K208" s="6">
        <v>0</v>
      </c>
      <c r="L208" s="6">
        <v>6.66</v>
      </c>
      <c r="M208" s="6">
        <v>6.66</v>
      </c>
      <c r="N208" s="6">
        <v>6.66</v>
      </c>
      <c r="O208" s="6">
        <v>6.66</v>
      </c>
      <c r="P208" s="6">
        <v>0</v>
      </c>
      <c r="Q208" s="4" t="s">
        <v>26</v>
      </c>
      <c r="R208" s="4">
        <v>0</v>
      </c>
      <c r="S208" s="6">
        <v>0</v>
      </c>
      <c r="T208" s="6">
        <v>66</v>
      </c>
      <c r="U208" s="6">
        <v>6</v>
      </c>
      <c r="V208" s="6">
        <f>IF(ISERROR(VLOOKUP($S$208,'TAR FIN'!$A$1:$O$85,15,0)),0,VLOOKUP($S$208,'TAR FIN'!$A$1:$O$85,15,0))</f>
        <v>0</v>
      </c>
      <c r="W208" s="6">
        <f>IF(ISERROR(VLOOKUP($T$208,'TAR FIN'!$A$1:$O$85,15,0)),0,VLOOKUP($T$208,'TAR FIN'!$A$1:$O$85,15,0))</f>
        <v>2263.58</v>
      </c>
      <c r="X208" s="6">
        <f>IF(ISERROR(VLOOKUP($U$208,'TAR FIN'!$A$1:$O$85,15,0)),0,VLOOKUP($U$208,'TAR FIN'!$A$1:$O$85,15,0))</f>
        <v>223.72</v>
      </c>
      <c r="Y208" s="6"/>
      <c r="Z208" s="6">
        <f ca="1">('TUSD BE'!$AM$11+'TUSD BF'!$AM$11+'TUSD CVA'!$AM$11)*1</f>
        <v>2373.6759655636811</v>
      </c>
      <c r="AA208" s="6">
        <f>('TE BE'!$AA$5+'TE BF'!$AA$5+'TE CVA'!$AA$5)*1</f>
        <v>217.62939920622892</v>
      </c>
      <c r="AB208" s="6">
        <f>$K$208*$V$208</f>
        <v>0</v>
      </c>
      <c r="AC208" s="6">
        <f>$M$208*$W$208</f>
        <v>15075.442800000001</v>
      </c>
      <c r="AD208" s="6">
        <f>$O$208*$X$208</f>
        <v>1489.9752000000001</v>
      </c>
      <c r="AE208" s="6">
        <f>$K$208*$Y$208</f>
        <v>0</v>
      </c>
      <c r="AF208" s="6">
        <f ca="1">$M$208*$Z$208</f>
        <v>15808.681930654117</v>
      </c>
      <c r="AG208" s="6">
        <f>$O$208*$AA$208</f>
        <v>1449.4117987134846</v>
      </c>
    </row>
    <row r="209" spans="1:33" ht="11.25" customHeight="1" x14ac:dyDescent="0.25">
      <c r="A209" s="4" t="s">
        <v>21</v>
      </c>
      <c r="B209" s="4" t="s">
        <v>33</v>
      </c>
      <c r="C209" s="4" t="s">
        <v>34</v>
      </c>
      <c r="D209" s="4" t="s">
        <v>42</v>
      </c>
      <c r="E209" s="4" t="s">
        <v>25</v>
      </c>
      <c r="F209" s="4" t="s">
        <v>25</v>
      </c>
      <c r="G209" s="4" t="s">
        <v>25</v>
      </c>
      <c r="H209" s="4" t="s">
        <v>35</v>
      </c>
      <c r="I209" s="5">
        <v>44348</v>
      </c>
      <c r="J209" s="6">
        <v>0</v>
      </c>
      <c r="K209" s="6">
        <v>0</v>
      </c>
      <c r="L209" s="6">
        <v>7.0609999999999999</v>
      </c>
      <c r="M209" s="6">
        <v>7.0609999999999999</v>
      </c>
      <c r="N209" s="6">
        <v>7.0609999999999999</v>
      </c>
      <c r="O209" s="6">
        <v>7.0609999999999999</v>
      </c>
      <c r="P209" s="6">
        <v>0</v>
      </c>
      <c r="Q209" s="4" t="s">
        <v>26</v>
      </c>
      <c r="R209" s="4">
        <v>0</v>
      </c>
      <c r="S209" s="6">
        <v>0</v>
      </c>
      <c r="T209" s="6">
        <v>66</v>
      </c>
      <c r="U209" s="6">
        <v>6</v>
      </c>
      <c r="V209" s="6">
        <f>IF(ISERROR(VLOOKUP($S$209,'TAR FIN'!$A$1:$O$85,15,0)),0,VLOOKUP($S$209,'TAR FIN'!$A$1:$O$85,15,0))</f>
        <v>0</v>
      </c>
      <c r="W209" s="6">
        <f>IF(ISERROR(VLOOKUP($T$209,'TAR FIN'!$A$1:$O$85,15,0)),0,VLOOKUP($T$209,'TAR FIN'!$A$1:$O$85,15,0))</f>
        <v>2263.58</v>
      </c>
      <c r="X209" s="6">
        <f>IF(ISERROR(VLOOKUP($U$209,'TAR FIN'!$A$1:$O$85,15,0)),0,VLOOKUP($U$209,'TAR FIN'!$A$1:$O$85,15,0))</f>
        <v>223.72</v>
      </c>
      <c r="Y209" s="6"/>
      <c r="Z209" s="6">
        <f ca="1">('TUSD BE'!$AM$11+'TUSD BF'!$AM$11+'TUSD CVA'!$AM$11)*1</f>
        <v>2373.6759655636811</v>
      </c>
      <c r="AA209" s="6">
        <f>('TE BE'!$AA$5+'TE BF'!$AA$5+'TE CVA'!$AA$5)*1</f>
        <v>217.62939920622892</v>
      </c>
      <c r="AB209" s="6">
        <f>$K$209*$V$209</f>
        <v>0</v>
      </c>
      <c r="AC209" s="6">
        <f>$M$209*$W$209</f>
        <v>15983.138379999999</v>
      </c>
      <c r="AD209" s="6">
        <f>$O$209*$X$209</f>
        <v>1579.6869199999999</v>
      </c>
      <c r="AE209" s="6">
        <f>$K$209*$Y$209</f>
        <v>0</v>
      </c>
      <c r="AF209" s="6">
        <f ca="1">$M$209*$Z$209</f>
        <v>16760.525992845152</v>
      </c>
      <c r="AG209" s="6">
        <f>$O$209*$AA$209</f>
        <v>1536.6811877951825</v>
      </c>
    </row>
    <row r="210" spans="1:33" ht="11.25" customHeight="1" x14ac:dyDescent="0.25">
      <c r="A210" s="4" t="s">
        <v>21</v>
      </c>
      <c r="B210" s="4" t="s">
        <v>33</v>
      </c>
      <c r="C210" s="4" t="s">
        <v>34</v>
      </c>
      <c r="D210" s="4" t="s">
        <v>42</v>
      </c>
      <c r="E210" s="4" t="s">
        <v>25</v>
      </c>
      <c r="F210" s="4" t="s">
        <v>25</v>
      </c>
      <c r="G210" s="4" t="s">
        <v>25</v>
      </c>
      <c r="H210" s="4" t="s">
        <v>35</v>
      </c>
      <c r="I210" s="5">
        <v>44378</v>
      </c>
      <c r="J210" s="6">
        <v>0</v>
      </c>
      <c r="K210" s="6">
        <v>0</v>
      </c>
      <c r="L210" s="6">
        <v>6.6879999999999997</v>
      </c>
      <c r="M210" s="6">
        <v>6.6879999999999997</v>
      </c>
      <c r="N210" s="6">
        <v>6.6879999999999997</v>
      </c>
      <c r="O210" s="6">
        <v>6.6879999999999997</v>
      </c>
      <c r="P210" s="6">
        <v>0</v>
      </c>
      <c r="Q210" s="4" t="s">
        <v>26</v>
      </c>
      <c r="R210" s="4">
        <v>0</v>
      </c>
      <c r="S210" s="6">
        <v>0</v>
      </c>
      <c r="T210" s="6">
        <v>66</v>
      </c>
      <c r="U210" s="6">
        <v>6</v>
      </c>
      <c r="V210" s="6">
        <f>IF(ISERROR(VLOOKUP($S$210,'TAR FIN'!$A$1:$O$85,15,0)),0,VLOOKUP($S$210,'TAR FIN'!$A$1:$O$85,15,0))</f>
        <v>0</v>
      </c>
      <c r="W210" s="6">
        <f>IF(ISERROR(VLOOKUP($T$210,'TAR FIN'!$A$1:$O$85,15,0)),0,VLOOKUP($T$210,'TAR FIN'!$A$1:$O$85,15,0))</f>
        <v>2263.58</v>
      </c>
      <c r="X210" s="6">
        <f>IF(ISERROR(VLOOKUP($U$210,'TAR FIN'!$A$1:$O$85,15,0)),0,VLOOKUP($U$210,'TAR FIN'!$A$1:$O$85,15,0))</f>
        <v>223.72</v>
      </c>
      <c r="Y210" s="6"/>
      <c r="Z210" s="6">
        <f ca="1">('TUSD BE'!$AM$11+'TUSD BF'!$AM$11+'TUSD CVA'!$AM$11)*1</f>
        <v>2373.6759655636811</v>
      </c>
      <c r="AA210" s="6">
        <f>('TE BE'!$AA$5+'TE BF'!$AA$5+'TE CVA'!$AA$5)*1</f>
        <v>217.62939920622892</v>
      </c>
      <c r="AB210" s="6">
        <f>$K$210*$V$210</f>
        <v>0</v>
      </c>
      <c r="AC210" s="6">
        <f>$M$210*$W$210</f>
        <v>15138.823039999999</v>
      </c>
      <c r="AD210" s="6">
        <f>$O$210*$X$210</f>
        <v>1496.23936</v>
      </c>
      <c r="AE210" s="6">
        <f>$K$210*$Y$210</f>
        <v>0</v>
      </c>
      <c r="AF210" s="6">
        <f ca="1">$M$210*$Z$210</f>
        <v>15875.144857689898</v>
      </c>
      <c r="AG210" s="6">
        <f>$O$210*$AA$210</f>
        <v>1455.5054218912589</v>
      </c>
    </row>
    <row r="211" spans="1:33" ht="11.25" customHeight="1" x14ac:dyDescent="0.25">
      <c r="A211" s="4" t="s">
        <v>21</v>
      </c>
      <c r="B211" s="4" t="s">
        <v>33</v>
      </c>
      <c r="C211" s="4" t="s">
        <v>34</v>
      </c>
      <c r="D211" s="4" t="s">
        <v>42</v>
      </c>
      <c r="E211" s="4" t="s">
        <v>25</v>
      </c>
      <c r="F211" s="4" t="s">
        <v>25</v>
      </c>
      <c r="G211" s="4" t="s">
        <v>25</v>
      </c>
      <c r="H211" s="4" t="s">
        <v>35</v>
      </c>
      <c r="I211" s="5">
        <v>44409</v>
      </c>
      <c r="J211" s="6">
        <v>0</v>
      </c>
      <c r="K211" s="6">
        <v>0</v>
      </c>
      <c r="L211" s="6">
        <v>7.1689999999999996</v>
      </c>
      <c r="M211" s="6">
        <v>7.1689999999999996</v>
      </c>
      <c r="N211" s="6">
        <v>7.1689999999999996</v>
      </c>
      <c r="O211" s="6">
        <v>7.1689999999999996</v>
      </c>
      <c r="P211" s="6">
        <v>0</v>
      </c>
      <c r="Q211" s="4" t="s">
        <v>26</v>
      </c>
      <c r="R211" s="4">
        <v>0</v>
      </c>
      <c r="S211" s="6">
        <v>0</v>
      </c>
      <c r="T211" s="6">
        <v>66</v>
      </c>
      <c r="U211" s="6">
        <v>6</v>
      </c>
      <c r="V211" s="6">
        <f>IF(ISERROR(VLOOKUP($S$211,'TAR FIN'!$A$1:$O$85,15,0)),0,VLOOKUP($S$211,'TAR FIN'!$A$1:$O$85,15,0))</f>
        <v>0</v>
      </c>
      <c r="W211" s="6">
        <f>IF(ISERROR(VLOOKUP($T$211,'TAR FIN'!$A$1:$O$85,15,0)),0,VLOOKUP($T$211,'TAR FIN'!$A$1:$O$85,15,0))</f>
        <v>2263.58</v>
      </c>
      <c r="X211" s="6">
        <f>IF(ISERROR(VLOOKUP($U$211,'TAR FIN'!$A$1:$O$85,15,0)),0,VLOOKUP($U$211,'TAR FIN'!$A$1:$O$85,15,0))</f>
        <v>223.72</v>
      </c>
      <c r="Y211" s="6"/>
      <c r="Z211" s="6">
        <f ca="1">('TUSD BE'!$AM$11+'TUSD BF'!$AM$11+'TUSD CVA'!$AM$11)*1</f>
        <v>2373.6759655636811</v>
      </c>
      <c r="AA211" s="6">
        <f>('TE BE'!$AA$5+'TE BF'!$AA$5+'TE CVA'!$AA$5)*1</f>
        <v>217.62939920622892</v>
      </c>
      <c r="AB211" s="6">
        <f>$K$211*$V$211</f>
        <v>0</v>
      </c>
      <c r="AC211" s="6">
        <f>$M$211*$W$211</f>
        <v>16227.605019999999</v>
      </c>
      <c r="AD211" s="6">
        <f>$O$211*$X$211</f>
        <v>1603.8486799999998</v>
      </c>
      <c r="AE211" s="6">
        <f>$K$211*$Y$211</f>
        <v>0</v>
      </c>
      <c r="AF211" s="6">
        <f ca="1">$M$211*$Z$211</f>
        <v>17016.882997126027</v>
      </c>
      <c r="AG211" s="6">
        <f>$O$211*$AA$211</f>
        <v>1560.1851629094551</v>
      </c>
    </row>
    <row r="212" spans="1:33" ht="11.25" customHeight="1" x14ac:dyDescent="0.25">
      <c r="A212" s="4" t="s">
        <v>21</v>
      </c>
      <c r="B212" s="4" t="s">
        <v>33</v>
      </c>
      <c r="C212" s="4" t="s">
        <v>34</v>
      </c>
      <c r="D212" s="4" t="s">
        <v>42</v>
      </c>
      <c r="E212" s="4" t="s">
        <v>25</v>
      </c>
      <c r="F212" s="4" t="s">
        <v>25</v>
      </c>
      <c r="G212" s="4" t="s">
        <v>25</v>
      </c>
      <c r="H212" s="4" t="s">
        <v>35</v>
      </c>
      <c r="I212" s="5">
        <v>44440</v>
      </c>
      <c r="J212" s="6">
        <v>0</v>
      </c>
      <c r="K212" s="6">
        <v>0</v>
      </c>
      <c r="L212" s="6">
        <v>7.1210000000000004</v>
      </c>
      <c r="M212" s="6">
        <v>7.1210000000000004</v>
      </c>
      <c r="N212" s="6">
        <v>7.1210000000000004</v>
      </c>
      <c r="O212" s="6">
        <v>7.1210000000000004</v>
      </c>
      <c r="P212" s="6">
        <v>0</v>
      </c>
      <c r="Q212" s="4" t="s">
        <v>26</v>
      </c>
      <c r="R212" s="4">
        <v>0</v>
      </c>
      <c r="S212" s="6">
        <v>0</v>
      </c>
      <c r="T212" s="6">
        <v>66</v>
      </c>
      <c r="U212" s="6">
        <v>6</v>
      </c>
      <c r="V212" s="6">
        <f>IF(ISERROR(VLOOKUP($S$212,'TAR FIN'!$A$1:$O$85,15,0)),0,VLOOKUP($S$212,'TAR FIN'!$A$1:$O$85,15,0))</f>
        <v>0</v>
      </c>
      <c r="W212" s="6">
        <f>IF(ISERROR(VLOOKUP($T$212,'TAR FIN'!$A$1:$O$85,15,0)),0,VLOOKUP($T$212,'TAR FIN'!$A$1:$O$85,15,0))</f>
        <v>2263.58</v>
      </c>
      <c r="X212" s="6">
        <f>IF(ISERROR(VLOOKUP($U$212,'TAR FIN'!$A$1:$O$85,15,0)),0,VLOOKUP($U$212,'TAR FIN'!$A$1:$O$85,15,0))</f>
        <v>223.72</v>
      </c>
      <c r="Y212" s="6"/>
      <c r="Z212" s="6">
        <f ca="1">('TUSD BE'!$AM$11+'TUSD BF'!$AM$11+'TUSD CVA'!$AM$11)*1</f>
        <v>2373.6759655636811</v>
      </c>
      <c r="AA212" s="6">
        <f>('TE BE'!$AA$5+'TE BF'!$AA$5+'TE CVA'!$AA$5)*1</f>
        <v>217.62939920622892</v>
      </c>
      <c r="AB212" s="6">
        <f>$K$212*$V$212</f>
        <v>0</v>
      </c>
      <c r="AC212" s="6">
        <f>$M$212*$W$212</f>
        <v>16118.95318</v>
      </c>
      <c r="AD212" s="6">
        <f>$O$212*$X$212</f>
        <v>1593.1101200000001</v>
      </c>
      <c r="AE212" s="6">
        <f>$K$212*$Y$212</f>
        <v>0</v>
      </c>
      <c r="AF212" s="6">
        <f ca="1">$M$212*$Z$212</f>
        <v>16902.946550778976</v>
      </c>
      <c r="AG212" s="6">
        <f>$O$212*$AA$212</f>
        <v>1549.7389517475563</v>
      </c>
    </row>
    <row r="213" spans="1:33" ht="11.25" customHeight="1" x14ac:dyDescent="0.25">
      <c r="A213" s="4" t="s">
        <v>21</v>
      </c>
      <c r="B213" s="4" t="s">
        <v>33</v>
      </c>
      <c r="C213" s="4" t="s">
        <v>34</v>
      </c>
      <c r="D213" s="4" t="s">
        <v>42</v>
      </c>
      <c r="E213" s="4" t="s">
        <v>25</v>
      </c>
      <c r="F213" s="4" t="s">
        <v>25</v>
      </c>
      <c r="G213" s="4" t="s">
        <v>25</v>
      </c>
      <c r="H213" s="4" t="s">
        <v>35</v>
      </c>
      <c r="I213" s="5">
        <v>44470</v>
      </c>
      <c r="J213" s="6">
        <v>0</v>
      </c>
      <c r="K213" s="6">
        <v>0</v>
      </c>
      <c r="L213" s="6">
        <v>6.1859999999999999</v>
      </c>
      <c r="M213" s="6">
        <v>6.1859999999999999</v>
      </c>
      <c r="N213" s="6">
        <v>6.1859999999999999</v>
      </c>
      <c r="O213" s="6">
        <v>6.1859999999999999</v>
      </c>
      <c r="P213" s="6">
        <v>0</v>
      </c>
      <c r="Q213" s="4" t="s">
        <v>26</v>
      </c>
      <c r="R213" s="4">
        <v>0</v>
      </c>
      <c r="S213" s="6">
        <v>0</v>
      </c>
      <c r="T213" s="6">
        <v>66</v>
      </c>
      <c r="U213" s="6">
        <v>6</v>
      </c>
      <c r="V213" s="6">
        <f>IF(ISERROR(VLOOKUP($S$213,'TAR FIN'!$A$1:$O$85,15,0)),0,VLOOKUP($S$213,'TAR FIN'!$A$1:$O$85,15,0))</f>
        <v>0</v>
      </c>
      <c r="W213" s="6">
        <f>IF(ISERROR(VLOOKUP($T$213,'TAR FIN'!$A$1:$O$85,15,0)),0,VLOOKUP($T$213,'TAR FIN'!$A$1:$O$85,15,0))</f>
        <v>2263.58</v>
      </c>
      <c r="X213" s="6">
        <f>IF(ISERROR(VLOOKUP($U$213,'TAR FIN'!$A$1:$O$85,15,0)),0,VLOOKUP($U$213,'TAR FIN'!$A$1:$O$85,15,0))</f>
        <v>223.72</v>
      </c>
      <c r="Y213" s="6"/>
      <c r="Z213" s="6">
        <f ca="1">('TUSD BE'!$AM$11+'TUSD BF'!$AM$11+'TUSD CVA'!$AM$11)*1</f>
        <v>2373.6759655636811</v>
      </c>
      <c r="AA213" s="6">
        <f>('TE BE'!$AA$5+'TE BF'!$AA$5+'TE CVA'!$AA$5)*1</f>
        <v>217.62939920622892</v>
      </c>
      <c r="AB213" s="6">
        <f>$K$213*$V$213</f>
        <v>0</v>
      </c>
      <c r="AC213" s="6">
        <f>$M$213*$W$213</f>
        <v>14002.505879999999</v>
      </c>
      <c r="AD213" s="6">
        <f>$O$213*$X$213</f>
        <v>1383.93192</v>
      </c>
      <c r="AE213" s="6">
        <f>$K$213*$Y$213</f>
        <v>0</v>
      </c>
      <c r="AF213" s="6">
        <f ca="1">$M$213*$Z$213</f>
        <v>14683.559522976931</v>
      </c>
      <c r="AG213" s="6">
        <f>$O$213*$AA$213</f>
        <v>1346.2554634897322</v>
      </c>
    </row>
    <row r="214" spans="1:33" ht="11.25" customHeight="1" x14ac:dyDescent="0.25">
      <c r="A214" s="4" t="s">
        <v>21</v>
      </c>
      <c r="B214" s="4" t="s">
        <v>33</v>
      </c>
      <c r="C214" s="4" t="s">
        <v>34</v>
      </c>
      <c r="D214" s="4" t="s">
        <v>42</v>
      </c>
      <c r="E214" s="4" t="s">
        <v>25</v>
      </c>
      <c r="F214" s="4" t="s">
        <v>25</v>
      </c>
      <c r="G214" s="4" t="s">
        <v>25</v>
      </c>
      <c r="H214" s="4" t="s">
        <v>35</v>
      </c>
      <c r="I214" s="5">
        <v>44501</v>
      </c>
      <c r="J214" s="6">
        <v>0</v>
      </c>
      <c r="K214" s="6">
        <v>0</v>
      </c>
      <c r="L214" s="6">
        <v>6.9470000000000001</v>
      </c>
      <c r="M214" s="6">
        <v>6.9470000000000001</v>
      </c>
      <c r="N214" s="6">
        <v>6.9470000000000001</v>
      </c>
      <c r="O214" s="6">
        <v>6.9470000000000001</v>
      </c>
      <c r="P214" s="6">
        <v>0</v>
      </c>
      <c r="Q214" s="4" t="s">
        <v>26</v>
      </c>
      <c r="R214" s="4">
        <v>0</v>
      </c>
      <c r="S214" s="6">
        <v>0</v>
      </c>
      <c r="T214" s="6">
        <v>66</v>
      </c>
      <c r="U214" s="6">
        <v>6</v>
      </c>
      <c r="V214" s="6">
        <f>IF(ISERROR(VLOOKUP($S$214,'TAR FIN'!$A$1:$O$85,15,0)),0,VLOOKUP($S$214,'TAR FIN'!$A$1:$O$85,15,0))</f>
        <v>0</v>
      </c>
      <c r="W214" s="6">
        <f>IF(ISERROR(VLOOKUP($T$214,'TAR FIN'!$A$1:$O$85,15,0)),0,VLOOKUP($T$214,'TAR FIN'!$A$1:$O$85,15,0))</f>
        <v>2263.58</v>
      </c>
      <c r="X214" s="6">
        <f>IF(ISERROR(VLOOKUP($U$214,'TAR FIN'!$A$1:$O$85,15,0)),0,VLOOKUP($U$214,'TAR FIN'!$A$1:$O$85,15,0))</f>
        <v>223.72</v>
      </c>
      <c r="Y214" s="6"/>
      <c r="Z214" s="6">
        <f ca="1">('TUSD BE'!$AM$11+'TUSD BF'!$AM$11+'TUSD CVA'!$AM$11)*1</f>
        <v>2373.6759655636811</v>
      </c>
      <c r="AA214" s="6">
        <f>('TE BE'!$AA$5+'TE BF'!$AA$5+'TE CVA'!$AA$5)*1</f>
        <v>217.62939920622892</v>
      </c>
      <c r="AB214" s="6">
        <f>$K$214*$V$214</f>
        <v>0</v>
      </c>
      <c r="AC214" s="6">
        <f>$M$214*$W$214</f>
        <v>15725.090259999999</v>
      </c>
      <c r="AD214" s="6">
        <f>$O$214*$X$214</f>
        <v>1554.1828399999999</v>
      </c>
      <c r="AE214" s="6">
        <f>$K$214*$Y$214</f>
        <v>0</v>
      </c>
      <c r="AF214" s="6">
        <f ca="1">$M$214*$Z$214</f>
        <v>16489.926932770893</v>
      </c>
      <c r="AG214" s="6">
        <f>$O$214*$AA$214</f>
        <v>1511.8714362856724</v>
      </c>
    </row>
    <row r="215" spans="1:33" ht="11.25" customHeight="1" x14ac:dyDescent="0.25">
      <c r="A215" s="4" t="s">
        <v>21</v>
      </c>
      <c r="B215" s="4" t="s">
        <v>33</v>
      </c>
      <c r="C215" s="4" t="s">
        <v>34</v>
      </c>
      <c r="D215" s="4" t="s">
        <v>42</v>
      </c>
      <c r="E215" s="4" t="s">
        <v>25</v>
      </c>
      <c r="F215" s="4" t="s">
        <v>25</v>
      </c>
      <c r="G215" s="4" t="s">
        <v>25</v>
      </c>
      <c r="H215" s="4" t="s">
        <v>35</v>
      </c>
      <c r="I215" s="5">
        <v>44531</v>
      </c>
      <c r="J215" s="6">
        <v>0</v>
      </c>
      <c r="K215" s="6">
        <v>0</v>
      </c>
      <c r="L215" s="6">
        <v>7.4320000000000004</v>
      </c>
      <c r="M215" s="6">
        <v>7.4320000000000004</v>
      </c>
      <c r="N215" s="6">
        <v>7.4320000000000004</v>
      </c>
      <c r="O215" s="6">
        <v>7.4320000000000004</v>
      </c>
      <c r="P215" s="6">
        <v>0</v>
      </c>
      <c r="Q215" s="4" t="s">
        <v>26</v>
      </c>
      <c r="R215" s="4">
        <v>0</v>
      </c>
      <c r="S215" s="6">
        <v>0</v>
      </c>
      <c r="T215" s="6">
        <v>66</v>
      </c>
      <c r="U215" s="6">
        <v>6</v>
      </c>
      <c r="V215" s="6">
        <f>IF(ISERROR(VLOOKUP($S$215,'TAR FIN'!$A$1:$O$85,15,0)),0,VLOOKUP($S$215,'TAR FIN'!$A$1:$O$85,15,0))</f>
        <v>0</v>
      </c>
      <c r="W215" s="6">
        <f>IF(ISERROR(VLOOKUP($T$215,'TAR FIN'!$A$1:$O$85,15,0)),0,VLOOKUP($T$215,'TAR FIN'!$A$1:$O$85,15,0))</f>
        <v>2263.58</v>
      </c>
      <c r="X215" s="6">
        <f>IF(ISERROR(VLOOKUP($U$215,'TAR FIN'!$A$1:$O$85,15,0)),0,VLOOKUP($U$215,'TAR FIN'!$A$1:$O$85,15,0))</f>
        <v>223.72</v>
      </c>
      <c r="Y215" s="6"/>
      <c r="Z215" s="6">
        <f ca="1">('TUSD BE'!$AM$11+'TUSD BF'!$AM$11+'TUSD CVA'!$AM$11)*1</f>
        <v>2373.6759655636811</v>
      </c>
      <c r="AA215" s="6">
        <f>('TE BE'!$AA$5+'TE BF'!$AA$5+'TE CVA'!$AA$5)*1</f>
        <v>217.62939920622892</v>
      </c>
      <c r="AB215" s="6">
        <f>$K$215*$V$215</f>
        <v>0</v>
      </c>
      <c r="AC215" s="6">
        <f>$M$215*$W$215</f>
        <v>16822.92656</v>
      </c>
      <c r="AD215" s="6">
        <f>$O$215*$X$215</f>
        <v>1662.68704</v>
      </c>
      <c r="AE215" s="6">
        <f>$K$215*$Y$215</f>
        <v>0</v>
      </c>
      <c r="AF215" s="6">
        <f ca="1">$M$215*$Z$215</f>
        <v>17641.159776069278</v>
      </c>
      <c r="AG215" s="6">
        <f>$O$215*$AA$215</f>
        <v>1617.4216949006934</v>
      </c>
    </row>
    <row r="216" spans="1:33" ht="11.25" customHeight="1" x14ac:dyDescent="0.25">
      <c r="A216" s="4" t="s">
        <v>21</v>
      </c>
      <c r="B216" s="4" t="s">
        <v>33</v>
      </c>
      <c r="C216" s="4" t="s">
        <v>34</v>
      </c>
      <c r="D216" s="4" t="s">
        <v>42</v>
      </c>
      <c r="E216" s="4" t="s">
        <v>25</v>
      </c>
      <c r="F216" s="4" t="s">
        <v>25</v>
      </c>
      <c r="G216" s="4" t="s">
        <v>25</v>
      </c>
      <c r="H216" s="4" t="s">
        <v>35</v>
      </c>
      <c r="I216" s="5">
        <v>44562</v>
      </c>
      <c r="J216" s="6">
        <v>0</v>
      </c>
      <c r="K216" s="6">
        <v>0</v>
      </c>
      <c r="L216" s="6">
        <v>6.6180000000000003</v>
      </c>
      <c r="M216" s="6">
        <v>6.6180000000000003</v>
      </c>
      <c r="N216" s="6">
        <v>6.6180000000000003</v>
      </c>
      <c r="O216" s="6">
        <v>6.6180000000000003</v>
      </c>
      <c r="P216" s="6">
        <v>0</v>
      </c>
      <c r="Q216" s="4" t="s">
        <v>26</v>
      </c>
      <c r="R216" s="4">
        <v>0</v>
      </c>
      <c r="S216" s="6">
        <v>0</v>
      </c>
      <c r="T216" s="6">
        <v>66</v>
      </c>
      <c r="U216" s="6">
        <v>6</v>
      </c>
      <c r="V216" s="6">
        <f>IF(ISERROR(VLOOKUP($S$216,'TAR FIN'!$A$1:$O$85,15,0)),0,VLOOKUP($S$216,'TAR FIN'!$A$1:$O$85,15,0))</f>
        <v>0</v>
      </c>
      <c r="W216" s="6">
        <f>IF(ISERROR(VLOOKUP($T$216,'TAR FIN'!$A$1:$O$85,15,0)),0,VLOOKUP($T$216,'TAR FIN'!$A$1:$O$85,15,0))</f>
        <v>2263.58</v>
      </c>
      <c r="X216" s="6">
        <f>IF(ISERROR(VLOOKUP($U$216,'TAR FIN'!$A$1:$O$85,15,0)),0,VLOOKUP($U$216,'TAR FIN'!$A$1:$O$85,15,0))</f>
        <v>223.72</v>
      </c>
      <c r="Y216" s="6"/>
      <c r="Z216" s="6">
        <f ca="1">('TUSD BE'!$AM$11+'TUSD BF'!$AM$11+'TUSD CVA'!$AM$11)*1</f>
        <v>2373.6759655636811</v>
      </c>
      <c r="AA216" s="6">
        <f>('TE BE'!$AA$5+'TE BF'!$AA$5+'TE CVA'!$AA$5)*1</f>
        <v>217.62939920622892</v>
      </c>
      <c r="AB216" s="6">
        <f>$K$216*$V$216</f>
        <v>0</v>
      </c>
      <c r="AC216" s="6">
        <f>$M$216*$W$216</f>
        <v>14980.372440000001</v>
      </c>
      <c r="AD216" s="6">
        <f>$O$216*$X$216</f>
        <v>1480.5789600000001</v>
      </c>
      <c r="AE216" s="6">
        <f>$K$216*$Y$216</f>
        <v>0</v>
      </c>
      <c r="AF216" s="6">
        <f ca="1">$M$216*$Z$216</f>
        <v>15708.987540100443</v>
      </c>
      <c r="AG216" s="6">
        <f>$O$216*$AA$216</f>
        <v>1440.2713639468232</v>
      </c>
    </row>
    <row r="217" spans="1:33" ht="11.25" customHeight="1" x14ac:dyDescent="0.25">
      <c r="A217" s="4" t="s">
        <v>21</v>
      </c>
      <c r="B217" s="4" t="s">
        <v>33</v>
      </c>
      <c r="C217" s="4" t="s">
        <v>34</v>
      </c>
      <c r="D217" s="4" t="s">
        <v>42</v>
      </c>
      <c r="E217" s="4" t="s">
        <v>25</v>
      </c>
      <c r="F217" s="4" t="s">
        <v>25</v>
      </c>
      <c r="G217" s="4" t="s">
        <v>25</v>
      </c>
      <c r="H217" s="4" t="s">
        <v>35</v>
      </c>
      <c r="I217" s="5">
        <v>44593</v>
      </c>
      <c r="J217" s="6">
        <v>0</v>
      </c>
      <c r="K217" s="6">
        <v>0</v>
      </c>
      <c r="L217" s="6">
        <v>7.3529999999999998</v>
      </c>
      <c r="M217" s="6">
        <v>7.3529999999999998</v>
      </c>
      <c r="N217" s="6">
        <v>7.3529999999999998</v>
      </c>
      <c r="O217" s="6">
        <v>7.3529999999999998</v>
      </c>
      <c r="P217" s="6">
        <v>0</v>
      </c>
      <c r="Q217" s="4" t="s">
        <v>26</v>
      </c>
      <c r="R217" s="4">
        <v>0</v>
      </c>
      <c r="S217" s="6">
        <v>0</v>
      </c>
      <c r="T217" s="6">
        <v>66</v>
      </c>
      <c r="U217" s="6">
        <v>6</v>
      </c>
      <c r="V217" s="6">
        <f>IF(ISERROR(VLOOKUP($S$217,'TAR FIN'!$A$1:$O$85,15,0)),0,VLOOKUP($S$217,'TAR FIN'!$A$1:$O$85,15,0))</f>
        <v>0</v>
      </c>
      <c r="W217" s="6">
        <f>IF(ISERROR(VLOOKUP($T$217,'TAR FIN'!$A$1:$O$85,15,0)),0,VLOOKUP($T$217,'TAR FIN'!$A$1:$O$85,15,0))</f>
        <v>2263.58</v>
      </c>
      <c r="X217" s="6">
        <f>IF(ISERROR(VLOOKUP($U$217,'TAR FIN'!$A$1:$O$85,15,0)),0,VLOOKUP($U$217,'TAR FIN'!$A$1:$O$85,15,0))</f>
        <v>223.72</v>
      </c>
      <c r="Y217" s="6"/>
      <c r="Z217" s="6">
        <f ca="1">('TUSD BE'!$AM$11+'TUSD BF'!$AM$11+'TUSD CVA'!$AM$11)*1</f>
        <v>2373.6759655636811</v>
      </c>
      <c r="AA217" s="6">
        <f>('TE BE'!$AA$5+'TE BF'!$AA$5+'TE CVA'!$AA$5)*1</f>
        <v>217.62939920622892</v>
      </c>
      <c r="AB217" s="6">
        <f>$K$217*$V$217</f>
        <v>0</v>
      </c>
      <c r="AC217" s="6">
        <f>$M$217*$W$217</f>
        <v>16644.103739999999</v>
      </c>
      <c r="AD217" s="6">
        <f>$O$217*$X$217</f>
        <v>1645.01316</v>
      </c>
      <c r="AE217" s="6">
        <f>$K$217*$Y$217</f>
        <v>0</v>
      </c>
      <c r="AF217" s="6">
        <f ca="1">$M$217*$Z$217</f>
        <v>17453.639374789745</v>
      </c>
      <c r="AG217" s="6">
        <f>$O$217*$AA$217</f>
        <v>1600.2289723634012</v>
      </c>
    </row>
    <row r="218" spans="1:33" ht="11.25" customHeight="1" x14ac:dyDescent="0.25">
      <c r="A218" s="4" t="s">
        <v>54</v>
      </c>
      <c r="B218" s="4" t="s">
        <v>33</v>
      </c>
      <c r="C218" s="4" t="s">
        <v>34</v>
      </c>
      <c r="D218" s="4" t="s">
        <v>42</v>
      </c>
      <c r="E218" s="4" t="s">
        <v>25</v>
      </c>
      <c r="F218" s="4" t="s">
        <v>25</v>
      </c>
      <c r="G218" s="4" t="s">
        <v>25</v>
      </c>
      <c r="H218" s="4" t="s">
        <v>35</v>
      </c>
      <c r="I218" s="5">
        <v>44621</v>
      </c>
      <c r="J218" s="6">
        <v>0</v>
      </c>
      <c r="K218" s="6">
        <v>0</v>
      </c>
      <c r="L218" s="6">
        <v>7.3529999999999998</v>
      </c>
      <c r="M218" s="6">
        <v>7.3529999999999998</v>
      </c>
      <c r="N218" s="6">
        <v>7.3529999999999998</v>
      </c>
      <c r="O218" s="6">
        <v>7.3529999999999998</v>
      </c>
      <c r="P218" s="6">
        <v>0</v>
      </c>
      <c r="Q218" s="4" t="s">
        <v>26</v>
      </c>
      <c r="R218" s="4">
        <v>0</v>
      </c>
      <c r="S218" s="6">
        <v>0</v>
      </c>
      <c r="T218" s="6">
        <v>66</v>
      </c>
      <c r="U218" s="6">
        <v>6</v>
      </c>
      <c r="V218" s="6">
        <f>IF(ISERROR(VLOOKUP($S$218,'TAR FIN'!$A$1:$O$85,15,0)),0,VLOOKUP($S$218,'TAR FIN'!$A$1:$O$85,15,0))</f>
        <v>0</v>
      </c>
      <c r="W218" s="6">
        <f>IF(ISERROR(VLOOKUP($T$218,'TAR FIN'!$A$1:$O$85,15,0)),0,VLOOKUP($T$218,'TAR FIN'!$A$1:$O$85,15,0))</f>
        <v>2263.58</v>
      </c>
      <c r="X218" s="6">
        <f>IF(ISERROR(VLOOKUP($U$218,'TAR FIN'!$A$1:$O$85,15,0)),0,VLOOKUP($U$218,'TAR FIN'!$A$1:$O$85,15,0))</f>
        <v>223.72</v>
      </c>
      <c r="Y218" s="6"/>
      <c r="Z218" s="6">
        <f ca="1">('TUSD BE'!$AM$11+'TUSD BF'!$AM$11+'TUSD CVA'!$AM$11)*1</f>
        <v>2373.6759655636811</v>
      </c>
      <c r="AA218" s="6">
        <f>('TE BE'!$AA$5+'TE BF'!$AA$5+'TE CVA'!$AA$5)*1</f>
        <v>217.62939920622892</v>
      </c>
      <c r="AB218" s="6">
        <f>$K$218*$V$218</f>
        <v>0</v>
      </c>
      <c r="AC218" s="6">
        <f>$M$218*$W$218</f>
        <v>16644.103739999999</v>
      </c>
      <c r="AD218" s="6">
        <f>$O$218*$X$218</f>
        <v>1645.01316</v>
      </c>
      <c r="AE218" s="6">
        <f>$K$218*$Y$218</f>
        <v>0</v>
      </c>
      <c r="AF218" s="6">
        <f ca="1">$M$218*$Z$218</f>
        <v>17453.639374789745</v>
      </c>
      <c r="AG218" s="6">
        <f>$O$218*$AA$218</f>
        <v>1600.2289723634012</v>
      </c>
    </row>
    <row r="219" spans="1:33" ht="11.25" customHeight="1" x14ac:dyDescent="0.25">
      <c r="A219" s="4" t="s">
        <v>21</v>
      </c>
      <c r="B219" s="4" t="s">
        <v>33</v>
      </c>
      <c r="C219" s="4" t="s">
        <v>34</v>
      </c>
      <c r="D219" s="4" t="s">
        <v>24</v>
      </c>
      <c r="E219" s="4" t="s">
        <v>24</v>
      </c>
      <c r="F219" s="4" t="s">
        <v>25</v>
      </c>
      <c r="G219" s="4" t="s">
        <v>25</v>
      </c>
      <c r="H219" s="4" t="s">
        <v>36</v>
      </c>
      <c r="I219" s="5">
        <v>44287</v>
      </c>
      <c r="J219" s="6">
        <v>0</v>
      </c>
      <c r="K219" s="6">
        <v>0</v>
      </c>
      <c r="L219" s="6">
        <v>15.103</v>
      </c>
      <c r="M219" s="6">
        <v>15.103</v>
      </c>
      <c r="N219" s="6">
        <v>15.103</v>
      </c>
      <c r="O219" s="6">
        <v>15.103</v>
      </c>
      <c r="P219" s="6">
        <v>0</v>
      </c>
      <c r="Q219" s="4" t="s">
        <v>26</v>
      </c>
      <c r="R219" s="4">
        <v>0</v>
      </c>
      <c r="S219" s="6">
        <v>0</v>
      </c>
      <c r="T219" s="6">
        <v>47</v>
      </c>
      <c r="U219" s="6">
        <v>27</v>
      </c>
      <c r="V219" s="6">
        <f>IF(ISERROR(VLOOKUP($S$219,'TAR FIN'!$A$1:$O$85,15,0)),0,VLOOKUP($S$219,'TAR FIN'!$A$1:$O$85,15,0))</f>
        <v>0</v>
      </c>
      <c r="W219" s="6">
        <f>IF(ISERROR(VLOOKUP($T$219,'TAR FIN'!$A$1:$O$85,15,0)),0,VLOOKUP($T$219,'TAR FIN'!$A$1:$O$85,15,0))</f>
        <v>72.23</v>
      </c>
      <c r="X219" s="6">
        <f>IF(ISERROR(VLOOKUP($U$219,'TAR FIN'!$A$1:$O$85,15,0)),0,VLOOKUP($U$219,'TAR FIN'!$A$1:$O$85,15,0))</f>
        <v>223.72</v>
      </c>
      <c r="Y219" s="6"/>
      <c r="Z219" s="6">
        <f ca="1">('TUSD BE'!$AM$12+'TUSD BF'!$AM$12+'TUSD CVA'!$AM$12)*1</f>
        <v>103.30505917577378</v>
      </c>
      <c r="AA219" s="6">
        <f>('TE BE'!$AA$6+'TE BF'!$AA$6+'TE CVA'!$AA$6)*1</f>
        <v>217.62939920622892</v>
      </c>
      <c r="AB219" s="6">
        <f>$K$219*$V$219</f>
        <v>0</v>
      </c>
      <c r="AC219" s="6">
        <f>$M$219*$W$219</f>
        <v>1090.88969</v>
      </c>
      <c r="AD219" s="6">
        <f>$O$219*$X$219</f>
        <v>3378.8431599999999</v>
      </c>
      <c r="AE219" s="6">
        <f>$K$219*$Y$219</f>
        <v>0</v>
      </c>
      <c r="AF219" s="6">
        <f ca="1">$M$219*$Z$219</f>
        <v>1560.2163087317113</v>
      </c>
      <c r="AG219" s="6">
        <f>$O$219*$AA$219</f>
        <v>3286.8568162116753</v>
      </c>
    </row>
    <row r="220" spans="1:33" ht="11.25" customHeight="1" x14ac:dyDescent="0.25">
      <c r="A220" s="4" t="s">
        <v>21</v>
      </c>
      <c r="B220" s="4" t="s">
        <v>33</v>
      </c>
      <c r="C220" s="4" t="s">
        <v>34</v>
      </c>
      <c r="D220" s="4" t="s">
        <v>24</v>
      </c>
      <c r="E220" s="4" t="s">
        <v>24</v>
      </c>
      <c r="F220" s="4" t="s">
        <v>25</v>
      </c>
      <c r="G220" s="4" t="s">
        <v>25</v>
      </c>
      <c r="H220" s="4" t="s">
        <v>36</v>
      </c>
      <c r="I220" s="5">
        <v>44317</v>
      </c>
      <c r="J220" s="6">
        <v>0</v>
      </c>
      <c r="K220" s="6">
        <v>0</v>
      </c>
      <c r="L220" s="6">
        <v>10.923</v>
      </c>
      <c r="M220" s="6">
        <v>10.923</v>
      </c>
      <c r="N220" s="6">
        <v>10.923</v>
      </c>
      <c r="O220" s="6">
        <v>10.923</v>
      </c>
      <c r="P220" s="6">
        <v>0</v>
      </c>
      <c r="Q220" s="4" t="s">
        <v>26</v>
      </c>
      <c r="R220" s="4">
        <v>0</v>
      </c>
      <c r="S220" s="6">
        <v>0</v>
      </c>
      <c r="T220" s="6">
        <v>47</v>
      </c>
      <c r="U220" s="6">
        <v>27</v>
      </c>
      <c r="V220" s="6">
        <f>IF(ISERROR(VLOOKUP($S$220,'TAR FIN'!$A$1:$O$85,15,0)),0,VLOOKUP($S$220,'TAR FIN'!$A$1:$O$85,15,0))</f>
        <v>0</v>
      </c>
      <c r="W220" s="6">
        <f>IF(ISERROR(VLOOKUP($T$220,'TAR FIN'!$A$1:$O$85,15,0)),0,VLOOKUP($T$220,'TAR FIN'!$A$1:$O$85,15,0))</f>
        <v>72.23</v>
      </c>
      <c r="X220" s="6">
        <f>IF(ISERROR(VLOOKUP($U$220,'TAR FIN'!$A$1:$O$85,15,0)),0,VLOOKUP($U$220,'TAR FIN'!$A$1:$O$85,15,0))</f>
        <v>223.72</v>
      </c>
      <c r="Y220" s="6"/>
      <c r="Z220" s="6">
        <f ca="1">('TUSD BE'!$AM$12+'TUSD BF'!$AM$12+'TUSD CVA'!$AM$12)*1</f>
        <v>103.30505917577378</v>
      </c>
      <c r="AA220" s="6">
        <f>('TE BE'!$AA$6+'TE BF'!$AA$6+'TE CVA'!$AA$6)*1</f>
        <v>217.62939920622892</v>
      </c>
      <c r="AB220" s="6">
        <f>$K$220*$V$220</f>
        <v>0</v>
      </c>
      <c r="AC220" s="6">
        <f>$M$220*$W$220</f>
        <v>788.96829000000002</v>
      </c>
      <c r="AD220" s="6">
        <f>$O$220*$X$220</f>
        <v>2443.6935600000002</v>
      </c>
      <c r="AE220" s="6">
        <f>$K$220*$Y$220</f>
        <v>0</v>
      </c>
      <c r="AF220" s="6">
        <f ca="1">$M$220*$Z$220</f>
        <v>1128.4011613769769</v>
      </c>
      <c r="AG220" s="6">
        <f>$O$220*$AA$220</f>
        <v>2377.1659275296383</v>
      </c>
    </row>
    <row r="221" spans="1:33" ht="11.25" customHeight="1" x14ac:dyDescent="0.25">
      <c r="A221" s="4" t="s">
        <v>21</v>
      </c>
      <c r="B221" s="4" t="s">
        <v>33</v>
      </c>
      <c r="C221" s="4" t="s">
        <v>34</v>
      </c>
      <c r="D221" s="4" t="s">
        <v>24</v>
      </c>
      <c r="E221" s="4" t="s">
        <v>24</v>
      </c>
      <c r="F221" s="4" t="s">
        <v>25</v>
      </c>
      <c r="G221" s="4" t="s">
        <v>25</v>
      </c>
      <c r="H221" s="4" t="s">
        <v>36</v>
      </c>
      <c r="I221" s="5">
        <v>44348</v>
      </c>
      <c r="J221" s="6">
        <v>0</v>
      </c>
      <c r="K221" s="6">
        <v>0</v>
      </c>
      <c r="L221" s="6">
        <v>11.247</v>
      </c>
      <c r="M221" s="6">
        <v>11.247</v>
      </c>
      <c r="N221" s="6">
        <v>11.247</v>
      </c>
      <c r="O221" s="6">
        <v>11.247</v>
      </c>
      <c r="P221" s="6">
        <v>0</v>
      </c>
      <c r="Q221" s="4" t="s">
        <v>26</v>
      </c>
      <c r="R221" s="4">
        <v>0</v>
      </c>
      <c r="S221" s="6">
        <v>0</v>
      </c>
      <c r="T221" s="6">
        <v>47</v>
      </c>
      <c r="U221" s="6">
        <v>27</v>
      </c>
      <c r="V221" s="6">
        <f>IF(ISERROR(VLOOKUP($S$221,'TAR FIN'!$A$1:$O$85,15,0)),0,VLOOKUP($S$221,'TAR FIN'!$A$1:$O$85,15,0))</f>
        <v>0</v>
      </c>
      <c r="W221" s="6">
        <f>IF(ISERROR(VLOOKUP($T$221,'TAR FIN'!$A$1:$O$85,15,0)),0,VLOOKUP($T$221,'TAR FIN'!$A$1:$O$85,15,0))</f>
        <v>72.23</v>
      </c>
      <c r="X221" s="6">
        <f>IF(ISERROR(VLOOKUP($U$221,'TAR FIN'!$A$1:$O$85,15,0)),0,VLOOKUP($U$221,'TAR FIN'!$A$1:$O$85,15,0))</f>
        <v>223.72</v>
      </c>
      <c r="Y221" s="6"/>
      <c r="Z221" s="6">
        <f ca="1">('TUSD BE'!$AM$12+'TUSD BF'!$AM$12+'TUSD CVA'!$AM$12)*1</f>
        <v>103.30505917577378</v>
      </c>
      <c r="AA221" s="6">
        <f>('TE BE'!$AA$6+'TE BF'!$AA$6+'TE CVA'!$AA$6)*1</f>
        <v>217.62939920622892</v>
      </c>
      <c r="AB221" s="6">
        <f>$K$221*$V$221</f>
        <v>0</v>
      </c>
      <c r="AC221" s="6">
        <f>$M$221*$W$221</f>
        <v>812.37081000000001</v>
      </c>
      <c r="AD221" s="6">
        <f>$O$221*$X$221</f>
        <v>2516.17884</v>
      </c>
      <c r="AE221" s="6">
        <f>$K$221*$Y$221</f>
        <v>0</v>
      </c>
      <c r="AF221" s="6">
        <f ca="1">$M$221*$Z$221</f>
        <v>1161.8720005499276</v>
      </c>
      <c r="AG221" s="6">
        <f>$O$221*$AA$221</f>
        <v>2447.6778528724567</v>
      </c>
    </row>
    <row r="222" spans="1:33" ht="11.25" customHeight="1" x14ac:dyDescent="0.25">
      <c r="A222" s="4" t="s">
        <v>21</v>
      </c>
      <c r="B222" s="4" t="s">
        <v>33</v>
      </c>
      <c r="C222" s="4" t="s">
        <v>34</v>
      </c>
      <c r="D222" s="4" t="s">
        <v>24</v>
      </c>
      <c r="E222" s="4" t="s">
        <v>24</v>
      </c>
      <c r="F222" s="4" t="s">
        <v>25</v>
      </c>
      <c r="G222" s="4" t="s">
        <v>25</v>
      </c>
      <c r="H222" s="4" t="s">
        <v>36</v>
      </c>
      <c r="I222" s="5">
        <v>44378</v>
      </c>
      <c r="J222" s="6">
        <v>0</v>
      </c>
      <c r="K222" s="6">
        <v>0</v>
      </c>
      <c r="L222" s="6">
        <v>18.251000000000001</v>
      </c>
      <c r="M222" s="6">
        <v>18.251000000000001</v>
      </c>
      <c r="N222" s="6">
        <v>18.251000000000001</v>
      </c>
      <c r="O222" s="6">
        <v>18.251000000000001</v>
      </c>
      <c r="P222" s="6">
        <v>0</v>
      </c>
      <c r="Q222" s="4" t="s">
        <v>26</v>
      </c>
      <c r="R222" s="4">
        <v>0</v>
      </c>
      <c r="S222" s="6">
        <v>0</v>
      </c>
      <c r="T222" s="6">
        <v>47</v>
      </c>
      <c r="U222" s="6">
        <v>27</v>
      </c>
      <c r="V222" s="6">
        <f>IF(ISERROR(VLOOKUP($S$222,'TAR FIN'!$A$1:$O$85,15,0)),0,VLOOKUP($S$222,'TAR FIN'!$A$1:$O$85,15,0))</f>
        <v>0</v>
      </c>
      <c r="W222" s="6">
        <f>IF(ISERROR(VLOOKUP($T$222,'TAR FIN'!$A$1:$O$85,15,0)),0,VLOOKUP($T$222,'TAR FIN'!$A$1:$O$85,15,0))</f>
        <v>72.23</v>
      </c>
      <c r="X222" s="6">
        <f>IF(ISERROR(VLOOKUP($U$222,'TAR FIN'!$A$1:$O$85,15,0)),0,VLOOKUP($U$222,'TAR FIN'!$A$1:$O$85,15,0))</f>
        <v>223.72</v>
      </c>
      <c r="Y222" s="6"/>
      <c r="Z222" s="6">
        <f ca="1">('TUSD BE'!$AM$12+'TUSD BF'!$AM$12+'TUSD CVA'!$AM$12)*1</f>
        <v>103.30505917577378</v>
      </c>
      <c r="AA222" s="6">
        <f>('TE BE'!$AA$6+'TE BF'!$AA$6+'TE CVA'!$AA$6)*1</f>
        <v>217.62939920622892</v>
      </c>
      <c r="AB222" s="6">
        <f>$K$222*$V$222</f>
        <v>0</v>
      </c>
      <c r="AC222" s="6">
        <f>$M$222*$W$222</f>
        <v>1318.2697300000002</v>
      </c>
      <c r="AD222" s="6">
        <f>$O$222*$X$222</f>
        <v>4083.1137200000003</v>
      </c>
      <c r="AE222" s="6">
        <f>$K$222*$Y$222</f>
        <v>0</v>
      </c>
      <c r="AF222" s="6">
        <f ca="1">$M$222*$Z$222</f>
        <v>1885.4206350170473</v>
      </c>
      <c r="AG222" s="6">
        <f>$O$222*$AA$222</f>
        <v>3971.9541649128842</v>
      </c>
    </row>
    <row r="223" spans="1:33" ht="11.25" customHeight="1" x14ac:dyDescent="0.25">
      <c r="A223" s="4" t="s">
        <v>21</v>
      </c>
      <c r="B223" s="4" t="s">
        <v>33</v>
      </c>
      <c r="C223" s="4" t="s">
        <v>34</v>
      </c>
      <c r="D223" s="4" t="s">
        <v>24</v>
      </c>
      <c r="E223" s="4" t="s">
        <v>24</v>
      </c>
      <c r="F223" s="4" t="s">
        <v>25</v>
      </c>
      <c r="G223" s="4" t="s">
        <v>25</v>
      </c>
      <c r="H223" s="4" t="s">
        <v>36</v>
      </c>
      <c r="I223" s="5">
        <v>44409</v>
      </c>
      <c r="J223" s="6">
        <v>0</v>
      </c>
      <c r="K223" s="6">
        <v>0</v>
      </c>
      <c r="L223" s="6">
        <v>11.000999999999999</v>
      </c>
      <c r="M223" s="6">
        <v>11.000999999999999</v>
      </c>
      <c r="N223" s="6">
        <v>11.000999999999999</v>
      </c>
      <c r="O223" s="6">
        <v>11.000999999999999</v>
      </c>
      <c r="P223" s="6">
        <v>0</v>
      </c>
      <c r="Q223" s="4" t="s">
        <v>26</v>
      </c>
      <c r="R223" s="4">
        <v>0</v>
      </c>
      <c r="S223" s="6">
        <v>0</v>
      </c>
      <c r="T223" s="6">
        <v>47</v>
      </c>
      <c r="U223" s="6">
        <v>27</v>
      </c>
      <c r="V223" s="6">
        <f>IF(ISERROR(VLOOKUP($S$223,'TAR FIN'!$A$1:$O$85,15,0)),0,VLOOKUP($S$223,'TAR FIN'!$A$1:$O$85,15,0))</f>
        <v>0</v>
      </c>
      <c r="W223" s="6">
        <f>IF(ISERROR(VLOOKUP($T$223,'TAR FIN'!$A$1:$O$85,15,0)),0,VLOOKUP($T$223,'TAR FIN'!$A$1:$O$85,15,0))</f>
        <v>72.23</v>
      </c>
      <c r="X223" s="6">
        <f>IF(ISERROR(VLOOKUP($U$223,'TAR FIN'!$A$1:$O$85,15,0)),0,VLOOKUP($U$223,'TAR FIN'!$A$1:$O$85,15,0))</f>
        <v>223.72</v>
      </c>
      <c r="Y223" s="6"/>
      <c r="Z223" s="6">
        <f ca="1">('TUSD BE'!$AM$12+'TUSD BF'!$AM$12+'TUSD CVA'!$AM$12)*1</f>
        <v>103.30505917577378</v>
      </c>
      <c r="AA223" s="6">
        <f>('TE BE'!$AA$6+'TE BF'!$AA$6+'TE CVA'!$AA$6)*1</f>
        <v>217.62939920622892</v>
      </c>
      <c r="AB223" s="6">
        <f>$K$223*$V$223</f>
        <v>0</v>
      </c>
      <c r="AC223" s="6">
        <f>$M$223*$W$223</f>
        <v>794.60222999999996</v>
      </c>
      <c r="AD223" s="6">
        <f>$O$223*$X$223</f>
        <v>2461.14372</v>
      </c>
      <c r="AE223" s="6">
        <f>$K$223*$Y$223</f>
        <v>0</v>
      </c>
      <c r="AF223" s="6">
        <f ca="1">$M$223*$Z$223</f>
        <v>1136.4589559926874</v>
      </c>
      <c r="AG223" s="6">
        <f>$O$223*$AA$223</f>
        <v>2394.1410206677242</v>
      </c>
    </row>
    <row r="224" spans="1:33" ht="11.25" customHeight="1" x14ac:dyDescent="0.25">
      <c r="A224" s="4" t="s">
        <v>21</v>
      </c>
      <c r="B224" s="4" t="s">
        <v>33</v>
      </c>
      <c r="C224" s="4" t="s">
        <v>34</v>
      </c>
      <c r="D224" s="4" t="s">
        <v>24</v>
      </c>
      <c r="E224" s="4" t="s">
        <v>24</v>
      </c>
      <c r="F224" s="4" t="s">
        <v>25</v>
      </c>
      <c r="G224" s="4" t="s">
        <v>25</v>
      </c>
      <c r="H224" s="4" t="s">
        <v>36</v>
      </c>
      <c r="I224" s="5">
        <v>44440</v>
      </c>
      <c r="J224" s="6">
        <v>0</v>
      </c>
      <c r="K224" s="6">
        <v>0</v>
      </c>
      <c r="L224" s="6">
        <v>20.196000000000002</v>
      </c>
      <c r="M224" s="6">
        <v>20.196000000000002</v>
      </c>
      <c r="N224" s="6">
        <v>20.196000000000002</v>
      </c>
      <c r="O224" s="6">
        <v>20.196000000000002</v>
      </c>
      <c r="P224" s="6">
        <v>0</v>
      </c>
      <c r="Q224" s="4" t="s">
        <v>26</v>
      </c>
      <c r="R224" s="4">
        <v>0</v>
      </c>
      <c r="S224" s="6">
        <v>0</v>
      </c>
      <c r="T224" s="6">
        <v>47</v>
      </c>
      <c r="U224" s="6">
        <v>27</v>
      </c>
      <c r="V224" s="6">
        <f>IF(ISERROR(VLOOKUP($S$224,'TAR FIN'!$A$1:$O$85,15,0)),0,VLOOKUP($S$224,'TAR FIN'!$A$1:$O$85,15,0))</f>
        <v>0</v>
      </c>
      <c r="W224" s="6">
        <f>IF(ISERROR(VLOOKUP($T$224,'TAR FIN'!$A$1:$O$85,15,0)),0,VLOOKUP($T$224,'TAR FIN'!$A$1:$O$85,15,0))</f>
        <v>72.23</v>
      </c>
      <c r="X224" s="6">
        <f>IF(ISERROR(VLOOKUP($U$224,'TAR FIN'!$A$1:$O$85,15,0)),0,VLOOKUP($U$224,'TAR FIN'!$A$1:$O$85,15,0))</f>
        <v>223.72</v>
      </c>
      <c r="Y224" s="6"/>
      <c r="Z224" s="6">
        <f ca="1">('TUSD BE'!$AM$12+'TUSD BF'!$AM$12+'TUSD CVA'!$AM$12)*1</f>
        <v>103.30505917577378</v>
      </c>
      <c r="AA224" s="6">
        <f>('TE BE'!$AA$6+'TE BF'!$AA$6+'TE CVA'!$AA$6)*1</f>
        <v>217.62939920622892</v>
      </c>
      <c r="AB224" s="6">
        <f>$K$224*$V$224</f>
        <v>0</v>
      </c>
      <c r="AC224" s="6">
        <f>$M$224*$W$224</f>
        <v>1458.7570800000001</v>
      </c>
      <c r="AD224" s="6">
        <f>$O$224*$X$224</f>
        <v>4518.2491200000004</v>
      </c>
      <c r="AE224" s="6">
        <f>$K$224*$Y$224</f>
        <v>0</v>
      </c>
      <c r="AF224" s="6">
        <f ca="1">$M$224*$Z$224</f>
        <v>2086.3489751139273</v>
      </c>
      <c r="AG224" s="6">
        <f>$O$224*$AA$224</f>
        <v>4395.2433463689995</v>
      </c>
    </row>
    <row r="225" spans="1:33" ht="11.25" customHeight="1" x14ac:dyDescent="0.25">
      <c r="A225" s="4" t="s">
        <v>21</v>
      </c>
      <c r="B225" s="4" t="s">
        <v>33</v>
      </c>
      <c r="C225" s="4" t="s">
        <v>34</v>
      </c>
      <c r="D225" s="4" t="s">
        <v>24</v>
      </c>
      <c r="E225" s="4" t="s">
        <v>24</v>
      </c>
      <c r="F225" s="4" t="s">
        <v>25</v>
      </c>
      <c r="G225" s="4" t="s">
        <v>25</v>
      </c>
      <c r="H225" s="4" t="s">
        <v>36</v>
      </c>
      <c r="I225" s="5">
        <v>44470</v>
      </c>
      <c r="J225" s="6">
        <v>0</v>
      </c>
      <c r="K225" s="6">
        <v>0</v>
      </c>
      <c r="L225" s="6">
        <v>16.905999999999999</v>
      </c>
      <c r="M225" s="6">
        <v>16.905999999999999</v>
      </c>
      <c r="N225" s="6">
        <v>16.905999999999999</v>
      </c>
      <c r="O225" s="6">
        <v>16.905999999999999</v>
      </c>
      <c r="P225" s="6">
        <v>0</v>
      </c>
      <c r="Q225" s="4" t="s">
        <v>26</v>
      </c>
      <c r="R225" s="4">
        <v>0</v>
      </c>
      <c r="S225" s="6">
        <v>0</v>
      </c>
      <c r="T225" s="6">
        <v>47</v>
      </c>
      <c r="U225" s="6">
        <v>27</v>
      </c>
      <c r="V225" s="6">
        <f>IF(ISERROR(VLOOKUP($S$225,'TAR FIN'!$A$1:$O$85,15,0)),0,VLOOKUP($S$225,'TAR FIN'!$A$1:$O$85,15,0))</f>
        <v>0</v>
      </c>
      <c r="W225" s="6">
        <f>IF(ISERROR(VLOOKUP($T$225,'TAR FIN'!$A$1:$O$85,15,0)),0,VLOOKUP($T$225,'TAR FIN'!$A$1:$O$85,15,0))</f>
        <v>72.23</v>
      </c>
      <c r="X225" s="6">
        <f>IF(ISERROR(VLOOKUP($U$225,'TAR FIN'!$A$1:$O$85,15,0)),0,VLOOKUP($U$225,'TAR FIN'!$A$1:$O$85,15,0))</f>
        <v>223.72</v>
      </c>
      <c r="Y225" s="6"/>
      <c r="Z225" s="6">
        <f ca="1">('TUSD BE'!$AM$12+'TUSD BF'!$AM$12+'TUSD CVA'!$AM$12)*1</f>
        <v>103.30505917577378</v>
      </c>
      <c r="AA225" s="6">
        <f>('TE BE'!$AA$6+'TE BF'!$AA$6+'TE CVA'!$AA$6)*1</f>
        <v>217.62939920622892</v>
      </c>
      <c r="AB225" s="6">
        <f>$K$225*$V$225</f>
        <v>0</v>
      </c>
      <c r="AC225" s="6">
        <f>$M$225*$W$225</f>
        <v>1221.1203800000001</v>
      </c>
      <c r="AD225" s="6">
        <f>$O$225*$X$225</f>
        <v>3782.2103199999997</v>
      </c>
      <c r="AE225" s="6">
        <f>$K$225*$Y$225</f>
        <v>0</v>
      </c>
      <c r="AF225" s="6">
        <f ca="1">$M$225*$Z$225</f>
        <v>1746.4753304256315</v>
      </c>
      <c r="AG225" s="6">
        <f>$O$225*$AA$225</f>
        <v>3679.242622980506</v>
      </c>
    </row>
    <row r="226" spans="1:33" ht="11.25" customHeight="1" x14ac:dyDescent="0.25">
      <c r="A226" s="4" t="s">
        <v>21</v>
      </c>
      <c r="B226" s="4" t="s">
        <v>33</v>
      </c>
      <c r="C226" s="4" t="s">
        <v>34</v>
      </c>
      <c r="D226" s="4" t="s">
        <v>24</v>
      </c>
      <c r="E226" s="4" t="s">
        <v>24</v>
      </c>
      <c r="F226" s="4" t="s">
        <v>25</v>
      </c>
      <c r="G226" s="4" t="s">
        <v>25</v>
      </c>
      <c r="H226" s="4" t="s">
        <v>36</v>
      </c>
      <c r="I226" s="5">
        <v>44501</v>
      </c>
      <c r="J226" s="6">
        <v>0</v>
      </c>
      <c r="K226" s="6">
        <v>0</v>
      </c>
      <c r="L226" s="6">
        <v>14.138</v>
      </c>
      <c r="M226" s="6">
        <v>14.138</v>
      </c>
      <c r="N226" s="6">
        <v>14.138</v>
      </c>
      <c r="O226" s="6">
        <v>14.138</v>
      </c>
      <c r="P226" s="6">
        <v>0</v>
      </c>
      <c r="Q226" s="4" t="s">
        <v>26</v>
      </c>
      <c r="R226" s="4">
        <v>0</v>
      </c>
      <c r="S226" s="6">
        <v>0</v>
      </c>
      <c r="T226" s="6">
        <v>47</v>
      </c>
      <c r="U226" s="6">
        <v>27</v>
      </c>
      <c r="V226" s="6">
        <f>IF(ISERROR(VLOOKUP($S$226,'TAR FIN'!$A$1:$O$85,15,0)),0,VLOOKUP($S$226,'TAR FIN'!$A$1:$O$85,15,0))</f>
        <v>0</v>
      </c>
      <c r="W226" s="6">
        <f>IF(ISERROR(VLOOKUP($T$226,'TAR FIN'!$A$1:$O$85,15,0)),0,VLOOKUP($T$226,'TAR FIN'!$A$1:$O$85,15,0))</f>
        <v>72.23</v>
      </c>
      <c r="X226" s="6">
        <f>IF(ISERROR(VLOOKUP($U$226,'TAR FIN'!$A$1:$O$85,15,0)),0,VLOOKUP($U$226,'TAR FIN'!$A$1:$O$85,15,0))</f>
        <v>223.72</v>
      </c>
      <c r="Y226" s="6"/>
      <c r="Z226" s="6">
        <f ca="1">('TUSD BE'!$AM$12+'TUSD BF'!$AM$12+'TUSD CVA'!$AM$12)*1</f>
        <v>103.30505917577378</v>
      </c>
      <c r="AA226" s="6">
        <f>('TE BE'!$AA$6+'TE BF'!$AA$6+'TE CVA'!$AA$6)*1</f>
        <v>217.62939920622892</v>
      </c>
      <c r="AB226" s="6">
        <f>$K$226*$V$226</f>
        <v>0</v>
      </c>
      <c r="AC226" s="6">
        <f>$M$226*$W$226</f>
        <v>1021.1877400000001</v>
      </c>
      <c r="AD226" s="6">
        <f>$O$226*$X$226</f>
        <v>3162.95336</v>
      </c>
      <c r="AE226" s="6">
        <f>$K$226*$Y$226</f>
        <v>0</v>
      </c>
      <c r="AF226" s="6">
        <f ca="1">$M$226*$Z$226</f>
        <v>1460.5269266270896</v>
      </c>
      <c r="AG226" s="6">
        <f>$O$226*$AA$226</f>
        <v>3076.8444459776647</v>
      </c>
    </row>
    <row r="227" spans="1:33" ht="11.25" customHeight="1" x14ac:dyDescent="0.25">
      <c r="A227" s="4" t="s">
        <v>21</v>
      </c>
      <c r="B227" s="4" t="s">
        <v>33</v>
      </c>
      <c r="C227" s="4" t="s">
        <v>34</v>
      </c>
      <c r="D227" s="4" t="s">
        <v>24</v>
      </c>
      <c r="E227" s="4" t="s">
        <v>24</v>
      </c>
      <c r="F227" s="4" t="s">
        <v>25</v>
      </c>
      <c r="G227" s="4" t="s">
        <v>25</v>
      </c>
      <c r="H227" s="4" t="s">
        <v>36</v>
      </c>
      <c r="I227" s="5">
        <v>44531</v>
      </c>
      <c r="J227" s="6">
        <v>0</v>
      </c>
      <c r="K227" s="6">
        <v>0</v>
      </c>
      <c r="L227" s="6">
        <v>19.963000000000001</v>
      </c>
      <c r="M227" s="6">
        <v>19.963000000000001</v>
      </c>
      <c r="N227" s="6">
        <v>19.963000000000001</v>
      </c>
      <c r="O227" s="6">
        <v>19.963000000000001</v>
      </c>
      <c r="P227" s="6">
        <v>0</v>
      </c>
      <c r="Q227" s="4" t="s">
        <v>26</v>
      </c>
      <c r="R227" s="4">
        <v>0</v>
      </c>
      <c r="S227" s="6">
        <v>0</v>
      </c>
      <c r="T227" s="6">
        <v>47</v>
      </c>
      <c r="U227" s="6">
        <v>27</v>
      </c>
      <c r="V227" s="6">
        <f>IF(ISERROR(VLOOKUP($S$227,'TAR FIN'!$A$1:$O$85,15,0)),0,VLOOKUP($S$227,'TAR FIN'!$A$1:$O$85,15,0))</f>
        <v>0</v>
      </c>
      <c r="W227" s="6">
        <f>IF(ISERROR(VLOOKUP($T$227,'TAR FIN'!$A$1:$O$85,15,0)),0,VLOOKUP($T$227,'TAR FIN'!$A$1:$O$85,15,0))</f>
        <v>72.23</v>
      </c>
      <c r="X227" s="6">
        <f>IF(ISERROR(VLOOKUP($U$227,'TAR FIN'!$A$1:$O$85,15,0)),0,VLOOKUP($U$227,'TAR FIN'!$A$1:$O$85,15,0))</f>
        <v>223.72</v>
      </c>
      <c r="Y227" s="6"/>
      <c r="Z227" s="6">
        <f ca="1">('TUSD BE'!$AM$12+'TUSD BF'!$AM$12+'TUSD CVA'!$AM$12)*1</f>
        <v>103.30505917577378</v>
      </c>
      <c r="AA227" s="6">
        <f>('TE BE'!$AA$6+'TE BF'!$AA$6+'TE CVA'!$AA$6)*1</f>
        <v>217.62939920622892</v>
      </c>
      <c r="AB227" s="6">
        <f>$K$227*$V$227</f>
        <v>0</v>
      </c>
      <c r="AC227" s="6">
        <f>$M$227*$W$227</f>
        <v>1441.9274900000003</v>
      </c>
      <c r="AD227" s="6">
        <f>$O$227*$X$227</f>
        <v>4466.1223600000003</v>
      </c>
      <c r="AE227" s="6">
        <f>$K$227*$Y$227</f>
        <v>0</v>
      </c>
      <c r="AF227" s="6">
        <f ca="1">$M$227*$Z$227</f>
        <v>2062.2788963259718</v>
      </c>
      <c r="AG227" s="6">
        <f>$O$227*$AA$227</f>
        <v>4344.535696353948</v>
      </c>
    </row>
    <row r="228" spans="1:33" ht="11.25" customHeight="1" x14ac:dyDescent="0.25">
      <c r="A228" s="4" t="s">
        <v>21</v>
      </c>
      <c r="B228" s="4" t="s">
        <v>33</v>
      </c>
      <c r="C228" s="4" t="s">
        <v>34</v>
      </c>
      <c r="D228" s="4" t="s">
        <v>24</v>
      </c>
      <c r="E228" s="4" t="s">
        <v>24</v>
      </c>
      <c r="F228" s="4" t="s">
        <v>25</v>
      </c>
      <c r="G228" s="4" t="s">
        <v>25</v>
      </c>
      <c r="H228" s="4" t="s">
        <v>36</v>
      </c>
      <c r="I228" s="5">
        <v>44562</v>
      </c>
      <c r="J228" s="6">
        <v>0</v>
      </c>
      <c r="K228" s="6">
        <v>0</v>
      </c>
      <c r="L228" s="6">
        <v>18.652999999999999</v>
      </c>
      <c r="M228" s="6">
        <v>18.652999999999999</v>
      </c>
      <c r="N228" s="6">
        <v>18.652999999999999</v>
      </c>
      <c r="O228" s="6">
        <v>18.652999999999999</v>
      </c>
      <c r="P228" s="6">
        <v>0</v>
      </c>
      <c r="Q228" s="4" t="s">
        <v>26</v>
      </c>
      <c r="R228" s="4">
        <v>0</v>
      </c>
      <c r="S228" s="6">
        <v>0</v>
      </c>
      <c r="T228" s="6">
        <v>47</v>
      </c>
      <c r="U228" s="6">
        <v>27</v>
      </c>
      <c r="V228" s="6">
        <f>IF(ISERROR(VLOOKUP($S$228,'TAR FIN'!$A$1:$O$85,15,0)),0,VLOOKUP($S$228,'TAR FIN'!$A$1:$O$85,15,0))</f>
        <v>0</v>
      </c>
      <c r="W228" s="6">
        <f>IF(ISERROR(VLOOKUP($T$228,'TAR FIN'!$A$1:$O$85,15,0)),0,VLOOKUP($T$228,'TAR FIN'!$A$1:$O$85,15,0))</f>
        <v>72.23</v>
      </c>
      <c r="X228" s="6">
        <f>IF(ISERROR(VLOOKUP($U$228,'TAR FIN'!$A$1:$O$85,15,0)),0,VLOOKUP($U$228,'TAR FIN'!$A$1:$O$85,15,0))</f>
        <v>223.72</v>
      </c>
      <c r="Y228" s="6"/>
      <c r="Z228" s="6">
        <f ca="1">('TUSD BE'!$AM$12+'TUSD BF'!$AM$12+'TUSD CVA'!$AM$12)*1</f>
        <v>103.30505917577378</v>
      </c>
      <c r="AA228" s="6">
        <f>('TE BE'!$AA$6+'TE BF'!$AA$6+'TE CVA'!$AA$6)*1</f>
        <v>217.62939920622892</v>
      </c>
      <c r="AB228" s="6">
        <f>$K$228*$V$228</f>
        <v>0</v>
      </c>
      <c r="AC228" s="6">
        <f>$M$228*$W$228</f>
        <v>1347.30619</v>
      </c>
      <c r="AD228" s="6">
        <f>$O$228*$X$228</f>
        <v>4173.0491599999996</v>
      </c>
      <c r="AE228" s="6">
        <f>$K$228*$Y$228</f>
        <v>0</v>
      </c>
      <c r="AF228" s="6">
        <f ca="1">$M$228*$Z$228</f>
        <v>1926.9492688057082</v>
      </c>
      <c r="AG228" s="6">
        <f>$O$228*$AA$228</f>
        <v>4059.4411833937879</v>
      </c>
    </row>
    <row r="229" spans="1:33" ht="11.25" customHeight="1" x14ac:dyDescent="0.25">
      <c r="A229" s="4" t="s">
        <v>21</v>
      </c>
      <c r="B229" s="4" t="s">
        <v>33</v>
      </c>
      <c r="C229" s="4" t="s">
        <v>34</v>
      </c>
      <c r="D229" s="4" t="s">
        <v>24</v>
      </c>
      <c r="E229" s="4" t="s">
        <v>24</v>
      </c>
      <c r="F229" s="4" t="s">
        <v>25</v>
      </c>
      <c r="G229" s="4" t="s">
        <v>25</v>
      </c>
      <c r="H229" s="4" t="s">
        <v>36</v>
      </c>
      <c r="I229" s="5">
        <v>44593</v>
      </c>
      <c r="J229" s="6">
        <v>0</v>
      </c>
      <c r="K229" s="6">
        <v>0</v>
      </c>
      <c r="L229" s="6">
        <v>10.208</v>
      </c>
      <c r="M229" s="6">
        <v>10.208</v>
      </c>
      <c r="N229" s="6">
        <v>10.208</v>
      </c>
      <c r="O229" s="6">
        <v>10.208</v>
      </c>
      <c r="P229" s="6">
        <v>0</v>
      </c>
      <c r="Q229" s="4" t="s">
        <v>26</v>
      </c>
      <c r="R229" s="4">
        <v>0</v>
      </c>
      <c r="S229" s="6">
        <v>0</v>
      </c>
      <c r="T229" s="6">
        <v>47</v>
      </c>
      <c r="U229" s="6">
        <v>27</v>
      </c>
      <c r="V229" s="6">
        <f>IF(ISERROR(VLOOKUP($S$229,'TAR FIN'!$A$1:$O$85,15,0)),0,VLOOKUP($S$229,'TAR FIN'!$A$1:$O$85,15,0))</f>
        <v>0</v>
      </c>
      <c r="W229" s="6">
        <f>IF(ISERROR(VLOOKUP($T$229,'TAR FIN'!$A$1:$O$85,15,0)),0,VLOOKUP($T$229,'TAR FIN'!$A$1:$O$85,15,0))</f>
        <v>72.23</v>
      </c>
      <c r="X229" s="6">
        <f>IF(ISERROR(VLOOKUP($U$229,'TAR FIN'!$A$1:$O$85,15,0)),0,VLOOKUP($U$229,'TAR FIN'!$A$1:$O$85,15,0))</f>
        <v>223.72</v>
      </c>
      <c r="Y229" s="6"/>
      <c r="Z229" s="6">
        <f ca="1">('TUSD BE'!$AM$12+'TUSD BF'!$AM$12+'TUSD CVA'!$AM$12)*1</f>
        <v>103.30505917577378</v>
      </c>
      <c r="AA229" s="6">
        <f>('TE BE'!$AA$6+'TE BF'!$AA$6+'TE CVA'!$AA$6)*1</f>
        <v>217.62939920622892</v>
      </c>
      <c r="AB229" s="6">
        <f>$K$229*$V$229</f>
        <v>0</v>
      </c>
      <c r="AC229" s="6">
        <f>$M$229*$W$229</f>
        <v>737.32384000000002</v>
      </c>
      <c r="AD229" s="6">
        <f>$O$229*$X$229</f>
        <v>2283.7337600000001</v>
      </c>
      <c r="AE229" s="6">
        <f>$K$229*$Y$229</f>
        <v>0</v>
      </c>
      <c r="AF229" s="6">
        <f ca="1">$M$229*$Z$229</f>
        <v>1054.5380440662987</v>
      </c>
      <c r="AG229" s="6">
        <f>$O$229*$AA$229</f>
        <v>2221.560907097185</v>
      </c>
    </row>
    <row r="230" spans="1:33" ht="11.25" customHeight="1" x14ac:dyDescent="0.25">
      <c r="A230" s="4" t="s">
        <v>54</v>
      </c>
      <c r="B230" s="4" t="s">
        <v>33</v>
      </c>
      <c r="C230" s="4" t="s">
        <v>34</v>
      </c>
      <c r="D230" s="4" t="s">
        <v>24</v>
      </c>
      <c r="E230" s="4" t="s">
        <v>24</v>
      </c>
      <c r="F230" s="4" t="s">
        <v>25</v>
      </c>
      <c r="G230" s="4" t="s">
        <v>25</v>
      </c>
      <c r="H230" s="4" t="s">
        <v>36</v>
      </c>
      <c r="I230" s="5">
        <v>44621</v>
      </c>
      <c r="J230" s="6">
        <v>0</v>
      </c>
      <c r="K230" s="6">
        <v>0</v>
      </c>
      <c r="L230" s="6">
        <v>10.208</v>
      </c>
      <c r="M230" s="6">
        <v>10.208</v>
      </c>
      <c r="N230" s="6">
        <v>10.208</v>
      </c>
      <c r="O230" s="6">
        <v>10.208</v>
      </c>
      <c r="P230" s="6">
        <v>0</v>
      </c>
      <c r="Q230" s="4" t="s">
        <v>26</v>
      </c>
      <c r="R230" s="4">
        <v>0</v>
      </c>
      <c r="S230" s="6">
        <v>0</v>
      </c>
      <c r="T230" s="6">
        <v>47</v>
      </c>
      <c r="U230" s="6">
        <v>27</v>
      </c>
      <c r="V230" s="6">
        <f>IF(ISERROR(VLOOKUP($S$230,'TAR FIN'!$A$1:$O$85,15,0)),0,VLOOKUP($S$230,'TAR FIN'!$A$1:$O$85,15,0))</f>
        <v>0</v>
      </c>
      <c r="W230" s="6">
        <f>IF(ISERROR(VLOOKUP($T$230,'TAR FIN'!$A$1:$O$85,15,0)),0,VLOOKUP($T$230,'TAR FIN'!$A$1:$O$85,15,0))</f>
        <v>72.23</v>
      </c>
      <c r="X230" s="6">
        <f>IF(ISERROR(VLOOKUP($U$230,'TAR FIN'!$A$1:$O$85,15,0)),0,VLOOKUP($U$230,'TAR FIN'!$A$1:$O$85,15,0))</f>
        <v>223.72</v>
      </c>
      <c r="Y230" s="6"/>
      <c r="Z230" s="6">
        <f ca="1">('TUSD BE'!$AM$12+'TUSD BF'!$AM$12+'TUSD CVA'!$AM$12)*1</f>
        <v>103.30505917577378</v>
      </c>
      <c r="AA230" s="6">
        <f>('TE BE'!$AA$6+'TE BF'!$AA$6+'TE CVA'!$AA$6)*1</f>
        <v>217.62939920622892</v>
      </c>
      <c r="AB230" s="6">
        <f>$K$230*$V$230</f>
        <v>0</v>
      </c>
      <c r="AC230" s="6">
        <f>$M$230*$W$230</f>
        <v>737.32384000000002</v>
      </c>
      <c r="AD230" s="6">
        <f>$O$230*$X$230</f>
        <v>2283.7337600000001</v>
      </c>
      <c r="AE230" s="6">
        <f>$K$230*$Y$230</f>
        <v>0</v>
      </c>
      <c r="AF230" s="6">
        <f ca="1">$M$230*$Z$230</f>
        <v>1054.5380440662987</v>
      </c>
      <c r="AG230" s="6">
        <f>$O$230*$AA$230</f>
        <v>2221.560907097185</v>
      </c>
    </row>
    <row r="231" spans="1:33" ht="11.25" customHeight="1" x14ac:dyDescent="0.25">
      <c r="A231" s="4" t="s">
        <v>21</v>
      </c>
      <c r="B231" s="4" t="s">
        <v>33</v>
      </c>
      <c r="C231" s="4" t="s">
        <v>34</v>
      </c>
      <c r="D231" s="4" t="s">
        <v>24</v>
      </c>
      <c r="E231" s="4" t="s">
        <v>24</v>
      </c>
      <c r="F231" s="4" t="s">
        <v>25</v>
      </c>
      <c r="G231" s="4" t="s">
        <v>25</v>
      </c>
      <c r="H231" s="4" t="s">
        <v>25</v>
      </c>
      <c r="I231" s="5">
        <v>44287</v>
      </c>
      <c r="J231" s="6">
        <v>110</v>
      </c>
      <c r="K231" s="6">
        <v>110</v>
      </c>
      <c r="L231" s="6">
        <v>0</v>
      </c>
      <c r="M231" s="6">
        <v>0</v>
      </c>
      <c r="N231" s="6">
        <v>0</v>
      </c>
      <c r="O231" s="6">
        <v>0</v>
      </c>
      <c r="P231" s="6">
        <v>2</v>
      </c>
      <c r="Q231" s="4" t="s">
        <v>26</v>
      </c>
      <c r="R231" s="4">
        <v>0</v>
      </c>
      <c r="S231" s="6">
        <v>65</v>
      </c>
      <c r="T231" s="6">
        <v>0</v>
      </c>
      <c r="U231" s="6">
        <v>0</v>
      </c>
      <c r="V231" s="6">
        <f>IF(ISERROR(VLOOKUP($S$231,'TAR FIN'!$A$1:$O$85,15,0)),0,VLOOKUP($S$231,'TAR FIN'!$A$1:$O$85,15,0))</f>
        <v>23.41</v>
      </c>
      <c r="W231" s="6">
        <f>IF(ISERROR(VLOOKUP($T$231,'TAR FIN'!$A$1:$O$85,15,0)),0,VLOOKUP($T$231,'TAR FIN'!$A$1:$O$85,15,0))</f>
        <v>0</v>
      </c>
      <c r="X231" s="6">
        <f>IF(ISERROR(VLOOKUP($U$231,'TAR FIN'!$A$1:$O$85,15,0)),0,VLOOKUP($U$231,'TAR FIN'!$A$1:$O$85,15,0))</f>
        <v>0</v>
      </c>
      <c r="Y231" s="6">
        <f ca="1">('TUSD BE'!$AM$10+'TUSD BF'!$AM$10+'TUSD CVA'!$AM$10)*1</f>
        <v>24.267918723282428</v>
      </c>
      <c r="Z231" s="6"/>
      <c r="AA231" s="6"/>
      <c r="AB231" s="6">
        <f>$K$231*$V$231</f>
        <v>2575.1</v>
      </c>
      <c r="AC231" s="6">
        <f>$M$231*$W$231</f>
        <v>0</v>
      </c>
      <c r="AD231" s="6">
        <f>$O$231*$X$231</f>
        <v>0</v>
      </c>
      <c r="AE231" s="6">
        <f ca="1">$K$231*$Y$231</f>
        <v>2669.4710595610672</v>
      </c>
      <c r="AF231" s="6">
        <f>$M$231*$Z$231</f>
        <v>0</v>
      </c>
      <c r="AG231" s="6">
        <f>$O$231*$AA$231</f>
        <v>0</v>
      </c>
    </row>
    <row r="232" spans="1:33" ht="11.25" customHeight="1" x14ac:dyDescent="0.25">
      <c r="A232" s="4" t="s">
        <v>21</v>
      </c>
      <c r="B232" s="4" t="s">
        <v>33</v>
      </c>
      <c r="C232" s="4" t="s">
        <v>34</v>
      </c>
      <c r="D232" s="4" t="s">
        <v>24</v>
      </c>
      <c r="E232" s="4" t="s">
        <v>24</v>
      </c>
      <c r="F232" s="4" t="s">
        <v>25</v>
      </c>
      <c r="G232" s="4" t="s">
        <v>25</v>
      </c>
      <c r="H232" s="4" t="s">
        <v>25</v>
      </c>
      <c r="I232" s="5">
        <v>44317</v>
      </c>
      <c r="J232" s="6">
        <v>116</v>
      </c>
      <c r="K232" s="6">
        <v>116</v>
      </c>
      <c r="L232" s="6">
        <v>0</v>
      </c>
      <c r="M232" s="6">
        <v>0</v>
      </c>
      <c r="N232" s="6">
        <v>0</v>
      </c>
      <c r="O232" s="6">
        <v>0</v>
      </c>
      <c r="P232" s="6">
        <v>2</v>
      </c>
      <c r="Q232" s="4" t="s">
        <v>26</v>
      </c>
      <c r="R232" s="4">
        <v>0</v>
      </c>
      <c r="S232" s="6">
        <v>65</v>
      </c>
      <c r="T232" s="6">
        <v>0</v>
      </c>
      <c r="U232" s="6">
        <v>0</v>
      </c>
      <c r="V232" s="6">
        <f>IF(ISERROR(VLOOKUP($S$232,'TAR FIN'!$A$1:$O$85,15,0)),0,VLOOKUP($S$232,'TAR FIN'!$A$1:$O$85,15,0))</f>
        <v>23.41</v>
      </c>
      <c r="W232" s="6">
        <f>IF(ISERROR(VLOOKUP($T$232,'TAR FIN'!$A$1:$O$85,15,0)),0,VLOOKUP($T$232,'TAR FIN'!$A$1:$O$85,15,0))</f>
        <v>0</v>
      </c>
      <c r="X232" s="6">
        <f>IF(ISERROR(VLOOKUP($U$232,'TAR FIN'!$A$1:$O$85,15,0)),0,VLOOKUP($U$232,'TAR FIN'!$A$1:$O$85,15,0))</f>
        <v>0</v>
      </c>
      <c r="Y232" s="6">
        <f ca="1">('TUSD BE'!$AM$10+'TUSD BF'!$AM$10+'TUSD CVA'!$AM$10)*1</f>
        <v>24.267918723282428</v>
      </c>
      <c r="Z232" s="6"/>
      <c r="AA232" s="6"/>
      <c r="AB232" s="6">
        <f>$K$232*$V$232</f>
        <v>2715.56</v>
      </c>
      <c r="AC232" s="6">
        <f>$M$232*$W$232</f>
        <v>0</v>
      </c>
      <c r="AD232" s="6">
        <f>$O$232*$X$232</f>
        <v>0</v>
      </c>
      <c r="AE232" s="6">
        <f ca="1">$K$232*$Y$232</f>
        <v>2815.0785719007617</v>
      </c>
      <c r="AF232" s="6">
        <f>$M$232*$Z$232</f>
        <v>0</v>
      </c>
      <c r="AG232" s="6">
        <f>$O$232*$AA$232</f>
        <v>0</v>
      </c>
    </row>
    <row r="233" spans="1:33" ht="11.25" customHeight="1" x14ac:dyDescent="0.25">
      <c r="A233" s="4" t="s">
        <v>21</v>
      </c>
      <c r="B233" s="4" t="s">
        <v>33</v>
      </c>
      <c r="C233" s="4" t="s">
        <v>34</v>
      </c>
      <c r="D233" s="4" t="s">
        <v>24</v>
      </c>
      <c r="E233" s="4" t="s">
        <v>24</v>
      </c>
      <c r="F233" s="4" t="s">
        <v>25</v>
      </c>
      <c r="G233" s="4" t="s">
        <v>25</v>
      </c>
      <c r="H233" s="4" t="s">
        <v>25</v>
      </c>
      <c r="I233" s="5">
        <v>44348</v>
      </c>
      <c r="J233" s="6">
        <v>110</v>
      </c>
      <c r="K233" s="6">
        <v>110</v>
      </c>
      <c r="L233" s="6">
        <v>0</v>
      </c>
      <c r="M233" s="6">
        <v>0</v>
      </c>
      <c r="N233" s="6">
        <v>0</v>
      </c>
      <c r="O233" s="6">
        <v>0</v>
      </c>
      <c r="P233" s="6">
        <v>2</v>
      </c>
      <c r="Q233" s="4" t="s">
        <v>26</v>
      </c>
      <c r="R233" s="4">
        <v>0</v>
      </c>
      <c r="S233" s="6">
        <v>65</v>
      </c>
      <c r="T233" s="6">
        <v>0</v>
      </c>
      <c r="U233" s="6">
        <v>0</v>
      </c>
      <c r="V233" s="6">
        <f>IF(ISERROR(VLOOKUP($S$233,'TAR FIN'!$A$1:$O$85,15,0)),0,VLOOKUP($S$233,'TAR FIN'!$A$1:$O$85,15,0))</f>
        <v>23.41</v>
      </c>
      <c r="W233" s="6">
        <f>IF(ISERROR(VLOOKUP($T$233,'TAR FIN'!$A$1:$O$85,15,0)),0,VLOOKUP($T$233,'TAR FIN'!$A$1:$O$85,15,0))</f>
        <v>0</v>
      </c>
      <c r="X233" s="6">
        <f>IF(ISERROR(VLOOKUP($U$233,'TAR FIN'!$A$1:$O$85,15,0)),0,VLOOKUP($U$233,'TAR FIN'!$A$1:$O$85,15,0))</f>
        <v>0</v>
      </c>
      <c r="Y233" s="6">
        <f ca="1">('TUSD BE'!$AM$10+'TUSD BF'!$AM$10+'TUSD CVA'!$AM$10)*1</f>
        <v>24.267918723282428</v>
      </c>
      <c r="Z233" s="6"/>
      <c r="AA233" s="6"/>
      <c r="AB233" s="6">
        <f>$K$233*$V$233</f>
        <v>2575.1</v>
      </c>
      <c r="AC233" s="6">
        <f>$M$233*$W$233</f>
        <v>0</v>
      </c>
      <c r="AD233" s="6">
        <f>$O$233*$X$233</f>
        <v>0</v>
      </c>
      <c r="AE233" s="6">
        <f ca="1">$K$233*$Y$233</f>
        <v>2669.4710595610672</v>
      </c>
      <c r="AF233" s="6">
        <f>$M$233*$Z$233</f>
        <v>0</v>
      </c>
      <c r="AG233" s="6">
        <f>$O$233*$AA$233</f>
        <v>0</v>
      </c>
    </row>
    <row r="234" spans="1:33" ht="11.25" customHeight="1" x14ac:dyDescent="0.25">
      <c r="A234" s="4" t="s">
        <v>21</v>
      </c>
      <c r="B234" s="4" t="s">
        <v>33</v>
      </c>
      <c r="C234" s="4" t="s">
        <v>34</v>
      </c>
      <c r="D234" s="4" t="s">
        <v>24</v>
      </c>
      <c r="E234" s="4" t="s">
        <v>24</v>
      </c>
      <c r="F234" s="4" t="s">
        <v>25</v>
      </c>
      <c r="G234" s="4" t="s">
        <v>25</v>
      </c>
      <c r="H234" s="4" t="s">
        <v>25</v>
      </c>
      <c r="I234" s="5">
        <v>44378</v>
      </c>
      <c r="J234" s="6">
        <v>131</v>
      </c>
      <c r="K234" s="6">
        <v>131</v>
      </c>
      <c r="L234" s="6">
        <v>0</v>
      </c>
      <c r="M234" s="6">
        <v>0</v>
      </c>
      <c r="N234" s="6">
        <v>0</v>
      </c>
      <c r="O234" s="6">
        <v>0</v>
      </c>
      <c r="P234" s="6">
        <v>2</v>
      </c>
      <c r="Q234" s="4" t="s">
        <v>26</v>
      </c>
      <c r="R234" s="4">
        <v>0</v>
      </c>
      <c r="S234" s="6">
        <v>65</v>
      </c>
      <c r="T234" s="6">
        <v>0</v>
      </c>
      <c r="U234" s="6">
        <v>0</v>
      </c>
      <c r="V234" s="6">
        <f>IF(ISERROR(VLOOKUP($S$234,'TAR FIN'!$A$1:$O$85,15,0)),0,VLOOKUP($S$234,'TAR FIN'!$A$1:$O$85,15,0))</f>
        <v>23.41</v>
      </c>
      <c r="W234" s="6">
        <f>IF(ISERROR(VLOOKUP($T$234,'TAR FIN'!$A$1:$O$85,15,0)),0,VLOOKUP($T$234,'TAR FIN'!$A$1:$O$85,15,0))</f>
        <v>0</v>
      </c>
      <c r="X234" s="6">
        <f>IF(ISERROR(VLOOKUP($U$234,'TAR FIN'!$A$1:$O$85,15,0)),0,VLOOKUP($U$234,'TAR FIN'!$A$1:$O$85,15,0))</f>
        <v>0</v>
      </c>
      <c r="Y234" s="6">
        <f ca="1">('TUSD BE'!$AM$10+'TUSD BF'!$AM$10+'TUSD CVA'!$AM$10)*1</f>
        <v>24.267918723282428</v>
      </c>
      <c r="Z234" s="6"/>
      <c r="AA234" s="6"/>
      <c r="AB234" s="6">
        <f>$K$234*$V$234</f>
        <v>3066.71</v>
      </c>
      <c r="AC234" s="6">
        <f>$M$234*$W$234</f>
        <v>0</v>
      </c>
      <c r="AD234" s="6">
        <f>$O$234*$X$234</f>
        <v>0</v>
      </c>
      <c r="AE234" s="6">
        <f ca="1">$K$234*$Y$234</f>
        <v>3179.0973527499982</v>
      </c>
      <c r="AF234" s="6">
        <f>$M$234*$Z$234</f>
        <v>0</v>
      </c>
      <c r="AG234" s="6">
        <f>$O$234*$AA$234</f>
        <v>0</v>
      </c>
    </row>
    <row r="235" spans="1:33" ht="11.25" customHeight="1" x14ac:dyDescent="0.25">
      <c r="A235" s="4" t="s">
        <v>21</v>
      </c>
      <c r="B235" s="4" t="s">
        <v>33</v>
      </c>
      <c r="C235" s="4" t="s">
        <v>34</v>
      </c>
      <c r="D235" s="4" t="s">
        <v>24</v>
      </c>
      <c r="E235" s="4" t="s">
        <v>24</v>
      </c>
      <c r="F235" s="4" t="s">
        <v>25</v>
      </c>
      <c r="G235" s="4" t="s">
        <v>25</v>
      </c>
      <c r="H235" s="4" t="s">
        <v>25</v>
      </c>
      <c r="I235" s="5">
        <v>44409</v>
      </c>
      <c r="J235" s="6">
        <v>110</v>
      </c>
      <c r="K235" s="6">
        <v>110</v>
      </c>
      <c r="L235" s="6">
        <v>0</v>
      </c>
      <c r="M235" s="6">
        <v>0</v>
      </c>
      <c r="N235" s="6">
        <v>0</v>
      </c>
      <c r="O235" s="6">
        <v>0</v>
      </c>
      <c r="P235" s="6">
        <v>2</v>
      </c>
      <c r="Q235" s="4" t="s">
        <v>26</v>
      </c>
      <c r="R235" s="4">
        <v>0</v>
      </c>
      <c r="S235" s="6">
        <v>65</v>
      </c>
      <c r="T235" s="6">
        <v>0</v>
      </c>
      <c r="U235" s="6">
        <v>0</v>
      </c>
      <c r="V235" s="6">
        <f>IF(ISERROR(VLOOKUP($S$235,'TAR FIN'!$A$1:$O$85,15,0)),0,VLOOKUP($S$235,'TAR FIN'!$A$1:$O$85,15,0))</f>
        <v>23.41</v>
      </c>
      <c r="W235" s="6">
        <f>IF(ISERROR(VLOOKUP($T$235,'TAR FIN'!$A$1:$O$85,15,0)),0,VLOOKUP($T$235,'TAR FIN'!$A$1:$O$85,15,0))</f>
        <v>0</v>
      </c>
      <c r="X235" s="6">
        <f>IF(ISERROR(VLOOKUP($U$235,'TAR FIN'!$A$1:$O$85,15,0)),0,VLOOKUP($U$235,'TAR FIN'!$A$1:$O$85,15,0))</f>
        <v>0</v>
      </c>
      <c r="Y235" s="6">
        <f ca="1">('TUSD BE'!$AM$10+'TUSD BF'!$AM$10+'TUSD CVA'!$AM$10)*1</f>
        <v>24.267918723282428</v>
      </c>
      <c r="Z235" s="6"/>
      <c r="AA235" s="6"/>
      <c r="AB235" s="6">
        <f>$K$235*$V$235</f>
        <v>2575.1</v>
      </c>
      <c r="AC235" s="6">
        <f>$M$235*$W$235</f>
        <v>0</v>
      </c>
      <c r="AD235" s="6">
        <f>$O$235*$X$235</f>
        <v>0</v>
      </c>
      <c r="AE235" s="6">
        <f ca="1">$K$235*$Y$235</f>
        <v>2669.4710595610672</v>
      </c>
      <c r="AF235" s="6">
        <f>$M$235*$Z$235</f>
        <v>0</v>
      </c>
      <c r="AG235" s="6">
        <f>$O$235*$AA$235</f>
        <v>0</v>
      </c>
    </row>
    <row r="236" spans="1:33" ht="11.25" customHeight="1" x14ac:dyDescent="0.25">
      <c r="A236" s="4" t="s">
        <v>21</v>
      </c>
      <c r="B236" s="4" t="s">
        <v>33</v>
      </c>
      <c r="C236" s="4" t="s">
        <v>34</v>
      </c>
      <c r="D236" s="4" t="s">
        <v>24</v>
      </c>
      <c r="E236" s="4" t="s">
        <v>24</v>
      </c>
      <c r="F236" s="4" t="s">
        <v>25</v>
      </c>
      <c r="G236" s="4" t="s">
        <v>25</v>
      </c>
      <c r="H236" s="4" t="s">
        <v>25</v>
      </c>
      <c r="I236" s="5">
        <v>44440</v>
      </c>
      <c r="J236" s="6">
        <v>146</v>
      </c>
      <c r="K236" s="6">
        <v>146</v>
      </c>
      <c r="L236" s="6">
        <v>0</v>
      </c>
      <c r="M236" s="6">
        <v>0</v>
      </c>
      <c r="N236" s="6">
        <v>0</v>
      </c>
      <c r="O236" s="6">
        <v>0</v>
      </c>
      <c r="P236" s="6">
        <v>2</v>
      </c>
      <c r="Q236" s="4" t="s">
        <v>26</v>
      </c>
      <c r="R236" s="4">
        <v>0</v>
      </c>
      <c r="S236" s="6">
        <v>65</v>
      </c>
      <c r="T236" s="6">
        <v>0</v>
      </c>
      <c r="U236" s="6">
        <v>0</v>
      </c>
      <c r="V236" s="6">
        <f>IF(ISERROR(VLOOKUP($S$236,'TAR FIN'!$A$1:$O$85,15,0)),0,VLOOKUP($S$236,'TAR FIN'!$A$1:$O$85,15,0))</f>
        <v>23.41</v>
      </c>
      <c r="W236" s="6">
        <f>IF(ISERROR(VLOOKUP($T$236,'TAR FIN'!$A$1:$O$85,15,0)),0,VLOOKUP($T$236,'TAR FIN'!$A$1:$O$85,15,0))</f>
        <v>0</v>
      </c>
      <c r="X236" s="6">
        <f>IF(ISERROR(VLOOKUP($U$236,'TAR FIN'!$A$1:$O$85,15,0)),0,VLOOKUP($U$236,'TAR FIN'!$A$1:$O$85,15,0))</f>
        <v>0</v>
      </c>
      <c r="Y236" s="6">
        <f ca="1">('TUSD BE'!$AM$10+'TUSD BF'!$AM$10+'TUSD CVA'!$AM$10)*1</f>
        <v>24.267918723282428</v>
      </c>
      <c r="Z236" s="6"/>
      <c r="AA236" s="6"/>
      <c r="AB236" s="6">
        <f>$K$236*$V$236</f>
        <v>3417.86</v>
      </c>
      <c r="AC236" s="6">
        <f>$M$236*$W$236</f>
        <v>0</v>
      </c>
      <c r="AD236" s="6">
        <f>$O$236*$X$236</f>
        <v>0</v>
      </c>
      <c r="AE236" s="6">
        <f ca="1">$K$236*$Y$236</f>
        <v>3543.1161335992342</v>
      </c>
      <c r="AF236" s="6">
        <f>$M$236*$Z$236</f>
        <v>0</v>
      </c>
      <c r="AG236" s="6">
        <f>$O$236*$AA$236</f>
        <v>0</v>
      </c>
    </row>
    <row r="237" spans="1:33" ht="11.25" customHeight="1" x14ac:dyDescent="0.25">
      <c r="A237" s="4" t="s">
        <v>21</v>
      </c>
      <c r="B237" s="4" t="s">
        <v>33</v>
      </c>
      <c r="C237" s="4" t="s">
        <v>34</v>
      </c>
      <c r="D237" s="4" t="s">
        <v>24</v>
      </c>
      <c r="E237" s="4" t="s">
        <v>24</v>
      </c>
      <c r="F237" s="4" t="s">
        <v>25</v>
      </c>
      <c r="G237" s="4" t="s">
        <v>25</v>
      </c>
      <c r="H237" s="4" t="s">
        <v>25</v>
      </c>
      <c r="I237" s="5">
        <v>44470</v>
      </c>
      <c r="J237" s="6">
        <v>132</v>
      </c>
      <c r="K237" s="6">
        <v>132</v>
      </c>
      <c r="L237" s="6">
        <v>0</v>
      </c>
      <c r="M237" s="6">
        <v>0</v>
      </c>
      <c r="N237" s="6">
        <v>0</v>
      </c>
      <c r="O237" s="6">
        <v>0</v>
      </c>
      <c r="P237" s="6">
        <v>2</v>
      </c>
      <c r="Q237" s="4" t="s">
        <v>26</v>
      </c>
      <c r="R237" s="4">
        <v>0</v>
      </c>
      <c r="S237" s="6">
        <v>65</v>
      </c>
      <c r="T237" s="6">
        <v>0</v>
      </c>
      <c r="U237" s="6">
        <v>0</v>
      </c>
      <c r="V237" s="6">
        <f>IF(ISERROR(VLOOKUP($S$237,'TAR FIN'!$A$1:$O$85,15,0)),0,VLOOKUP($S$237,'TAR FIN'!$A$1:$O$85,15,0))</f>
        <v>23.41</v>
      </c>
      <c r="W237" s="6">
        <f>IF(ISERROR(VLOOKUP($T$237,'TAR FIN'!$A$1:$O$85,15,0)),0,VLOOKUP($T$237,'TAR FIN'!$A$1:$O$85,15,0))</f>
        <v>0</v>
      </c>
      <c r="X237" s="6">
        <f>IF(ISERROR(VLOOKUP($U$237,'TAR FIN'!$A$1:$O$85,15,0)),0,VLOOKUP($U$237,'TAR FIN'!$A$1:$O$85,15,0))</f>
        <v>0</v>
      </c>
      <c r="Y237" s="6">
        <f ca="1">('TUSD BE'!$AM$10+'TUSD BF'!$AM$10+'TUSD CVA'!$AM$10)*1</f>
        <v>24.267918723282428</v>
      </c>
      <c r="Z237" s="6"/>
      <c r="AA237" s="6"/>
      <c r="AB237" s="6">
        <f>$K$237*$V$237</f>
        <v>3090.12</v>
      </c>
      <c r="AC237" s="6">
        <f>$M$237*$W$237</f>
        <v>0</v>
      </c>
      <c r="AD237" s="6">
        <f>$O$237*$X$237</f>
        <v>0</v>
      </c>
      <c r="AE237" s="6">
        <f ca="1">$K$237*$Y$237</f>
        <v>3203.3652714732802</v>
      </c>
      <c r="AF237" s="6">
        <f>$M$237*$Z$237</f>
        <v>0</v>
      </c>
      <c r="AG237" s="6">
        <f>$O$237*$AA$237</f>
        <v>0</v>
      </c>
    </row>
    <row r="238" spans="1:33" ht="11.25" customHeight="1" x14ac:dyDescent="0.25">
      <c r="A238" s="4" t="s">
        <v>21</v>
      </c>
      <c r="B238" s="4" t="s">
        <v>33</v>
      </c>
      <c r="C238" s="4" t="s">
        <v>34</v>
      </c>
      <c r="D238" s="4" t="s">
        <v>24</v>
      </c>
      <c r="E238" s="4" t="s">
        <v>24</v>
      </c>
      <c r="F238" s="4" t="s">
        <v>25</v>
      </c>
      <c r="G238" s="4" t="s">
        <v>25</v>
      </c>
      <c r="H238" s="4" t="s">
        <v>25</v>
      </c>
      <c r="I238" s="5">
        <v>44501</v>
      </c>
      <c r="J238" s="6">
        <v>117</v>
      </c>
      <c r="K238" s="6">
        <v>117</v>
      </c>
      <c r="L238" s="6">
        <v>0</v>
      </c>
      <c r="M238" s="6">
        <v>0</v>
      </c>
      <c r="N238" s="6">
        <v>0</v>
      </c>
      <c r="O238" s="6">
        <v>0</v>
      </c>
      <c r="P238" s="6">
        <v>2</v>
      </c>
      <c r="Q238" s="4" t="s">
        <v>26</v>
      </c>
      <c r="R238" s="4">
        <v>0</v>
      </c>
      <c r="S238" s="6">
        <v>65</v>
      </c>
      <c r="T238" s="6">
        <v>0</v>
      </c>
      <c r="U238" s="6">
        <v>0</v>
      </c>
      <c r="V238" s="6">
        <f>IF(ISERROR(VLOOKUP($S$238,'TAR FIN'!$A$1:$O$85,15,0)),0,VLOOKUP($S$238,'TAR FIN'!$A$1:$O$85,15,0))</f>
        <v>23.41</v>
      </c>
      <c r="W238" s="6">
        <f>IF(ISERROR(VLOOKUP($T$238,'TAR FIN'!$A$1:$O$85,15,0)),0,VLOOKUP($T$238,'TAR FIN'!$A$1:$O$85,15,0))</f>
        <v>0</v>
      </c>
      <c r="X238" s="6">
        <f>IF(ISERROR(VLOOKUP($U$238,'TAR FIN'!$A$1:$O$85,15,0)),0,VLOOKUP($U$238,'TAR FIN'!$A$1:$O$85,15,0))</f>
        <v>0</v>
      </c>
      <c r="Y238" s="6">
        <f ca="1">('TUSD BE'!$AM$10+'TUSD BF'!$AM$10+'TUSD CVA'!$AM$10)*1</f>
        <v>24.267918723282428</v>
      </c>
      <c r="Z238" s="6"/>
      <c r="AA238" s="6"/>
      <c r="AB238" s="6">
        <f>$K$238*$V$238</f>
        <v>2738.97</v>
      </c>
      <c r="AC238" s="6">
        <f>$M$238*$W$238</f>
        <v>0</v>
      </c>
      <c r="AD238" s="6">
        <f>$O$238*$X$238</f>
        <v>0</v>
      </c>
      <c r="AE238" s="6">
        <f ca="1">$K$238*$Y$238</f>
        <v>2839.3464906240442</v>
      </c>
      <c r="AF238" s="6">
        <f>$M$238*$Z$238</f>
        <v>0</v>
      </c>
      <c r="AG238" s="6">
        <f>$O$238*$AA$238</f>
        <v>0</v>
      </c>
    </row>
    <row r="239" spans="1:33" ht="11.25" customHeight="1" x14ac:dyDescent="0.25">
      <c r="A239" s="4" t="s">
        <v>21</v>
      </c>
      <c r="B239" s="4" t="s">
        <v>33</v>
      </c>
      <c r="C239" s="4" t="s">
        <v>34</v>
      </c>
      <c r="D239" s="4" t="s">
        <v>24</v>
      </c>
      <c r="E239" s="4" t="s">
        <v>24</v>
      </c>
      <c r="F239" s="4" t="s">
        <v>25</v>
      </c>
      <c r="G239" s="4" t="s">
        <v>25</v>
      </c>
      <c r="H239" s="4" t="s">
        <v>25</v>
      </c>
      <c r="I239" s="5">
        <v>44531</v>
      </c>
      <c r="J239" s="6">
        <v>120</v>
      </c>
      <c r="K239" s="6">
        <v>120</v>
      </c>
      <c r="L239" s="6">
        <v>0</v>
      </c>
      <c r="M239" s="6">
        <v>0</v>
      </c>
      <c r="N239" s="6">
        <v>0</v>
      </c>
      <c r="O239" s="6">
        <v>0</v>
      </c>
      <c r="P239" s="6">
        <v>2</v>
      </c>
      <c r="Q239" s="4" t="s">
        <v>26</v>
      </c>
      <c r="R239" s="4">
        <v>0</v>
      </c>
      <c r="S239" s="6">
        <v>65</v>
      </c>
      <c r="T239" s="6">
        <v>0</v>
      </c>
      <c r="U239" s="6">
        <v>0</v>
      </c>
      <c r="V239" s="6">
        <f>IF(ISERROR(VLOOKUP($S$239,'TAR FIN'!$A$1:$O$85,15,0)),0,VLOOKUP($S$239,'TAR FIN'!$A$1:$O$85,15,0))</f>
        <v>23.41</v>
      </c>
      <c r="W239" s="6">
        <f>IF(ISERROR(VLOOKUP($T$239,'TAR FIN'!$A$1:$O$85,15,0)),0,VLOOKUP($T$239,'TAR FIN'!$A$1:$O$85,15,0))</f>
        <v>0</v>
      </c>
      <c r="X239" s="6">
        <f>IF(ISERROR(VLOOKUP($U$239,'TAR FIN'!$A$1:$O$85,15,0)),0,VLOOKUP($U$239,'TAR FIN'!$A$1:$O$85,15,0))</f>
        <v>0</v>
      </c>
      <c r="Y239" s="6">
        <f ca="1">('TUSD BE'!$AM$10+'TUSD BF'!$AM$10+'TUSD CVA'!$AM$10)*1</f>
        <v>24.267918723282428</v>
      </c>
      <c r="Z239" s="6"/>
      <c r="AA239" s="6"/>
      <c r="AB239" s="6">
        <f>$K$239*$V$239</f>
        <v>2809.2</v>
      </c>
      <c r="AC239" s="6">
        <f>$M$239*$W$239</f>
        <v>0</v>
      </c>
      <c r="AD239" s="6">
        <f>$O$239*$X$239</f>
        <v>0</v>
      </c>
      <c r="AE239" s="6">
        <f ca="1">$K$239*$Y$239</f>
        <v>2912.1502467938913</v>
      </c>
      <c r="AF239" s="6">
        <f>$M$239*$Z$239</f>
        <v>0</v>
      </c>
      <c r="AG239" s="6">
        <f>$O$239*$AA$239</f>
        <v>0</v>
      </c>
    </row>
    <row r="240" spans="1:33" ht="11.25" customHeight="1" x14ac:dyDescent="0.25">
      <c r="A240" s="4" t="s">
        <v>21</v>
      </c>
      <c r="B240" s="4" t="s">
        <v>33</v>
      </c>
      <c r="C240" s="4" t="s">
        <v>34</v>
      </c>
      <c r="D240" s="4" t="s">
        <v>24</v>
      </c>
      <c r="E240" s="4" t="s">
        <v>24</v>
      </c>
      <c r="F240" s="4" t="s">
        <v>25</v>
      </c>
      <c r="G240" s="4" t="s">
        <v>25</v>
      </c>
      <c r="H240" s="4" t="s">
        <v>25</v>
      </c>
      <c r="I240" s="5">
        <v>44562</v>
      </c>
      <c r="J240" s="6">
        <v>129</v>
      </c>
      <c r="K240" s="6">
        <v>129</v>
      </c>
      <c r="L240" s="6">
        <v>0</v>
      </c>
      <c r="M240" s="6">
        <v>0</v>
      </c>
      <c r="N240" s="6">
        <v>0</v>
      </c>
      <c r="O240" s="6">
        <v>0</v>
      </c>
      <c r="P240" s="6">
        <v>2</v>
      </c>
      <c r="Q240" s="4" t="s">
        <v>26</v>
      </c>
      <c r="R240" s="4">
        <v>0</v>
      </c>
      <c r="S240" s="6">
        <v>65</v>
      </c>
      <c r="T240" s="6">
        <v>0</v>
      </c>
      <c r="U240" s="6">
        <v>0</v>
      </c>
      <c r="V240" s="6">
        <f>IF(ISERROR(VLOOKUP($S$240,'TAR FIN'!$A$1:$O$85,15,0)),0,VLOOKUP($S$240,'TAR FIN'!$A$1:$O$85,15,0))</f>
        <v>23.41</v>
      </c>
      <c r="W240" s="6">
        <f>IF(ISERROR(VLOOKUP($T$240,'TAR FIN'!$A$1:$O$85,15,0)),0,VLOOKUP($T$240,'TAR FIN'!$A$1:$O$85,15,0))</f>
        <v>0</v>
      </c>
      <c r="X240" s="6">
        <f>IF(ISERROR(VLOOKUP($U$240,'TAR FIN'!$A$1:$O$85,15,0)),0,VLOOKUP($U$240,'TAR FIN'!$A$1:$O$85,15,0))</f>
        <v>0</v>
      </c>
      <c r="Y240" s="6">
        <f ca="1">('TUSD BE'!$AM$10+'TUSD BF'!$AM$10+'TUSD CVA'!$AM$10)*1</f>
        <v>24.267918723282428</v>
      </c>
      <c r="Z240" s="6"/>
      <c r="AA240" s="6"/>
      <c r="AB240" s="6">
        <f>$K$240*$V$240</f>
        <v>3019.89</v>
      </c>
      <c r="AC240" s="6">
        <f>$M$240*$W$240</f>
        <v>0</v>
      </c>
      <c r="AD240" s="6">
        <f>$O$240*$X$240</f>
        <v>0</v>
      </c>
      <c r="AE240" s="6">
        <f ca="1">$K$240*$Y$240</f>
        <v>3130.5615153034332</v>
      </c>
      <c r="AF240" s="6">
        <f>$M$240*$Z$240</f>
        <v>0</v>
      </c>
      <c r="AG240" s="6">
        <f>$O$240*$AA$240</f>
        <v>0</v>
      </c>
    </row>
    <row r="241" spans="1:33" ht="11.25" customHeight="1" x14ac:dyDescent="0.25">
      <c r="A241" s="4" t="s">
        <v>21</v>
      </c>
      <c r="B241" s="4" t="s">
        <v>33</v>
      </c>
      <c r="C241" s="4" t="s">
        <v>34</v>
      </c>
      <c r="D241" s="4" t="s">
        <v>24</v>
      </c>
      <c r="E241" s="4" t="s">
        <v>24</v>
      </c>
      <c r="F241" s="4" t="s">
        <v>25</v>
      </c>
      <c r="G241" s="4" t="s">
        <v>25</v>
      </c>
      <c r="H241" s="4" t="s">
        <v>25</v>
      </c>
      <c r="I241" s="5">
        <v>44593</v>
      </c>
      <c r="J241" s="6">
        <v>116</v>
      </c>
      <c r="K241" s="6">
        <v>116</v>
      </c>
      <c r="L241" s="6">
        <v>0</v>
      </c>
      <c r="M241" s="6">
        <v>0</v>
      </c>
      <c r="N241" s="6">
        <v>0</v>
      </c>
      <c r="O241" s="6">
        <v>0</v>
      </c>
      <c r="P241" s="6">
        <v>2</v>
      </c>
      <c r="Q241" s="4" t="s">
        <v>26</v>
      </c>
      <c r="R241" s="4">
        <v>0</v>
      </c>
      <c r="S241" s="6">
        <v>65</v>
      </c>
      <c r="T241" s="6">
        <v>0</v>
      </c>
      <c r="U241" s="6">
        <v>0</v>
      </c>
      <c r="V241" s="6">
        <f>IF(ISERROR(VLOOKUP($S$241,'TAR FIN'!$A$1:$O$85,15,0)),0,VLOOKUP($S$241,'TAR FIN'!$A$1:$O$85,15,0))</f>
        <v>23.41</v>
      </c>
      <c r="W241" s="6">
        <f>IF(ISERROR(VLOOKUP($T$241,'TAR FIN'!$A$1:$O$85,15,0)),0,VLOOKUP($T$241,'TAR FIN'!$A$1:$O$85,15,0))</f>
        <v>0</v>
      </c>
      <c r="X241" s="6">
        <f>IF(ISERROR(VLOOKUP($U$241,'TAR FIN'!$A$1:$O$85,15,0)),0,VLOOKUP($U$241,'TAR FIN'!$A$1:$O$85,15,0))</f>
        <v>0</v>
      </c>
      <c r="Y241" s="6">
        <f ca="1">('TUSD BE'!$AM$10+'TUSD BF'!$AM$10+'TUSD CVA'!$AM$10)*1</f>
        <v>24.267918723282428</v>
      </c>
      <c r="Z241" s="6"/>
      <c r="AA241" s="6"/>
      <c r="AB241" s="6">
        <f>$K$241*$V$241</f>
        <v>2715.56</v>
      </c>
      <c r="AC241" s="6">
        <f>$M$241*$W$241</f>
        <v>0</v>
      </c>
      <c r="AD241" s="6">
        <f>$O$241*$X$241</f>
        <v>0</v>
      </c>
      <c r="AE241" s="6">
        <f ca="1">$K$241*$Y$241</f>
        <v>2815.0785719007617</v>
      </c>
      <c r="AF241" s="6">
        <f>$M$241*$Z$241</f>
        <v>0</v>
      </c>
      <c r="AG241" s="6">
        <f>$O$241*$AA$241</f>
        <v>0</v>
      </c>
    </row>
    <row r="242" spans="1:33" ht="11.25" customHeight="1" x14ac:dyDescent="0.25">
      <c r="A242" s="4" t="s">
        <v>54</v>
      </c>
      <c r="B242" s="4" t="s">
        <v>33</v>
      </c>
      <c r="C242" s="4" t="s">
        <v>34</v>
      </c>
      <c r="D242" s="4" t="s">
        <v>24</v>
      </c>
      <c r="E242" s="4" t="s">
        <v>24</v>
      </c>
      <c r="F242" s="4" t="s">
        <v>25</v>
      </c>
      <c r="G242" s="4" t="s">
        <v>25</v>
      </c>
      <c r="H242" s="4" t="s">
        <v>25</v>
      </c>
      <c r="I242" s="5">
        <v>44621</v>
      </c>
      <c r="J242" s="6">
        <v>116</v>
      </c>
      <c r="K242" s="6">
        <v>116</v>
      </c>
      <c r="L242" s="6">
        <v>0</v>
      </c>
      <c r="M242" s="6">
        <v>0</v>
      </c>
      <c r="N242" s="6">
        <v>0</v>
      </c>
      <c r="O242" s="6">
        <v>0</v>
      </c>
      <c r="P242" s="6">
        <v>2</v>
      </c>
      <c r="Q242" s="4" t="s">
        <v>26</v>
      </c>
      <c r="R242" s="4">
        <v>0</v>
      </c>
      <c r="S242" s="6">
        <v>65</v>
      </c>
      <c r="T242" s="6">
        <v>0</v>
      </c>
      <c r="U242" s="6">
        <v>0</v>
      </c>
      <c r="V242" s="6">
        <f>IF(ISERROR(VLOOKUP($S$242,'TAR FIN'!$A$1:$O$85,15,0)),0,VLOOKUP($S$242,'TAR FIN'!$A$1:$O$85,15,0))</f>
        <v>23.41</v>
      </c>
      <c r="W242" s="6">
        <f>IF(ISERROR(VLOOKUP($T$242,'TAR FIN'!$A$1:$O$85,15,0)),0,VLOOKUP($T$242,'TAR FIN'!$A$1:$O$85,15,0))</f>
        <v>0</v>
      </c>
      <c r="X242" s="6">
        <f>IF(ISERROR(VLOOKUP($U$242,'TAR FIN'!$A$1:$O$85,15,0)),0,VLOOKUP($U$242,'TAR FIN'!$A$1:$O$85,15,0))</f>
        <v>0</v>
      </c>
      <c r="Y242" s="6">
        <f ca="1">('TUSD BE'!$AM$10+'TUSD BF'!$AM$10+'TUSD CVA'!$AM$10)*1</f>
        <v>24.267918723282428</v>
      </c>
      <c r="Z242" s="6"/>
      <c r="AA242" s="6"/>
      <c r="AB242" s="6">
        <f>$K$242*$V$242</f>
        <v>2715.56</v>
      </c>
      <c r="AC242" s="6">
        <f>$M$242*$W$242</f>
        <v>0</v>
      </c>
      <c r="AD242" s="6">
        <f>$O$242*$X$242</f>
        <v>0</v>
      </c>
      <c r="AE242" s="6">
        <f ca="1">$K$242*$Y$242</f>
        <v>2815.0785719007617</v>
      </c>
      <c r="AF242" s="6">
        <f>$M$242*$Z$242</f>
        <v>0</v>
      </c>
      <c r="AG242" s="6">
        <f>$O$242*$AA$242</f>
        <v>0</v>
      </c>
    </row>
    <row r="243" spans="1:33" ht="11.25" customHeight="1" x14ac:dyDescent="0.25">
      <c r="A243" s="4" t="s">
        <v>21</v>
      </c>
      <c r="B243" s="4" t="s">
        <v>33</v>
      </c>
      <c r="C243" s="4" t="s">
        <v>34</v>
      </c>
      <c r="D243" s="4" t="s">
        <v>24</v>
      </c>
      <c r="E243" s="4" t="s">
        <v>24</v>
      </c>
      <c r="F243" s="4" t="s">
        <v>25</v>
      </c>
      <c r="G243" s="4" t="s">
        <v>25</v>
      </c>
      <c r="H243" s="4" t="s">
        <v>35</v>
      </c>
      <c r="I243" s="5">
        <v>44287</v>
      </c>
      <c r="J243" s="6">
        <v>0</v>
      </c>
      <c r="K243" s="6">
        <v>0</v>
      </c>
      <c r="L243" s="6">
        <v>1.3180000000000001</v>
      </c>
      <c r="M243" s="6">
        <v>1.3180000000000001</v>
      </c>
      <c r="N243" s="6">
        <v>1.3180000000000001</v>
      </c>
      <c r="O243" s="6">
        <v>1.3180000000000001</v>
      </c>
      <c r="P243" s="6">
        <v>0</v>
      </c>
      <c r="Q243" s="4" t="s">
        <v>26</v>
      </c>
      <c r="R243" s="4">
        <v>0</v>
      </c>
      <c r="S243" s="6">
        <v>0</v>
      </c>
      <c r="T243" s="6">
        <v>66</v>
      </c>
      <c r="U243" s="6">
        <v>6</v>
      </c>
      <c r="V243" s="6">
        <f>IF(ISERROR(VLOOKUP($S$243,'TAR FIN'!$A$1:$O$85,15,0)),0,VLOOKUP($S$243,'TAR FIN'!$A$1:$O$85,15,0))</f>
        <v>0</v>
      </c>
      <c r="W243" s="6">
        <f>IF(ISERROR(VLOOKUP($T$243,'TAR FIN'!$A$1:$O$85,15,0)),0,VLOOKUP($T$243,'TAR FIN'!$A$1:$O$85,15,0))</f>
        <v>2263.58</v>
      </c>
      <c r="X243" s="6">
        <f>IF(ISERROR(VLOOKUP($U$243,'TAR FIN'!$A$1:$O$85,15,0)),0,VLOOKUP($U$243,'TAR FIN'!$A$1:$O$85,15,0))</f>
        <v>223.72</v>
      </c>
      <c r="Y243" s="6"/>
      <c r="Z243" s="6">
        <f ca="1">('TUSD BE'!$AM$11+'TUSD BF'!$AM$11+'TUSD CVA'!$AM$11)*1</f>
        <v>2373.6759655636811</v>
      </c>
      <c r="AA243" s="6">
        <f>('TE BE'!$AA$5+'TE BF'!$AA$5+'TE CVA'!$AA$5)*1</f>
        <v>217.62939920622892</v>
      </c>
      <c r="AB243" s="6">
        <f>$K$243*$V$243</f>
        <v>0</v>
      </c>
      <c r="AC243" s="6">
        <f>$M$243*$W$243</f>
        <v>2983.3984399999999</v>
      </c>
      <c r="AD243" s="6">
        <f>$O$243*$X$243</f>
        <v>294.86295999999999</v>
      </c>
      <c r="AE243" s="6">
        <f>$K$243*$Y$243</f>
        <v>0</v>
      </c>
      <c r="AF243" s="6">
        <f ca="1">$M$243*$Z$243</f>
        <v>3128.5049226129318</v>
      </c>
      <c r="AG243" s="6">
        <f>$O$243*$AA$243</f>
        <v>286.83554815380973</v>
      </c>
    </row>
    <row r="244" spans="1:33" ht="11.25" customHeight="1" x14ac:dyDescent="0.25">
      <c r="A244" s="4" t="s">
        <v>21</v>
      </c>
      <c r="B244" s="4" t="s">
        <v>33</v>
      </c>
      <c r="C244" s="4" t="s">
        <v>34</v>
      </c>
      <c r="D244" s="4" t="s">
        <v>24</v>
      </c>
      <c r="E244" s="4" t="s">
        <v>24</v>
      </c>
      <c r="F244" s="4" t="s">
        <v>25</v>
      </c>
      <c r="G244" s="4" t="s">
        <v>25</v>
      </c>
      <c r="H244" s="4" t="s">
        <v>35</v>
      </c>
      <c r="I244" s="5">
        <v>44317</v>
      </c>
      <c r="J244" s="6">
        <v>0</v>
      </c>
      <c r="K244" s="6">
        <v>0</v>
      </c>
      <c r="L244" s="6">
        <v>0.95399999999999996</v>
      </c>
      <c r="M244" s="6">
        <v>0.95399999999999996</v>
      </c>
      <c r="N244" s="6">
        <v>0.95399999999999996</v>
      </c>
      <c r="O244" s="6">
        <v>0.95399999999999996</v>
      </c>
      <c r="P244" s="6">
        <v>0</v>
      </c>
      <c r="Q244" s="4" t="s">
        <v>26</v>
      </c>
      <c r="R244" s="4">
        <v>0</v>
      </c>
      <c r="S244" s="6">
        <v>0</v>
      </c>
      <c r="T244" s="6">
        <v>66</v>
      </c>
      <c r="U244" s="6">
        <v>6</v>
      </c>
      <c r="V244" s="6">
        <f>IF(ISERROR(VLOOKUP($S$244,'TAR FIN'!$A$1:$O$85,15,0)),0,VLOOKUP($S$244,'TAR FIN'!$A$1:$O$85,15,0))</f>
        <v>0</v>
      </c>
      <c r="W244" s="6">
        <f>IF(ISERROR(VLOOKUP($T$244,'TAR FIN'!$A$1:$O$85,15,0)),0,VLOOKUP($T$244,'TAR FIN'!$A$1:$O$85,15,0))</f>
        <v>2263.58</v>
      </c>
      <c r="X244" s="6">
        <f>IF(ISERROR(VLOOKUP($U$244,'TAR FIN'!$A$1:$O$85,15,0)),0,VLOOKUP($U$244,'TAR FIN'!$A$1:$O$85,15,0))</f>
        <v>223.72</v>
      </c>
      <c r="Y244" s="6"/>
      <c r="Z244" s="6">
        <f ca="1">('TUSD BE'!$AM$11+'TUSD BF'!$AM$11+'TUSD CVA'!$AM$11)*1</f>
        <v>2373.6759655636811</v>
      </c>
      <c r="AA244" s="6">
        <f>('TE BE'!$AA$5+'TE BF'!$AA$5+'TE CVA'!$AA$5)*1</f>
        <v>217.62939920622892</v>
      </c>
      <c r="AB244" s="6">
        <f>$K$244*$V$244</f>
        <v>0</v>
      </c>
      <c r="AC244" s="6">
        <f>$M$244*$W$244</f>
        <v>2159.45532</v>
      </c>
      <c r="AD244" s="6">
        <f>$O$244*$X$244</f>
        <v>213.42887999999999</v>
      </c>
      <c r="AE244" s="6">
        <f>$K$244*$Y$244</f>
        <v>0</v>
      </c>
      <c r="AF244" s="6">
        <f ca="1">$M$244*$Z$244</f>
        <v>2264.4868711477516</v>
      </c>
      <c r="AG244" s="6">
        <f>$O$244*$AA$244</f>
        <v>207.61844684274237</v>
      </c>
    </row>
    <row r="245" spans="1:33" ht="11.25" customHeight="1" x14ac:dyDescent="0.25">
      <c r="A245" s="4" t="s">
        <v>21</v>
      </c>
      <c r="B245" s="4" t="s">
        <v>33</v>
      </c>
      <c r="C245" s="4" t="s">
        <v>34</v>
      </c>
      <c r="D245" s="4" t="s">
        <v>24</v>
      </c>
      <c r="E245" s="4" t="s">
        <v>24</v>
      </c>
      <c r="F245" s="4" t="s">
        <v>25</v>
      </c>
      <c r="G245" s="4" t="s">
        <v>25</v>
      </c>
      <c r="H245" s="4" t="s">
        <v>35</v>
      </c>
      <c r="I245" s="5">
        <v>44348</v>
      </c>
      <c r="J245" s="6">
        <v>0</v>
      </c>
      <c r="K245" s="6">
        <v>0</v>
      </c>
      <c r="L245" s="6">
        <v>1.01</v>
      </c>
      <c r="M245" s="6">
        <v>1.01</v>
      </c>
      <c r="N245" s="6">
        <v>1.01</v>
      </c>
      <c r="O245" s="6">
        <v>1.01</v>
      </c>
      <c r="P245" s="6">
        <v>0</v>
      </c>
      <c r="Q245" s="4" t="s">
        <v>26</v>
      </c>
      <c r="R245" s="4">
        <v>0</v>
      </c>
      <c r="S245" s="6">
        <v>0</v>
      </c>
      <c r="T245" s="6">
        <v>66</v>
      </c>
      <c r="U245" s="6">
        <v>6</v>
      </c>
      <c r="V245" s="6">
        <f>IF(ISERROR(VLOOKUP($S$245,'TAR FIN'!$A$1:$O$85,15,0)),0,VLOOKUP($S$245,'TAR FIN'!$A$1:$O$85,15,0))</f>
        <v>0</v>
      </c>
      <c r="W245" s="6">
        <f>IF(ISERROR(VLOOKUP($T$245,'TAR FIN'!$A$1:$O$85,15,0)),0,VLOOKUP($T$245,'TAR FIN'!$A$1:$O$85,15,0))</f>
        <v>2263.58</v>
      </c>
      <c r="X245" s="6">
        <f>IF(ISERROR(VLOOKUP($U$245,'TAR FIN'!$A$1:$O$85,15,0)),0,VLOOKUP($U$245,'TAR FIN'!$A$1:$O$85,15,0))</f>
        <v>223.72</v>
      </c>
      <c r="Y245" s="6"/>
      <c r="Z245" s="6">
        <f ca="1">('TUSD BE'!$AM$11+'TUSD BF'!$AM$11+'TUSD CVA'!$AM$11)*1</f>
        <v>2373.6759655636811</v>
      </c>
      <c r="AA245" s="6">
        <f>('TE BE'!$AA$5+'TE BF'!$AA$5+'TE CVA'!$AA$5)*1</f>
        <v>217.62939920622892</v>
      </c>
      <c r="AB245" s="6">
        <f>$K$245*$V$245</f>
        <v>0</v>
      </c>
      <c r="AC245" s="6">
        <f>$M$245*$W$245</f>
        <v>2286.2157999999999</v>
      </c>
      <c r="AD245" s="6">
        <f>$O$245*$X$245</f>
        <v>225.9572</v>
      </c>
      <c r="AE245" s="6">
        <f>$K$245*$Y$245</f>
        <v>0</v>
      </c>
      <c r="AF245" s="6">
        <f ca="1">$M$245*$Z$245</f>
        <v>2397.412725219318</v>
      </c>
      <c r="AG245" s="6">
        <f>$O$245*$AA$245</f>
        <v>219.80569319829121</v>
      </c>
    </row>
    <row r="246" spans="1:33" ht="11.25" customHeight="1" x14ac:dyDescent="0.25">
      <c r="A246" s="4" t="s">
        <v>21</v>
      </c>
      <c r="B246" s="4" t="s">
        <v>33</v>
      </c>
      <c r="C246" s="4" t="s">
        <v>34</v>
      </c>
      <c r="D246" s="4" t="s">
        <v>24</v>
      </c>
      <c r="E246" s="4" t="s">
        <v>24</v>
      </c>
      <c r="F246" s="4" t="s">
        <v>25</v>
      </c>
      <c r="G246" s="4" t="s">
        <v>25</v>
      </c>
      <c r="H246" s="4" t="s">
        <v>35</v>
      </c>
      <c r="I246" s="5">
        <v>44378</v>
      </c>
      <c r="J246" s="6">
        <v>0</v>
      </c>
      <c r="K246" s="6">
        <v>0</v>
      </c>
      <c r="L246" s="6">
        <v>1.83</v>
      </c>
      <c r="M246" s="6">
        <v>1.83</v>
      </c>
      <c r="N246" s="6">
        <v>1.83</v>
      </c>
      <c r="O246" s="6">
        <v>1.83</v>
      </c>
      <c r="P246" s="6">
        <v>0</v>
      </c>
      <c r="Q246" s="4" t="s">
        <v>26</v>
      </c>
      <c r="R246" s="4">
        <v>0</v>
      </c>
      <c r="S246" s="6">
        <v>0</v>
      </c>
      <c r="T246" s="6">
        <v>66</v>
      </c>
      <c r="U246" s="6">
        <v>6</v>
      </c>
      <c r="V246" s="6">
        <f>IF(ISERROR(VLOOKUP($S$246,'TAR FIN'!$A$1:$O$85,15,0)),0,VLOOKUP($S$246,'TAR FIN'!$A$1:$O$85,15,0))</f>
        <v>0</v>
      </c>
      <c r="W246" s="6">
        <f>IF(ISERROR(VLOOKUP($T$246,'TAR FIN'!$A$1:$O$85,15,0)),0,VLOOKUP($T$246,'TAR FIN'!$A$1:$O$85,15,0))</f>
        <v>2263.58</v>
      </c>
      <c r="X246" s="6">
        <f>IF(ISERROR(VLOOKUP($U$246,'TAR FIN'!$A$1:$O$85,15,0)),0,VLOOKUP($U$246,'TAR FIN'!$A$1:$O$85,15,0))</f>
        <v>223.72</v>
      </c>
      <c r="Y246" s="6"/>
      <c r="Z246" s="6">
        <f ca="1">('TUSD BE'!$AM$11+'TUSD BF'!$AM$11+'TUSD CVA'!$AM$11)*1</f>
        <v>2373.6759655636811</v>
      </c>
      <c r="AA246" s="6">
        <f>('TE BE'!$AA$5+'TE BF'!$AA$5+'TE CVA'!$AA$5)*1</f>
        <v>217.62939920622892</v>
      </c>
      <c r="AB246" s="6">
        <f>$K$246*$V$246</f>
        <v>0</v>
      </c>
      <c r="AC246" s="6">
        <f>$M$246*$W$246</f>
        <v>4142.3514000000005</v>
      </c>
      <c r="AD246" s="6">
        <f>$O$246*$X$246</f>
        <v>409.4076</v>
      </c>
      <c r="AE246" s="6">
        <f>$K$246*$Y$246</f>
        <v>0</v>
      </c>
      <c r="AF246" s="6">
        <f ca="1">$M$246*$Z$246</f>
        <v>4343.8270169815369</v>
      </c>
      <c r="AG246" s="6">
        <f>$O$246*$AA$246</f>
        <v>398.26180054739893</v>
      </c>
    </row>
    <row r="247" spans="1:33" ht="11.25" customHeight="1" x14ac:dyDescent="0.25">
      <c r="A247" s="4" t="s">
        <v>21</v>
      </c>
      <c r="B247" s="4" t="s">
        <v>33</v>
      </c>
      <c r="C247" s="4" t="s">
        <v>34</v>
      </c>
      <c r="D247" s="4" t="s">
        <v>24</v>
      </c>
      <c r="E247" s="4" t="s">
        <v>24</v>
      </c>
      <c r="F247" s="4" t="s">
        <v>25</v>
      </c>
      <c r="G247" s="4" t="s">
        <v>25</v>
      </c>
      <c r="H247" s="4" t="s">
        <v>35</v>
      </c>
      <c r="I247" s="5">
        <v>44409</v>
      </c>
      <c r="J247" s="6">
        <v>0</v>
      </c>
      <c r="K247" s="6">
        <v>0</v>
      </c>
      <c r="L247" s="6">
        <v>1.0429999999999999</v>
      </c>
      <c r="M247" s="6">
        <v>1.0429999999999999</v>
      </c>
      <c r="N247" s="6">
        <v>1.0429999999999999</v>
      </c>
      <c r="O247" s="6">
        <v>1.0429999999999999</v>
      </c>
      <c r="P247" s="6">
        <v>0</v>
      </c>
      <c r="Q247" s="4" t="s">
        <v>26</v>
      </c>
      <c r="R247" s="4">
        <v>0</v>
      </c>
      <c r="S247" s="6">
        <v>0</v>
      </c>
      <c r="T247" s="6">
        <v>66</v>
      </c>
      <c r="U247" s="6">
        <v>6</v>
      </c>
      <c r="V247" s="6">
        <f>IF(ISERROR(VLOOKUP($S$247,'TAR FIN'!$A$1:$O$85,15,0)),0,VLOOKUP($S$247,'TAR FIN'!$A$1:$O$85,15,0))</f>
        <v>0</v>
      </c>
      <c r="W247" s="6">
        <f>IF(ISERROR(VLOOKUP($T$247,'TAR FIN'!$A$1:$O$85,15,0)),0,VLOOKUP($T$247,'TAR FIN'!$A$1:$O$85,15,0))</f>
        <v>2263.58</v>
      </c>
      <c r="X247" s="6">
        <f>IF(ISERROR(VLOOKUP($U$247,'TAR FIN'!$A$1:$O$85,15,0)),0,VLOOKUP($U$247,'TAR FIN'!$A$1:$O$85,15,0))</f>
        <v>223.72</v>
      </c>
      <c r="Y247" s="6"/>
      <c r="Z247" s="6">
        <f ca="1">('TUSD BE'!$AM$11+'TUSD BF'!$AM$11+'TUSD CVA'!$AM$11)*1</f>
        <v>2373.6759655636811</v>
      </c>
      <c r="AA247" s="6">
        <f>('TE BE'!$AA$5+'TE BF'!$AA$5+'TE CVA'!$AA$5)*1</f>
        <v>217.62939920622892</v>
      </c>
      <c r="AB247" s="6">
        <f>$K$247*$V$247</f>
        <v>0</v>
      </c>
      <c r="AC247" s="6">
        <f>$M$247*$W$247</f>
        <v>2360.9139399999999</v>
      </c>
      <c r="AD247" s="6">
        <f>$O$247*$X$247</f>
        <v>233.33995999999999</v>
      </c>
      <c r="AE247" s="6">
        <f>$K$247*$Y$247</f>
        <v>0</v>
      </c>
      <c r="AF247" s="6">
        <f ca="1">$M$247*$Z$247</f>
        <v>2475.7440320829191</v>
      </c>
      <c r="AG247" s="6">
        <f>$O$247*$AA$247</f>
        <v>226.98746337209676</v>
      </c>
    </row>
    <row r="248" spans="1:33" ht="11.25" customHeight="1" x14ac:dyDescent="0.25">
      <c r="A248" s="4" t="s">
        <v>21</v>
      </c>
      <c r="B248" s="4" t="s">
        <v>33</v>
      </c>
      <c r="C248" s="4" t="s">
        <v>34</v>
      </c>
      <c r="D248" s="4" t="s">
        <v>24</v>
      </c>
      <c r="E248" s="4" t="s">
        <v>24</v>
      </c>
      <c r="F248" s="4" t="s">
        <v>25</v>
      </c>
      <c r="G248" s="4" t="s">
        <v>25</v>
      </c>
      <c r="H248" s="4" t="s">
        <v>35</v>
      </c>
      <c r="I248" s="5">
        <v>44440</v>
      </c>
      <c r="J248" s="6">
        <v>0</v>
      </c>
      <c r="K248" s="6">
        <v>0</v>
      </c>
      <c r="L248" s="6">
        <v>1.988</v>
      </c>
      <c r="M248" s="6">
        <v>1.988</v>
      </c>
      <c r="N248" s="6">
        <v>1.988</v>
      </c>
      <c r="O248" s="6">
        <v>1.988</v>
      </c>
      <c r="P248" s="6">
        <v>0</v>
      </c>
      <c r="Q248" s="4" t="s">
        <v>26</v>
      </c>
      <c r="R248" s="4">
        <v>0</v>
      </c>
      <c r="S248" s="6">
        <v>0</v>
      </c>
      <c r="T248" s="6">
        <v>66</v>
      </c>
      <c r="U248" s="6">
        <v>6</v>
      </c>
      <c r="V248" s="6">
        <f>IF(ISERROR(VLOOKUP($S$248,'TAR FIN'!$A$1:$O$85,15,0)),0,VLOOKUP($S$248,'TAR FIN'!$A$1:$O$85,15,0))</f>
        <v>0</v>
      </c>
      <c r="W248" s="6">
        <f>IF(ISERROR(VLOOKUP($T$248,'TAR FIN'!$A$1:$O$85,15,0)),0,VLOOKUP($T$248,'TAR FIN'!$A$1:$O$85,15,0))</f>
        <v>2263.58</v>
      </c>
      <c r="X248" s="6">
        <f>IF(ISERROR(VLOOKUP($U$248,'TAR FIN'!$A$1:$O$85,15,0)),0,VLOOKUP($U$248,'TAR FIN'!$A$1:$O$85,15,0))</f>
        <v>223.72</v>
      </c>
      <c r="Y248" s="6"/>
      <c r="Z248" s="6">
        <f ca="1">('TUSD BE'!$AM$11+'TUSD BF'!$AM$11+'TUSD CVA'!$AM$11)*1</f>
        <v>2373.6759655636811</v>
      </c>
      <c r="AA248" s="6">
        <f>('TE BE'!$AA$5+'TE BF'!$AA$5+'TE CVA'!$AA$5)*1</f>
        <v>217.62939920622892</v>
      </c>
      <c r="AB248" s="6">
        <f>$K$248*$V$248</f>
        <v>0</v>
      </c>
      <c r="AC248" s="6">
        <f>$M$248*$W$248</f>
        <v>4499.9970400000002</v>
      </c>
      <c r="AD248" s="6">
        <f>$O$248*$X$248</f>
        <v>444.75536</v>
      </c>
      <c r="AE248" s="6">
        <f>$K$248*$Y$248</f>
        <v>0</v>
      </c>
      <c r="AF248" s="6">
        <f ca="1">$M$248*$Z$248</f>
        <v>4718.8678195405982</v>
      </c>
      <c r="AG248" s="6">
        <f>$O$248*$AA$248</f>
        <v>432.64724562198307</v>
      </c>
    </row>
    <row r="249" spans="1:33" ht="11.25" customHeight="1" x14ac:dyDescent="0.25">
      <c r="A249" s="4" t="s">
        <v>21</v>
      </c>
      <c r="B249" s="4" t="s">
        <v>33</v>
      </c>
      <c r="C249" s="4" t="s">
        <v>34</v>
      </c>
      <c r="D249" s="4" t="s">
        <v>24</v>
      </c>
      <c r="E249" s="4" t="s">
        <v>24</v>
      </c>
      <c r="F249" s="4" t="s">
        <v>25</v>
      </c>
      <c r="G249" s="4" t="s">
        <v>25</v>
      </c>
      <c r="H249" s="4" t="s">
        <v>35</v>
      </c>
      <c r="I249" s="5">
        <v>44470</v>
      </c>
      <c r="J249" s="6">
        <v>0</v>
      </c>
      <c r="K249" s="6">
        <v>0</v>
      </c>
      <c r="L249" s="6">
        <v>1.752</v>
      </c>
      <c r="M249" s="6">
        <v>1.752</v>
      </c>
      <c r="N249" s="6">
        <v>1.752</v>
      </c>
      <c r="O249" s="6">
        <v>1.752</v>
      </c>
      <c r="P249" s="6">
        <v>0</v>
      </c>
      <c r="Q249" s="4" t="s">
        <v>26</v>
      </c>
      <c r="R249" s="4">
        <v>0</v>
      </c>
      <c r="S249" s="6">
        <v>0</v>
      </c>
      <c r="T249" s="6">
        <v>66</v>
      </c>
      <c r="U249" s="6">
        <v>6</v>
      </c>
      <c r="V249" s="6">
        <f>IF(ISERROR(VLOOKUP($S$249,'TAR FIN'!$A$1:$O$85,15,0)),0,VLOOKUP($S$249,'TAR FIN'!$A$1:$O$85,15,0))</f>
        <v>0</v>
      </c>
      <c r="W249" s="6">
        <f>IF(ISERROR(VLOOKUP($T$249,'TAR FIN'!$A$1:$O$85,15,0)),0,VLOOKUP($T$249,'TAR FIN'!$A$1:$O$85,15,0))</f>
        <v>2263.58</v>
      </c>
      <c r="X249" s="6">
        <f>IF(ISERROR(VLOOKUP($U$249,'TAR FIN'!$A$1:$O$85,15,0)),0,VLOOKUP($U$249,'TAR FIN'!$A$1:$O$85,15,0))</f>
        <v>223.72</v>
      </c>
      <c r="Y249" s="6"/>
      <c r="Z249" s="6">
        <f ca="1">('TUSD BE'!$AM$11+'TUSD BF'!$AM$11+'TUSD CVA'!$AM$11)*1</f>
        <v>2373.6759655636811</v>
      </c>
      <c r="AA249" s="6">
        <f>('TE BE'!$AA$5+'TE BF'!$AA$5+'TE CVA'!$AA$5)*1</f>
        <v>217.62939920622892</v>
      </c>
      <c r="AB249" s="6">
        <f>$K$249*$V$249</f>
        <v>0</v>
      </c>
      <c r="AC249" s="6">
        <f>$M$249*$W$249</f>
        <v>3965.79216</v>
      </c>
      <c r="AD249" s="6">
        <f>$O$249*$X$249</f>
        <v>391.95744000000002</v>
      </c>
      <c r="AE249" s="6">
        <f>$K$249*$Y$249</f>
        <v>0</v>
      </c>
      <c r="AF249" s="6">
        <f ca="1">$M$249*$Z$249</f>
        <v>4158.6802916675697</v>
      </c>
      <c r="AG249" s="6">
        <f>$O$249*$AA$249</f>
        <v>381.28670740931307</v>
      </c>
    </row>
    <row r="250" spans="1:33" ht="11.25" customHeight="1" x14ac:dyDescent="0.25">
      <c r="A250" s="4" t="s">
        <v>21</v>
      </c>
      <c r="B250" s="4" t="s">
        <v>33</v>
      </c>
      <c r="C250" s="4" t="s">
        <v>34</v>
      </c>
      <c r="D250" s="4" t="s">
        <v>24</v>
      </c>
      <c r="E250" s="4" t="s">
        <v>24</v>
      </c>
      <c r="F250" s="4" t="s">
        <v>25</v>
      </c>
      <c r="G250" s="4" t="s">
        <v>25</v>
      </c>
      <c r="H250" s="4" t="s">
        <v>35</v>
      </c>
      <c r="I250" s="5">
        <v>44501</v>
      </c>
      <c r="J250" s="6">
        <v>0</v>
      </c>
      <c r="K250" s="6">
        <v>0</v>
      </c>
      <c r="L250" s="6">
        <v>1.248</v>
      </c>
      <c r="M250" s="6">
        <v>1.248</v>
      </c>
      <c r="N250" s="6">
        <v>1.248</v>
      </c>
      <c r="O250" s="6">
        <v>1.248</v>
      </c>
      <c r="P250" s="6">
        <v>0</v>
      </c>
      <c r="Q250" s="4" t="s">
        <v>26</v>
      </c>
      <c r="R250" s="4">
        <v>0</v>
      </c>
      <c r="S250" s="6">
        <v>0</v>
      </c>
      <c r="T250" s="6">
        <v>66</v>
      </c>
      <c r="U250" s="6">
        <v>6</v>
      </c>
      <c r="V250" s="6">
        <f>IF(ISERROR(VLOOKUP($S$250,'TAR FIN'!$A$1:$O$85,15,0)),0,VLOOKUP($S$250,'TAR FIN'!$A$1:$O$85,15,0))</f>
        <v>0</v>
      </c>
      <c r="W250" s="6">
        <f>IF(ISERROR(VLOOKUP($T$250,'TAR FIN'!$A$1:$O$85,15,0)),0,VLOOKUP($T$250,'TAR FIN'!$A$1:$O$85,15,0))</f>
        <v>2263.58</v>
      </c>
      <c r="X250" s="6">
        <f>IF(ISERROR(VLOOKUP($U$250,'TAR FIN'!$A$1:$O$85,15,0)),0,VLOOKUP($U$250,'TAR FIN'!$A$1:$O$85,15,0))</f>
        <v>223.72</v>
      </c>
      <c r="Y250" s="6"/>
      <c r="Z250" s="6">
        <f ca="1">('TUSD BE'!$AM$11+'TUSD BF'!$AM$11+'TUSD CVA'!$AM$11)*1</f>
        <v>2373.6759655636811</v>
      </c>
      <c r="AA250" s="6">
        <f>('TE BE'!$AA$5+'TE BF'!$AA$5+'TE CVA'!$AA$5)*1</f>
        <v>217.62939920622892</v>
      </c>
      <c r="AB250" s="6">
        <f>$K$250*$V$250</f>
        <v>0</v>
      </c>
      <c r="AC250" s="6">
        <f>$M$250*$W$250</f>
        <v>2824.9478399999998</v>
      </c>
      <c r="AD250" s="6">
        <f>$O$250*$X$250</f>
        <v>279.20256000000001</v>
      </c>
      <c r="AE250" s="6">
        <f>$K$250*$Y$250</f>
        <v>0</v>
      </c>
      <c r="AF250" s="6">
        <f ca="1">$M$250*$Z$250</f>
        <v>2962.347605023474</v>
      </c>
      <c r="AG250" s="6">
        <f>$O$250*$AA$250</f>
        <v>271.60149020937371</v>
      </c>
    </row>
    <row r="251" spans="1:33" ht="11.25" customHeight="1" x14ac:dyDescent="0.25">
      <c r="A251" s="4" t="s">
        <v>21</v>
      </c>
      <c r="B251" s="4" t="s">
        <v>33</v>
      </c>
      <c r="C251" s="4" t="s">
        <v>34</v>
      </c>
      <c r="D251" s="4" t="s">
        <v>24</v>
      </c>
      <c r="E251" s="4" t="s">
        <v>24</v>
      </c>
      <c r="F251" s="4" t="s">
        <v>25</v>
      </c>
      <c r="G251" s="4" t="s">
        <v>25</v>
      </c>
      <c r="H251" s="4" t="s">
        <v>35</v>
      </c>
      <c r="I251" s="5">
        <v>44531</v>
      </c>
      <c r="J251" s="6">
        <v>0</v>
      </c>
      <c r="K251" s="6">
        <v>0</v>
      </c>
      <c r="L251" s="6">
        <v>2.2480000000000002</v>
      </c>
      <c r="M251" s="6">
        <v>2.2480000000000002</v>
      </c>
      <c r="N251" s="6">
        <v>2.2480000000000002</v>
      </c>
      <c r="O251" s="6">
        <v>2.2480000000000002</v>
      </c>
      <c r="P251" s="6">
        <v>0</v>
      </c>
      <c r="Q251" s="4" t="s">
        <v>26</v>
      </c>
      <c r="R251" s="4">
        <v>0</v>
      </c>
      <c r="S251" s="6">
        <v>0</v>
      </c>
      <c r="T251" s="6">
        <v>66</v>
      </c>
      <c r="U251" s="6">
        <v>6</v>
      </c>
      <c r="V251" s="6">
        <f>IF(ISERROR(VLOOKUP($S$251,'TAR FIN'!$A$1:$O$85,15,0)),0,VLOOKUP($S$251,'TAR FIN'!$A$1:$O$85,15,0))</f>
        <v>0</v>
      </c>
      <c r="W251" s="6">
        <f>IF(ISERROR(VLOOKUP($T$251,'TAR FIN'!$A$1:$O$85,15,0)),0,VLOOKUP($T$251,'TAR FIN'!$A$1:$O$85,15,0))</f>
        <v>2263.58</v>
      </c>
      <c r="X251" s="6">
        <f>IF(ISERROR(VLOOKUP($U$251,'TAR FIN'!$A$1:$O$85,15,0)),0,VLOOKUP($U$251,'TAR FIN'!$A$1:$O$85,15,0))</f>
        <v>223.72</v>
      </c>
      <c r="Y251" s="6"/>
      <c r="Z251" s="6">
        <f ca="1">('TUSD BE'!$AM$11+'TUSD BF'!$AM$11+'TUSD CVA'!$AM$11)*1</f>
        <v>2373.6759655636811</v>
      </c>
      <c r="AA251" s="6">
        <f>('TE BE'!$AA$5+'TE BF'!$AA$5+'TE CVA'!$AA$5)*1</f>
        <v>217.62939920622892</v>
      </c>
      <c r="AB251" s="6">
        <f>$K$251*$V$251</f>
        <v>0</v>
      </c>
      <c r="AC251" s="6">
        <f>$M$251*$W$251</f>
        <v>5088.5278400000007</v>
      </c>
      <c r="AD251" s="6">
        <f>$O$251*$X$251</f>
        <v>502.92256000000003</v>
      </c>
      <c r="AE251" s="6">
        <f>$K$251*$Y$251</f>
        <v>0</v>
      </c>
      <c r="AF251" s="6">
        <f ca="1">$M$251*$Z$251</f>
        <v>5336.0235705871555</v>
      </c>
      <c r="AG251" s="6">
        <f>$O$251*$AA$251</f>
        <v>489.23088941560269</v>
      </c>
    </row>
    <row r="252" spans="1:33" ht="11.25" customHeight="1" x14ac:dyDescent="0.25">
      <c r="A252" s="4" t="s">
        <v>21</v>
      </c>
      <c r="B252" s="4" t="s">
        <v>33</v>
      </c>
      <c r="C252" s="4" t="s">
        <v>34</v>
      </c>
      <c r="D252" s="4" t="s">
        <v>24</v>
      </c>
      <c r="E252" s="4" t="s">
        <v>24</v>
      </c>
      <c r="F252" s="4" t="s">
        <v>25</v>
      </c>
      <c r="G252" s="4" t="s">
        <v>25</v>
      </c>
      <c r="H252" s="4" t="s">
        <v>35</v>
      </c>
      <c r="I252" s="5">
        <v>44562</v>
      </c>
      <c r="J252" s="6">
        <v>0</v>
      </c>
      <c r="K252" s="6">
        <v>0</v>
      </c>
      <c r="L252" s="6">
        <v>2.15</v>
      </c>
      <c r="M252" s="6">
        <v>2.15</v>
      </c>
      <c r="N252" s="6">
        <v>2.15</v>
      </c>
      <c r="O252" s="6">
        <v>2.15</v>
      </c>
      <c r="P252" s="6">
        <v>0</v>
      </c>
      <c r="Q252" s="4" t="s">
        <v>26</v>
      </c>
      <c r="R252" s="4">
        <v>0</v>
      </c>
      <c r="S252" s="6">
        <v>0</v>
      </c>
      <c r="T252" s="6">
        <v>66</v>
      </c>
      <c r="U252" s="6">
        <v>6</v>
      </c>
      <c r="V252" s="6">
        <f>IF(ISERROR(VLOOKUP($S$252,'TAR FIN'!$A$1:$O$85,15,0)),0,VLOOKUP($S$252,'TAR FIN'!$A$1:$O$85,15,0))</f>
        <v>0</v>
      </c>
      <c r="W252" s="6">
        <f>IF(ISERROR(VLOOKUP($T$252,'TAR FIN'!$A$1:$O$85,15,0)),0,VLOOKUP($T$252,'TAR FIN'!$A$1:$O$85,15,0))</f>
        <v>2263.58</v>
      </c>
      <c r="X252" s="6">
        <f>IF(ISERROR(VLOOKUP($U$252,'TAR FIN'!$A$1:$O$85,15,0)),0,VLOOKUP($U$252,'TAR FIN'!$A$1:$O$85,15,0))</f>
        <v>223.72</v>
      </c>
      <c r="Y252" s="6"/>
      <c r="Z252" s="6">
        <f ca="1">('TUSD BE'!$AM$11+'TUSD BF'!$AM$11+'TUSD CVA'!$AM$11)*1</f>
        <v>2373.6759655636811</v>
      </c>
      <c r="AA252" s="6">
        <f>('TE BE'!$AA$5+'TE BF'!$AA$5+'TE CVA'!$AA$5)*1</f>
        <v>217.62939920622892</v>
      </c>
      <c r="AB252" s="6">
        <f>$K$252*$V$252</f>
        <v>0</v>
      </c>
      <c r="AC252" s="6">
        <f>$M$252*$W$252</f>
        <v>4866.6969999999992</v>
      </c>
      <c r="AD252" s="6">
        <f>$O$252*$X$252</f>
        <v>480.99799999999999</v>
      </c>
      <c r="AE252" s="6">
        <f>$K$252*$Y$252</f>
        <v>0</v>
      </c>
      <c r="AF252" s="6">
        <f ca="1">$M$252*$Z$252</f>
        <v>5103.4033259619137</v>
      </c>
      <c r="AG252" s="6">
        <f>$O$252*$AA$252</f>
        <v>467.9032082933922</v>
      </c>
    </row>
    <row r="253" spans="1:33" ht="11.25" customHeight="1" x14ac:dyDescent="0.25">
      <c r="A253" s="4" t="s">
        <v>21</v>
      </c>
      <c r="B253" s="4" t="s">
        <v>33</v>
      </c>
      <c r="C253" s="4" t="s">
        <v>34</v>
      </c>
      <c r="D253" s="4" t="s">
        <v>24</v>
      </c>
      <c r="E253" s="4" t="s">
        <v>24</v>
      </c>
      <c r="F253" s="4" t="s">
        <v>25</v>
      </c>
      <c r="G253" s="4" t="s">
        <v>25</v>
      </c>
      <c r="H253" s="4" t="s">
        <v>35</v>
      </c>
      <c r="I253" s="5">
        <v>44593</v>
      </c>
      <c r="J253" s="6">
        <v>0</v>
      </c>
      <c r="K253" s="6">
        <v>0</v>
      </c>
      <c r="L253" s="6">
        <v>0.91600000000000004</v>
      </c>
      <c r="M253" s="6">
        <v>0.91600000000000004</v>
      </c>
      <c r="N253" s="6">
        <v>0.91600000000000004</v>
      </c>
      <c r="O253" s="6">
        <v>0.91600000000000004</v>
      </c>
      <c r="P253" s="6">
        <v>0</v>
      </c>
      <c r="Q253" s="4" t="s">
        <v>26</v>
      </c>
      <c r="R253" s="4">
        <v>0</v>
      </c>
      <c r="S253" s="6">
        <v>0</v>
      </c>
      <c r="T253" s="6">
        <v>66</v>
      </c>
      <c r="U253" s="6">
        <v>6</v>
      </c>
      <c r="V253" s="6">
        <f>IF(ISERROR(VLOOKUP($S$253,'TAR FIN'!$A$1:$O$85,15,0)),0,VLOOKUP($S$253,'TAR FIN'!$A$1:$O$85,15,0))</f>
        <v>0</v>
      </c>
      <c r="W253" s="6">
        <f>IF(ISERROR(VLOOKUP($T$253,'TAR FIN'!$A$1:$O$85,15,0)),0,VLOOKUP($T$253,'TAR FIN'!$A$1:$O$85,15,0))</f>
        <v>2263.58</v>
      </c>
      <c r="X253" s="6">
        <f>IF(ISERROR(VLOOKUP($U$253,'TAR FIN'!$A$1:$O$85,15,0)),0,VLOOKUP($U$253,'TAR FIN'!$A$1:$O$85,15,0))</f>
        <v>223.72</v>
      </c>
      <c r="Y253" s="6"/>
      <c r="Z253" s="6">
        <f ca="1">('TUSD BE'!$AM$11+'TUSD BF'!$AM$11+'TUSD CVA'!$AM$11)*1</f>
        <v>2373.6759655636811</v>
      </c>
      <c r="AA253" s="6">
        <f>('TE BE'!$AA$5+'TE BF'!$AA$5+'TE CVA'!$AA$5)*1</f>
        <v>217.62939920622892</v>
      </c>
      <c r="AB253" s="6">
        <f>$K$253*$V$253</f>
        <v>0</v>
      </c>
      <c r="AC253" s="6">
        <f>$M$253*$W$253</f>
        <v>2073.4392800000001</v>
      </c>
      <c r="AD253" s="6">
        <f>$O$253*$X$253</f>
        <v>204.92752000000002</v>
      </c>
      <c r="AE253" s="6">
        <f>$K$253*$Y$253</f>
        <v>0</v>
      </c>
      <c r="AF253" s="6">
        <f ca="1">$M$253*$Z$253</f>
        <v>2174.2871844563319</v>
      </c>
      <c r="AG253" s="6">
        <f>$O$253*$AA$253</f>
        <v>199.3485296729057</v>
      </c>
    </row>
    <row r="254" spans="1:33" ht="11.25" customHeight="1" x14ac:dyDescent="0.25">
      <c r="A254" s="4" t="s">
        <v>54</v>
      </c>
      <c r="B254" s="4" t="s">
        <v>33</v>
      </c>
      <c r="C254" s="4" t="s">
        <v>34</v>
      </c>
      <c r="D254" s="4" t="s">
        <v>24</v>
      </c>
      <c r="E254" s="4" t="s">
        <v>24</v>
      </c>
      <c r="F254" s="4" t="s">
        <v>25</v>
      </c>
      <c r="G254" s="4" t="s">
        <v>25</v>
      </c>
      <c r="H254" s="4" t="s">
        <v>35</v>
      </c>
      <c r="I254" s="5">
        <v>44621</v>
      </c>
      <c r="J254" s="6">
        <v>0</v>
      </c>
      <c r="K254" s="6">
        <v>0</v>
      </c>
      <c r="L254" s="6">
        <v>0.91600000000000004</v>
      </c>
      <c r="M254" s="6">
        <v>0.91600000000000004</v>
      </c>
      <c r="N254" s="6">
        <v>0.91600000000000004</v>
      </c>
      <c r="O254" s="6">
        <v>0.91600000000000004</v>
      </c>
      <c r="P254" s="6">
        <v>0</v>
      </c>
      <c r="Q254" s="4" t="s">
        <v>26</v>
      </c>
      <c r="R254" s="4">
        <v>0</v>
      </c>
      <c r="S254" s="6">
        <v>0</v>
      </c>
      <c r="T254" s="6">
        <v>66</v>
      </c>
      <c r="U254" s="6">
        <v>6</v>
      </c>
      <c r="V254" s="6">
        <f>IF(ISERROR(VLOOKUP($S$254,'TAR FIN'!$A$1:$O$85,15,0)),0,VLOOKUP($S$254,'TAR FIN'!$A$1:$O$85,15,0))</f>
        <v>0</v>
      </c>
      <c r="W254" s="6">
        <f>IF(ISERROR(VLOOKUP($T$254,'TAR FIN'!$A$1:$O$85,15,0)),0,VLOOKUP($T$254,'TAR FIN'!$A$1:$O$85,15,0))</f>
        <v>2263.58</v>
      </c>
      <c r="X254" s="6">
        <f>IF(ISERROR(VLOOKUP($U$254,'TAR FIN'!$A$1:$O$85,15,0)),0,VLOOKUP($U$254,'TAR FIN'!$A$1:$O$85,15,0))</f>
        <v>223.72</v>
      </c>
      <c r="Y254" s="6"/>
      <c r="Z254" s="6">
        <f ca="1">('TUSD BE'!$AM$11+'TUSD BF'!$AM$11+'TUSD CVA'!$AM$11)*1</f>
        <v>2373.6759655636811</v>
      </c>
      <c r="AA254" s="6">
        <f>('TE BE'!$AA$5+'TE BF'!$AA$5+'TE CVA'!$AA$5)*1</f>
        <v>217.62939920622892</v>
      </c>
      <c r="AB254" s="6">
        <f>$K$254*$V$254</f>
        <v>0</v>
      </c>
      <c r="AC254" s="6">
        <f>$M$254*$W$254</f>
        <v>2073.4392800000001</v>
      </c>
      <c r="AD254" s="6">
        <f>$O$254*$X$254</f>
        <v>204.92752000000002</v>
      </c>
      <c r="AE254" s="6">
        <f>$K$254*$Y$254</f>
        <v>0</v>
      </c>
      <c r="AF254" s="6">
        <f ca="1">$M$254*$Z$254</f>
        <v>2174.2871844563319</v>
      </c>
      <c r="AG254" s="6">
        <f>$O$254*$AA$254</f>
        <v>199.3485296729057</v>
      </c>
    </row>
    <row r="255" spans="1:33" ht="11.25" customHeight="1" x14ac:dyDescent="0.25">
      <c r="A255" s="4" t="s">
        <v>21</v>
      </c>
      <c r="B255" s="4" t="s">
        <v>33</v>
      </c>
      <c r="C255" s="4" t="s">
        <v>34</v>
      </c>
      <c r="D255" s="4" t="s">
        <v>41</v>
      </c>
      <c r="E255" s="4" t="s">
        <v>50</v>
      </c>
      <c r="F255" s="4" t="s">
        <v>52</v>
      </c>
      <c r="G255" s="4" t="s">
        <v>25</v>
      </c>
      <c r="H255" s="4" t="s">
        <v>36</v>
      </c>
      <c r="I255" s="5">
        <v>44287</v>
      </c>
      <c r="J255" s="6">
        <v>0</v>
      </c>
      <c r="K255" s="6">
        <v>0</v>
      </c>
      <c r="L255" s="6">
        <v>2758.2179999999998</v>
      </c>
      <c r="M255" s="6">
        <v>827.46540000000005</v>
      </c>
      <c r="N255" s="6">
        <v>2758.2179999999998</v>
      </c>
      <c r="O255" s="6">
        <v>827.46540000000005</v>
      </c>
      <c r="P255" s="6">
        <v>0</v>
      </c>
      <c r="Q255" s="4" t="s">
        <v>26</v>
      </c>
      <c r="R255" s="4">
        <v>0</v>
      </c>
      <c r="S255" s="6">
        <v>0</v>
      </c>
      <c r="T255" s="6">
        <v>47</v>
      </c>
      <c r="U255" s="6">
        <v>27</v>
      </c>
      <c r="V255" s="6">
        <f>IF(ISERROR(VLOOKUP($S$255,'TAR FIN'!$A$1:$O$85,15,0)),0,VLOOKUP($S$255,'TAR FIN'!$A$1:$O$85,15,0))</f>
        <v>0</v>
      </c>
      <c r="W255" s="6">
        <f>IF(ISERROR(VLOOKUP($T$255,'TAR FIN'!$A$1:$O$85,15,0)),0,VLOOKUP($T$255,'TAR FIN'!$A$1:$O$85,15,0))</f>
        <v>72.23</v>
      </c>
      <c r="X255" s="6">
        <f>IF(ISERROR(VLOOKUP($U$255,'TAR FIN'!$A$1:$O$85,15,0)),0,VLOOKUP($U$255,'TAR FIN'!$A$1:$O$85,15,0))</f>
        <v>223.72</v>
      </c>
      <c r="Y255" s="6"/>
      <c r="Z255" s="6">
        <f ca="1">('TUSD BE'!$AM$12+'TUSD BF'!$AM$12+'TUSD CVA'!$AM$12)*1</f>
        <v>103.30505917577378</v>
      </c>
      <c r="AA255" s="6">
        <f>('TE BE'!$AA$6+'TE BF'!$AA$6+'TE CVA'!$AA$6)*1</f>
        <v>217.62939920622892</v>
      </c>
      <c r="AB255" s="6">
        <f>$K$255*$V$255</f>
        <v>0</v>
      </c>
      <c r="AC255" s="6">
        <f>$M$255*$W$255</f>
        <v>59767.825842000006</v>
      </c>
      <c r="AD255" s="6">
        <f>$O$255*$X$255</f>
        <v>185120.55928800002</v>
      </c>
      <c r="AE255" s="6">
        <f>$K$255*$Y$255</f>
        <v>0</v>
      </c>
      <c r="AF255" s="6">
        <f ca="1">$M$255*$Z$255</f>
        <v>85481.362112905321</v>
      </c>
      <c r="AG255" s="6">
        <f>$O$255*$AA$255</f>
        <v>180080.79786594192</v>
      </c>
    </row>
    <row r="256" spans="1:33" ht="11.25" customHeight="1" x14ac:dyDescent="0.25">
      <c r="A256" s="4" t="s">
        <v>21</v>
      </c>
      <c r="B256" s="4" t="s">
        <v>33</v>
      </c>
      <c r="C256" s="4" t="s">
        <v>34</v>
      </c>
      <c r="D256" s="4" t="s">
        <v>41</v>
      </c>
      <c r="E256" s="4" t="s">
        <v>50</v>
      </c>
      <c r="F256" s="4" t="s">
        <v>52</v>
      </c>
      <c r="G256" s="4" t="s">
        <v>25</v>
      </c>
      <c r="H256" s="4" t="s">
        <v>36</v>
      </c>
      <c r="I256" s="5">
        <v>44317</v>
      </c>
      <c r="J256" s="6">
        <v>0</v>
      </c>
      <c r="K256" s="6">
        <v>0</v>
      </c>
      <c r="L256" s="6">
        <v>2399.1280000000002</v>
      </c>
      <c r="M256" s="6">
        <v>719.73839999999996</v>
      </c>
      <c r="N256" s="6">
        <v>2399.1280000000002</v>
      </c>
      <c r="O256" s="6">
        <v>719.73839999999996</v>
      </c>
      <c r="P256" s="6">
        <v>0</v>
      </c>
      <c r="Q256" s="4" t="s">
        <v>26</v>
      </c>
      <c r="R256" s="4">
        <v>0</v>
      </c>
      <c r="S256" s="6">
        <v>0</v>
      </c>
      <c r="T256" s="6">
        <v>47</v>
      </c>
      <c r="U256" s="6">
        <v>27</v>
      </c>
      <c r="V256" s="6">
        <f>IF(ISERROR(VLOOKUP($S$256,'TAR FIN'!$A$1:$O$85,15,0)),0,VLOOKUP($S$256,'TAR FIN'!$A$1:$O$85,15,0))</f>
        <v>0</v>
      </c>
      <c r="W256" s="6">
        <f>IF(ISERROR(VLOOKUP($T$256,'TAR FIN'!$A$1:$O$85,15,0)),0,VLOOKUP($T$256,'TAR FIN'!$A$1:$O$85,15,0))</f>
        <v>72.23</v>
      </c>
      <c r="X256" s="6">
        <f>IF(ISERROR(VLOOKUP($U$256,'TAR FIN'!$A$1:$O$85,15,0)),0,VLOOKUP($U$256,'TAR FIN'!$A$1:$O$85,15,0))</f>
        <v>223.72</v>
      </c>
      <c r="Y256" s="6"/>
      <c r="Z256" s="6">
        <f ca="1">('TUSD BE'!$AM$12+'TUSD BF'!$AM$12+'TUSD CVA'!$AM$12)*1</f>
        <v>103.30505917577378</v>
      </c>
      <c r="AA256" s="6">
        <f>('TE BE'!$AA$6+'TE BF'!$AA$6+'TE CVA'!$AA$6)*1</f>
        <v>217.62939920622892</v>
      </c>
      <c r="AB256" s="6">
        <f>$K$256*$V$256</f>
        <v>0</v>
      </c>
      <c r="AC256" s="6">
        <f>$M$256*$W$256</f>
        <v>51986.704632000001</v>
      </c>
      <c r="AD256" s="6">
        <f>$O$256*$X$256</f>
        <v>161019.87484799998</v>
      </c>
      <c r="AE256" s="6">
        <f>$K$256*$Y$256</f>
        <v>0</v>
      </c>
      <c r="AF256" s="6">
        <f ca="1">$M$256*$Z$256</f>
        <v>74352.618003076728</v>
      </c>
      <c r="AG256" s="6">
        <f>$O$256*$AA$256</f>
        <v>156636.23557765246</v>
      </c>
    </row>
    <row r="257" spans="1:33" ht="11.25" customHeight="1" x14ac:dyDescent="0.25">
      <c r="A257" s="4" t="s">
        <v>21</v>
      </c>
      <c r="B257" s="4" t="s">
        <v>33</v>
      </c>
      <c r="C257" s="4" t="s">
        <v>34</v>
      </c>
      <c r="D257" s="4" t="s">
        <v>41</v>
      </c>
      <c r="E257" s="4" t="s">
        <v>50</v>
      </c>
      <c r="F257" s="4" t="s">
        <v>52</v>
      </c>
      <c r="G257" s="4" t="s">
        <v>25</v>
      </c>
      <c r="H257" s="4" t="s">
        <v>36</v>
      </c>
      <c r="I257" s="5">
        <v>44348</v>
      </c>
      <c r="J257" s="6">
        <v>0</v>
      </c>
      <c r="K257" s="6">
        <v>0</v>
      </c>
      <c r="L257" s="6">
        <v>622.09799999999996</v>
      </c>
      <c r="M257" s="6">
        <v>186.6294</v>
      </c>
      <c r="N257" s="6">
        <v>622.09799999999996</v>
      </c>
      <c r="O257" s="6">
        <v>186.6294</v>
      </c>
      <c r="P257" s="6">
        <v>0</v>
      </c>
      <c r="Q257" s="4" t="s">
        <v>26</v>
      </c>
      <c r="R257" s="4">
        <v>0</v>
      </c>
      <c r="S257" s="6">
        <v>0</v>
      </c>
      <c r="T257" s="6">
        <v>47</v>
      </c>
      <c r="U257" s="6">
        <v>27</v>
      </c>
      <c r="V257" s="6">
        <f>IF(ISERROR(VLOOKUP($S$257,'TAR FIN'!$A$1:$O$85,15,0)),0,VLOOKUP($S$257,'TAR FIN'!$A$1:$O$85,15,0))</f>
        <v>0</v>
      </c>
      <c r="W257" s="6">
        <f>IF(ISERROR(VLOOKUP($T$257,'TAR FIN'!$A$1:$O$85,15,0)),0,VLOOKUP($T$257,'TAR FIN'!$A$1:$O$85,15,0))</f>
        <v>72.23</v>
      </c>
      <c r="X257" s="6">
        <f>IF(ISERROR(VLOOKUP($U$257,'TAR FIN'!$A$1:$O$85,15,0)),0,VLOOKUP($U$257,'TAR FIN'!$A$1:$O$85,15,0))</f>
        <v>223.72</v>
      </c>
      <c r="Y257" s="6"/>
      <c r="Z257" s="6">
        <f ca="1">('TUSD BE'!$AM$12+'TUSD BF'!$AM$12+'TUSD CVA'!$AM$12)*1</f>
        <v>103.30505917577378</v>
      </c>
      <c r="AA257" s="6">
        <f>('TE BE'!$AA$6+'TE BF'!$AA$6+'TE CVA'!$AA$6)*1</f>
        <v>217.62939920622892</v>
      </c>
      <c r="AB257" s="6">
        <f>$K$257*$V$257</f>
        <v>0</v>
      </c>
      <c r="AC257" s="6">
        <f>$M$257*$W$257</f>
        <v>13480.241562000001</v>
      </c>
      <c r="AD257" s="6">
        <f>$O$257*$X$257</f>
        <v>41752.729368</v>
      </c>
      <c r="AE257" s="6">
        <f>$K$257*$Y$257</f>
        <v>0</v>
      </c>
      <c r="AF257" s="6">
        <f ca="1">$M$257*$Z$257</f>
        <v>19279.761210939156</v>
      </c>
      <c r="AG257" s="6">
        <f>$O$257*$AA$257</f>
        <v>40616.04419621898</v>
      </c>
    </row>
    <row r="258" spans="1:33" ht="11.25" customHeight="1" x14ac:dyDescent="0.25">
      <c r="A258" s="4" t="s">
        <v>21</v>
      </c>
      <c r="B258" s="4" t="s">
        <v>33</v>
      </c>
      <c r="C258" s="4" t="s">
        <v>34</v>
      </c>
      <c r="D258" s="4" t="s">
        <v>41</v>
      </c>
      <c r="E258" s="4" t="s">
        <v>50</v>
      </c>
      <c r="F258" s="4" t="s">
        <v>52</v>
      </c>
      <c r="G258" s="4" t="s">
        <v>25</v>
      </c>
      <c r="H258" s="4" t="s">
        <v>36</v>
      </c>
      <c r="I258" s="5">
        <v>44378</v>
      </c>
      <c r="J258" s="6">
        <v>0</v>
      </c>
      <c r="K258" s="6">
        <v>0</v>
      </c>
      <c r="L258" s="6">
        <v>1602.904</v>
      </c>
      <c r="M258" s="6">
        <v>480.87119999999999</v>
      </c>
      <c r="N258" s="6">
        <v>1602.904</v>
      </c>
      <c r="O258" s="6">
        <v>480.87119999999999</v>
      </c>
      <c r="P258" s="6">
        <v>0</v>
      </c>
      <c r="Q258" s="4" t="s">
        <v>26</v>
      </c>
      <c r="R258" s="4">
        <v>0</v>
      </c>
      <c r="S258" s="6">
        <v>0</v>
      </c>
      <c r="T258" s="6">
        <v>47</v>
      </c>
      <c r="U258" s="6">
        <v>27</v>
      </c>
      <c r="V258" s="6">
        <f>IF(ISERROR(VLOOKUP($S$258,'TAR FIN'!$A$1:$O$85,15,0)),0,VLOOKUP($S$258,'TAR FIN'!$A$1:$O$85,15,0))</f>
        <v>0</v>
      </c>
      <c r="W258" s="6">
        <f>IF(ISERROR(VLOOKUP($T$258,'TAR FIN'!$A$1:$O$85,15,0)),0,VLOOKUP($T$258,'TAR FIN'!$A$1:$O$85,15,0))</f>
        <v>72.23</v>
      </c>
      <c r="X258" s="6">
        <f>IF(ISERROR(VLOOKUP($U$258,'TAR FIN'!$A$1:$O$85,15,0)),0,VLOOKUP($U$258,'TAR FIN'!$A$1:$O$85,15,0))</f>
        <v>223.72</v>
      </c>
      <c r="Y258" s="6"/>
      <c r="Z258" s="6">
        <f ca="1">('TUSD BE'!$AM$12+'TUSD BF'!$AM$12+'TUSD CVA'!$AM$12)*1</f>
        <v>103.30505917577378</v>
      </c>
      <c r="AA258" s="6">
        <f>('TE BE'!$AA$6+'TE BF'!$AA$6+'TE CVA'!$AA$6)*1</f>
        <v>217.62939920622892</v>
      </c>
      <c r="AB258" s="6">
        <f>$K$258*$V$258</f>
        <v>0</v>
      </c>
      <c r="AC258" s="6">
        <f>$M$258*$W$258</f>
        <v>34733.326776000002</v>
      </c>
      <c r="AD258" s="6">
        <f>$O$258*$X$258</f>
        <v>107580.504864</v>
      </c>
      <c r="AE258" s="6">
        <f>$K$258*$Y$258</f>
        <v>0</v>
      </c>
      <c r="AF258" s="6">
        <f ca="1">$M$258*$Z$258</f>
        <v>49676.427771925344</v>
      </c>
      <c r="AG258" s="6">
        <f>$O$258*$AA$258</f>
        <v>104651.71035157835</v>
      </c>
    </row>
    <row r="259" spans="1:33" ht="11.25" customHeight="1" x14ac:dyDescent="0.25">
      <c r="A259" s="4" t="s">
        <v>21</v>
      </c>
      <c r="B259" s="4" t="s">
        <v>33</v>
      </c>
      <c r="C259" s="4" t="s">
        <v>34</v>
      </c>
      <c r="D259" s="4" t="s">
        <v>41</v>
      </c>
      <c r="E259" s="4" t="s">
        <v>50</v>
      </c>
      <c r="F259" s="4" t="s">
        <v>52</v>
      </c>
      <c r="G259" s="4" t="s">
        <v>25</v>
      </c>
      <c r="H259" s="4" t="s">
        <v>36</v>
      </c>
      <c r="I259" s="5">
        <v>44409</v>
      </c>
      <c r="J259" s="6">
        <v>0</v>
      </c>
      <c r="K259" s="6">
        <v>0</v>
      </c>
      <c r="L259" s="6">
        <v>2331.518</v>
      </c>
      <c r="M259" s="6">
        <v>699.45540000000005</v>
      </c>
      <c r="N259" s="6">
        <v>2331.518</v>
      </c>
      <c r="O259" s="6">
        <v>699.45540000000005</v>
      </c>
      <c r="P259" s="6">
        <v>0</v>
      </c>
      <c r="Q259" s="4" t="s">
        <v>26</v>
      </c>
      <c r="R259" s="4">
        <v>0</v>
      </c>
      <c r="S259" s="6">
        <v>0</v>
      </c>
      <c r="T259" s="6">
        <v>47</v>
      </c>
      <c r="U259" s="6">
        <v>27</v>
      </c>
      <c r="V259" s="6">
        <f>IF(ISERROR(VLOOKUP($S$259,'TAR FIN'!$A$1:$O$85,15,0)),0,VLOOKUP($S$259,'TAR FIN'!$A$1:$O$85,15,0))</f>
        <v>0</v>
      </c>
      <c r="W259" s="6">
        <f>IF(ISERROR(VLOOKUP($T$259,'TAR FIN'!$A$1:$O$85,15,0)),0,VLOOKUP($T$259,'TAR FIN'!$A$1:$O$85,15,0))</f>
        <v>72.23</v>
      </c>
      <c r="X259" s="6">
        <f>IF(ISERROR(VLOOKUP($U$259,'TAR FIN'!$A$1:$O$85,15,0)),0,VLOOKUP($U$259,'TAR FIN'!$A$1:$O$85,15,0))</f>
        <v>223.72</v>
      </c>
      <c r="Y259" s="6"/>
      <c r="Z259" s="6">
        <f ca="1">('TUSD BE'!$AM$12+'TUSD BF'!$AM$12+'TUSD CVA'!$AM$12)*1</f>
        <v>103.30505917577378</v>
      </c>
      <c r="AA259" s="6">
        <f>('TE BE'!$AA$6+'TE BF'!$AA$6+'TE CVA'!$AA$6)*1</f>
        <v>217.62939920622892</v>
      </c>
      <c r="AB259" s="6">
        <f>$K$259*$V$259</f>
        <v>0</v>
      </c>
      <c r="AC259" s="6">
        <f>$M$259*$W$259</f>
        <v>50521.663542000009</v>
      </c>
      <c r="AD259" s="6">
        <f>$O$259*$X$259</f>
        <v>156482.16208800001</v>
      </c>
      <c r="AE259" s="6">
        <f>$K$259*$Y$259</f>
        <v>0</v>
      </c>
      <c r="AF259" s="6">
        <f ca="1">$M$259*$Z$259</f>
        <v>72257.281487814529</v>
      </c>
      <c r="AG259" s="6">
        <f>$O$259*$AA$259</f>
        <v>152222.05847355255</v>
      </c>
    </row>
    <row r="260" spans="1:33" ht="11.25" customHeight="1" x14ac:dyDescent="0.25">
      <c r="A260" s="4" t="s">
        <v>21</v>
      </c>
      <c r="B260" s="4" t="s">
        <v>33</v>
      </c>
      <c r="C260" s="4" t="s">
        <v>34</v>
      </c>
      <c r="D260" s="4" t="s">
        <v>41</v>
      </c>
      <c r="E260" s="4" t="s">
        <v>50</v>
      </c>
      <c r="F260" s="4" t="s">
        <v>52</v>
      </c>
      <c r="G260" s="4" t="s">
        <v>25</v>
      </c>
      <c r="H260" s="4" t="s">
        <v>36</v>
      </c>
      <c r="I260" s="5">
        <v>44440</v>
      </c>
      <c r="J260" s="6">
        <v>0</v>
      </c>
      <c r="K260" s="6">
        <v>0</v>
      </c>
      <c r="L260" s="6">
        <v>2273.6559999999999</v>
      </c>
      <c r="M260" s="6">
        <v>682.09680000000003</v>
      </c>
      <c r="N260" s="6">
        <v>2273.6559999999999</v>
      </c>
      <c r="O260" s="6">
        <v>682.09680000000003</v>
      </c>
      <c r="P260" s="6">
        <v>0</v>
      </c>
      <c r="Q260" s="4" t="s">
        <v>26</v>
      </c>
      <c r="R260" s="4">
        <v>0</v>
      </c>
      <c r="S260" s="6">
        <v>0</v>
      </c>
      <c r="T260" s="6">
        <v>47</v>
      </c>
      <c r="U260" s="6">
        <v>27</v>
      </c>
      <c r="V260" s="6">
        <f>IF(ISERROR(VLOOKUP($S$260,'TAR FIN'!$A$1:$O$85,15,0)),0,VLOOKUP($S$260,'TAR FIN'!$A$1:$O$85,15,0))</f>
        <v>0</v>
      </c>
      <c r="W260" s="6">
        <f>IF(ISERROR(VLOOKUP($T$260,'TAR FIN'!$A$1:$O$85,15,0)),0,VLOOKUP($T$260,'TAR FIN'!$A$1:$O$85,15,0))</f>
        <v>72.23</v>
      </c>
      <c r="X260" s="6">
        <f>IF(ISERROR(VLOOKUP($U$260,'TAR FIN'!$A$1:$O$85,15,0)),0,VLOOKUP($U$260,'TAR FIN'!$A$1:$O$85,15,0))</f>
        <v>223.72</v>
      </c>
      <c r="Y260" s="6"/>
      <c r="Z260" s="6">
        <f ca="1">('TUSD BE'!$AM$12+'TUSD BF'!$AM$12+'TUSD CVA'!$AM$12)*1</f>
        <v>103.30505917577378</v>
      </c>
      <c r="AA260" s="6">
        <f>('TE BE'!$AA$6+'TE BF'!$AA$6+'TE CVA'!$AA$6)*1</f>
        <v>217.62939920622892</v>
      </c>
      <c r="AB260" s="6">
        <f>$K$260*$V$260</f>
        <v>0</v>
      </c>
      <c r="AC260" s="6">
        <f>$M$260*$W$260</f>
        <v>49267.851864000004</v>
      </c>
      <c r="AD260" s="6">
        <f>$O$260*$X$260</f>
        <v>152598.696096</v>
      </c>
      <c r="AE260" s="6">
        <f>$K$260*$Y$260</f>
        <v>0</v>
      </c>
      <c r="AF260" s="6">
        <f ca="1">$M$260*$Z$260</f>
        <v>70464.050287605933</v>
      </c>
      <c r="AG260" s="6">
        <f>$O$260*$AA$260</f>
        <v>148444.3167844913</v>
      </c>
    </row>
    <row r="261" spans="1:33" ht="11.25" customHeight="1" x14ac:dyDescent="0.25">
      <c r="A261" s="4" t="s">
        <v>21</v>
      </c>
      <c r="B261" s="4" t="s">
        <v>33</v>
      </c>
      <c r="C261" s="4" t="s">
        <v>34</v>
      </c>
      <c r="D261" s="4" t="s">
        <v>41</v>
      </c>
      <c r="E261" s="4" t="s">
        <v>50</v>
      </c>
      <c r="F261" s="4" t="s">
        <v>52</v>
      </c>
      <c r="G261" s="4" t="s">
        <v>25</v>
      </c>
      <c r="H261" s="4" t="s">
        <v>36</v>
      </c>
      <c r="I261" s="5">
        <v>44470</v>
      </c>
      <c r="J261" s="6">
        <v>0</v>
      </c>
      <c r="K261" s="6">
        <v>0</v>
      </c>
      <c r="L261" s="6">
        <v>1691.5060000000001</v>
      </c>
      <c r="M261" s="6">
        <v>507.45179999999999</v>
      </c>
      <c r="N261" s="6">
        <v>1691.5060000000001</v>
      </c>
      <c r="O261" s="6">
        <v>507.45179999999999</v>
      </c>
      <c r="P261" s="6">
        <v>0</v>
      </c>
      <c r="Q261" s="4" t="s">
        <v>26</v>
      </c>
      <c r="R261" s="4">
        <v>0</v>
      </c>
      <c r="S261" s="6">
        <v>0</v>
      </c>
      <c r="T261" s="6">
        <v>47</v>
      </c>
      <c r="U261" s="6">
        <v>27</v>
      </c>
      <c r="V261" s="6">
        <f>IF(ISERROR(VLOOKUP($S$261,'TAR FIN'!$A$1:$O$85,15,0)),0,VLOOKUP($S$261,'TAR FIN'!$A$1:$O$85,15,0))</f>
        <v>0</v>
      </c>
      <c r="W261" s="6">
        <f>IF(ISERROR(VLOOKUP($T$261,'TAR FIN'!$A$1:$O$85,15,0)),0,VLOOKUP($T$261,'TAR FIN'!$A$1:$O$85,15,0))</f>
        <v>72.23</v>
      </c>
      <c r="X261" s="6">
        <f>IF(ISERROR(VLOOKUP($U$261,'TAR FIN'!$A$1:$O$85,15,0)),0,VLOOKUP($U$261,'TAR FIN'!$A$1:$O$85,15,0))</f>
        <v>223.72</v>
      </c>
      <c r="Y261" s="6"/>
      <c r="Z261" s="6">
        <f ca="1">('TUSD BE'!$AM$12+'TUSD BF'!$AM$12+'TUSD CVA'!$AM$12)*1</f>
        <v>103.30505917577378</v>
      </c>
      <c r="AA261" s="6">
        <f>('TE BE'!$AA$6+'TE BF'!$AA$6+'TE CVA'!$AA$6)*1</f>
        <v>217.62939920622892</v>
      </c>
      <c r="AB261" s="6">
        <f>$K$261*$V$261</f>
        <v>0</v>
      </c>
      <c r="AC261" s="6">
        <f>$M$261*$W$261</f>
        <v>36653.243514000002</v>
      </c>
      <c r="AD261" s="6">
        <f>$O$261*$X$261</f>
        <v>113527.116696</v>
      </c>
      <c r="AE261" s="6">
        <f>$K$261*$Y$261</f>
        <v>0</v>
      </c>
      <c r="AF261" s="6">
        <f ca="1">$M$261*$Z$261</f>
        <v>52422.338227852917</v>
      </c>
      <c r="AG261" s="6">
        <f>$O$261*$AA$261</f>
        <v>110436.43036011944</v>
      </c>
    </row>
    <row r="262" spans="1:33" ht="11.25" customHeight="1" x14ac:dyDescent="0.25">
      <c r="A262" s="4" t="s">
        <v>21</v>
      </c>
      <c r="B262" s="4" t="s">
        <v>33</v>
      </c>
      <c r="C262" s="4" t="s">
        <v>34</v>
      </c>
      <c r="D262" s="4" t="s">
        <v>41</v>
      </c>
      <c r="E262" s="4" t="s">
        <v>50</v>
      </c>
      <c r="F262" s="4" t="s">
        <v>52</v>
      </c>
      <c r="G262" s="4" t="s">
        <v>25</v>
      </c>
      <c r="H262" s="4" t="s">
        <v>36</v>
      </c>
      <c r="I262" s="5">
        <v>44501</v>
      </c>
      <c r="J262" s="6">
        <v>0</v>
      </c>
      <c r="K262" s="6">
        <v>0</v>
      </c>
      <c r="L262" s="6">
        <v>3128.319</v>
      </c>
      <c r="M262" s="6">
        <v>938.49570000000006</v>
      </c>
      <c r="N262" s="6">
        <v>3128.319</v>
      </c>
      <c r="O262" s="6">
        <v>938.49570000000006</v>
      </c>
      <c r="P262" s="6">
        <v>0</v>
      </c>
      <c r="Q262" s="4" t="s">
        <v>26</v>
      </c>
      <c r="R262" s="4">
        <v>0</v>
      </c>
      <c r="S262" s="6">
        <v>0</v>
      </c>
      <c r="T262" s="6">
        <v>47</v>
      </c>
      <c r="U262" s="6">
        <v>27</v>
      </c>
      <c r="V262" s="6">
        <f>IF(ISERROR(VLOOKUP($S$262,'TAR FIN'!$A$1:$O$85,15,0)),0,VLOOKUP($S$262,'TAR FIN'!$A$1:$O$85,15,0))</f>
        <v>0</v>
      </c>
      <c r="W262" s="6">
        <f>IF(ISERROR(VLOOKUP($T$262,'TAR FIN'!$A$1:$O$85,15,0)),0,VLOOKUP($T$262,'TAR FIN'!$A$1:$O$85,15,0))</f>
        <v>72.23</v>
      </c>
      <c r="X262" s="6">
        <f>IF(ISERROR(VLOOKUP($U$262,'TAR FIN'!$A$1:$O$85,15,0)),0,VLOOKUP($U$262,'TAR FIN'!$A$1:$O$85,15,0))</f>
        <v>223.72</v>
      </c>
      <c r="Y262" s="6"/>
      <c r="Z262" s="6">
        <f ca="1">('TUSD BE'!$AM$12+'TUSD BF'!$AM$12+'TUSD CVA'!$AM$12)*1</f>
        <v>103.30505917577378</v>
      </c>
      <c r="AA262" s="6">
        <f>('TE BE'!$AA$6+'TE BF'!$AA$6+'TE CVA'!$AA$6)*1</f>
        <v>217.62939920622892</v>
      </c>
      <c r="AB262" s="6">
        <f>$K$262*$V$262</f>
        <v>0</v>
      </c>
      <c r="AC262" s="6">
        <f>$M$262*$W$262</f>
        <v>67787.54441100001</v>
      </c>
      <c r="AD262" s="6">
        <f>$O$262*$X$262</f>
        <v>209960.258004</v>
      </c>
      <c r="AE262" s="6">
        <f>$K$262*$Y$262</f>
        <v>0</v>
      </c>
      <c r="AF262" s="6">
        <f ca="1">$M$262*$Z$262</f>
        <v>96951.353824709237</v>
      </c>
      <c r="AG262" s="6">
        <f>$O$262*$AA$262</f>
        <v>204244.25534862926</v>
      </c>
    </row>
    <row r="263" spans="1:33" ht="11.25" customHeight="1" x14ac:dyDescent="0.25">
      <c r="A263" s="4" t="s">
        <v>21</v>
      </c>
      <c r="B263" s="4" t="s">
        <v>33</v>
      </c>
      <c r="C263" s="4" t="s">
        <v>34</v>
      </c>
      <c r="D263" s="4" t="s">
        <v>41</v>
      </c>
      <c r="E263" s="4" t="s">
        <v>50</v>
      </c>
      <c r="F263" s="4" t="s">
        <v>52</v>
      </c>
      <c r="G263" s="4" t="s">
        <v>25</v>
      </c>
      <c r="H263" s="4" t="s">
        <v>36</v>
      </c>
      <c r="I263" s="5">
        <v>44531</v>
      </c>
      <c r="J263" s="6">
        <v>0</v>
      </c>
      <c r="K263" s="6">
        <v>0</v>
      </c>
      <c r="L263" s="6">
        <v>2618.0569999999998</v>
      </c>
      <c r="M263" s="6">
        <v>785.4171</v>
      </c>
      <c r="N263" s="6">
        <v>2618.0569999999998</v>
      </c>
      <c r="O263" s="6">
        <v>785.4171</v>
      </c>
      <c r="P263" s="6">
        <v>0</v>
      </c>
      <c r="Q263" s="4" t="s">
        <v>26</v>
      </c>
      <c r="R263" s="4">
        <v>0</v>
      </c>
      <c r="S263" s="6">
        <v>0</v>
      </c>
      <c r="T263" s="6">
        <v>47</v>
      </c>
      <c r="U263" s="6">
        <v>27</v>
      </c>
      <c r="V263" s="6">
        <f>IF(ISERROR(VLOOKUP($S$263,'TAR FIN'!$A$1:$O$85,15,0)),0,VLOOKUP($S$263,'TAR FIN'!$A$1:$O$85,15,0))</f>
        <v>0</v>
      </c>
      <c r="W263" s="6">
        <f>IF(ISERROR(VLOOKUP($T$263,'TAR FIN'!$A$1:$O$85,15,0)),0,VLOOKUP($T$263,'TAR FIN'!$A$1:$O$85,15,0))</f>
        <v>72.23</v>
      </c>
      <c r="X263" s="6">
        <f>IF(ISERROR(VLOOKUP($U$263,'TAR FIN'!$A$1:$O$85,15,0)),0,VLOOKUP($U$263,'TAR FIN'!$A$1:$O$85,15,0))</f>
        <v>223.72</v>
      </c>
      <c r="Y263" s="6"/>
      <c r="Z263" s="6">
        <f ca="1">('TUSD BE'!$AM$12+'TUSD BF'!$AM$12+'TUSD CVA'!$AM$12)*1</f>
        <v>103.30505917577378</v>
      </c>
      <c r="AA263" s="6">
        <f>('TE BE'!$AA$6+'TE BF'!$AA$6+'TE CVA'!$AA$6)*1</f>
        <v>217.62939920622892</v>
      </c>
      <c r="AB263" s="6">
        <f>$K$263*$V$263</f>
        <v>0</v>
      </c>
      <c r="AC263" s="6">
        <f>$M$263*$W$263</f>
        <v>56730.677133000005</v>
      </c>
      <c r="AD263" s="6">
        <f>$O$263*$X$263</f>
        <v>175713.51361200001</v>
      </c>
      <c r="AE263" s="6">
        <f>$K$263*$Y$263</f>
        <v>0</v>
      </c>
      <c r="AF263" s="6">
        <f ca="1">$M$263*$Z$263</f>
        <v>81137.559993164628</v>
      </c>
      <c r="AG263" s="6">
        <f>$O$263*$AA$263</f>
        <v>170929.85159929862</v>
      </c>
    </row>
    <row r="264" spans="1:33" ht="11.25" customHeight="1" x14ac:dyDescent="0.25">
      <c r="A264" s="4" t="s">
        <v>21</v>
      </c>
      <c r="B264" s="4" t="s">
        <v>33</v>
      </c>
      <c r="C264" s="4" t="s">
        <v>34</v>
      </c>
      <c r="D264" s="4" t="s">
        <v>41</v>
      </c>
      <c r="E264" s="4" t="s">
        <v>50</v>
      </c>
      <c r="F264" s="4" t="s">
        <v>52</v>
      </c>
      <c r="G264" s="4" t="s">
        <v>25</v>
      </c>
      <c r="H264" s="4" t="s">
        <v>36</v>
      </c>
      <c r="I264" s="5">
        <v>44562</v>
      </c>
      <c r="J264" s="6">
        <v>0</v>
      </c>
      <c r="K264" s="6">
        <v>0</v>
      </c>
      <c r="L264" s="6">
        <v>1408.03</v>
      </c>
      <c r="M264" s="6">
        <v>422.40899999999999</v>
      </c>
      <c r="N264" s="6">
        <v>1408.03</v>
      </c>
      <c r="O264" s="6">
        <v>422.40899999999999</v>
      </c>
      <c r="P264" s="6">
        <v>0</v>
      </c>
      <c r="Q264" s="4" t="s">
        <v>26</v>
      </c>
      <c r="R264" s="4">
        <v>0</v>
      </c>
      <c r="S264" s="6">
        <v>0</v>
      </c>
      <c r="T264" s="6">
        <v>47</v>
      </c>
      <c r="U264" s="6">
        <v>27</v>
      </c>
      <c r="V264" s="6">
        <f>IF(ISERROR(VLOOKUP($S$264,'TAR FIN'!$A$1:$O$85,15,0)),0,VLOOKUP($S$264,'TAR FIN'!$A$1:$O$85,15,0))</f>
        <v>0</v>
      </c>
      <c r="W264" s="6">
        <f>IF(ISERROR(VLOOKUP($T$264,'TAR FIN'!$A$1:$O$85,15,0)),0,VLOOKUP($T$264,'TAR FIN'!$A$1:$O$85,15,0))</f>
        <v>72.23</v>
      </c>
      <c r="X264" s="6">
        <f>IF(ISERROR(VLOOKUP($U$264,'TAR FIN'!$A$1:$O$85,15,0)),0,VLOOKUP($U$264,'TAR FIN'!$A$1:$O$85,15,0))</f>
        <v>223.72</v>
      </c>
      <c r="Y264" s="6"/>
      <c r="Z264" s="6">
        <f ca="1">('TUSD BE'!$AM$12+'TUSD BF'!$AM$12+'TUSD CVA'!$AM$12)*1</f>
        <v>103.30505917577378</v>
      </c>
      <c r="AA264" s="6">
        <f>('TE BE'!$AA$6+'TE BF'!$AA$6+'TE CVA'!$AA$6)*1</f>
        <v>217.62939920622892</v>
      </c>
      <c r="AB264" s="6">
        <f>$K$264*$V$264</f>
        <v>0</v>
      </c>
      <c r="AC264" s="6">
        <f>$M$264*$W$264</f>
        <v>30510.602070000001</v>
      </c>
      <c r="AD264" s="6">
        <f>$O$264*$X$264</f>
        <v>94501.341480000003</v>
      </c>
      <c r="AE264" s="6">
        <f>$K$264*$Y$264</f>
        <v>0</v>
      </c>
      <c r="AF264" s="6">
        <f ca="1">$M$264*$Z$264</f>
        <v>43636.986741379427</v>
      </c>
      <c r="AG264" s="6">
        <f>$O$264*$AA$264</f>
        <v>91928.616889303958</v>
      </c>
    </row>
    <row r="265" spans="1:33" ht="11.25" customHeight="1" x14ac:dyDescent="0.25">
      <c r="A265" s="4" t="s">
        <v>21</v>
      </c>
      <c r="B265" s="4" t="s">
        <v>33</v>
      </c>
      <c r="C265" s="4" t="s">
        <v>34</v>
      </c>
      <c r="D265" s="4" t="s">
        <v>41</v>
      </c>
      <c r="E265" s="4" t="s">
        <v>50</v>
      </c>
      <c r="F265" s="4" t="s">
        <v>52</v>
      </c>
      <c r="G265" s="4" t="s">
        <v>25</v>
      </c>
      <c r="H265" s="4" t="s">
        <v>36</v>
      </c>
      <c r="I265" s="5">
        <v>44593</v>
      </c>
      <c r="J265" s="6">
        <v>0</v>
      </c>
      <c r="K265" s="6">
        <v>0</v>
      </c>
      <c r="L265" s="6">
        <v>2469.1060000000002</v>
      </c>
      <c r="M265" s="6">
        <v>740.73180000000002</v>
      </c>
      <c r="N265" s="6">
        <v>2469.1060000000002</v>
      </c>
      <c r="O265" s="6">
        <v>740.73180000000002</v>
      </c>
      <c r="P265" s="6">
        <v>0</v>
      </c>
      <c r="Q265" s="4" t="s">
        <v>26</v>
      </c>
      <c r="R265" s="4">
        <v>0</v>
      </c>
      <c r="S265" s="6">
        <v>0</v>
      </c>
      <c r="T265" s="6">
        <v>47</v>
      </c>
      <c r="U265" s="6">
        <v>27</v>
      </c>
      <c r="V265" s="6">
        <f>IF(ISERROR(VLOOKUP($S$265,'TAR FIN'!$A$1:$O$85,15,0)),0,VLOOKUP($S$265,'TAR FIN'!$A$1:$O$85,15,0))</f>
        <v>0</v>
      </c>
      <c r="W265" s="6">
        <f>IF(ISERROR(VLOOKUP($T$265,'TAR FIN'!$A$1:$O$85,15,0)),0,VLOOKUP($T$265,'TAR FIN'!$A$1:$O$85,15,0))</f>
        <v>72.23</v>
      </c>
      <c r="X265" s="6">
        <f>IF(ISERROR(VLOOKUP($U$265,'TAR FIN'!$A$1:$O$85,15,0)),0,VLOOKUP($U$265,'TAR FIN'!$A$1:$O$85,15,0))</f>
        <v>223.72</v>
      </c>
      <c r="Y265" s="6"/>
      <c r="Z265" s="6">
        <f ca="1">('TUSD BE'!$AM$12+'TUSD BF'!$AM$12+'TUSD CVA'!$AM$12)*1</f>
        <v>103.30505917577378</v>
      </c>
      <c r="AA265" s="6">
        <f>('TE BE'!$AA$6+'TE BF'!$AA$6+'TE CVA'!$AA$6)*1</f>
        <v>217.62939920622892</v>
      </c>
      <c r="AB265" s="6">
        <f>$K$265*$V$265</f>
        <v>0</v>
      </c>
      <c r="AC265" s="6">
        <f>$M$265*$W$265</f>
        <v>53503.057914000005</v>
      </c>
      <c r="AD265" s="6">
        <f>$O$265*$X$265</f>
        <v>165716.51829599999</v>
      </c>
      <c r="AE265" s="6">
        <f>$K$265*$Y$265</f>
        <v>0</v>
      </c>
      <c r="AF265" s="6">
        <f ca="1">$M$265*$Z$265</f>
        <v>76521.342432377423</v>
      </c>
      <c r="AG265" s="6">
        <f>$O$265*$AA$265</f>
        <v>161205.01660694851</v>
      </c>
    </row>
    <row r="266" spans="1:33" ht="11.25" customHeight="1" x14ac:dyDescent="0.25">
      <c r="A266" s="4" t="s">
        <v>54</v>
      </c>
      <c r="B266" s="4" t="s">
        <v>33</v>
      </c>
      <c r="C266" s="4" t="s">
        <v>34</v>
      </c>
      <c r="D266" s="4" t="s">
        <v>41</v>
      </c>
      <c r="E266" s="4" t="s">
        <v>50</v>
      </c>
      <c r="F266" s="4" t="s">
        <v>52</v>
      </c>
      <c r="G266" s="4" t="s">
        <v>25</v>
      </c>
      <c r="H266" s="4" t="s">
        <v>36</v>
      </c>
      <c r="I266" s="5">
        <v>44621</v>
      </c>
      <c r="J266" s="6">
        <v>0</v>
      </c>
      <c r="K266" s="6">
        <v>0</v>
      </c>
      <c r="L266" s="6">
        <v>2469.1060000000002</v>
      </c>
      <c r="M266" s="6">
        <v>740.73180000000002</v>
      </c>
      <c r="N266" s="6">
        <v>2469.1060000000002</v>
      </c>
      <c r="O266" s="6">
        <v>740.73180000000002</v>
      </c>
      <c r="P266" s="6">
        <v>0</v>
      </c>
      <c r="Q266" s="4" t="s">
        <v>26</v>
      </c>
      <c r="R266" s="4">
        <v>0</v>
      </c>
      <c r="S266" s="6">
        <v>0</v>
      </c>
      <c r="T266" s="6">
        <v>47</v>
      </c>
      <c r="U266" s="6">
        <v>27</v>
      </c>
      <c r="V266" s="6">
        <f>IF(ISERROR(VLOOKUP($S$266,'TAR FIN'!$A$1:$O$85,15,0)),0,VLOOKUP($S$266,'TAR FIN'!$A$1:$O$85,15,0))</f>
        <v>0</v>
      </c>
      <c r="W266" s="6">
        <f>IF(ISERROR(VLOOKUP($T$266,'TAR FIN'!$A$1:$O$85,15,0)),0,VLOOKUP($T$266,'TAR FIN'!$A$1:$O$85,15,0))</f>
        <v>72.23</v>
      </c>
      <c r="X266" s="6">
        <f>IF(ISERROR(VLOOKUP($U$266,'TAR FIN'!$A$1:$O$85,15,0)),0,VLOOKUP($U$266,'TAR FIN'!$A$1:$O$85,15,0))</f>
        <v>223.72</v>
      </c>
      <c r="Y266" s="6"/>
      <c r="Z266" s="6">
        <f ca="1">('TUSD BE'!$AM$12+'TUSD BF'!$AM$12+'TUSD CVA'!$AM$12)*1</f>
        <v>103.30505917577378</v>
      </c>
      <c r="AA266" s="6">
        <f>('TE BE'!$AA$6+'TE BF'!$AA$6+'TE CVA'!$AA$6)*1</f>
        <v>217.62939920622892</v>
      </c>
      <c r="AB266" s="6">
        <f>$K$266*$V$266</f>
        <v>0</v>
      </c>
      <c r="AC266" s="6">
        <f>$M$266*$W$266</f>
        <v>53503.057914000005</v>
      </c>
      <c r="AD266" s="6">
        <f>$O$266*$X$266</f>
        <v>165716.51829599999</v>
      </c>
      <c r="AE266" s="6">
        <f>$K$266*$Y$266</f>
        <v>0</v>
      </c>
      <c r="AF266" s="6">
        <f ca="1">$M$266*$Z$266</f>
        <v>76521.342432377423</v>
      </c>
      <c r="AG266" s="6">
        <f>$O$266*$AA$266</f>
        <v>161205.01660694851</v>
      </c>
    </row>
    <row r="267" spans="1:33" ht="11.25" customHeight="1" x14ac:dyDescent="0.25">
      <c r="A267" s="4" t="s">
        <v>21</v>
      </c>
      <c r="B267" s="4" t="s">
        <v>33</v>
      </c>
      <c r="C267" s="4" t="s">
        <v>34</v>
      </c>
      <c r="D267" s="4" t="s">
        <v>41</v>
      </c>
      <c r="E267" s="4" t="s">
        <v>50</v>
      </c>
      <c r="F267" s="4" t="s">
        <v>25</v>
      </c>
      <c r="G267" s="4" t="s">
        <v>25</v>
      </c>
      <c r="H267" s="4" t="s">
        <v>36</v>
      </c>
      <c r="I267" s="5">
        <v>44287</v>
      </c>
      <c r="J267" s="6">
        <v>0</v>
      </c>
      <c r="K267" s="70">
        <v>0</v>
      </c>
      <c r="L267" s="6">
        <v>3909.1790000000001</v>
      </c>
      <c r="M267" s="70">
        <v>3909.1790000000001</v>
      </c>
      <c r="N267" s="6">
        <v>3909.1790000000001</v>
      </c>
      <c r="O267" s="70">
        <v>3909.1790000000001</v>
      </c>
      <c r="P267" s="6">
        <v>0</v>
      </c>
      <c r="Q267" s="4" t="s">
        <v>26</v>
      </c>
      <c r="R267" s="4">
        <v>0</v>
      </c>
      <c r="S267" s="6">
        <v>0</v>
      </c>
      <c r="T267" s="6">
        <v>47</v>
      </c>
      <c r="U267" s="6">
        <v>27</v>
      </c>
      <c r="V267" s="70">
        <f>IF(ISERROR(VLOOKUP($S$267,'TAR FIN'!$A$1:$O$85,15,0)),0,VLOOKUP($S$267,'TAR FIN'!$A$1:$O$85,15,0))</f>
        <v>0</v>
      </c>
      <c r="W267" s="70">
        <f>IF(ISERROR(VLOOKUP($T$267,'TAR FIN'!$A$1:$O$85,15,0)),0,VLOOKUP($T$267,'TAR FIN'!$A$1:$O$85,15,0))*(1-0.04)</f>
        <v>69.340800000000002</v>
      </c>
      <c r="X267" s="70">
        <f>IF(ISERROR(VLOOKUP($U$267,'TAR FIN'!$A$1:$O$85,15,0)),0,VLOOKUP($U$267,'TAR FIN'!$A$1:$O$85,15,0))*(1-0.04)</f>
        <v>214.77119999999999</v>
      </c>
      <c r="Y267" s="70"/>
      <c r="Z267" s="70">
        <f ca="1">('TUSD BE'!$AM$12+'TUSD BF'!$AM$12+'TUSD CVA'!$AM$12)*1*(1-0.02)</f>
        <v>101.23895799225831</v>
      </c>
      <c r="AA267" s="70">
        <f>('TE BE'!$AA$6+'TE BF'!$AA$6+'TE CVA'!$AA$6)*1*(1-0.02)</f>
        <v>213.27681122210436</v>
      </c>
      <c r="AB267" s="6">
        <f>$K$267*$V$267</f>
        <v>0</v>
      </c>
      <c r="AC267" s="6">
        <f>$M$267*$W$267</f>
        <v>271065.59920320002</v>
      </c>
      <c r="AD267" s="6">
        <f>$O$267*$X$267</f>
        <v>839579.06484480004</v>
      </c>
      <c r="AE267" s="6">
        <f>$K$267*$Y$267</f>
        <v>0</v>
      </c>
      <c r="AF267" s="6">
        <f ca="1">$M$267*$Z$267</f>
        <v>395761.20856521832</v>
      </c>
      <c r="AG267" s="6">
        <f>$O$267*$AA$267</f>
        <v>833737.23161641473</v>
      </c>
    </row>
    <row r="268" spans="1:33" ht="11.25" customHeight="1" x14ac:dyDescent="0.25">
      <c r="A268" s="4" t="s">
        <v>21</v>
      </c>
      <c r="B268" s="4" t="s">
        <v>33</v>
      </c>
      <c r="C268" s="4" t="s">
        <v>34</v>
      </c>
      <c r="D268" s="4" t="s">
        <v>41</v>
      </c>
      <c r="E268" s="4" t="s">
        <v>50</v>
      </c>
      <c r="F268" s="4" t="s">
        <v>25</v>
      </c>
      <c r="G268" s="4" t="s">
        <v>25</v>
      </c>
      <c r="H268" s="4" t="s">
        <v>36</v>
      </c>
      <c r="I268" s="5">
        <v>44317</v>
      </c>
      <c r="J268" s="6">
        <v>0</v>
      </c>
      <c r="K268" s="70">
        <v>0</v>
      </c>
      <c r="L268" s="6">
        <v>3215.9920000000002</v>
      </c>
      <c r="M268" s="70">
        <v>3215.9920000000002</v>
      </c>
      <c r="N268" s="6">
        <v>3215.9920000000002</v>
      </c>
      <c r="O268" s="70">
        <v>3215.9920000000002</v>
      </c>
      <c r="P268" s="6">
        <v>0</v>
      </c>
      <c r="Q268" s="4" t="s">
        <v>26</v>
      </c>
      <c r="R268" s="4">
        <v>0</v>
      </c>
      <c r="S268" s="6">
        <v>0</v>
      </c>
      <c r="T268" s="6">
        <v>47</v>
      </c>
      <c r="U268" s="6">
        <v>27</v>
      </c>
      <c r="V268" s="70">
        <f>IF(ISERROR(VLOOKUP($S$268,'TAR FIN'!$A$1:$O$85,15,0)),0,VLOOKUP($S$268,'TAR FIN'!$A$1:$O$85,15,0))</f>
        <v>0</v>
      </c>
      <c r="W268" s="70">
        <f>IF(ISERROR(VLOOKUP($T$268,'TAR FIN'!$A$1:$O$85,15,0)),0,VLOOKUP($T$268,'TAR FIN'!$A$1:$O$85,15,0))*(1-0.04)</f>
        <v>69.340800000000002</v>
      </c>
      <c r="X268" s="70">
        <f>IF(ISERROR(VLOOKUP($U$268,'TAR FIN'!$A$1:$O$85,15,0)),0,VLOOKUP($U$268,'TAR FIN'!$A$1:$O$85,15,0))*(1-0.04)</f>
        <v>214.77119999999999</v>
      </c>
      <c r="Y268" s="70"/>
      <c r="Z268" s="70">
        <f ca="1">('TUSD BE'!$AM$12+'TUSD BF'!$AM$12+'TUSD CVA'!$AM$12)*1*(1-0.02)</f>
        <v>101.23895799225831</v>
      </c>
      <c r="AA268" s="70">
        <f>('TE BE'!$AA$6+'TE BF'!$AA$6+'TE CVA'!$AA$6)*1*(1-0.02)</f>
        <v>213.27681122210436</v>
      </c>
      <c r="AB268" s="6">
        <f>$K$268*$V$268</f>
        <v>0</v>
      </c>
      <c r="AC268" s="6">
        <f>$M$268*$W$268</f>
        <v>222999.45807360002</v>
      </c>
      <c r="AD268" s="6">
        <f>$O$268*$X$268</f>
        <v>690702.46103040001</v>
      </c>
      <c r="AE268" s="6">
        <f>$K$268*$Y$268</f>
        <v>0</v>
      </c>
      <c r="AF268" s="6">
        <f ca="1">$M$268*$Z$268</f>
        <v>325583.67899143882</v>
      </c>
      <c r="AG268" s="6">
        <f>$O$268*$AA$268</f>
        <v>685896.51867579785</v>
      </c>
    </row>
    <row r="269" spans="1:33" ht="11.25" customHeight="1" x14ac:dyDescent="0.25">
      <c r="A269" s="4" t="s">
        <v>21</v>
      </c>
      <c r="B269" s="4" t="s">
        <v>33</v>
      </c>
      <c r="C269" s="4" t="s">
        <v>34</v>
      </c>
      <c r="D269" s="4" t="s">
        <v>41</v>
      </c>
      <c r="E269" s="4" t="s">
        <v>50</v>
      </c>
      <c r="F269" s="4" t="s">
        <v>25</v>
      </c>
      <c r="G269" s="4" t="s">
        <v>25</v>
      </c>
      <c r="H269" s="4" t="s">
        <v>36</v>
      </c>
      <c r="I269" s="5">
        <v>44348</v>
      </c>
      <c r="J269" s="6">
        <v>0</v>
      </c>
      <c r="K269" s="70">
        <v>0</v>
      </c>
      <c r="L269" s="6">
        <v>879.98299999999995</v>
      </c>
      <c r="M269" s="70">
        <v>879.98299999999995</v>
      </c>
      <c r="N269" s="6">
        <v>879.98299999999995</v>
      </c>
      <c r="O269" s="70">
        <v>879.98299999999995</v>
      </c>
      <c r="P269" s="6">
        <v>0</v>
      </c>
      <c r="Q269" s="4" t="s">
        <v>26</v>
      </c>
      <c r="R269" s="4">
        <v>0</v>
      </c>
      <c r="S269" s="6">
        <v>0</v>
      </c>
      <c r="T269" s="6">
        <v>47</v>
      </c>
      <c r="U269" s="6">
        <v>27</v>
      </c>
      <c r="V269" s="70">
        <f>IF(ISERROR(VLOOKUP($S$269,'TAR FIN'!$A$1:$O$85,15,0)),0,VLOOKUP($S$269,'TAR FIN'!$A$1:$O$85,15,0))</f>
        <v>0</v>
      </c>
      <c r="W269" s="70">
        <f>IF(ISERROR(VLOOKUP($T$269,'TAR FIN'!$A$1:$O$85,15,0)),0,VLOOKUP($T$269,'TAR FIN'!$A$1:$O$85,15,0))*(1-0.04)</f>
        <v>69.340800000000002</v>
      </c>
      <c r="X269" s="70">
        <f>IF(ISERROR(VLOOKUP($U$269,'TAR FIN'!$A$1:$O$85,15,0)),0,VLOOKUP($U$269,'TAR FIN'!$A$1:$O$85,15,0))*(1-0.04)</f>
        <v>214.77119999999999</v>
      </c>
      <c r="Y269" s="70"/>
      <c r="Z269" s="70">
        <f ca="1">('TUSD BE'!$AM$12+'TUSD BF'!$AM$12+'TUSD CVA'!$AM$12)*1*(1-0.02)</f>
        <v>101.23895799225831</v>
      </c>
      <c r="AA269" s="70">
        <f>('TE BE'!$AA$6+'TE BF'!$AA$6+'TE CVA'!$AA$6)*1*(1-0.02)</f>
        <v>213.27681122210436</v>
      </c>
      <c r="AB269" s="6">
        <f>$K$269*$V$269</f>
        <v>0</v>
      </c>
      <c r="AC269" s="6">
        <f>$M$269*$W$269</f>
        <v>61018.725206399999</v>
      </c>
      <c r="AD269" s="6">
        <f>$O$269*$X$269</f>
        <v>188995.00488959998</v>
      </c>
      <c r="AE269" s="6">
        <f>$K$269*$Y$269</f>
        <v>0</v>
      </c>
      <c r="AF269" s="6">
        <f ca="1">$M$269*$Z$269</f>
        <v>89088.561970901443</v>
      </c>
      <c r="AG269" s="6">
        <f>$O$269*$AA$269</f>
        <v>187679.96816966104</v>
      </c>
    </row>
    <row r="270" spans="1:33" ht="11.25" customHeight="1" x14ac:dyDescent="0.25">
      <c r="A270" s="4" t="s">
        <v>28</v>
      </c>
      <c r="B270" s="4" t="s">
        <v>33</v>
      </c>
      <c r="C270" s="4" t="s">
        <v>34</v>
      </c>
      <c r="D270" s="4" t="s">
        <v>41</v>
      </c>
      <c r="E270" s="4" t="s">
        <v>50</v>
      </c>
      <c r="F270" s="4" t="s">
        <v>25</v>
      </c>
      <c r="G270" s="4" t="s">
        <v>25</v>
      </c>
      <c r="H270" s="4" t="s">
        <v>36</v>
      </c>
      <c r="I270" s="5">
        <v>44348</v>
      </c>
      <c r="J270" s="6">
        <v>0</v>
      </c>
      <c r="K270" s="70">
        <v>0</v>
      </c>
      <c r="L270" s="6">
        <v>0.89900000000000002</v>
      </c>
      <c r="M270" s="70">
        <v>0.89900000000000002</v>
      </c>
      <c r="N270" s="6">
        <v>0.89900000000000002</v>
      </c>
      <c r="O270" s="70">
        <v>0.89900000000000002</v>
      </c>
      <c r="P270" s="6">
        <v>0</v>
      </c>
      <c r="Q270" s="4" t="s">
        <v>26</v>
      </c>
      <c r="R270" s="4">
        <v>0</v>
      </c>
      <c r="S270" s="6">
        <v>0</v>
      </c>
      <c r="T270" s="6">
        <v>47</v>
      </c>
      <c r="U270" s="6">
        <v>27</v>
      </c>
      <c r="V270" s="70">
        <f>IF(ISERROR(VLOOKUP($S$270,'TAR FIN'!$A$1:$O$85,15,0)),0,VLOOKUP($S$270,'TAR FIN'!$A$1:$O$85,15,0))</f>
        <v>0</v>
      </c>
      <c r="W270" s="70">
        <f>IF(ISERROR(VLOOKUP($T$270,'TAR FIN'!$A$1:$O$85,15,0)),0,VLOOKUP($T$270,'TAR FIN'!$A$1:$O$85,15,0))*(1-0.04)</f>
        <v>69.340800000000002</v>
      </c>
      <c r="X270" s="70">
        <f>IF(ISERROR(VLOOKUP($U$270,'TAR FIN'!$A$1:$O$85,15,0)),0,VLOOKUP($U$270,'TAR FIN'!$A$1:$O$85,15,0))*(1-0.04)</f>
        <v>214.77119999999999</v>
      </c>
      <c r="Y270" s="70"/>
      <c r="Z270" s="70">
        <f ca="1">('TUSD BE'!$AM$12+'TUSD BF'!$AM$12+'TUSD CVA'!$AM$12)*1*(1-0.02)</f>
        <v>101.23895799225831</v>
      </c>
      <c r="AA270" s="70">
        <f>('TE BE'!$AA$6+'TE BF'!$AA$6+'TE CVA'!$AA$6)*1*(1-0.02)</f>
        <v>213.27681122210436</v>
      </c>
      <c r="AB270" s="6">
        <f>$K$270*$V$270</f>
        <v>0</v>
      </c>
      <c r="AC270" s="6">
        <f>$M$270*$W$270</f>
        <v>62.337379200000001</v>
      </c>
      <c r="AD270" s="6">
        <f>$O$270*$X$270</f>
        <v>193.07930880000001</v>
      </c>
      <c r="AE270" s="6">
        <f>$K$270*$Y$270</f>
        <v>0</v>
      </c>
      <c r="AF270" s="6">
        <f ca="1">$M$270*$Z$270</f>
        <v>91.013823235040221</v>
      </c>
      <c r="AG270" s="6">
        <f>$O$270*$AA$270</f>
        <v>191.73585328867182</v>
      </c>
    </row>
    <row r="271" spans="1:33" ht="11.25" customHeight="1" x14ac:dyDescent="0.25">
      <c r="A271" s="4" t="s">
        <v>21</v>
      </c>
      <c r="B271" s="4" t="s">
        <v>33</v>
      </c>
      <c r="C271" s="4" t="s">
        <v>34</v>
      </c>
      <c r="D271" s="4" t="s">
        <v>41</v>
      </c>
      <c r="E271" s="4" t="s">
        <v>50</v>
      </c>
      <c r="F271" s="4" t="s">
        <v>25</v>
      </c>
      <c r="G271" s="4" t="s">
        <v>25</v>
      </c>
      <c r="H271" s="4" t="s">
        <v>36</v>
      </c>
      <c r="I271" s="5">
        <v>44378</v>
      </c>
      <c r="J271" s="6">
        <v>0</v>
      </c>
      <c r="K271" s="70">
        <v>0</v>
      </c>
      <c r="L271" s="6">
        <v>1818.075</v>
      </c>
      <c r="M271" s="70">
        <v>1818.075</v>
      </c>
      <c r="N271" s="6">
        <v>1818.075</v>
      </c>
      <c r="O271" s="70">
        <v>1818.075</v>
      </c>
      <c r="P271" s="6">
        <v>0</v>
      </c>
      <c r="Q271" s="4" t="s">
        <v>26</v>
      </c>
      <c r="R271" s="4">
        <v>0</v>
      </c>
      <c r="S271" s="6">
        <v>0</v>
      </c>
      <c r="T271" s="6">
        <v>47</v>
      </c>
      <c r="U271" s="6">
        <v>27</v>
      </c>
      <c r="V271" s="70">
        <f>IF(ISERROR(VLOOKUP($S$271,'TAR FIN'!$A$1:$O$85,15,0)),0,VLOOKUP($S$271,'TAR FIN'!$A$1:$O$85,15,0))</f>
        <v>0</v>
      </c>
      <c r="W271" s="70">
        <f>IF(ISERROR(VLOOKUP($T$271,'TAR FIN'!$A$1:$O$85,15,0)),0,VLOOKUP($T$271,'TAR FIN'!$A$1:$O$85,15,0))*(1-0.04)</f>
        <v>69.340800000000002</v>
      </c>
      <c r="X271" s="70">
        <f>IF(ISERROR(VLOOKUP($U$271,'TAR FIN'!$A$1:$O$85,15,0)),0,VLOOKUP($U$271,'TAR FIN'!$A$1:$O$85,15,0))*(1-0.04)</f>
        <v>214.77119999999999</v>
      </c>
      <c r="Y271" s="70"/>
      <c r="Z271" s="70">
        <f ca="1">('TUSD BE'!$AM$12+'TUSD BF'!$AM$12+'TUSD CVA'!$AM$12)*1*(1-0.02)</f>
        <v>101.23895799225831</v>
      </c>
      <c r="AA271" s="70">
        <f>('TE BE'!$AA$6+'TE BF'!$AA$6+'TE CVA'!$AA$6)*1*(1-0.02)</f>
        <v>213.27681122210436</v>
      </c>
      <c r="AB271" s="6">
        <f>$K$271*$V$271</f>
        <v>0</v>
      </c>
      <c r="AC271" s="6">
        <f>$M$271*$W$271</f>
        <v>126066.77496000001</v>
      </c>
      <c r="AD271" s="6">
        <f>$O$271*$X$271</f>
        <v>390470.14944000001</v>
      </c>
      <c r="AE271" s="6">
        <f>$K$271*$Y$271</f>
        <v>0</v>
      </c>
      <c r="AF271" s="6">
        <f ca="1">$M$271*$Z$271</f>
        <v>184060.01855177502</v>
      </c>
      <c r="AG271" s="6">
        <f>$O$271*$AA$271</f>
        <v>387753.2385626274</v>
      </c>
    </row>
    <row r="272" spans="1:33" ht="11.25" customHeight="1" x14ac:dyDescent="0.25">
      <c r="A272" s="4" t="s">
        <v>28</v>
      </c>
      <c r="B272" s="4" t="s">
        <v>33</v>
      </c>
      <c r="C272" s="4" t="s">
        <v>34</v>
      </c>
      <c r="D272" s="4" t="s">
        <v>41</v>
      </c>
      <c r="E272" s="4" t="s">
        <v>50</v>
      </c>
      <c r="F272" s="4" t="s">
        <v>25</v>
      </c>
      <c r="G272" s="4" t="s">
        <v>25</v>
      </c>
      <c r="H272" s="4" t="s">
        <v>36</v>
      </c>
      <c r="I272" s="5">
        <v>44378</v>
      </c>
      <c r="J272" s="6">
        <v>0</v>
      </c>
      <c r="K272" s="70">
        <v>0</v>
      </c>
      <c r="L272" s="6">
        <v>5.8029999999999999</v>
      </c>
      <c r="M272" s="70">
        <v>5.8029999999999999</v>
      </c>
      <c r="N272" s="6">
        <v>5.8029999999999999</v>
      </c>
      <c r="O272" s="70">
        <v>5.8029999999999999</v>
      </c>
      <c r="P272" s="6">
        <v>0</v>
      </c>
      <c r="Q272" s="4" t="s">
        <v>26</v>
      </c>
      <c r="R272" s="4">
        <v>0</v>
      </c>
      <c r="S272" s="6">
        <v>0</v>
      </c>
      <c r="T272" s="6">
        <v>47</v>
      </c>
      <c r="U272" s="6">
        <v>27</v>
      </c>
      <c r="V272" s="70">
        <f>IF(ISERROR(VLOOKUP($S$272,'TAR FIN'!$A$1:$O$85,15,0)),0,VLOOKUP($S$272,'TAR FIN'!$A$1:$O$85,15,0))</f>
        <v>0</v>
      </c>
      <c r="W272" s="70">
        <f>IF(ISERROR(VLOOKUP($T$272,'TAR FIN'!$A$1:$O$85,15,0)),0,VLOOKUP($T$272,'TAR FIN'!$A$1:$O$85,15,0))*(1-0.04)</f>
        <v>69.340800000000002</v>
      </c>
      <c r="X272" s="70">
        <f>IF(ISERROR(VLOOKUP($U$272,'TAR FIN'!$A$1:$O$85,15,0)),0,VLOOKUP($U$272,'TAR FIN'!$A$1:$O$85,15,0))*(1-0.04)</f>
        <v>214.77119999999999</v>
      </c>
      <c r="Y272" s="70"/>
      <c r="Z272" s="70">
        <f ca="1">('TUSD BE'!$AM$12+'TUSD BF'!$AM$12+'TUSD CVA'!$AM$12)*1*(1-0.02)</f>
        <v>101.23895799225831</v>
      </c>
      <c r="AA272" s="70">
        <f>('TE BE'!$AA$6+'TE BF'!$AA$6+'TE CVA'!$AA$6)*1*(1-0.02)</f>
        <v>213.27681122210436</v>
      </c>
      <c r="AB272" s="6">
        <f>$K$272*$V$272</f>
        <v>0</v>
      </c>
      <c r="AC272" s="6">
        <f>$M$272*$W$272</f>
        <v>402.38466240000002</v>
      </c>
      <c r="AD272" s="6">
        <f>$O$272*$X$272</f>
        <v>1246.3172735999999</v>
      </c>
      <c r="AE272" s="6">
        <f>$K$272*$Y$272</f>
        <v>0</v>
      </c>
      <c r="AF272" s="6">
        <f ca="1">$M$272*$Z$272</f>
        <v>587.48967322907492</v>
      </c>
      <c r="AG272" s="6">
        <f>$O$272*$AA$272</f>
        <v>1237.6453355218716</v>
      </c>
    </row>
    <row r="273" spans="1:33" ht="11.25" customHeight="1" x14ac:dyDescent="0.25">
      <c r="A273" s="4" t="s">
        <v>21</v>
      </c>
      <c r="B273" s="4" t="s">
        <v>33</v>
      </c>
      <c r="C273" s="4" t="s">
        <v>34</v>
      </c>
      <c r="D273" s="4" t="s">
        <v>41</v>
      </c>
      <c r="E273" s="4" t="s">
        <v>50</v>
      </c>
      <c r="F273" s="4" t="s">
        <v>25</v>
      </c>
      <c r="G273" s="4" t="s">
        <v>25</v>
      </c>
      <c r="H273" s="4" t="s">
        <v>36</v>
      </c>
      <c r="I273" s="5">
        <v>44409</v>
      </c>
      <c r="J273" s="6">
        <v>0</v>
      </c>
      <c r="K273" s="70">
        <v>0</v>
      </c>
      <c r="L273" s="6">
        <v>2998.8490000000002</v>
      </c>
      <c r="M273" s="70">
        <v>2998.8490000000002</v>
      </c>
      <c r="N273" s="6">
        <v>2998.8490000000002</v>
      </c>
      <c r="O273" s="70">
        <v>2998.8490000000002</v>
      </c>
      <c r="P273" s="6">
        <v>0</v>
      </c>
      <c r="Q273" s="4" t="s">
        <v>26</v>
      </c>
      <c r="R273" s="4">
        <v>0</v>
      </c>
      <c r="S273" s="6">
        <v>0</v>
      </c>
      <c r="T273" s="6">
        <v>47</v>
      </c>
      <c r="U273" s="6">
        <v>27</v>
      </c>
      <c r="V273" s="70">
        <f>IF(ISERROR(VLOOKUP($S$273,'TAR FIN'!$A$1:$O$85,15,0)),0,VLOOKUP($S$273,'TAR FIN'!$A$1:$O$85,15,0))</f>
        <v>0</v>
      </c>
      <c r="W273" s="70">
        <f>IF(ISERROR(VLOOKUP($T$273,'TAR FIN'!$A$1:$O$85,15,0)),0,VLOOKUP($T$273,'TAR FIN'!$A$1:$O$85,15,0))*(1-0.04)</f>
        <v>69.340800000000002</v>
      </c>
      <c r="X273" s="70">
        <f>IF(ISERROR(VLOOKUP($U$273,'TAR FIN'!$A$1:$O$85,15,0)),0,VLOOKUP($U$273,'TAR FIN'!$A$1:$O$85,15,0))*(1-0.04)</f>
        <v>214.77119999999999</v>
      </c>
      <c r="Y273" s="70"/>
      <c r="Z273" s="70">
        <f ca="1">('TUSD BE'!$AM$12+'TUSD BF'!$AM$12+'TUSD CVA'!$AM$12)*1*(1-0.02)</f>
        <v>101.23895799225831</v>
      </c>
      <c r="AA273" s="70">
        <f>('TE BE'!$AA$6+'TE BF'!$AA$6+'TE CVA'!$AA$6)*1*(1-0.02)</f>
        <v>213.27681122210436</v>
      </c>
      <c r="AB273" s="6">
        <f>$K$273*$V$273</f>
        <v>0</v>
      </c>
      <c r="AC273" s="6">
        <f>$M$273*$W$273</f>
        <v>207942.58873920003</v>
      </c>
      <c r="AD273" s="6">
        <f>$O$273*$X$273</f>
        <v>644066.39834880002</v>
      </c>
      <c r="AE273" s="6">
        <f>$K$273*$Y$273</f>
        <v>0</v>
      </c>
      <c r="AF273" s="6">
        <f ca="1">$M$273*$Z$273</f>
        <v>303600.34793612582</v>
      </c>
      <c r="AG273" s="6">
        <f>$O$273*$AA$273</f>
        <v>639584.9520565964</v>
      </c>
    </row>
    <row r="274" spans="1:33" ht="11.25" customHeight="1" x14ac:dyDescent="0.25">
      <c r="A274" s="4" t="s">
        <v>21</v>
      </c>
      <c r="B274" s="4" t="s">
        <v>33</v>
      </c>
      <c r="C274" s="4" t="s">
        <v>34</v>
      </c>
      <c r="D274" s="4" t="s">
        <v>41</v>
      </c>
      <c r="E274" s="4" t="s">
        <v>50</v>
      </c>
      <c r="F274" s="4" t="s">
        <v>25</v>
      </c>
      <c r="G274" s="4" t="s">
        <v>25</v>
      </c>
      <c r="H274" s="4" t="s">
        <v>36</v>
      </c>
      <c r="I274" s="5">
        <v>44440</v>
      </c>
      <c r="J274" s="6">
        <v>0</v>
      </c>
      <c r="K274" s="70">
        <v>0</v>
      </c>
      <c r="L274" s="6">
        <v>3142.7460000000001</v>
      </c>
      <c r="M274" s="70">
        <v>3142.7460000000001</v>
      </c>
      <c r="N274" s="6">
        <v>3142.7460000000001</v>
      </c>
      <c r="O274" s="70">
        <v>3142.7460000000001</v>
      </c>
      <c r="P274" s="6">
        <v>0</v>
      </c>
      <c r="Q274" s="4" t="s">
        <v>26</v>
      </c>
      <c r="R274" s="4">
        <v>0</v>
      </c>
      <c r="S274" s="6">
        <v>0</v>
      </c>
      <c r="T274" s="6">
        <v>47</v>
      </c>
      <c r="U274" s="6">
        <v>27</v>
      </c>
      <c r="V274" s="70">
        <f>IF(ISERROR(VLOOKUP($S$274,'TAR FIN'!$A$1:$O$85,15,0)),0,VLOOKUP($S$274,'TAR FIN'!$A$1:$O$85,15,0))</f>
        <v>0</v>
      </c>
      <c r="W274" s="70">
        <f>IF(ISERROR(VLOOKUP($T$274,'TAR FIN'!$A$1:$O$85,15,0)),0,VLOOKUP($T$274,'TAR FIN'!$A$1:$O$85,15,0))*(1-0.04)</f>
        <v>69.340800000000002</v>
      </c>
      <c r="X274" s="70">
        <f>IF(ISERROR(VLOOKUP($U$274,'TAR FIN'!$A$1:$O$85,15,0)),0,VLOOKUP($U$274,'TAR FIN'!$A$1:$O$85,15,0))*(1-0.04)</f>
        <v>214.77119999999999</v>
      </c>
      <c r="Y274" s="70"/>
      <c r="Z274" s="70">
        <f ca="1">('TUSD BE'!$AM$12+'TUSD BF'!$AM$12+'TUSD CVA'!$AM$12)*1*(1-0.02)</f>
        <v>101.23895799225831</v>
      </c>
      <c r="AA274" s="70">
        <f>('TE BE'!$AA$6+'TE BF'!$AA$6+'TE CVA'!$AA$6)*1*(1-0.02)</f>
        <v>213.27681122210436</v>
      </c>
      <c r="AB274" s="6">
        <f>$K$274*$V$274</f>
        <v>0</v>
      </c>
      <c r="AC274" s="6">
        <f>$M$274*$W$274</f>
        <v>217920.52183680001</v>
      </c>
      <c r="AD274" s="6">
        <f>$O$274*$X$274</f>
        <v>674971.3297152</v>
      </c>
      <c r="AE274" s="6">
        <f>$K$274*$Y$274</f>
        <v>0</v>
      </c>
      <c r="AF274" s="6">
        <f ca="1">$M$274*$Z$274</f>
        <v>318168.33027433784</v>
      </c>
      <c r="AG274" s="6">
        <f>$O$274*$AA$274</f>
        <v>670274.84536102356</v>
      </c>
    </row>
    <row r="275" spans="1:33" ht="11.25" customHeight="1" x14ac:dyDescent="0.25">
      <c r="A275" s="4" t="s">
        <v>28</v>
      </c>
      <c r="B275" s="4" t="s">
        <v>33</v>
      </c>
      <c r="C275" s="4" t="s">
        <v>34</v>
      </c>
      <c r="D275" s="4" t="s">
        <v>41</v>
      </c>
      <c r="E275" s="4" t="s">
        <v>50</v>
      </c>
      <c r="F275" s="4" t="s">
        <v>25</v>
      </c>
      <c r="G275" s="4" t="s">
        <v>25</v>
      </c>
      <c r="H275" s="4" t="s">
        <v>36</v>
      </c>
      <c r="I275" s="5">
        <v>44440</v>
      </c>
      <c r="J275" s="6">
        <v>0</v>
      </c>
      <c r="K275" s="70">
        <v>0</v>
      </c>
      <c r="L275" s="6">
        <v>1.4750000000000001</v>
      </c>
      <c r="M275" s="70">
        <v>1.4750000000000001</v>
      </c>
      <c r="N275" s="6">
        <v>1.4750000000000001</v>
      </c>
      <c r="O275" s="70">
        <v>1.4750000000000001</v>
      </c>
      <c r="P275" s="6">
        <v>0</v>
      </c>
      <c r="Q275" s="4" t="s">
        <v>26</v>
      </c>
      <c r="R275" s="4">
        <v>0</v>
      </c>
      <c r="S275" s="6">
        <v>0</v>
      </c>
      <c r="T275" s="6">
        <v>47</v>
      </c>
      <c r="U275" s="6">
        <v>27</v>
      </c>
      <c r="V275" s="70">
        <f>IF(ISERROR(VLOOKUP($S$275,'TAR FIN'!$A$1:$O$85,15,0)),0,VLOOKUP($S$275,'TAR FIN'!$A$1:$O$85,15,0))</f>
        <v>0</v>
      </c>
      <c r="W275" s="70">
        <f>IF(ISERROR(VLOOKUP($T$275,'TAR FIN'!$A$1:$O$85,15,0)),0,VLOOKUP($T$275,'TAR FIN'!$A$1:$O$85,15,0))*(1-0.04)</f>
        <v>69.340800000000002</v>
      </c>
      <c r="X275" s="70">
        <f>IF(ISERROR(VLOOKUP($U$275,'TAR FIN'!$A$1:$O$85,15,0)),0,VLOOKUP($U$275,'TAR FIN'!$A$1:$O$85,15,0))*(1-0.04)</f>
        <v>214.77119999999999</v>
      </c>
      <c r="Y275" s="70"/>
      <c r="Z275" s="70">
        <f ca="1">('TUSD BE'!$AM$12+'TUSD BF'!$AM$12+'TUSD CVA'!$AM$12)*1*(1-0.02)</f>
        <v>101.23895799225831</v>
      </c>
      <c r="AA275" s="70">
        <f>('TE BE'!$AA$6+'TE BF'!$AA$6+'TE CVA'!$AA$6)*1*(1-0.02)</f>
        <v>213.27681122210436</v>
      </c>
      <c r="AB275" s="6">
        <f>$K$275*$V$275</f>
        <v>0</v>
      </c>
      <c r="AC275" s="6">
        <f>$M$275*$W$275</f>
        <v>102.27768</v>
      </c>
      <c r="AD275" s="6">
        <f>$O$275*$X$275</f>
        <v>316.78752000000003</v>
      </c>
      <c r="AE275" s="6">
        <f>$K$275*$Y$275</f>
        <v>0</v>
      </c>
      <c r="AF275" s="6">
        <f ca="1">$M$275*$Z$275</f>
        <v>149.32746303858102</v>
      </c>
      <c r="AG275" s="6">
        <f>$O$275*$AA$275</f>
        <v>314.58329655260394</v>
      </c>
    </row>
    <row r="276" spans="1:33" ht="11.25" customHeight="1" x14ac:dyDescent="0.25">
      <c r="A276" s="4" t="s">
        <v>21</v>
      </c>
      <c r="B276" s="4" t="s">
        <v>33</v>
      </c>
      <c r="C276" s="4" t="s">
        <v>34</v>
      </c>
      <c r="D276" s="4" t="s">
        <v>41</v>
      </c>
      <c r="E276" s="4" t="s">
        <v>50</v>
      </c>
      <c r="F276" s="4" t="s">
        <v>25</v>
      </c>
      <c r="G276" s="4" t="s">
        <v>25</v>
      </c>
      <c r="H276" s="4" t="s">
        <v>36</v>
      </c>
      <c r="I276" s="5">
        <v>44470</v>
      </c>
      <c r="J276" s="6">
        <v>0</v>
      </c>
      <c r="K276" s="70">
        <v>0</v>
      </c>
      <c r="L276" s="6">
        <v>2613.7330000000002</v>
      </c>
      <c r="M276" s="70">
        <v>2613.7330000000002</v>
      </c>
      <c r="N276" s="6">
        <v>2613.7330000000002</v>
      </c>
      <c r="O276" s="70">
        <v>2613.7330000000002</v>
      </c>
      <c r="P276" s="6">
        <v>0</v>
      </c>
      <c r="Q276" s="4" t="s">
        <v>26</v>
      </c>
      <c r="R276" s="4">
        <v>0</v>
      </c>
      <c r="S276" s="6">
        <v>0</v>
      </c>
      <c r="T276" s="6">
        <v>47</v>
      </c>
      <c r="U276" s="6">
        <v>27</v>
      </c>
      <c r="V276" s="70">
        <f>IF(ISERROR(VLOOKUP($S$276,'TAR FIN'!$A$1:$O$85,15,0)),0,VLOOKUP($S$276,'TAR FIN'!$A$1:$O$85,15,0))</f>
        <v>0</v>
      </c>
      <c r="W276" s="70">
        <f>IF(ISERROR(VLOOKUP($T$276,'TAR FIN'!$A$1:$O$85,15,0)),0,VLOOKUP($T$276,'TAR FIN'!$A$1:$O$85,15,0))*(1-0.04)</f>
        <v>69.340800000000002</v>
      </c>
      <c r="X276" s="70">
        <f>IF(ISERROR(VLOOKUP($U$276,'TAR FIN'!$A$1:$O$85,15,0)),0,VLOOKUP($U$276,'TAR FIN'!$A$1:$O$85,15,0))*(1-0.04)</f>
        <v>214.77119999999999</v>
      </c>
      <c r="Y276" s="70"/>
      <c r="Z276" s="70">
        <f ca="1">('TUSD BE'!$AM$12+'TUSD BF'!$AM$12+'TUSD CVA'!$AM$12)*1*(1-0.02)</f>
        <v>101.23895799225831</v>
      </c>
      <c r="AA276" s="70">
        <f>('TE BE'!$AA$6+'TE BF'!$AA$6+'TE CVA'!$AA$6)*1*(1-0.02)</f>
        <v>213.27681122210436</v>
      </c>
      <c r="AB276" s="6">
        <f>$K$276*$V$276</f>
        <v>0</v>
      </c>
      <c r="AC276" s="6">
        <f>$M$276*$W$276</f>
        <v>181238.33720640003</v>
      </c>
      <c r="AD276" s="6">
        <f>$O$276*$X$276</f>
        <v>561354.57288960007</v>
      </c>
      <c r="AE276" s="6">
        <f>$K$276*$Y$276</f>
        <v>0</v>
      </c>
      <c r="AF276" s="6">
        <f ca="1">$M$276*$Z$276</f>
        <v>264611.60538997932</v>
      </c>
      <c r="AG276" s="6">
        <f>$O$276*$AA$276</f>
        <v>557448.63962598448</v>
      </c>
    </row>
    <row r="277" spans="1:33" ht="11.25" customHeight="1" x14ac:dyDescent="0.25">
      <c r="A277" s="4" t="s">
        <v>28</v>
      </c>
      <c r="B277" s="4" t="s">
        <v>33</v>
      </c>
      <c r="C277" s="4" t="s">
        <v>34</v>
      </c>
      <c r="D277" s="4" t="s">
        <v>41</v>
      </c>
      <c r="E277" s="4" t="s">
        <v>50</v>
      </c>
      <c r="F277" s="4" t="s">
        <v>25</v>
      </c>
      <c r="G277" s="4" t="s">
        <v>25</v>
      </c>
      <c r="H277" s="4" t="s">
        <v>36</v>
      </c>
      <c r="I277" s="5">
        <v>44470</v>
      </c>
      <c r="J277" s="6">
        <v>0</v>
      </c>
      <c r="K277" s="70">
        <v>0</v>
      </c>
      <c r="L277" s="6">
        <v>7.3719999999999999</v>
      </c>
      <c r="M277" s="70">
        <v>7.3719999999999999</v>
      </c>
      <c r="N277" s="6">
        <v>7.3719999999999999</v>
      </c>
      <c r="O277" s="70">
        <v>7.3719999999999999</v>
      </c>
      <c r="P277" s="6">
        <v>0</v>
      </c>
      <c r="Q277" s="4" t="s">
        <v>26</v>
      </c>
      <c r="R277" s="4">
        <v>0</v>
      </c>
      <c r="S277" s="6">
        <v>0</v>
      </c>
      <c r="T277" s="6">
        <v>47</v>
      </c>
      <c r="U277" s="6">
        <v>27</v>
      </c>
      <c r="V277" s="70">
        <f>IF(ISERROR(VLOOKUP($S$277,'TAR FIN'!$A$1:$O$85,15,0)),0,VLOOKUP($S$277,'TAR FIN'!$A$1:$O$85,15,0))</f>
        <v>0</v>
      </c>
      <c r="W277" s="70">
        <f>IF(ISERROR(VLOOKUP($T$277,'TAR FIN'!$A$1:$O$85,15,0)),0,VLOOKUP($T$277,'TAR FIN'!$A$1:$O$85,15,0))*(1-0.04)</f>
        <v>69.340800000000002</v>
      </c>
      <c r="X277" s="70">
        <f>IF(ISERROR(VLOOKUP($U$277,'TAR FIN'!$A$1:$O$85,15,0)),0,VLOOKUP($U$277,'TAR FIN'!$A$1:$O$85,15,0))*(1-0.04)</f>
        <v>214.77119999999999</v>
      </c>
      <c r="Y277" s="70"/>
      <c r="Z277" s="70">
        <f ca="1">('TUSD BE'!$AM$12+'TUSD BF'!$AM$12+'TUSD CVA'!$AM$12)*1*(1-0.02)</f>
        <v>101.23895799225831</v>
      </c>
      <c r="AA277" s="70">
        <f>('TE BE'!$AA$6+'TE BF'!$AA$6+'TE CVA'!$AA$6)*1*(1-0.02)</f>
        <v>213.27681122210436</v>
      </c>
      <c r="AB277" s="6">
        <f>$K$277*$V$277</f>
        <v>0</v>
      </c>
      <c r="AC277" s="6">
        <f>$M$277*$W$277</f>
        <v>511.18037759999999</v>
      </c>
      <c r="AD277" s="6">
        <f>$O$277*$X$277</f>
        <v>1583.2932863999999</v>
      </c>
      <c r="AE277" s="6">
        <f>$K$277*$Y$277</f>
        <v>0</v>
      </c>
      <c r="AF277" s="6">
        <f ca="1">$M$277*$Z$277</f>
        <v>746.33359831892824</v>
      </c>
      <c r="AG277" s="6">
        <f>$O$277*$AA$277</f>
        <v>1572.2766523293533</v>
      </c>
    </row>
    <row r="278" spans="1:33" ht="11.25" customHeight="1" x14ac:dyDescent="0.25">
      <c r="A278" s="4" t="s">
        <v>21</v>
      </c>
      <c r="B278" s="4" t="s">
        <v>33</v>
      </c>
      <c r="C278" s="4" t="s">
        <v>34</v>
      </c>
      <c r="D278" s="4" t="s">
        <v>41</v>
      </c>
      <c r="E278" s="4" t="s">
        <v>50</v>
      </c>
      <c r="F278" s="4" t="s">
        <v>25</v>
      </c>
      <c r="G278" s="4" t="s">
        <v>25</v>
      </c>
      <c r="H278" s="4" t="s">
        <v>36</v>
      </c>
      <c r="I278" s="5">
        <v>44501</v>
      </c>
      <c r="J278" s="6">
        <v>0</v>
      </c>
      <c r="K278" s="70">
        <v>0</v>
      </c>
      <c r="L278" s="6">
        <v>4457.0309999999999</v>
      </c>
      <c r="M278" s="70">
        <v>4457.0309999999999</v>
      </c>
      <c r="N278" s="6">
        <v>4457.0309999999999</v>
      </c>
      <c r="O278" s="70">
        <v>4457.0309999999999</v>
      </c>
      <c r="P278" s="6">
        <v>0</v>
      </c>
      <c r="Q278" s="4" t="s">
        <v>26</v>
      </c>
      <c r="R278" s="4">
        <v>0</v>
      </c>
      <c r="S278" s="6">
        <v>0</v>
      </c>
      <c r="T278" s="6">
        <v>47</v>
      </c>
      <c r="U278" s="6">
        <v>27</v>
      </c>
      <c r="V278" s="70">
        <f>IF(ISERROR(VLOOKUP($S$278,'TAR FIN'!$A$1:$O$85,15,0)),0,VLOOKUP($S$278,'TAR FIN'!$A$1:$O$85,15,0))</f>
        <v>0</v>
      </c>
      <c r="W278" s="70">
        <f>IF(ISERROR(VLOOKUP($T$278,'TAR FIN'!$A$1:$O$85,15,0)),0,VLOOKUP($T$278,'TAR FIN'!$A$1:$O$85,15,0))*(1-0.04)</f>
        <v>69.340800000000002</v>
      </c>
      <c r="X278" s="70">
        <f>IF(ISERROR(VLOOKUP($U$278,'TAR FIN'!$A$1:$O$85,15,0)),0,VLOOKUP($U$278,'TAR FIN'!$A$1:$O$85,15,0))*(1-0.04)</f>
        <v>214.77119999999999</v>
      </c>
      <c r="Y278" s="70"/>
      <c r="Z278" s="70">
        <f ca="1">('TUSD BE'!$AM$12+'TUSD BF'!$AM$12+'TUSD CVA'!$AM$12)*1*(1-0.02)</f>
        <v>101.23895799225831</v>
      </c>
      <c r="AA278" s="70">
        <f>('TE BE'!$AA$6+'TE BF'!$AA$6+'TE CVA'!$AA$6)*1*(1-0.02)</f>
        <v>213.27681122210436</v>
      </c>
      <c r="AB278" s="6">
        <f>$K$278*$V$278</f>
        <v>0</v>
      </c>
      <c r="AC278" s="6">
        <f>$M$278*$W$278</f>
        <v>309054.0951648</v>
      </c>
      <c r="AD278" s="6">
        <f>$O$278*$X$278</f>
        <v>957241.89630719996</v>
      </c>
      <c r="AE278" s="6">
        <f>$K$278*$Y$278</f>
        <v>0</v>
      </c>
      <c r="AF278" s="6">
        <f ca="1">$M$278*$Z$278</f>
        <v>451225.17417919304</v>
      </c>
      <c r="AG278" s="6">
        <f>$O$278*$AA$278</f>
        <v>950581.35919806699</v>
      </c>
    </row>
    <row r="279" spans="1:33" ht="11.25" customHeight="1" x14ac:dyDescent="0.25">
      <c r="A279" s="4" t="s">
        <v>28</v>
      </c>
      <c r="B279" s="4" t="s">
        <v>33</v>
      </c>
      <c r="C279" s="4" t="s">
        <v>34</v>
      </c>
      <c r="D279" s="4" t="s">
        <v>41</v>
      </c>
      <c r="E279" s="4" t="s">
        <v>50</v>
      </c>
      <c r="F279" s="4" t="s">
        <v>25</v>
      </c>
      <c r="G279" s="4" t="s">
        <v>25</v>
      </c>
      <c r="H279" s="4" t="s">
        <v>36</v>
      </c>
      <c r="I279" s="5">
        <v>44501</v>
      </c>
      <c r="J279" s="6">
        <v>0</v>
      </c>
      <c r="K279" s="70">
        <v>0</v>
      </c>
      <c r="L279" s="6">
        <v>15.714</v>
      </c>
      <c r="M279" s="70">
        <v>15.714</v>
      </c>
      <c r="N279" s="6">
        <v>15.714</v>
      </c>
      <c r="O279" s="70">
        <v>15.714</v>
      </c>
      <c r="P279" s="6">
        <v>0</v>
      </c>
      <c r="Q279" s="4" t="s">
        <v>26</v>
      </c>
      <c r="R279" s="4">
        <v>0</v>
      </c>
      <c r="S279" s="6">
        <v>0</v>
      </c>
      <c r="T279" s="6">
        <v>47</v>
      </c>
      <c r="U279" s="6">
        <v>27</v>
      </c>
      <c r="V279" s="70">
        <f>IF(ISERROR(VLOOKUP($S$279,'TAR FIN'!$A$1:$O$85,15,0)),0,VLOOKUP($S$279,'TAR FIN'!$A$1:$O$85,15,0))</f>
        <v>0</v>
      </c>
      <c r="W279" s="70">
        <f>IF(ISERROR(VLOOKUP($T$279,'TAR FIN'!$A$1:$O$85,15,0)),0,VLOOKUP($T$279,'TAR FIN'!$A$1:$O$85,15,0))*(1-0.04)</f>
        <v>69.340800000000002</v>
      </c>
      <c r="X279" s="70">
        <f>IF(ISERROR(VLOOKUP($U$279,'TAR FIN'!$A$1:$O$85,15,0)),0,VLOOKUP($U$279,'TAR FIN'!$A$1:$O$85,15,0))*(1-0.04)</f>
        <v>214.77119999999999</v>
      </c>
      <c r="Y279" s="70"/>
      <c r="Z279" s="70">
        <f ca="1">('TUSD BE'!$AM$12+'TUSD BF'!$AM$12+'TUSD CVA'!$AM$12)*1*(1-0.02)</f>
        <v>101.23895799225831</v>
      </c>
      <c r="AA279" s="70">
        <f>('TE BE'!$AA$6+'TE BF'!$AA$6+'TE CVA'!$AA$6)*1*(1-0.02)</f>
        <v>213.27681122210436</v>
      </c>
      <c r="AB279" s="6">
        <f>$K$279*$V$279</f>
        <v>0</v>
      </c>
      <c r="AC279" s="6">
        <f>$M$279*$W$279</f>
        <v>1089.6213312</v>
      </c>
      <c r="AD279" s="6">
        <f>$O$279*$X$279</f>
        <v>3374.9146368000002</v>
      </c>
      <c r="AE279" s="6">
        <f>$K$279*$Y$279</f>
        <v>0</v>
      </c>
      <c r="AF279" s="6">
        <f ca="1">$M$279*$Z$279</f>
        <v>1590.8689858903472</v>
      </c>
      <c r="AG279" s="6">
        <f>$O$279*$AA$279</f>
        <v>3351.4318115441479</v>
      </c>
    </row>
    <row r="280" spans="1:33" ht="11.25" customHeight="1" x14ac:dyDescent="0.25">
      <c r="A280" s="4" t="s">
        <v>21</v>
      </c>
      <c r="B280" s="4" t="s">
        <v>33</v>
      </c>
      <c r="C280" s="4" t="s">
        <v>34</v>
      </c>
      <c r="D280" s="4" t="s">
        <v>41</v>
      </c>
      <c r="E280" s="4" t="s">
        <v>50</v>
      </c>
      <c r="F280" s="4" t="s">
        <v>25</v>
      </c>
      <c r="G280" s="4" t="s">
        <v>25</v>
      </c>
      <c r="H280" s="4" t="s">
        <v>36</v>
      </c>
      <c r="I280" s="5">
        <v>44531</v>
      </c>
      <c r="J280" s="6">
        <v>0</v>
      </c>
      <c r="K280" s="70">
        <v>0</v>
      </c>
      <c r="L280" s="6">
        <v>3668.5549999999998</v>
      </c>
      <c r="M280" s="70">
        <v>3668.5549999999998</v>
      </c>
      <c r="N280" s="6">
        <v>3668.5549999999998</v>
      </c>
      <c r="O280" s="70">
        <v>3668.5549999999998</v>
      </c>
      <c r="P280" s="6">
        <v>0</v>
      </c>
      <c r="Q280" s="4" t="s">
        <v>26</v>
      </c>
      <c r="R280" s="4">
        <v>0</v>
      </c>
      <c r="S280" s="6">
        <v>0</v>
      </c>
      <c r="T280" s="6">
        <v>47</v>
      </c>
      <c r="U280" s="6">
        <v>27</v>
      </c>
      <c r="V280" s="70">
        <f>IF(ISERROR(VLOOKUP($S$280,'TAR FIN'!$A$1:$O$85,15,0)),0,VLOOKUP($S$280,'TAR FIN'!$A$1:$O$85,15,0))</f>
        <v>0</v>
      </c>
      <c r="W280" s="70">
        <f>IF(ISERROR(VLOOKUP($T$280,'TAR FIN'!$A$1:$O$85,15,0)),0,VLOOKUP($T$280,'TAR FIN'!$A$1:$O$85,15,0))*(1-0.04)</f>
        <v>69.340800000000002</v>
      </c>
      <c r="X280" s="70">
        <f>IF(ISERROR(VLOOKUP($U$280,'TAR FIN'!$A$1:$O$85,15,0)),0,VLOOKUP($U$280,'TAR FIN'!$A$1:$O$85,15,0))*(1-0.04)</f>
        <v>214.77119999999999</v>
      </c>
      <c r="Y280" s="70"/>
      <c r="Z280" s="70">
        <f ca="1">('TUSD BE'!$AM$12+'TUSD BF'!$AM$12+'TUSD CVA'!$AM$12)*1*(1-0.02)</f>
        <v>101.23895799225831</v>
      </c>
      <c r="AA280" s="70">
        <f>('TE BE'!$AA$6+'TE BF'!$AA$6+'TE CVA'!$AA$6)*1*(1-0.02)</f>
        <v>213.27681122210436</v>
      </c>
      <c r="AB280" s="6">
        <f>$K$280*$V$280</f>
        <v>0</v>
      </c>
      <c r="AC280" s="6">
        <f>$M$280*$W$280</f>
        <v>254380.53854399998</v>
      </c>
      <c r="AD280" s="6">
        <f>$O$280*$X$280</f>
        <v>787899.95961599995</v>
      </c>
      <c r="AE280" s="6">
        <f>$K$280*$Y$280</f>
        <v>0</v>
      </c>
      <c r="AF280" s="6">
        <f ca="1">$M$280*$Z$280</f>
        <v>371400.68553728913</v>
      </c>
      <c r="AG280" s="6">
        <f>$O$280*$AA$280</f>
        <v>782417.712192907</v>
      </c>
    </row>
    <row r="281" spans="1:33" ht="11.25" customHeight="1" x14ac:dyDescent="0.25">
      <c r="A281" s="4" t="s">
        <v>27</v>
      </c>
      <c r="B281" s="4" t="s">
        <v>33</v>
      </c>
      <c r="C281" s="4" t="s">
        <v>34</v>
      </c>
      <c r="D281" s="4" t="s">
        <v>41</v>
      </c>
      <c r="E281" s="4" t="s">
        <v>50</v>
      </c>
      <c r="F281" s="4" t="s">
        <v>25</v>
      </c>
      <c r="G281" s="4" t="s">
        <v>25</v>
      </c>
      <c r="H281" s="4" t="s">
        <v>36</v>
      </c>
      <c r="I281" s="5">
        <v>44531</v>
      </c>
      <c r="J281" s="6">
        <v>0</v>
      </c>
      <c r="K281" s="70">
        <v>0</v>
      </c>
      <c r="L281" s="6">
        <v>1.665</v>
      </c>
      <c r="M281" s="70">
        <v>1.665</v>
      </c>
      <c r="N281" s="6">
        <v>1.665</v>
      </c>
      <c r="O281" s="70">
        <v>1.665</v>
      </c>
      <c r="P281" s="6">
        <v>0</v>
      </c>
      <c r="Q281" s="4" t="s">
        <v>26</v>
      </c>
      <c r="R281" s="4">
        <v>0</v>
      </c>
      <c r="S281" s="6">
        <v>0</v>
      </c>
      <c r="T281" s="6">
        <v>47</v>
      </c>
      <c r="U281" s="6">
        <v>27</v>
      </c>
      <c r="V281" s="70">
        <f>IF(ISERROR(VLOOKUP($S$281,'TAR FIN'!$A$1:$O$85,15,0)),0,VLOOKUP($S$281,'TAR FIN'!$A$1:$O$85,15,0))</f>
        <v>0</v>
      </c>
      <c r="W281" s="70">
        <f>IF(ISERROR(VLOOKUP($T$281,'TAR FIN'!$A$1:$O$85,15,0)),0,VLOOKUP($T$281,'TAR FIN'!$A$1:$O$85,15,0))*(1-0.04)</f>
        <v>69.340800000000002</v>
      </c>
      <c r="X281" s="70">
        <f>IF(ISERROR(VLOOKUP($U$281,'TAR FIN'!$A$1:$O$85,15,0)),0,VLOOKUP($U$281,'TAR FIN'!$A$1:$O$85,15,0))*(1-0.04)</f>
        <v>214.77119999999999</v>
      </c>
      <c r="Y281" s="70"/>
      <c r="Z281" s="70">
        <f ca="1">('TUSD BE'!$AM$12+'TUSD BF'!$AM$12+'TUSD CVA'!$AM$12)*1*(1-0.02)</f>
        <v>101.23895799225831</v>
      </c>
      <c r="AA281" s="70">
        <f>('TE BE'!$AA$6+'TE BF'!$AA$6+'TE CVA'!$AA$6)*1*(1-0.02)</f>
        <v>213.27681122210436</v>
      </c>
      <c r="AB281" s="6">
        <f>$K$281*$V$281</f>
        <v>0</v>
      </c>
      <c r="AC281" s="6">
        <f>$M$281*$W$281</f>
        <v>115.452432</v>
      </c>
      <c r="AD281" s="6">
        <f>$O$281*$X$281</f>
        <v>357.59404799999999</v>
      </c>
      <c r="AE281" s="6">
        <f>$K$281*$Y$281</f>
        <v>0</v>
      </c>
      <c r="AF281" s="6">
        <f ca="1">$M$281*$Z$281</f>
        <v>168.56286505711009</v>
      </c>
      <c r="AG281" s="6">
        <f>$O$281*$AA$281</f>
        <v>355.10589068480374</v>
      </c>
    </row>
    <row r="282" spans="1:33" ht="11.25" customHeight="1" x14ac:dyDescent="0.25">
      <c r="A282" s="4" t="s">
        <v>28</v>
      </c>
      <c r="B282" s="4" t="s">
        <v>33</v>
      </c>
      <c r="C282" s="4" t="s">
        <v>34</v>
      </c>
      <c r="D282" s="4" t="s">
        <v>41</v>
      </c>
      <c r="E282" s="4" t="s">
        <v>50</v>
      </c>
      <c r="F282" s="4" t="s">
        <v>25</v>
      </c>
      <c r="G282" s="4" t="s">
        <v>25</v>
      </c>
      <c r="H282" s="4" t="s">
        <v>36</v>
      </c>
      <c r="I282" s="5">
        <v>44531</v>
      </c>
      <c r="J282" s="6">
        <v>0</v>
      </c>
      <c r="K282" s="70">
        <v>0</v>
      </c>
      <c r="L282" s="6">
        <v>3.76</v>
      </c>
      <c r="M282" s="70">
        <v>3.76</v>
      </c>
      <c r="N282" s="6">
        <v>3.76</v>
      </c>
      <c r="O282" s="70">
        <v>3.76</v>
      </c>
      <c r="P282" s="6">
        <v>0</v>
      </c>
      <c r="Q282" s="4" t="s">
        <v>26</v>
      </c>
      <c r="R282" s="4">
        <v>0</v>
      </c>
      <c r="S282" s="6">
        <v>0</v>
      </c>
      <c r="T282" s="6">
        <v>47</v>
      </c>
      <c r="U282" s="6">
        <v>27</v>
      </c>
      <c r="V282" s="70">
        <f>IF(ISERROR(VLOOKUP($S$282,'TAR FIN'!$A$1:$O$85,15,0)),0,VLOOKUP($S$282,'TAR FIN'!$A$1:$O$85,15,0))</f>
        <v>0</v>
      </c>
      <c r="W282" s="70">
        <f>IF(ISERROR(VLOOKUP($T$282,'TAR FIN'!$A$1:$O$85,15,0)),0,VLOOKUP($T$282,'TAR FIN'!$A$1:$O$85,15,0))*(1-0.04)</f>
        <v>69.340800000000002</v>
      </c>
      <c r="X282" s="70">
        <f>IF(ISERROR(VLOOKUP($U$282,'TAR FIN'!$A$1:$O$85,15,0)),0,VLOOKUP($U$282,'TAR FIN'!$A$1:$O$85,15,0))*(1-0.04)</f>
        <v>214.77119999999999</v>
      </c>
      <c r="Y282" s="70"/>
      <c r="Z282" s="70">
        <f ca="1">('TUSD BE'!$AM$12+'TUSD BF'!$AM$12+'TUSD CVA'!$AM$12)*1*(1-0.02)</f>
        <v>101.23895799225831</v>
      </c>
      <c r="AA282" s="70">
        <f>('TE BE'!$AA$6+'TE BF'!$AA$6+'TE CVA'!$AA$6)*1*(1-0.02)</f>
        <v>213.27681122210436</v>
      </c>
      <c r="AB282" s="6">
        <f>$K$282*$V$282</f>
        <v>0</v>
      </c>
      <c r="AC282" s="6">
        <f>$M$282*$W$282</f>
        <v>260.721408</v>
      </c>
      <c r="AD282" s="6">
        <f>$O$282*$X$282</f>
        <v>807.53971199999989</v>
      </c>
      <c r="AE282" s="6">
        <f>$K$282*$Y$282</f>
        <v>0</v>
      </c>
      <c r="AF282" s="6">
        <f ca="1">$M$282*$Z$282</f>
        <v>380.65848205089122</v>
      </c>
      <c r="AG282" s="6">
        <f>$O$282*$AA$282</f>
        <v>801.92081019511238</v>
      </c>
    </row>
    <row r="283" spans="1:33" ht="11.25" customHeight="1" x14ac:dyDescent="0.25">
      <c r="A283" s="4" t="s">
        <v>21</v>
      </c>
      <c r="B283" s="4" t="s">
        <v>33</v>
      </c>
      <c r="C283" s="4" t="s">
        <v>34</v>
      </c>
      <c r="D283" s="4" t="s">
        <v>41</v>
      </c>
      <c r="E283" s="4" t="s">
        <v>50</v>
      </c>
      <c r="F283" s="4" t="s">
        <v>25</v>
      </c>
      <c r="G283" s="4" t="s">
        <v>25</v>
      </c>
      <c r="H283" s="4" t="s">
        <v>36</v>
      </c>
      <c r="I283" s="5">
        <v>44562</v>
      </c>
      <c r="J283" s="6">
        <v>0</v>
      </c>
      <c r="K283" s="70">
        <v>0</v>
      </c>
      <c r="L283" s="6">
        <v>2265.0030000000002</v>
      </c>
      <c r="M283" s="70">
        <v>2265.0030000000002</v>
      </c>
      <c r="N283" s="6">
        <v>2265.0030000000002</v>
      </c>
      <c r="O283" s="70">
        <v>2265.0030000000002</v>
      </c>
      <c r="P283" s="6">
        <v>0</v>
      </c>
      <c r="Q283" s="4" t="s">
        <v>26</v>
      </c>
      <c r="R283" s="4">
        <v>0</v>
      </c>
      <c r="S283" s="6">
        <v>0</v>
      </c>
      <c r="T283" s="6">
        <v>47</v>
      </c>
      <c r="U283" s="6">
        <v>27</v>
      </c>
      <c r="V283" s="70">
        <f>IF(ISERROR(VLOOKUP($S$283,'TAR FIN'!$A$1:$O$85,15,0)),0,VLOOKUP($S$283,'TAR FIN'!$A$1:$O$85,15,0))</f>
        <v>0</v>
      </c>
      <c r="W283" s="70">
        <f>IF(ISERROR(VLOOKUP($T$283,'TAR FIN'!$A$1:$O$85,15,0)),0,VLOOKUP($T$283,'TAR FIN'!$A$1:$O$85,15,0))*(1-0.04)</f>
        <v>69.340800000000002</v>
      </c>
      <c r="X283" s="70">
        <f>IF(ISERROR(VLOOKUP($U$283,'TAR FIN'!$A$1:$O$85,15,0)),0,VLOOKUP($U$283,'TAR FIN'!$A$1:$O$85,15,0))*(1-0.04)</f>
        <v>214.77119999999999</v>
      </c>
      <c r="Y283" s="70"/>
      <c r="Z283" s="70">
        <f ca="1">('TUSD BE'!$AM$12+'TUSD BF'!$AM$12+'TUSD CVA'!$AM$12)*1*(1-0.02)</f>
        <v>101.23895799225831</v>
      </c>
      <c r="AA283" s="70">
        <f>('TE BE'!$AA$6+'TE BF'!$AA$6+'TE CVA'!$AA$6)*1*(1-0.02)</f>
        <v>213.27681122210436</v>
      </c>
      <c r="AB283" s="6">
        <f>$K$283*$V$283</f>
        <v>0</v>
      </c>
      <c r="AC283" s="6">
        <f>$M$283*$W$283</f>
        <v>157057.12002240002</v>
      </c>
      <c r="AD283" s="6">
        <f>$O$283*$X$283</f>
        <v>486457.41231360001</v>
      </c>
      <c r="AE283" s="6">
        <f>$K$283*$Y$283</f>
        <v>0</v>
      </c>
      <c r="AF283" s="6">
        <f ca="1">$M$283*$Z$283</f>
        <v>229306.54356933906</v>
      </c>
      <c r="AG283" s="6">
        <f>$O$283*$AA$283</f>
        <v>483072.61724850006</v>
      </c>
    </row>
    <row r="284" spans="1:33" ht="11.25" customHeight="1" x14ac:dyDescent="0.25">
      <c r="A284" s="4" t="s">
        <v>21</v>
      </c>
      <c r="B284" s="4" t="s">
        <v>33</v>
      </c>
      <c r="C284" s="4" t="s">
        <v>34</v>
      </c>
      <c r="D284" s="4" t="s">
        <v>41</v>
      </c>
      <c r="E284" s="4" t="s">
        <v>50</v>
      </c>
      <c r="F284" s="4" t="s">
        <v>25</v>
      </c>
      <c r="G284" s="4" t="s">
        <v>25</v>
      </c>
      <c r="H284" s="4" t="s">
        <v>36</v>
      </c>
      <c r="I284" s="5">
        <v>44593</v>
      </c>
      <c r="J284" s="6">
        <v>0</v>
      </c>
      <c r="K284" s="70">
        <v>0</v>
      </c>
      <c r="L284" s="6">
        <v>3510.4380000000001</v>
      </c>
      <c r="M284" s="70">
        <v>3510.4380000000001</v>
      </c>
      <c r="N284" s="6">
        <v>3510.4380000000001</v>
      </c>
      <c r="O284" s="70">
        <v>3510.4380000000001</v>
      </c>
      <c r="P284" s="6">
        <v>0</v>
      </c>
      <c r="Q284" s="4" t="s">
        <v>26</v>
      </c>
      <c r="R284" s="4">
        <v>0</v>
      </c>
      <c r="S284" s="6">
        <v>0</v>
      </c>
      <c r="T284" s="6">
        <v>47</v>
      </c>
      <c r="U284" s="6">
        <v>27</v>
      </c>
      <c r="V284" s="70">
        <f>IF(ISERROR(VLOOKUP($S$284,'TAR FIN'!$A$1:$O$85,15,0)),0,VLOOKUP($S$284,'TAR FIN'!$A$1:$O$85,15,0))</f>
        <v>0</v>
      </c>
      <c r="W284" s="70">
        <f>IF(ISERROR(VLOOKUP($T$284,'TAR FIN'!$A$1:$O$85,15,0)),0,VLOOKUP($T$284,'TAR FIN'!$A$1:$O$85,15,0))*(1-0.04)</f>
        <v>69.340800000000002</v>
      </c>
      <c r="X284" s="70">
        <f>IF(ISERROR(VLOOKUP($U$284,'TAR FIN'!$A$1:$O$85,15,0)),0,VLOOKUP($U$284,'TAR FIN'!$A$1:$O$85,15,0))*(1-0.04)</f>
        <v>214.77119999999999</v>
      </c>
      <c r="Y284" s="70"/>
      <c r="Z284" s="70">
        <f ca="1">('TUSD BE'!$AM$12+'TUSD BF'!$AM$12+'TUSD CVA'!$AM$12)*1*(1-0.02)</f>
        <v>101.23895799225831</v>
      </c>
      <c r="AA284" s="70">
        <f>('TE BE'!$AA$6+'TE BF'!$AA$6+'TE CVA'!$AA$6)*1*(1-0.02)</f>
        <v>213.27681122210436</v>
      </c>
      <c r="AB284" s="6">
        <f>$K$284*$V$284</f>
        <v>0</v>
      </c>
      <c r="AC284" s="6">
        <f>$M$284*$W$284</f>
        <v>243416.57927040002</v>
      </c>
      <c r="AD284" s="6">
        <f>$O$284*$X$284</f>
        <v>753940.98178559996</v>
      </c>
      <c r="AE284" s="6">
        <f>$K$284*$Y$284</f>
        <v>0</v>
      </c>
      <c r="AF284" s="6">
        <f ca="1">$M$284*$Z$284</f>
        <v>355393.08521642728</v>
      </c>
      <c r="AG284" s="6">
        <f>$O$284*$AA$284</f>
        <v>748695.02263290156</v>
      </c>
    </row>
    <row r="285" spans="1:33" ht="11.25" customHeight="1" x14ac:dyDescent="0.25">
      <c r="A285" s="4" t="s">
        <v>28</v>
      </c>
      <c r="B285" s="4" t="s">
        <v>33</v>
      </c>
      <c r="C285" s="4" t="s">
        <v>34</v>
      </c>
      <c r="D285" s="4" t="s">
        <v>41</v>
      </c>
      <c r="E285" s="4" t="s">
        <v>50</v>
      </c>
      <c r="F285" s="4" t="s">
        <v>25</v>
      </c>
      <c r="G285" s="4" t="s">
        <v>25</v>
      </c>
      <c r="H285" s="4" t="s">
        <v>36</v>
      </c>
      <c r="I285" s="5">
        <v>44593</v>
      </c>
      <c r="J285" s="6">
        <v>0</v>
      </c>
      <c r="K285" s="70">
        <v>0</v>
      </c>
      <c r="L285" s="6">
        <v>9.907</v>
      </c>
      <c r="M285" s="70">
        <v>9.907</v>
      </c>
      <c r="N285" s="6">
        <v>9.907</v>
      </c>
      <c r="O285" s="70">
        <v>9.907</v>
      </c>
      <c r="P285" s="6">
        <v>0</v>
      </c>
      <c r="Q285" s="4" t="s">
        <v>26</v>
      </c>
      <c r="R285" s="4">
        <v>0</v>
      </c>
      <c r="S285" s="6">
        <v>0</v>
      </c>
      <c r="T285" s="6">
        <v>47</v>
      </c>
      <c r="U285" s="6">
        <v>27</v>
      </c>
      <c r="V285" s="70">
        <f>IF(ISERROR(VLOOKUP($S$285,'TAR FIN'!$A$1:$O$85,15,0)),0,VLOOKUP($S$285,'TAR FIN'!$A$1:$O$85,15,0))</f>
        <v>0</v>
      </c>
      <c r="W285" s="70">
        <f>IF(ISERROR(VLOOKUP($T$285,'TAR FIN'!$A$1:$O$85,15,0)),0,VLOOKUP($T$285,'TAR FIN'!$A$1:$O$85,15,0))*(1-0.04)</f>
        <v>69.340800000000002</v>
      </c>
      <c r="X285" s="70">
        <f>IF(ISERROR(VLOOKUP($U$285,'TAR FIN'!$A$1:$O$85,15,0)),0,VLOOKUP($U$285,'TAR FIN'!$A$1:$O$85,15,0))*(1-0.04)</f>
        <v>214.77119999999999</v>
      </c>
      <c r="Y285" s="70"/>
      <c r="Z285" s="70">
        <f ca="1">('TUSD BE'!$AM$12+'TUSD BF'!$AM$12+'TUSD CVA'!$AM$12)*1*(1-0.02)</f>
        <v>101.23895799225831</v>
      </c>
      <c r="AA285" s="70">
        <f>('TE BE'!$AA$6+'TE BF'!$AA$6+'TE CVA'!$AA$6)*1*(1-0.02)</f>
        <v>213.27681122210436</v>
      </c>
      <c r="AB285" s="6">
        <f>$K$285*$V$285</f>
        <v>0</v>
      </c>
      <c r="AC285" s="6">
        <f>$M$285*$W$285</f>
        <v>686.95930559999999</v>
      </c>
      <c r="AD285" s="6">
        <f>$O$285*$X$285</f>
        <v>2127.7382784000001</v>
      </c>
      <c r="AE285" s="6">
        <f>$K$285*$Y$285</f>
        <v>0</v>
      </c>
      <c r="AF285" s="6">
        <f ca="1">$M$285*$Z$285</f>
        <v>1002.974356829303</v>
      </c>
      <c r="AG285" s="6">
        <f>$O$285*$AA$285</f>
        <v>2112.9333687773878</v>
      </c>
    </row>
    <row r="286" spans="1:33" ht="11.25" customHeight="1" x14ac:dyDescent="0.25">
      <c r="A286" s="4" t="s">
        <v>54</v>
      </c>
      <c r="B286" s="4" t="s">
        <v>33</v>
      </c>
      <c r="C286" s="4" t="s">
        <v>34</v>
      </c>
      <c r="D286" s="4" t="s">
        <v>41</v>
      </c>
      <c r="E286" s="4" t="s">
        <v>50</v>
      </c>
      <c r="F286" s="4" t="s">
        <v>25</v>
      </c>
      <c r="G286" s="4" t="s">
        <v>25</v>
      </c>
      <c r="H286" s="4" t="s">
        <v>36</v>
      </c>
      <c r="I286" s="5">
        <v>44621</v>
      </c>
      <c r="J286" s="6">
        <v>0</v>
      </c>
      <c r="K286" s="70">
        <v>0</v>
      </c>
      <c r="L286" s="6">
        <v>3510.4380000000001</v>
      </c>
      <c r="M286" s="70">
        <v>3510.4380000000001</v>
      </c>
      <c r="N286" s="6">
        <v>3510.4380000000001</v>
      </c>
      <c r="O286" s="70">
        <v>3510.4380000000001</v>
      </c>
      <c r="P286" s="6">
        <v>0</v>
      </c>
      <c r="Q286" s="4" t="s">
        <v>26</v>
      </c>
      <c r="R286" s="4">
        <v>0</v>
      </c>
      <c r="S286" s="6">
        <v>0</v>
      </c>
      <c r="T286" s="6">
        <v>47</v>
      </c>
      <c r="U286" s="6">
        <v>27</v>
      </c>
      <c r="V286" s="70">
        <f>IF(ISERROR(VLOOKUP($S$286,'TAR FIN'!$A$1:$O$85,15,0)),0,VLOOKUP($S$286,'TAR FIN'!$A$1:$O$85,15,0))</f>
        <v>0</v>
      </c>
      <c r="W286" s="70">
        <f>IF(ISERROR(VLOOKUP($T$286,'TAR FIN'!$A$1:$O$85,15,0)),0,VLOOKUP($T$286,'TAR FIN'!$A$1:$O$85,15,0))*(1-0.04)</f>
        <v>69.340800000000002</v>
      </c>
      <c r="X286" s="70">
        <f>IF(ISERROR(VLOOKUP($U$286,'TAR FIN'!$A$1:$O$85,15,0)),0,VLOOKUP($U$286,'TAR FIN'!$A$1:$O$85,15,0))*(1-0.04)</f>
        <v>214.77119999999999</v>
      </c>
      <c r="Y286" s="70"/>
      <c r="Z286" s="70">
        <f ca="1">('TUSD BE'!$AM$12+'TUSD BF'!$AM$12+'TUSD CVA'!$AM$12)*1*(1-0.02)</f>
        <v>101.23895799225831</v>
      </c>
      <c r="AA286" s="70">
        <f>('TE BE'!$AA$6+'TE BF'!$AA$6+'TE CVA'!$AA$6)*1*(1-0.02)</f>
        <v>213.27681122210436</v>
      </c>
      <c r="AB286" s="6">
        <f>$K$286*$V$286</f>
        <v>0</v>
      </c>
      <c r="AC286" s="6">
        <f>$M$286*$W$286</f>
        <v>243416.57927040002</v>
      </c>
      <c r="AD286" s="6">
        <f>$O$286*$X$286</f>
        <v>753940.98178559996</v>
      </c>
      <c r="AE286" s="6">
        <f>$K$286*$Y$286</f>
        <v>0</v>
      </c>
      <c r="AF286" s="6">
        <f ca="1">$M$286*$Z$286</f>
        <v>355393.08521642728</v>
      </c>
      <c r="AG286" s="6">
        <f>$O$286*$AA$286</f>
        <v>748695.02263290156</v>
      </c>
    </row>
    <row r="287" spans="1:33" ht="11.25" customHeight="1" x14ac:dyDescent="0.25">
      <c r="A287" s="4" t="s">
        <v>54</v>
      </c>
      <c r="B287" s="4" t="s">
        <v>33</v>
      </c>
      <c r="C287" s="4" t="s">
        <v>34</v>
      </c>
      <c r="D287" s="4" t="s">
        <v>41</v>
      </c>
      <c r="E287" s="4" t="s">
        <v>50</v>
      </c>
      <c r="F287" s="4" t="s">
        <v>25</v>
      </c>
      <c r="G287" s="4" t="s">
        <v>25</v>
      </c>
      <c r="H287" s="4" t="s">
        <v>36</v>
      </c>
      <c r="I287" s="5">
        <v>44621</v>
      </c>
      <c r="J287" s="6">
        <v>0</v>
      </c>
      <c r="K287" s="70">
        <v>0</v>
      </c>
      <c r="L287" s="6">
        <v>9.907</v>
      </c>
      <c r="M287" s="70">
        <v>9.907</v>
      </c>
      <c r="N287" s="6">
        <v>9.907</v>
      </c>
      <c r="O287" s="70">
        <v>9.907</v>
      </c>
      <c r="P287" s="6">
        <v>0</v>
      </c>
      <c r="Q287" s="4" t="s">
        <v>26</v>
      </c>
      <c r="R287" s="4">
        <v>0</v>
      </c>
      <c r="S287" s="6">
        <v>0</v>
      </c>
      <c r="T287" s="6">
        <v>47</v>
      </c>
      <c r="U287" s="6">
        <v>27</v>
      </c>
      <c r="V287" s="70">
        <f>IF(ISERROR(VLOOKUP($S$287,'TAR FIN'!$A$1:$O$85,15,0)),0,VLOOKUP($S$287,'TAR FIN'!$A$1:$O$85,15,0))</f>
        <v>0</v>
      </c>
      <c r="W287" s="70">
        <f>IF(ISERROR(VLOOKUP($T$287,'TAR FIN'!$A$1:$O$85,15,0)),0,VLOOKUP($T$287,'TAR FIN'!$A$1:$O$85,15,0))*(1-0.04)</f>
        <v>69.340800000000002</v>
      </c>
      <c r="X287" s="70">
        <f>IF(ISERROR(VLOOKUP($U$287,'TAR FIN'!$A$1:$O$85,15,0)),0,VLOOKUP($U$287,'TAR FIN'!$A$1:$O$85,15,0))*(1-0.04)</f>
        <v>214.77119999999999</v>
      </c>
      <c r="Y287" s="70"/>
      <c r="Z287" s="70">
        <f ca="1">('TUSD BE'!$AM$12+'TUSD BF'!$AM$12+'TUSD CVA'!$AM$12)*1*(1-0.02)</f>
        <v>101.23895799225831</v>
      </c>
      <c r="AA287" s="70">
        <f>('TE BE'!$AA$6+'TE BF'!$AA$6+'TE CVA'!$AA$6)*1*(1-0.02)</f>
        <v>213.27681122210436</v>
      </c>
      <c r="AB287" s="6">
        <f>$K$287*$V$287</f>
        <v>0</v>
      </c>
      <c r="AC287" s="6">
        <f>$M$287*$W$287</f>
        <v>686.95930559999999</v>
      </c>
      <c r="AD287" s="6">
        <f>$O$287*$X$287</f>
        <v>2127.7382784000001</v>
      </c>
      <c r="AE287" s="6">
        <f>$K$287*$Y$287</f>
        <v>0</v>
      </c>
      <c r="AF287" s="6">
        <f ca="1">$M$287*$Z$287</f>
        <v>1002.974356829303</v>
      </c>
      <c r="AG287" s="6">
        <f>$O$287*$AA$287</f>
        <v>2112.9333687773878</v>
      </c>
    </row>
    <row r="288" spans="1:33" ht="11.25" customHeight="1" x14ac:dyDescent="0.25">
      <c r="A288" s="4" t="s">
        <v>21</v>
      </c>
      <c r="B288" s="4" t="s">
        <v>33</v>
      </c>
      <c r="C288" s="4" t="s">
        <v>34</v>
      </c>
      <c r="D288" s="4" t="s">
        <v>41</v>
      </c>
      <c r="E288" s="4" t="s">
        <v>50</v>
      </c>
      <c r="F288" s="4" t="s">
        <v>25</v>
      </c>
      <c r="G288" s="4" t="s">
        <v>25</v>
      </c>
      <c r="H288" s="4" t="s">
        <v>25</v>
      </c>
      <c r="I288" s="5">
        <v>44287</v>
      </c>
      <c r="J288" s="6">
        <v>39572</v>
      </c>
      <c r="K288" s="70">
        <v>39572</v>
      </c>
      <c r="L288" s="6">
        <v>0</v>
      </c>
      <c r="M288" s="70">
        <v>0</v>
      </c>
      <c r="N288" s="6">
        <v>0</v>
      </c>
      <c r="O288" s="70">
        <v>0</v>
      </c>
      <c r="P288" s="6">
        <v>270</v>
      </c>
      <c r="Q288" s="4" t="s">
        <v>26</v>
      </c>
      <c r="R288" s="4">
        <v>0</v>
      </c>
      <c r="S288" s="6">
        <v>65</v>
      </c>
      <c r="T288" s="6">
        <v>0</v>
      </c>
      <c r="U288" s="6">
        <v>0</v>
      </c>
      <c r="V288" s="70">
        <f>IF(ISERROR(VLOOKUP($S$288,'TAR FIN'!$A$1:$O$85,15,0)),0,VLOOKUP($S$288,'TAR FIN'!$A$1:$O$85,15,0))*(1-0.04)</f>
        <v>22.473599999999998</v>
      </c>
      <c r="W288" s="70">
        <f>IF(ISERROR(VLOOKUP($T$288,'TAR FIN'!$A$1:$O$85,15,0)),0,VLOOKUP($T$288,'TAR FIN'!$A$1:$O$85,15,0))</f>
        <v>0</v>
      </c>
      <c r="X288" s="70">
        <f>IF(ISERROR(VLOOKUP($U$288,'TAR FIN'!$A$1:$O$85,15,0)),0,VLOOKUP($U$288,'TAR FIN'!$A$1:$O$85,15,0))</f>
        <v>0</v>
      </c>
      <c r="Y288" s="70">
        <f ca="1">('TUSD BE'!$AM$10+'TUSD BF'!$AM$10+'TUSD CVA'!$AM$10)*1*(1-0.02)</f>
        <v>23.78256034881678</v>
      </c>
      <c r="Z288" s="70"/>
      <c r="AA288" s="70"/>
      <c r="AB288" s="6">
        <f>$K$288*$V$288</f>
        <v>889325.29919999989</v>
      </c>
      <c r="AC288" s="6">
        <f>$M$288*$W$288</f>
        <v>0</v>
      </c>
      <c r="AD288" s="6">
        <f>$O$288*$X$288</f>
        <v>0</v>
      </c>
      <c r="AE288" s="6">
        <f ca="1">$K$288*$Y$288</f>
        <v>941123.47812337766</v>
      </c>
      <c r="AF288" s="6">
        <f>$M$288*$Z$288</f>
        <v>0</v>
      </c>
      <c r="AG288" s="6">
        <f>$O$288*$AA$288</f>
        <v>0</v>
      </c>
    </row>
    <row r="289" spans="1:33" ht="11.25" customHeight="1" x14ac:dyDescent="0.25">
      <c r="A289" s="4" t="s">
        <v>21</v>
      </c>
      <c r="B289" s="4" t="s">
        <v>33</v>
      </c>
      <c r="C289" s="4" t="s">
        <v>34</v>
      </c>
      <c r="D289" s="4" t="s">
        <v>41</v>
      </c>
      <c r="E289" s="4" t="s">
        <v>50</v>
      </c>
      <c r="F289" s="4" t="s">
        <v>25</v>
      </c>
      <c r="G289" s="4" t="s">
        <v>25</v>
      </c>
      <c r="H289" s="4" t="s">
        <v>25</v>
      </c>
      <c r="I289" s="5">
        <v>44317</v>
      </c>
      <c r="J289" s="6">
        <v>39314</v>
      </c>
      <c r="K289" s="70">
        <v>39314</v>
      </c>
      <c r="L289" s="6">
        <v>0</v>
      </c>
      <c r="M289" s="70">
        <v>0</v>
      </c>
      <c r="N289" s="6">
        <v>0</v>
      </c>
      <c r="O289" s="70">
        <v>0</v>
      </c>
      <c r="P289" s="6">
        <v>273</v>
      </c>
      <c r="Q289" s="4" t="s">
        <v>26</v>
      </c>
      <c r="R289" s="4">
        <v>0</v>
      </c>
      <c r="S289" s="6">
        <v>65</v>
      </c>
      <c r="T289" s="6">
        <v>0</v>
      </c>
      <c r="U289" s="6">
        <v>0</v>
      </c>
      <c r="V289" s="70">
        <f>IF(ISERROR(VLOOKUP($S$289,'TAR FIN'!$A$1:$O$85,15,0)),0,VLOOKUP($S$289,'TAR FIN'!$A$1:$O$85,15,0))*(1-0.04)</f>
        <v>22.473599999999998</v>
      </c>
      <c r="W289" s="70">
        <f>IF(ISERROR(VLOOKUP($T$289,'TAR FIN'!$A$1:$O$85,15,0)),0,VLOOKUP($T$289,'TAR FIN'!$A$1:$O$85,15,0))</f>
        <v>0</v>
      </c>
      <c r="X289" s="70">
        <f>IF(ISERROR(VLOOKUP($U$289,'TAR FIN'!$A$1:$O$85,15,0)),0,VLOOKUP($U$289,'TAR FIN'!$A$1:$O$85,15,0))</f>
        <v>0</v>
      </c>
      <c r="Y289" s="70">
        <f ca="1">('TUSD BE'!$AM$10+'TUSD BF'!$AM$10+'TUSD CVA'!$AM$10)*1*(1-0.02)</f>
        <v>23.78256034881678</v>
      </c>
      <c r="Z289" s="70"/>
      <c r="AA289" s="70"/>
      <c r="AB289" s="6">
        <f>$K$289*$V$289</f>
        <v>883527.11039999989</v>
      </c>
      <c r="AC289" s="6">
        <f>$M$289*$W$289</f>
        <v>0</v>
      </c>
      <c r="AD289" s="6">
        <f>$O$289*$X$289</f>
        <v>0</v>
      </c>
      <c r="AE289" s="6">
        <f ca="1">$K$289*$Y$289</f>
        <v>934987.57755338284</v>
      </c>
      <c r="AF289" s="6">
        <f>$M$289*$Z$289</f>
        <v>0</v>
      </c>
      <c r="AG289" s="6">
        <f>$O$289*$AA$289</f>
        <v>0</v>
      </c>
    </row>
    <row r="290" spans="1:33" ht="11.25" customHeight="1" x14ac:dyDescent="0.25">
      <c r="A290" s="4" t="s">
        <v>21</v>
      </c>
      <c r="B290" s="4" t="s">
        <v>33</v>
      </c>
      <c r="C290" s="4" t="s">
        <v>34</v>
      </c>
      <c r="D290" s="4" t="s">
        <v>41</v>
      </c>
      <c r="E290" s="4" t="s">
        <v>50</v>
      </c>
      <c r="F290" s="4" t="s">
        <v>25</v>
      </c>
      <c r="G290" s="4" t="s">
        <v>25</v>
      </c>
      <c r="H290" s="4" t="s">
        <v>25</v>
      </c>
      <c r="I290" s="5">
        <v>44348</v>
      </c>
      <c r="J290" s="6">
        <v>26683</v>
      </c>
      <c r="K290" s="70">
        <v>26683</v>
      </c>
      <c r="L290" s="6">
        <v>0</v>
      </c>
      <c r="M290" s="70">
        <v>0</v>
      </c>
      <c r="N290" s="6">
        <v>0</v>
      </c>
      <c r="O290" s="70">
        <v>0</v>
      </c>
      <c r="P290" s="6">
        <v>271</v>
      </c>
      <c r="Q290" s="4" t="s">
        <v>26</v>
      </c>
      <c r="R290" s="4">
        <v>0</v>
      </c>
      <c r="S290" s="6">
        <v>65</v>
      </c>
      <c r="T290" s="6">
        <v>0</v>
      </c>
      <c r="U290" s="6">
        <v>0</v>
      </c>
      <c r="V290" s="70">
        <f>IF(ISERROR(VLOOKUP($S$290,'TAR FIN'!$A$1:$O$85,15,0)),0,VLOOKUP($S$290,'TAR FIN'!$A$1:$O$85,15,0))*(1-0.04)</f>
        <v>22.473599999999998</v>
      </c>
      <c r="W290" s="70">
        <f>IF(ISERROR(VLOOKUP($T$290,'TAR FIN'!$A$1:$O$85,15,0)),0,VLOOKUP($T$290,'TAR FIN'!$A$1:$O$85,15,0))</f>
        <v>0</v>
      </c>
      <c r="X290" s="70">
        <f>IF(ISERROR(VLOOKUP($U$290,'TAR FIN'!$A$1:$O$85,15,0)),0,VLOOKUP($U$290,'TAR FIN'!$A$1:$O$85,15,0))</f>
        <v>0</v>
      </c>
      <c r="Y290" s="70">
        <f ca="1">('TUSD BE'!$AM$10+'TUSD BF'!$AM$10+'TUSD CVA'!$AM$10)*1*(1-0.02)</f>
        <v>23.78256034881678</v>
      </c>
      <c r="Z290" s="70"/>
      <c r="AA290" s="70"/>
      <c r="AB290" s="6">
        <f>$K$290*$V$290</f>
        <v>599663.06879999989</v>
      </c>
      <c r="AC290" s="6">
        <f>$M$290*$W$290</f>
        <v>0</v>
      </c>
      <c r="AD290" s="6">
        <f>$O$290*$X$290</f>
        <v>0</v>
      </c>
      <c r="AE290" s="6">
        <f ca="1">$K$290*$Y$290</f>
        <v>634590.05778747809</v>
      </c>
      <c r="AF290" s="6">
        <f>$M$290*$Z$290</f>
        <v>0</v>
      </c>
      <c r="AG290" s="6">
        <f>$O$290*$AA$290</f>
        <v>0</v>
      </c>
    </row>
    <row r="291" spans="1:33" ht="11.25" customHeight="1" x14ac:dyDescent="0.25">
      <c r="A291" s="4" t="s">
        <v>28</v>
      </c>
      <c r="B291" s="4" t="s">
        <v>33</v>
      </c>
      <c r="C291" s="4" t="s">
        <v>34</v>
      </c>
      <c r="D291" s="4" t="s">
        <v>41</v>
      </c>
      <c r="E291" s="4" t="s">
        <v>50</v>
      </c>
      <c r="F291" s="4" t="s">
        <v>25</v>
      </c>
      <c r="G291" s="4" t="s">
        <v>25</v>
      </c>
      <c r="H291" s="4" t="s">
        <v>25</v>
      </c>
      <c r="I291" s="5">
        <v>44348</v>
      </c>
      <c r="J291" s="6">
        <v>97</v>
      </c>
      <c r="K291" s="70">
        <v>97</v>
      </c>
      <c r="L291" s="6">
        <v>0</v>
      </c>
      <c r="M291" s="70">
        <v>0</v>
      </c>
      <c r="N291" s="6">
        <v>0</v>
      </c>
      <c r="O291" s="70">
        <v>0</v>
      </c>
      <c r="P291" s="6">
        <v>1</v>
      </c>
      <c r="Q291" s="4" t="s">
        <v>26</v>
      </c>
      <c r="R291" s="4">
        <v>0</v>
      </c>
      <c r="S291" s="6">
        <v>65</v>
      </c>
      <c r="T291" s="6">
        <v>0</v>
      </c>
      <c r="U291" s="6">
        <v>0</v>
      </c>
      <c r="V291" s="70">
        <f>IF(ISERROR(VLOOKUP($S$291,'TAR FIN'!$A$1:$O$85,15,0)),0,VLOOKUP($S$291,'TAR FIN'!$A$1:$O$85,15,0))*(1-0.04)</f>
        <v>22.473599999999998</v>
      </c>
      <c r="W291" s="70">
        <f>IF(ISERROR(VLOOKUP($T$291,'TAR FIN'!$A$1:$O$85,15,0)),0,VLOOKUP($T$291,'TAR FIN'!$A$1:$O$85,15,0))</f>
        <v>0</v>
      </c>
      <c r="X291" s="70">
        <f>IF(ISERROR(VLOOKUP($U$291,'TAR FIN'!$A$1:$O$85,15,0)),0,VLOOKUP($U$291,'TAR FIN'!$A$1:$O$85,15,0))</f>
        <v>0</v>
      </c>
      <c r="Y291" s="70">
        <f ca="1">('TUSD BE'!$AM$10+'TUSD BF'!$AM$10+'TUSD CVA'!$AM$10)*1*(1-0.02)</f>
        <v>23.78256034881678</v>
      </c>
      <c r="Z291" s="70"/>
      <c r="AA291" s="70"/>
      <c r="AB291" s="6">
        <f>$K$291*$V$291</f>
        <v>2179.9391999999998</v>
      </c>
      <c r="AC291" s="6">
        <f>$M$291*$W$291</f>
        <v>0</v>
      </c>
      <c r="AD291" s="6">
        <f>$O$291*$X$291</f>
        <v>0</v>
      </c>
      <c r="AE291" s="6">
        <f ca="1">$K$291*$Y$291</f>
        <v>2306.9083538352274</v>
      </c>
      <c r="AF291" s="6">
        <f>$M$291*$Z$291</f>
        <v>0</v>
      </c>
      <c r="AG291" s="6">
        <f>$O$291*$AA$291</f>
        <v>0</v>
      </c>
    </row>
    <row r="292" spans="1:33" ht="11.25" customHeight="1" x14ac:dyDescent="0.25">
      <c r="A292" s="4" t="s">
        <v>21</v>
      </c>
      <c r="B292" s="4" t="s">
        <v>33</v>
      </c>
      <c r="C292" s="4" t="s">
        <v>34</v>
      </c>
      <c r="D292" s="4" t="s">
        <v>41</v>
      </c>
      <c r="E292" s="4" t="s">
        <v>50</v>
      </c>
      <c r="F292" s="4" t="s">
        <v>25</v>
      </c>
      <c r="G292" s="4" t="s">
        <v>25</v>
      </c>
      <c r="H292" s="4" t="s">
        <v>25</v>
      </c>
      <c r="I292" s="5">
        <v>44378</v>
      </c>
      <c r="J292" s="6">
        <v>35636</v>
      </c>
      <c r="K292" s="70">
        <v>35636</v>
      </c>
      <c r="L292" s="6">
        <v>0</v>
      </c>
      <c r="M292" s="70">
        <v>0</v>
      </c>
      <c r="N292" s="6">
        <v>0</v>
      </c>
      <c r="O292" s="70">
        <v>0</v>
      </c>
      <c r="P292" s="6">
        <v>272</v>
      </c>
      <c r="Q292" s="4" t="s">
        <v>26</v>
      </c>
      <c r="R292" s="4">
        <v>0</v>
      </c>
      <c r="S292" s="6">
        <v>65</v>
      </c>
      <c r="T292" s="6">
        <v>0</v>
      </c>
      <c r="U292" s="6">
        <v>0</v>
      </c>
      <c r="V292" s="70">
        <f>IF(ISERROR(VLOOKUP($S$292,'TAR FIN'!$A$1:$O$85,15,0)),0,VLOOKUP($S$292,'TAR FIN'!$A$1:$O$85,15,0))*(1-0.04)</f>
        <v>22.473599999999998</v>
      </c>
      <c r="W292" s="70">
        <f>IF(ISERROR(VLOOKUP($T$292,'TAR FIN'!$A$1:$O$85,15,0)),0,VLOOKUP($T$292,'TAR FIN'!$A$1:$O$85,15,0))</f>
        <v>0</v>
      </c>
      <c r="X292" s="70">
        <f>IF(ISERROR(VLOOKUP($U$292,'TAR FIN'!$A$1:$O$85,15,0)),0,VLOOKUP($U$292,'TAR FIN'!$A$1:$O$85,15,0))</f>
        <v>0</v>
      </c>
      <c r="Y292" s="70">
        <f ca="1">('TUSD BE'!$AM$10+'TUSD BF'!$AM$10+'TUSD CVA'!$AM$10)*1*(1-0.02)</f>
        <v>23.78256034881678</v>
      </c>
      <c r="Z292" s="70"/>
      <c r="AA292" s="70"/>
      <c r="AB292" s="6">
        <f>$K$292*$V$292</f>
        <v>800869.20959999994</v>
      </c>
      <c r="AC292" s="6">
        <f>$M$292*$W$292</f>
        <v>0</v>
      </c>
      <c r="AD292" s="6">
        <f>$O$292*$X$292</f>
        <v>0</v>
      </c>
      <c r="AE292" s="6">
        <f ca="1">$K$292*$Y$292</f>
        <v>847515.32059043483</v>
      </c>
      <c r="AF292" s="6">
        <f>$M$292*$Z$292</f>
        <v>0</v>
      </c>
      <c r="AG292" s="6">
        <f>$O$292*$AA$292</f>
        <v>0</v>
      </c>
    </row>
    <row r="293" spans="1:33" ht="11.25" customHeight="1" x14ac:dyDescent="0.25">
      <c r="A293" s="4" t="s">
        <v>28</v>
      </c>
      <c r="B293" s="4" t="s">
        <v>33</v>
      </c>
      <c r="C293" s="4" t="s">
        <v>34</v>
      </c>
      <c r="D293" s="4" t="s">
        <v>41</v>
      </c>
      <c r="E293" s="4" t="s">
        <v>50</v>
      </c>
      <c r="F293" s="4" t="s">
        <v>25</v>
      </c>
      <c r="G293" s="4" t="s">
        <v>25</v>
      </c>
      <c r="H293" s="4" t="s">
        <v>25</v>
      </c>
      <c r="I293" s="5">
        <v>44378</v>
      </c>
      <c r="J293" s="6">
        <v>99</v>
      </c>
      <c r="K293" s="70">
        <v>99</v>
      </c>
      <c r="L293" s="6">
        <v>0</v>
      </c>
      <c r="M293" s="70">
        <v>0</v>
      </c>
      <c r="N293" s="6">
        <v>0</v>
      </c>
      <c r="O293" s="70">
        <v>0</v>
      </c>
      <c r="P293" s="6">
        <v>1</v>
      </c>
      <c r="Q293" s="4" t="s">
        <v>26</v>
      </c>
      <c r="R293" s="4">
        <v>0</v>
      </c>
      <c r="S293" s="6">
        <v>65</v>
      </c>
      <c r="T293" s="6">
        <v>0</v>
      </c>
      <c r="U293" s="6">
        <v>0</v>
      </c>
      <c r="V293" s="70">
        <f>IF(ISERROR(VLOOKUP($S$293,'TAR FIN'!$A$1:$O$85,15,0)),0,VLOOKUP($S$293,'TAR FIN'!$A$1:$O$85,15,0))*(1-0.04)</f>
        <v>22.473599999999998</v>
      </c>
      <c r="W293" s="70">
        <f>IF(ISERROR(VLOOKUP($T$293,'TAR FIN'!$A$1:$O$85,15,0)),0,VLOOKUP($T$293,'TAR FIN'!$A$1:$O$85,15,0))</f>
        <v>0</v>
      </c>
      <c r="X293" s="70">
        <f>IF(ISERROR(VLOOKUP($U$293,'TAR FIN'!$A$1:$O$85,15,0)),0,VLOOKUP($U$293,'TAR FIN'!$A$1:$O$85,15,0))</f>
        <v>0</v>
      </c>
      <c r="Y293" s="70">
        <f ca="1">('TUSD BE'!$AM$10+'TUSD BF'!$AM$10+'TUSD CVA'!$AM$10)*1*(1-0.02)</f>
        <v>23.78256034881678</v>
      </c>
      <c r="Z293" s="70"/>
      <c r="AA293" s="70"/>
      <c r="AB293" s="6">
        <f>$K$293*$V$293</f>
        <v>2224.8863999999999</v>
      </c>
      <c r="AC293" s="6">
        <f>$M$293*$W$293</f>
        <v>0</v>
      </c>
      <c r="AD293" s="6">
        <f>$O$293*$X$293</f>
        <v>0</v>
      </c>
      <c r="AE293" s="6">
        <f ca="1">$K$293*$Y$293</f>
        <v>2354.473474532861</v>
      </c>
      <c r="AF293" s="6">
        <f>$M$293*$Z$293</f>
        <v>0</v>
      </c>
      <c r="AG293" s="6">
        <f>$O$293*$AA$293</f>
        <v>0</v>
      </c>
    </row>
    <row r="294" spans="1:33" ht="11.25" customHeight="1" x14ac:dyDescent="0.25">
      <c r="A294" s="4" t="s">
        <v>21</v>
      </c>
      <c r="B294" s="4" t="s">
        <v>33</v>
      </c>
      <c r="C294" s="4" t="s">
        <v>34</v>
      </c>
      <c r="D294" s="4" t="s">
        <v>41</v>
      </c>
      <c r="E294" s="4" t="s">
        <v>50</v>
      </c>
      <c r="F294" s="4" t="s">
        <v>25</v>
      </c>
      <c r="G294" s="4" t="s">
        <v>25</v>
      </c>
      <c r="H294" s="4" t="s">
        <v>25</v>
      </c>
      <c r="I294" s="5">
        <v>44409</v>
      </c>
      <c r="J294" s="6">
        <v>40625</v>
      </c>
      <c r="K294" s="70">
        <v>40625</v>
      </c>
      <c r="L294" s="6">
        <v>0</v>
      </c>
      <c r="M294" s="70">
        <v>0</v>
      </c>
      <c r="N294" s="6">
        <v>0</v>
      </c>
      <c r="O294" s="70">
        <v>0</v>
      </c>
      <c r="P294" s="6">
        <v>276</v>
      </c>
      <c r="Q294" s="4" t="s">
        <v>26</v>
      </c>
      <c r="R294" s="4">
        <v>0</v>
      </c>
      <c r="S294" s="6">
        <v>65</v>
      </c>
      <c r="T294" s="6">
        <v>0</v>
      </c>
      <c r="U294" s="6">
        <v>0</v>
      </c>
      <c r="V294" s="70">
        <f>IF(ISERROR(VLOOKUP($S$294,'TAR FIN'!$A$1:$O$85,15,0)),0,VLOOKUP($S$294,'TAR FIN'!$A$1:$O$85,15,0))*(1-0.04)</f>
        <v>22.473599999999998</v>
      </c>
      <c r="W294" s="70">
        <f>IF(ISERROR(VLOOKUP($T$294,'TAR FIN'!$A$1:$O$85,15,0)),0,VLOOKUP($T$294,'TAR FIN'!$A$1:$O$85,15,0))</f>
        <v>0</v>
      </c>
      <c r="X294" s="70">
        <f>IF(ISERROR(VLOOKUP($U$294,'TAR FIN'!$A$1:$O$85,15,0)),0,VLOOKUP($U$294,'TAR FIN'!$A$1:$O$85,15,0))</f>
        <v>0</v>
      </c>
      <c r="Y294" s="70">
        <f ca="1">('TUSD BE'!$AM$10+'TUSD BF'!$AM$10+'TUSD CVA'!$AM$10)*1*(1-0.02)</f>
        <v>23.78256034881678</v>
      </c>
      <c r="Z294" s="70"/>
      <c r="AA294" s="70"/>
      <c r="AB294" s="6">
        <f>$K$294*$V$294</f>
        <v>912989.99999999988</v>
      </c>
      <c r="AC294" s="6">
        <f>$M$294*$W$294</f>
        <v>0</v>
      </c>
      <c r="AD294" s="6">
        <f>$O$294*$X$294</f>
        <v>0</v>
      </c>
      <c r="AE294" s="6">
        <f ca="1">$K$294*$Y$294</f>
        <v>966166.51417068171</v>
      </c>
      <c r="AF294" s="6">
        <f>$M$294*$Z$294</f>
        <v>0</v>
      </c>
      <c r="AG294" s="6">
        <f>$O$294*$AA$294</f>
        <v>0</v>
      </c>
    </row>
    <row r="295" spans="1:33" ht="11.25" customHeight="1" x14ac:dyDescent="0.25">
      <c r="A295" s="4" t="s">
        <v>28</v>
      </c>
      <c r="B295" s="4" t="s">
        <v>33</v>
      </c>
      <c r="C295" s="4" t="s">
        <v>34</v>
      </c>
      <c r="D295" s="4" t="s">
        <v>41</v>
      </c>
      <c r="E295" s="4" t="s">
        <v>50</v>
      </c>
      <c r="F295" s="4" t="s">
        <v>25</v>
      </c>
      <c r="G295" s="4" t="s">
        <v>25</v>
      </c>
      <c r="H295" s="4" t="s">
        <v>25</v>
      </c>
      <c r="I295" s="5">
        <v>44409</v>
      </c>
      <c r="J295" s="6">
        <v>121</v>
      </c>
      <c r="K295" s="70">
        <v>121</v>
      </c>
      <c r="L295" s="6">
        <v>0</v>
      </c>
      <c r="M295" s="70">
        <v>0</v>
      </c>
      <c r="N295" s="6">
        <v>0</v>
      </c>
      <c r="O295" s="70">
        <v>0</v>
      </c>
      <c r="P295" s="6">
        <v>1</v>
      </c>
      <c r="Q295" s="4" t="s">
        <v>26</v>
      </c>
      <c r="R295" s="4">
        <v>0</v>
      </c>
      <c r="S295" s="6">
        <v>65</v>
      </c>
      <c r="T295" s="6">
        <v>0</v>
      </c>
      <c r="U295" s="6">
        <v>0</v>
      </c>
      <c r="V295" s="70">
        <f>IF(ISERROR(VLOOKUP($S$295,'TAR FIN'!$A$1:$O$85,15,0)),0,VLOOKUP($S$295,'TAR FIN'!$A$1:$O$85,15,0))*(1-0.04)</f>
        <v>22.473599999999998</v>
      </c>
      <c r="W295" s="70">
        <f>IF(ISERROR(VLOOKUP($T$295,'TAR FIN'!$A$1:$O$85,15,0)),0,VLOOKUP($T$295,'TAR FIN'!$A$1:$O$85,15,0))</f>
        <v>0</v>
      </c>
      <c r="X295" s="70">
        <f>IF(ISERROR(VLOOKUP($U$295,'TAR FIN'!$A$1:$O$85,15,0)),0,VLOOKUP($U$295,'TAR FIN'!$A$1:$O$85,15,0))</f>
        <v>0</v>
      </c>
      <c r="Y295" s="70">
        <f ca="1">('TUSD BE'!$AM$10+'TUSD BF'!$AM$10+'TUSD CVA'!$AM$10)*1*(1-0.02)</f>
        <v>23.78256034881678</v>
      </c>
      <c r="Z295" s="70"/>
      <c r="AA295" s="70"/>
      <c r="AB295" s="6">
        <f>$K$295*$V$295</f>
        <v>2719.3055999999997</v>
      </c>
      <c r="AC295" s="6">
        <f>$M$295*$W$295</f>
        <v>0</v>
      </c>
      <c r="AD295" s="6">
        <f>$O$295*$X$295</f>
        <v>0</v>
      </c>
      <c r="AE295" s="6">
        <f ca="1">$K$295*$Y$295</f>
        <v>2877.6898022068303</v>
      </c>
      <c r="AF295" s="6">
        <f>$M$295*$Z$295</f>
        <v>0</v>
      </c>
      <c r="AG295" s="6">
        <f>$O$295*$AA$295</f>
        <v>0</v>
      </c>
    </row>
    <row r="296" spans="1:33" ht="11.25" customHeight="1" x14ac:dyDescent="0.25">
      <c r="A296" s="4" t="s">
        <v>21</v>
      </c>
      <c r="B296" s="4" t="s">
        <v>33</v>
      </c>
      <c r="C296" s="4" t="s">
        <v>34</v>
      </c>
      <c r="D296" s="4" t="s">
        <v>41</v>
      </c>
      <c r="E296" s="4" t="s">
        <v>50</v>
      </c>
      <c r="F296" s="4" t="s">
        <v>25</v>
      </c>
      <c r="G296" s="4" t="s">
        <v>25</v>
      </c>
      <c r="H296" s="4" t="s">
        <v>25</v>
      </c>
      <c r="I296" s="5">
        <v>44440</v>
      </c>
      <c r="J296" s="6">
        <v>42303</v>
      </c>
      <c r="K296" s="70">
        <v>42303</v>
      </c>
      <c r="L296" s="6">
        <v>0</v>
      </c>
      <c r="M296" s="70">
        <v>0</v>
      </c>
      <c r="N296" s="6">
        <v>0</v>
      </c>
      <c r="O296" s="70">
        <v>0</v>
      </c>
      <c r="P296" s="6">
        <v>281</v>
      </c>
      <c r="Q296" s="4" t="s">
        <v>26</v>
      </c>
      <c r="R296" s="4">
        <v>0</v>
      </c>
      <c r="S296" s="6">
        <v>65</v>
      </c>
      <c r="T296" s="6">
        <v>0</v>
      </c>
      <c r="U296" s="6">
        <v>0</v>
      </c>
      <c r="V296" s="70">
        <f>IF(ISERROR(VLOOKUP($S$296,'TAR FIN'!$A$1:$O$85,15,0)),0,VLOOKUP($S$296,'TAR FIN'!$A$1:$O$85,15,0))*(1-0.04)</f>
        <v>22.473599999999998</v>
      </c>
      <c r="W296" s="70">
        <f>IF(ISERROR(VLOOKUP($T$296,'TAR FIN'!$A$1:$O$85,15,0)),0,VLOOKUP($T$296,'TAR FIN'!$A$1:$O$85,15,0))</f>
        <v>0</v>
      </c>
      <c r="X296" s="70">
        <f>IF(ISERROR(VLOOKUP($U$296,'TAR FIN'!$A$1:$O$85,15,0)),0,VLOOKUP($U$296,'TAR FIN'!$A$1:$O$85,15,0))</f>
        <v>0</v>
      </c>
      <c r="Y296" s="70">
        <f ca="1">('TUSD BE'!$AM$10+'TUSD BF'!$AM$10+'TUSD CVA'!$AM$10)*1*(1-0.02)</f>
        <v>23.78256034881678</v>
      </c>
      <c r="Z296" s="70"/>
      <c r="AA296" s="70"/>
      <c r="AB296" s="6">
        <f>$K$296*$V$296</f>
        <v>950700.70079999988</v>
      </c>
      <c r="AC296" s="6">
        <f>$M$296*$W$296</f>
        <v>0</v>
      </c>
      <c r="AD296" s="6">
        <f>$O$296*$X$296</f>
        <v>0</v>
      </c>
      <c r="AE296" s="6">
        <f ca="1">$K$296*$Y$296</f>
        <v>1006073.6504359962</v>
      </c>
      <c r="AF296" s="6">
        <f>$M$296*$Z$296</f>
        <v>0</v>
      </c>
      <c r="AG296" s="6">
        <f>$O$296*$AA$296</f>
        <v>0</v>
      </c>
    </row>
    <row r="297" spans="1:33" ht="11.25" customHeight="1" x14ac:dyDescent="0.25">
      <c r="A297" s="4" t="s">
        <v>28</v>
      </c>
      <c r="B297" s="4" t="s">
        <v>33</v>
      </c>
      <c r="C297" s="4" t="s">
        <v>34</v>
      </c>
      <c r="D297" s="4" t="s">
        <v>41</v>
      </c>
      <c r="E297" s="4" t="s">
        <v>50</v>
      </c>
      <c r="F297" s="4" t="s">
        <v>25</v>
      </c>
      <c r="G297" s="4" t="s">
        <v>25</v>
      </c>
      <c r="H297" s="4" t="s">
        <v>25</v>
      </c>
      <c r="I297" s="5">
        <v>44440</v>
      </c>
      <c r="J297" s="6">
        <v>122</v>
      </c>
      <c r="K297" s="70">
        <v>122</v>
      </c>
      <c r="L297" s="6">
        <v>0</v>
      </c>
      <c r="M297" s="70">
        <v>0</v>
      </c>
      <c r="N297" s="6">
        <v>0</v>
      </c>
      <c r="O297" s="70">
        <v>0</v>
      </c>
      <c r="P297" s="6">
        <v>1</v>
      </c>
      <c r="Q297" s="4" t="s">
        <v>26</v>
      </c>
      <c r="R297" s="4">
        <v>0</v>
      </c>
      <c r="S297" s="6">
        <v>65</v>
      </c>
      <c r="T297" s="6">
        <v>0</v>
      </c>
      <c r="U297" s="6">
        <v>0</v>
      </c>
      <c r="V297" s="70">
        <f>IF(ISERROR(VLOOKUP($S$297,'TAR FIN'!$A$1:$O$85,15,0)),0,VLOOKUP($S$297,'TAR FIN'!$A$1:$O$85,15,0))*(1-0.04)</f>
        <v>22.473599999999998</v>
      </c>
      <c r="W297" s="70">
        <f>IF(ISERROR(VLOOKUP($T$297,'TAR FIN'!$A$1:$O$85,15,0)),0,VLOOKUP($T$297,'TAR FIN'!$A$1:$O$85,15,0))</f>
        <v>0</v>
      </c>
      <c r="X297" s="70">
        <f>IF(ISERROR(VLOOKUP($U$297,'TAR FIN'!$A$1:$O$85,15,0)),0,VLOOKUP($U$297,'TAR FIN'!$A$1:$O$85,15,0))</f>
        <v>0</v>
      </c>
      <c r="Y297" s="70">
        <f ca="1">('TUSD BE'!$AM$10+'TUSD BF'!$AM$10+'TUSD CVA'!$AM$10)*1*(1-0.02)</f>
        <v>23.78256034881678</v>
      </c>
      <c r="Z297" s="70"/>
      <c r="AA297" s="70"/>
      <c r="AB297" s="6">
        <f>$K$297*$V$297</f>
        <v>2741.7791999999995</v>
      </c>
      <c r="AC297" s="6">
        <f>$M$297*$W$297</f>
        <v>0</v>
      </c>
      <c r="AD297" s="6">
        <f>$O$297*$X$297</f>
        <v>0</v>
      </c>
      <c r="AE297" s="6">
        <f ca="1">$K$297*$Y$297</f>
        <v>2901.4723625556471</v>
      </c>
      <c r="AF297" s="6">
        <f>$M$297*$Z$297</f>
        <v>0</v>
      </c>
      <c r="AG297" s="6">
        <f>$O$297*$AA$297</f>
        <v>0</v>
      </c>
    </row>
    <row r="298" spans="1:33" ht="11.25" customHeight="1" x14ac:dyDescent="0.25">
      <c r="A298" s="4" t="s">
        <v>21</v>
      </c>
      <c r="B298" s="4" t="s">
        <v>33</v>
      </c>
      <c r="C298" s="4" t="s">
        <v>34</v>
      </c>
      <c r="D298" s="4" t="s">
        <v>41</v>
      </c>
      <c r="E298" s="4" t="s">
        <v>50</v>
      </c>
      <c r="F298" s="4" t="s">
        <v>25</v>
      </c>
      <c r="G298" s="4" t="s">
        <v>25</v>
      </c>
      <c r="H298" s="4" t="s">
        <v>25</v>
      </c>
      <c r="I298" s="5">
        <v>44470</v>
      </c>
      <c r="J298" s="6">
        <v>47299</v>
      </c>
      <c r="K298" s="70">
        <v>47299</v>
      </c>
      <c r="L298" s="6">
        <v>0</v>
      </c>
      <c r="M298" s="70">
        <v>0</v>
      </c>
      <c r="N298" s="6">
        <v>0</v>
      </c>
      <c r="O298" s="70">
        <v>0</v>
      </c>
      <c r="P298" s="6">
        <v>282</v>
      </c>
      <c r="Q298" s="4" t="s">
        <v>26</v>
      </c>
      <c r="R298" s="4">
        <v>0</v>
      </c>
      <c r="S298" s="6">
        <v>65</v>
      </c>
      <c r="T298" s="6">
        <v>0</v>
      </c>
      <c r="U298" s="6">
        <v>0</v>
      </c>
      <c r="V298" s="70">
        <f>IF(ISERROR(VLOOKUP($S$298,'TAR FIN'!$A$1:$O$85,15,0)),0,VLOOKUP($S$298,'TAR FIN'!$A$1:$O$85,15,0))*(1-0.04)</f>
        <v>22.473599999999998</v>
      </c>
      <c r="W298" s="70">
        <f>IF(ISERROR(VLOOKUP($T$298,'TAR FIN'!$A$1:$O$85,15,0)),0,VLOOKUP($T$298,'TAR FIN'!$A$1:$O$85,15,0))</f>
        <v>0</v>
      </c>
      <c r="X298" s="70">
        <f>IF(ISERROR(VLOOKUP($U$298,'TAR FIN'!$A$1:$O$85,15,0)),0,VLOOKUP($U$298,'TAR FIN'!$A$1:$O$85,15,0))</f>
        <v>0</v>
      </c>
      <c r="Y298" s="70">
        <f ca="1">('TUSD BE'!$AM$10+'TUSD BF'!$AM$10+'TUSD CVA'!$AM$10)*1*(1-0.02)</f>
        <v>23.78256034881678</v>
      </c>
      <c r="Z298" s="70"/>
      <c r="AA298" s="70"/>
      <c r="AB298" s="6">
        <f>$K$298*$V$298</f>
        <v>1062978.8063999999</v>
      </c>
      <c r="AC298" s="6">
        <f>$M$298*$W$298</f>
        <v>0</v>
      </c>
      <c r="AD298" s="6">
        <f>$O$298*$X$298</f>
        <v>0</v>
      </c>
      <c r="AE298" s="6">
        <f ca="1">$K$298*$Y$298</f>
        <v>1124891.3219386849</v>
      </c>
      <c r="AF298" s="6">
        <f>$M$298*$Z$298</f>
        <v>0</v>
      </c>
      <c r="AG298" s="6">
        <f>$O$298*$AA$298</f>
        <v>0</v>
      </c>
    </row>
    <row r="299" spans="1:33" ht="11.25" customHeight="1" x14ac:dyDescent="0.25">
      <c r="A299" s="4" t="s">
        <v>28</v>
      </c>
      <c r="B299" s="4" t="s">
        <v>33</v>
      </c>
      <c r="C299" s="4" t="s">
        <v>34</v>
      </c>
      <c r="D299" s="4" t="s">
        <v>41</v>
      </c>
      <c r="E299" s="4" t="s">
        <v>50</v>
      </c>
      <c r="F299" s="4" t="s">
        <v>25</v>
      </c>
      <c r="G299" s="4" t="s">
        <v>25</v>
      </c>
      <c r="H299" s="4" t="s">
        <v>25</v>
      </c>
      <c r="I299" s="5">
        <v>44470</v>
      </c>
      <c r="J299" s="6">
        <v>121</v>
      </c>
      <c r="K299" s="70">
        <v>121</v>
      </c>
      <c r="L299" s="6">
        <v>0</v>
      </c>
      <c r="M299" s="70">
        <v>0</v>
      </c>
      <c r="N299" s="6">
        <v>0</v>
      </c>
      <c r="O299" s="70">
        <v>0</v>
      </c>
      <c r="P299" s="6">
        <v>1</v>
      </c>
      <c r="Q299" s="4" t="s">
        <v>26</v>
      </c>
      <c r="R299" s="4">
        <v>0</v>
      </c>
      <c r="S299" s="6">
        <v>65</v>
      </c>
      <c r="T299" s="6">
        <v>0</v>
      </c>
      <c r="U299" s="6">
        <v>0</v>
      </c>
      <c r="V299" s="70">
        <f>IF(ISERROR(VLOOKUP($S$299,'TAR FIN'!$A$1:$O$85,15,0)),0,VLOOKUP($S$299,'TAR FIN'!$A$1:$O$85,15,0))*(1-0.04)</f>
        <v>22.473599999999998</v>
      </c>
      <c r="W299" s="70">
        <f>IF(ISERROR(VLOOKUP($T$299,'TAR FIN'!$A$1:$O$85,15,0)),0,VLOOKUP($T$299,'TAR FIN'!$A$1:$O$85,15,0))</f>
        <v>0</v>
      </c>
      <c r="X299" s="70">
        <f>IF(ISERROR(VLOOKUP($U$299,'TAR FIN'!$A$1:$O$85,15,0)),0,VLOOKUP($U$299,'TAR FIN'!$A$1:$O$85,15,0))</f>
        <v>0</v>
      </c>
      <c r="Y299" s="70">
        <f ca="1">('TUSD BE'!$AM$10+'TUSD BF'!$AM$10+'TUSD CVA'!$AM$10)*1*(1-0.02)</f>
        <v>23.78256034881678</v>
      </c>
      <c r="Z299" s="70"/>
      <c r="AA299" s="70"/>
      <c r="AB299" s="6">
        <f>$K$299*$V$299</f>
        <v>2719.3055999999997</v>
      </c>
      <c r="AC299" s="6">
        <f>$M$299*$W$299</f>
        <v>0</v>
      </c>
      <c r="AD299" s="6">
        <f>$O$299*$X$299</f>
        <v>0</v>
      </c>
      <c r="AE299" s="6">
        <f ca="1">$K$299*$Y$299</f>
        <v>2877.6898022068303</v>
      </c>
      <c r="AF299" s="6">
        <f>$M$299*$Z$299</f>
        <v>0</v>
      </c>
      <c r="AG299" s="6">
        <f>$O$299*$AA$299</f>
        <v>0</v>
      </c>
    </row>
    <row r="300" spans="1:33" ht="11.25" customHeight="1" x14ac:dyDescent="0.25">
      <c r="A300" s="4" t="s">
        <v>21</v>
      </c>
      <c r="B300" s="4" t="s">
        <v>33</v>
      </c>
      <c r="C300" s="4" t="s">
        <v>34</v>
      </c>
      <c r="D300" s="4" t="s">
        <v>41</v>
      </c>
      <c r="E300" s="4" t="s">
        <v>50</v>
      </c>
      <c r="F300" s="4" t="s">
        <v>25</v>
      </c>
      <c r="G300" s="4" t="s">
        <v>25</v>
      </c>
      <c r="H300" s="4" t="s">
        <v>25</v>
      </c>
      <c r="I300" s="5">
        <v>44501</v>
      </c>
      <c r="J300" s="6">
        <v>46838</v>
      </c>
      <c r="K300" s="70">
        <v>46838</v>
      </c>
      <c r="L300" s="6">
        <v>0</v>
      </c>
      <c r="M300" s="70">
        <v>0</v>
      </c>
      <c r="N300" s="6">
        <v>0</v>
      </c>
      <c r="O300" s="70">
        <v>0</v>
      </c>
      <c r="P300" s="6">
        <v>281</v>
      </c>
      <c r="Q300" s="4" t="s">
        <v>26</v>
      </c>
      <c r="R300" s="4">
        <v>0</v>
      </c>
      <c r="S300" s="6">
        <v>65</v>
      </c>
      <c r="T300" s="6">
        <v>0</v>
      </c>
      <c r="U300" s="6">
        <v>0</v>
      </c>
      <c r="V300" s="70">
        <f>IF(ISERROR(VLOOKUP($S$300,'TAR FIN'!$A$1:$O$85,15,0)),0,VLOOKUP($S$300,'TAR FIN'!$A$1:$O$85,15,0))*(1-0.04)</f>
        <v>22.473599999999998</v>
      </c>
      <c r="W300" s="70">
        <f>IF(ISERROR(VLOOKUP($T$300,'TAR FIN'!$A$1:$O$85,15,0)),0,VLOOKUP($T$300,'TAR FIN'!$A$1:$O$85,15,0))</f>
        <v>0</v>
      </c>
      <c r="X300" s="70">
        <f>IF(ISERROR(VLOOKUP($U$300,'TAR FIN'!$A$1:$O$85,15,0)),0,VLOOKUP($U$300,'TAR FIN'!$A$1:$O$85,15,0))</f>
        <v>0</v>
      </c>
      <c r="Y300" s="70">
        <f ca="1">('TUSD BE'!$AM$10+'TUSD BF'!$AM$10+'TUSD CVA'!$AM$10)*1*(1-0.02)</f>
        <v>23.78256034881678</v>
      </c>
      <c r="Z300" s="70"/>
      <c r="AA300" s="70"/>
      <c r="AB300" s="6">
        <f>$K$300*$V$300</f>
        <v>1052618.4767999998</v>
      </c>
      <c r="AC300" s="6">
        <f>$M$300*$W$300</f>
        <v>0</v>
      </c>
      <c r="AD300" s="6">
        <f>$O$300*$X$300</f>
        <v>0</v>
      </c>
      <c r="AE300" s="6">
        <f ca="1">$K$300*$Y$300</f>
        <v>1113927.5616178804</v>
      </c>
      <c r="AF300" s="6">
        <f>$M$300*$Z$300</f>
        <v>0</v>
      </c>
      <c r="AG300" s="6">
        <f>$O$300*$AA$300</f>
        <v>0</v>
      </c>
    </row>
    <row r="301" spans="1:33" ht="11.25" customHeight="1" x14ac:dyDescent="0.25">
      <c r="A301" s="4" t="s">
        <v>28</v>
      </c>
      <c r="B301" s="4" t="s">
        <v>33</v>
      </c>
      <c r="C301" s="4" t="s">
        <v>34</v>
      </c>
      <c r="D301" s="4" t="s">
        <v>41</v>
      </c>
      <c r="E301" s="4" t="s">
        <v>50</v>
      </c>
      <c r="F301" s="4" t="s">
        <v>25</v>
      </c>
      <c r="G301" s="4" t="s">
        <v>25</v>
      </c>
      <c r="H301" s="4" t="s">
        <v>25</v>
      </c>
      <c r="I301" s="5">
        <v>44501</v>
      </c>
      <c r="J301" s="6">
        <v>121</v>
      </c>
      <c r="K301" s="70">
        <v>121</v>
      </c>
      <c r="L301" s="6">
        <v>0</v>
      </c>
      <c r="M301" s="70">
        <v>0</v>
      </c>
      <c r="N301" s="6">
        <v>0</v>
      </c>
      <c r="O301" s="70">
        <v>0</v>
      </c>
      <c r="P301" s="6">
        <v>1</v>
      </c>
      <c r="Q301" s="4" t="s">
        <v>26</v>
      </c>
      <c r="R301" s="4">
        <v>0</v>
      </c>
      <c r="S301" s="6">
        <v>65</v>
      </c>
      <c r="T301" s="6">
        <v>0</v>
      </c>
      <c r="U301" s="6">
        <v>0</v>
      </c>
      <c r="V301" s="70">
        <f>IF(ISERROR(VLOOKUP($S$301,'TAR FIN'!$A$1:$O$85,15,0)),0,VLOOKUP($S$301,'TAR FIN'!$A$1:$O$85,15,0))*(1-0.04)</f>
        <v>22.473599999999998</v>
      </c>
      <c r="W301" s="70">
        <f>IF(ISERROR(VLOOKUP($T$301,'TAR FIN'!$A$1:$O$85,15,0)),0,VLOOKUP($T$301,'TAR FIN'!$A$1:$O$85,15,0))</f>
        <v>0</v>
      </c>
      <c r="X301" s="70">
        <f>IF(ISERROR(VLOOKUP($U$301,'TAR FIN'!$A$1:$O$85,15,0)),0,VLOOKUP($U$301,'TAR FIN'!$A$1:$O$85,15,0))</f>
        <v>0</v>
      </c>
      <c r="Y301" s="70">
        <f ca="1">('TUSD BE'!$AM$10+'TUSD BF'!$AM$10+'TUSD CVA'!$AM$10)*1*(1-0.02)</f>
        <v>23.78256034881678</v>
      </c>
      <c r="Z301" s="70"/>
      <c r="AA301" s="70"/>
      <c r="AB301" s="6">
        <f>$K$301*$V$301</f>
        <v>2719.3055999999997</v>
      </c>
      <c r="AC301" s="6">
        <f>$M$301*$W$301</f>
        <v>0</v>
      </c>
      <c r="AD301" s="6">
        <f>$O$301*$X$301</f>
        <v>0</v>
      </c>
      <c r="AE301" s="6">
        <f ca="1">$K$301*$Y$301</f>
        <v>2877.6898022068303</v>
      </c>
      <c r="AF301" s="6">
        <f>$M$301*$Z$301</f>
        <v>0</v>
      </c>
      <c r="AG301" s="6">
        <f>$O$301*$AA$301</f>
        <v>0</v>
      </c>
    </row>
    <row r="302" spans="1:33" ht="11.25" customHeight="1" x14ac:dyDescent="0.25">
      <c r="A302" s="4" t="s">
        <v>21</v>
      </c>
      <c r="B302" s="4" t="s">
        <v>33</v>
      </c>
      <c r="C302" s="4" t="s">
        <v>34</v>
      </c>
      <c r="D302" s="4" t="s">
        <v>41</v>
      </c>
      <c r="E302" s="4" t="s">
        <v>50</v>
      </c>
      <c r="F302" s="4" t="s">
        <v>25</v>
      </c>
      <c r="G302" s="4" t="s">
        <v>25</v>
      </c>
      <c r="H302" s="4" t="s">
        <v>25</v>
      </c>
      <c r="I302" s="5">
        <v>44531</v>
      </c>
      <c r="J302" s="6">
        <v>45532</v>
      </c>
      <c r="K302" s="70">
        <v>45532</v>
      </c>
      <c r="L302" s="6">
        <v>0</v>
      </c>
      <c r="M302" s="70">
        <v>0</v>
      </c>
      <c r="N302" s="6">
        <v>0</v>
      </c>
      <c r="O302" s="70">
        <v>0</v>
      </c>
      <c r="P302" s="6">
        <v>283</v>
      </c>
      <c r="Q302" s="4" t="s">
        <v>26</v>
      </c>
      <c r="R302" s="4">
        <v>0</v>
      </c>
      <c r="S302" s="6">
        <v>65</v>
      </c>
      <c r="T302" s="6">
        <v>0</v>
      </c>
      <c r="U302" s="6">
        <v>0</v>
      </c>
      <c r="V302" s="70">
        <f>IF(ISERROR(VLOOKUP($S$302,'TAR FIN'!$A$1:$O$85,15,0)),0,VLOOKUP($S$302,'TAR FIN'!$A$1:$O$85,15,0))*(1-0.04)</f>
        <v>22.473599999999998</v>
      </c>
      <c r="W302" s="70">
        <f>IF(ISERROR(VLOOKUP($T$302,'TAR FIN'!$A$1:$O$85,15,0)),0,VLOOKUP($T$302,'TAR FIN'!$A$1:$O$85,15,0))</f>
        <v>0</v>
      </c>
      <c r="X302" s="70">
        <f>IF(ISERROR(VLOOKUP($U$302,'TAR FIN'!$A$1:$O$85,15,0)),0,VLOOKUP($U$302,'TAR FIN'!$A$1:$O$85,15,0))</f>
        <v>0</v>
      </c>
      <c r="Y302" s="70">
        <f ca="1">('TUSD BE'!$AM$10+'TUSD BF'!$AM$10+'TUSD CVA'!$AM$10)*1*(1-0.02)</f>
        <v>23.78256034881678</v>
      </c>
      <c r="Z302" s="70"/>
      <c r="AA302" s="70"/>
      <c r="AB302" s="6">
        <f>$K$302*$V$302</f>
        <v>1023267.9551999999</v>
      </c>
      <c r="AC302" s="6">
        <f>$M$302*$W$302</f>
        <v>0</v>
      </c>
      <c r="AD302" s="6">
        <f>$O$302*$X$302</f>
        <v>0</v>
      </c>
      <c r="AE302" s="6">
        <f ca="1">$K$302*$Y$302</f>
        <v>1082867.5378023256</v>
      </c>
      <c r="AF302" s="6">
        <f>$M$302*$Z$302</f>
        <v>0</v>
      </c>
      <c r="AG302" s="6">
        <f>$O$302*$AA$302</f>
        <v>0</v>
      </c>
    </row>
    <row r="303" spans="1:33" ht="11.25" customHeight="1" x14ac:dyDescent="0.25">
      <c r="A303" s="4" t="s">
        <v>28</v>
      </c>
      <c r="B303" s="4" t="s">
        <v>33</v>
      </c>
      <c r="C303" s="4" t="s">
        <v>34</v>
      </c>
      <c r="D303" s="4" t="s">
        <v>41</v>
      </c>
      <c r="E303" s="4" t="s">
        <v>50</v>
      </c>
      <c r="F303" s="4" t="s">
        <v>25</v>
      </c>
      <c r="G303" s="4" t="s">
        <v>25</v>
      </c>
      <c r="H303" s="4" t="s">
        <v>25</v>
      </c>
      <c r="I303" s="5">
        <v>44531</v>
      </c>
      <c r="J303" s="6">
        <v>119</v>
      </c>
      <c r="K303" s="70">
        <v>119</v>
      </c>
      <c r="L303" s="6">
        <v>0</v>
      </c>
      <c r="M303" s="70">
        <v>0</v>
      </c>
      <c r="N303" s="6">
        <v>0</v>
      </c>
      <c r="O303" s="70">
        <v>0</v>
      </c>
      <c r="P303" s="6">
        <v>1</v>
      </c>
      <c r="Q303" s="4" t="s">
        <v>26</v>
      </c>
      <c r="R303" s="4">
        <v>0</v>
      </c>
      <c r="S303" s="6">
        <v>65</v>
      </c>
      <c r="T303" s="6">
        <v>0</v>
      </c>
      <c r="U303" s="6">
        <v>0</v>
      </c>
      <c r="V303" s="70">
        <f>IF(ISERROR(VLOOKUP($S$303,'TAR FIN'!$A$1:$O$85,15,0)),0,VLOOKUP($S$303,'TAR FIN'!$A$1:$O$85,15,0))*(1-0.04)</f>
        <v>22.473599999999998</v>
      </c>
      <c r="W303" s="70">
        <f>IF(ISERROR(VLOOKUP($T$303,'TAR FIN'!$A$1:$O$85,15,0)),0,VLOOKUP($T$303,'TAR FIN'!$A$1:$O$85,15,0))</f>
        <v>0</v>
      </c>
      <c r="X303" s="70">
        <f>IF(ISERROR(VLOOKUP($U$303,'TAR FIN'!$A$1:$O$85,15,0)),0,VLOOKUP($U$303,'TAR FIN'!$A$1:$O$85,15,0))</f>
        <v>0</v>
      </c>
      <c r="Y303" s="70">
        <f ca="1">('TUSD BE'!$AM$10+'TUSD BF'!$AM$10+'TUSD CVA'!$AM$10)*1*(1-0.02)</f>
        <v>23.78256034881678</v>
      </c>
      <c r="Z303" s="70"/>
      <c r="AA303" s="70"/>
      <c r="AB303" s="6">
        <f>$K$303*$V$303</f>
        <v>2674.3583999999996</v>
      </c>
      <c r="AC303" s="6">
        <f>$M$303*$W$303</f>
        <v>0</v>
      </c>
      <c r="AD303" s="6">
        <f>$O$303*$X$303</f>
        <v>0</v>
      </c>
      <c r="AE303" s="6">
        <f ca="1">$K$303*$Y$303</f>
        <v>2830.1246815091968</v>
      </c>
      <c r="AF303" s="6">
        <f>$M$303*$Z$303</f>
        <v>0</v>
      </c>
      <c r="AG303" s="6">
        <f>$O$303*$AA$303</f>
        <v>0</v>
      </c>
    </row>
    <row r="304" spans="1:33" ht="11.25" customHeight="1" x14ac:dyDescent="0.25">
      <c r="A304" s="4" t="s">
        <v>21</v>
      </c>
      <c r="B304" s="4" t="s">
        <v>33</v>
      </c>
      <c r="C304" s="4" t="s">
        <v>34</v>
      </c>
      <c r="D304" s="4" t="s">
        <v>41</v>
      </c>
      <c r="E304" s="4" t="s">
        <v>50</v>
      </c>
      <c r="F304" s="4" t="s">
        <v>25</v>
      </c>
      <c r="G304" s="4" t="s">
        <v>25</v>
      </c>
      <c r="H304" s="4" t="s">
        <v>25</v>
      </c>
      <c r="I304" s="5">
        <v>44562</v>
      </c>
      <c r="J304" s="6">
        <v>43263</v>
      </c>
      <c r="K304" s="70">
        <v>43263</v>
      </c>
      <c r="L304" s="6">
        <v>0</v>
      </c>
      <c r="M304" s="70">
        <v>0</v>
      </c>
      <c r="N304" s="6">
        <v>0</v>
      </c>
      <c r="O304" s="70">
        <v>0</v>
      </c>
      <c r="P304" s="6">
        <v>283</v>
      </c>
      <c r="Q304" s="4" t="s">
        <v>26</v>
      </c>
      <c r="R304" s="4">
        <v>0</v>
      </c>
      <c r="S304" s="6">
        <v>65</v>
      </c>
      <c r="T304" s="6">
        <v>0</v>
      </c>
      <c r="U304" s="6">
        <v>0</v>
      </c>
      <c r="V304" s="70">
        <f>IF(ISERROR(VLOOKUP($S$304,'TAR FIN'!$A$1:$O$85,15,0)),0,VLOOKUP($S$304,'TAR FIN'!$A$1:$O$85,15,0))*(1-0.04)</f>
        <v>22.473599999999998</v>
      </c>
      <c r="W304" s="70">
        <f>IF(ISERROR(VLOOKUP($T$304,'TAR FIN'!$A$1:$O$85,15,0)),0,VLOOKUP($T$304,'TAR FIN'!$A$1:$O$85,15,0))</f>
        <v>0</v>
      </c>
      <c r="X304" s="70">
        <f>IF(ISERROR(VLOOKUP($U$304,'TAR FIN'!$A$1:$O$85,15,0)),0,VLOOKUP($U$304,'TAR FIN'!$A$1:$O$85,15,0))</f>
        <v>0</v>
      </c>
      <c r="Y304" s="70">
        <f ca="1">('TUSD BE'!$AM$10+'TUSD BF'!$AM$10+'TUSD CVA'!$AM$10)*1*(1-0.02)</f>
        <v>23.78256034881678</v>
      </c>
      <c r="Z304" s="70"/>
      <c r="AA304" s="70"/>
      <c r="AB304" s="6">
        <f>$K$304*$V$304</f>
        <v>972275.35679999995</v>
      </c>
      <c r="AC304" s="6">
        <f>$M$304*$W$304</f>
        <v>0</v>
      </c>
      <c r="AD304" s="6">
        <f>$O$304*$X$304</f>
        <v>0</v>
      </c>
      <c r="AE304" s="6">
        <f ca="1">$K$304*$Y$304</f>
        <v>1028904.9083708604</v>
      </c>
      <c r="AF304" s="6">
        <f>$M$304*$Z$304</f>
        <v>0</v>
      </c>
      <c r="AG304" s="6">
        <f>$O$304*$AA$304</f>
        <v>0</v>
      </c>
    </row>
    <row r="305" spans="1:33" ht="11.25" customHeight="1" x14ac:dyDescent="0.25">
      <c r="A305" s="4" t="s">
        <v>28</v>
      </c>
      <c r="B305" s="4" t="s">
        <v>33</v>
      </c>
      <c r="C305" s="4" t="s">
        <v>34</v>
      </c>
      <c r="D305" s="4" t="s">
        <v>41</v>
      </c>
      <c r="E305" s="4" t="s">
        <v>50</v>
      </c>
      <c r="F305" s="4" t="s">
        <v>25</v>
      </c>
      <c r="G305" s="4" t="s">
        <v>25</v>
      </c>
      <c r="H305" s="4" t="s">
        <v>25</v>
      </c>
      <c r="I305" s="5">
        <v>44562</v>
      </c>
      <c r="J305" s="6">
        <v>95</v>
      </c>
      <c r="K305" s="70">
        <v>95</v>
      </c>
      <c r="L305" s="6">
        <v>0</v>
      </c>
      <c r="M305" s="70">
        <v>0</v>
      </c>
      <c r="N305" s="6">
        <v>0</v>
      </c>
      <c r="O305" s="70">
        <v>0</v>
      </c>
      <c r="P305" s="6">
        <v>1</v>
      </c>
      <c r="Q305" s="4" t="s">
        <v>26</v>
      </c>
      <c r="R305" s="4">
        <v>0</v>
      </c>
      <c r="S305" s="6">
        <v>65</v>
      </c>
      <c r="T305" s="6">
        <v>0</v>
      </c>
      <c r="U305" s="6">
        <v>0</v>
      </c>
      <c r="V305" s="70">
        <f>IF(ISERROR(VLOOKUP($S$305,'TAR FIN'!$A$1:$O$85,15,0)),0,VLOOKUP($S$305,'TAR FIN'!$A$1:$O$85,15,0))*(1-0.04)</f>
        <v>22.473599999999998</v>
      </c>
      <c r="W305" s="70">
        <f>IF(ISERROR(VLOOKUP($T$305,'TAR FIN'!$A$1:$O$85,15,0)),0,VLOOKUP($T$305,'TAR FIN'!$A$1:$O$85,15,0))</f>
        <v>0</v>
      </c>
      <c r="X305" s="70">
        <f>IF(ISERROR(VLOOKUP($U$305,'TAR FIN'!$A$1:$O$85,15,0)),0,VLOOKUP($U$305,'TAR FIN'!$A$1:$O$85,15,0))</f>
        <v>0</v>
      </c>
      <c r="Y305" s="70">
        <f ca="1">('TUSD BE'!$AM$10+'TUSD BF'!$AM$10+'TUSD CVA'!$AM$10)*1*(1-0.02)</f>
        <v>23.78256034881678</v>
      </c>
      <c r="Z305" s="70"/>
      <c r="AA305" s="70"/>
      <c r="AB305" s="6">
        <f>$K$305*$V$305</f>
        <v>2134.9919999999997</v>
      </c>
      <c r="AC305" s="6">
        <f>$M$305*$W$305</f>
        <v>0</v>
      </c>
      <c r="AD305" s="6">
        <f>$O$305*$X$305</f>
        <v>0</v>
      </c>
      <c r="AE305" s="6">
        <f ca="1">$K$305*$Y$305</f>
        <v>2259.3432331375943</v>
      </c>
      <c r="AF305" s="6">
        <f>$M$305*$Z$305</f>
        <v>0</v>
      </c>
      <c r="AG305" s="6">
        <f>$O$305*$AA$305</f>
        <v>0</v>
      </c>
    </row>
    <row r="306" spans="1:33" ht="11.25" customHeight="1" x14ac:dyDescent="0.25">
      <c r="A306" s="4" t="s">
        <v>21</v>
      </c>
      <c r="B306" s="4" t="s">
        <v>33</v>
      </c>
      <c r="C306" s="4" t="s">
        <v>34</v>
      </c>
      <c r="D306" s="4" t="s">
        <v>41</v>
      </c>
      <c r="E306" s="4" t="s">
        <v>50</v>
      </c>
      <c r="F306" s="4" t="s">
        <v>25</v>
      </c>
      <c r="G306" s="4" t="s">
        <v>25</v>
      </c>
      <c r="H306" s="4" t="s">
        <v>25</v>
      </c>
      <c r="I306" s="5">
        <v>44593</v>
      </c>
      <c r="J306" s="6">
        <v>43841</v>
      </c>
      <c r="K306" s="70">
        <v>43841</v>
      </c>
      <c r="L306" s="6">
        <v>0</v>
      </c>
      <c r="M306" s="70">
        <v>0</v>
      </c>
      <c r="N306" s="6">
        <v>0</v>
      </c>
      <c r="O306" s="70">
        <v>0</v>
      </c>
      <c r="P306" s="6">
        <v>283</v>
      </c>
      <c r="Q306" s="4" t="s">
        <v>26</v>
      </c>
      <c r="R306" s="4">
        <v>0</v>
      </c>
      <c r="S306" s="6">
        <v>65</v>
      </c>
      <c r="T306" s="6">
        <v>0</v>
      </c>
      <c r="U306" s="6">
        <v>0</v>
      </c>
      <c r="V306" s="70">
        <f>IF(ISERROR(VLOOKUP($S$306,'TAR FIN'!$A$1:$O$85,15,0)),0,VLOOKUP($S$306,'TAR FIN'!$A$1:$O$85,15,0))*(1-0.04)</f>
        <v>22.473599999999998</v>
      </c>
      <c r="W306" s="70">
        <f>IF(ISERROR(VLOOKUP($T$306,'TAR FIN'!$A$1:$O$85,15,0)),0,VLOOKUP($T$306,'TAR FIN'!$A$1:$O$85,15,0))</f>
        <v>0</v>
      </c>
      <c r="X306" s="70">
        <f>IF(ISERROR(VLOOKUP($U$306,'TAR FIN'!$A$1:$O$85,15,0)),0,VLOOKUP($U$306,'TAR FIN'!$A$1:$O$85,15,0))</f>
        <v>0</v>
      </c>
      <c r="Y306" s="70">
        <f ca="1">('TUSD BE'!$AM$10+'TUSD BF'!$AM$10+'TUSD CVA'!$AM$10)*1*(1-0.02)</f>
        <v>23.78256034881678</v>
      </c>
      <c r="Z306" s="70"/>
      <c r="AA306" s="70"/>
      <c r="AB306" s="6">
        <f>$K$306*$V$306</f>
        <v>985265.09759999986</v>
      </c>
      <c r="AC306" s="6">
        <f>$M$306*$W$306</f>
        <v>0</v>
      </c>
      <c r="AD306" s="6">
        <f>$O$306*$X$306</f>
        <v>0</v>
      </c>
      <c r="AE306" s="6">
        <f ca="1">$K$306*$Y$306</f>
        <v>1042651.2282524764</v>
      </c>
      <c r="AF306" s="6">
        <f>$M$306*$Z$306</f>
        <v>0</v>
      </c>
      <c r="AG306" s="6">
        <f>$O$306*$AA$306</f>
        <v>0</v>
      </c>
    </row>
    <row r="307" spans="1:33" ht="11.25" customHeight="1" x14ac:dyDescent="0.25">
      <c r="A307" s="4" t="s">
        <v>28</v>
      </c>
      <c r="B307" s="4" t="s">
        <v>33</v>
      </c>
      <c r="C307" s="4" t="s">
        <v>34</v>
      </c>
      <c r="D307" s="4" t="s">
        <v>41</v>
      </c>
      <c r="E307" s="4" t="s">
        <v>50</v>
      </c>
      <c r="F307" s="4" t="s">
        <v>25</v>
      </c>
      <c r="G307" s="4" t="s">
        <v>25</v>
      </c>
      <c r="H307" s="4" t="s">
        <v>25</v>
      </c>
      <c r="I307" s="5">
        <v>44593</v>
      </c>
      <c r="J307" s="6">
        <v>120</v>
      </c>
      <c r="K307" s="70">
        <v>120</v>
      </c>
      <c r="L307" s="6">
        <v>0</v>
      </c>
      <c r="M307" s="70">
        <v>0</v>
      </c>
      <c r="N307" s="6">
        <v>0</v>
      </c>
      <c r="O307" s="70">
        <v>0</v>
      </c>
      <c r="P307" s="6">
        <v>1</v>
      </c>
      <c r="Q307" s="4" t="s">
        <v>26</v>
      </c>
      <c r="R307" s="4">
        <v>0</v>
      </c>
      <c r="S307" s="6">
        <v>65</v>
      </c>
      <c r="T307" s="6">
        <v>0</v>
      </c>
      <c r="U307" s="6">
        <v>0</v>
      </c>
      <c r="V307" s="70">
        <f>IF(ISERROR(VLOOKUP($S$307,'TAR FIN'!$A$1:$O$85,15,0)),0,VLOOKUP($S$307,'TAR FIN'!$A$1:$O$85,15,0))*(1-0.04)</f>
        <v>22.473599999999998</v>
      </c>
      <c r="W307" s="70">
        <f>IF(ISERROR(VLOOKUP($T$307,'TAR FIN'!$A$1:$O$85,15,0)),0,VLOOKUP($T$307,'TAR FIN'!$A$1:$O$85,15,0))</f>
        <v>0</v>
      </c>
      <c r="X307" s="70">
        <f>IF(ISERROR(VLOOKUP($U$307,'TAR FIN'!$A$1:$O$85,15,0)),0,VLOOKUP($U$307,'TAR FIN'!$A$1:$O$85,15,0))</f>
        <v>0</v>
      </c>
      <c r="Y307" s="70">
        <f ca="1">('TUSD BE'!$AM$10+'TUSD BF'!$AM$10+'TUSD CVA'!$AM$10)*1*(1-0.02)</f>
        <v>23.78256034881678</v>
      </c>
      <c r="Z307" s="70"/>
      <c r="AA307" s="70"/>
      <c r="AB307" s="6">
        <f>$K$307*$V$307</f>
        <v>2696.8319999999999</v>
      </c>
      <c r="AC307" s="6">
        <f>$M$307*$W$307</f>
        <v>0</v>
      </c>
      <c r="AD307" s="6">
        <f>$O$307*$X$307</f>
        <v>0</v>
      </c>
      <c r="AE307" s="6">
        <f ca="1">$K$307*$Y$307</f>
        <v>2853.9072418580135</v>
      </c>
      <c r="AF307" s="6">
        <f>$M$307*$Z$307</f>
        <v>0</v>
      </c>
      <c r="AG307" s="6">
        <f>$O$307*$AA$307</f>
        <v>0</v>
      </c>
    </row>
    <row r="308" spans="1:33" ht="11.25" customHeight="1" x14ac:dyDescent="0.25">
      <c r="A308" s="4" t="s">
        <v>54</v>
      </c>
      <c r="B308" s="4" t="s">
        <v>33</v>
      </c>
      <c r="C308" s="4" t="s">
        <v>34</v>
      </c>
      <c r="D308" s="4" t="s">
        <v>41</v>
      </c>
      <c r="E308" s="4" t="s">
        <v>50</v>
      </c>
      <c r="F308" s="4" t="s">
        <v>25</v>
      </c>
      <c r="G308" s="4" t="s">
        <v>25</v>
      </c>
      <c r="H308" s="4" t="s">
        <v>25</v>
      </c>
      <c r="I308" s="5">
        <v>44621</v>
      </c>
      <c r="J308" s="6">
        <v>43841</v>
      </c>
      <c r="K308" s="70">
        <v>43841</v>
      </c>
      <c r="L308" s="6">
        <v>0</v>
      </c>
      <c r="M308" s="70">
        <v>0</v>
      </c>
      <c r="N308" s="6">
        <v>0</v>
      </c>
      <c r="O308" s="70">
        <v>0</v>
      </c>
      <c r="P308" s="6">
        <v>283</v>
      </c>
      <c r="Q308" s="4" t="s">
        <v>26</v>
      </c>
      <c r="R308" s="4">
        <v>0</v>
      </c>
      <c r="S308" s="6">
        <v>65</v>
      </c>
      <c r="T308" s="6">
        <v>0</v>
      </c>
      <c r="U308" s="6">
        <v>0</v>
      </c>
      <c r="V308" s="70">
        <f>IF(ISERROR(VLOOKUP($S$308,'TAR FIN'!$A$1:$O$85,15,0)),0,VLOOKUP($S$308,'TAR FIN'!$A$1:$O$85,15,0))*(1-0.04)</f>
        <v>22.473599999999998</v>
      </c>
      <c r="W308" s="70">
        <f>IF(ISERROR(VLOOKUP($T$308,'TAR FIN'!$A$1:$O$85,15,0)),0,VLOOKUP($T$308,'TAR FIN'!$A$1:$O$85,15,0))</f>
        <v>0</v>
      </c>
      <c r="X308" s="70">
        <f>IF(ISERROR(VLOOKUP($U$308,'TAR FIN'!$A$1:$O$85,15,0)),0,VLOOKUP($U$308,'TAR FIN'!$A$1:$O$85,15,0))</f>
        <v>0</v>
      </c>
      <c r="Y308" s="70">
        <f ca="1">('TUSD BE'!$AM$10+'TUSD BF'!$AM$10+'TUSD CVA'!$AM$10)*1*(1-0.02)</f>
        <v>23.78256034881678</v>
      </c>
      <c r="Z308" s="70"/>
      <c r="AA308" s="70"/>
      <c r="AB308" s="6">
        <f>$K$308*$V$308</f>
        <v>985265.09759999986</v>
      </c>
      <c r="AC308" s="6">
        <f>$M$308*$W$308</f>
        <v>0</v>
      </c>
      <c r="AD308" s="6">
        <f>$O$308*$X$308</f>
        <v>0</v>
      </c>
      <c r="AE308" s="6">
        <f ca="1">$K$308*$Y$308</f>
        <v>1042651.2282524764</v>
      </c>
      <c r="AF308" s="6">
        <f>$M$308*$Z$308</f>
        <v>0</v>
      </c>
      <c r="AG308" s="6">
        <f>$O$308*$AA$308</f>
        <v>0</v>
      </c>
    </row>
    <row r="309" spans="1:33" ht="11.25" customHeight="1" x14ac:dyDescent="0.25">
      <c r="A309" s="4" t="s">
        <v>54</v>
      </c>
      <c r="B309" s="4" t="s">
        <v>33</v>
      </c>
      <c r="C309" s="4" t="s">
        <v>34</v>
      </c>
      <c r="D309" s="4" t="s">
        <v>41</v>
      </c>
      <c r="E309" s="4" t="s">
        <v>50</v>
      </c>
      <c r="F309" s="4" t="s">
        <v>25</v>
      </c>
      <c r="G309" s="4" t="s">
        <v>25</v>
      </c>
      <c r="H309" s="4" t="s">
        <v>25</v>
      </c>
      <c r="I309" s="5">
        <v>44621</v>
      </c>
      <c r="J309" s="6">
        <v>120</v>
      </c>
      <c r="K309" s="70">
        <v>120</v>
      </c>
      <c r="L309" s="6">
        <v>0</v>
      </c>
      <c r="M309" s="70">
        <v>0</v>
      </c>
      <c r="N309" s="6">
        <v>0</v>
      </c>
      <c r="O309" s="70">
        <v>0</v>
      </c>
      <c r="P309" s="6">
        <v>1</v>
      </c>
      <c r="Q309" s="4" t="s">
        <v>26</v>
      </c>
      <c r="R309" s="4">
        <v>0</v>
      </c>
      <c r="S309" s="6">
        <v>65</v>
      </c>
      <c r="T309" s="6">
        <v>0</v>
      </c>
      <c r="U309" s="6">
        <v>0</v>
      </c>
      <c r="V309" s="70">
        <f>IF(ISERROR(VLOOKUP($S$309,'TAR FIN'!$A$1:$O$85,15,0)),0,VLOOKUP($S$309,'TAR FIN'!$A$1:$O$85,15,0))*(1-0.04)</f>
        <v>22.473599999999998</v>
      </c>
      <c r="W309" s="70">
        <f>IF(ISERROR(VLOOKUP($T$309,'TAR FIN'!$A$1:$O$85,15,0)),0,VLOOKUP($T$309,'TAR FIN'!$A$1:$O$85,15,0))</f>
        <v>0</v>
      </c>
      <c r="X309" s="70">
        <f>IF(ISERROR(VLOOKUP($U$309,'TAR FIN'!$A$1:$O$85,15,0)),0,VLOOKUP($U$309,'TAR FIN'!$A$1:$O$85,15,0))</f>
        <v>0</v>
      </c>
      <c r="Y309" s="70">
        <f ca="1">('TUSD BE'!$AM$10+'TUSD BF'!$AM$10+'TUSD CVA'!$AM$10)*1*(1-0.02)</f>
        <v>23.78256034881678</v>
      </c>
      <c r="Z309" s="70"/>
      <c r="AA309" s="70"/>
      <c r="AB309" s="6">
        <f>$K$309*$V$309</f>
        <v>2696.8319999999999</v>
      </c>
      <c r="AC309" s="6">
        <f>$M$309*$W$309</f>
        <v>0</v>
      </c>
      <c r="AD309" s="6">
        <f>$O$309*$X$309</f>
        <v>0</v>
      </c>
      <c r="AE309" s="6">
        <f ca="1">$K$309*$Y$309</f>
        <v>2853.9072418580135</v>
      </c>
      <c r="AF309" s="6">
        <f>$M$309*$Z$309</f>
        <v>0</v>
      </c>
      <c r="AG309" s="6">
        <f>$O$309*$AA$309</f>
        <v>0</v>
      </c>
    </row>
    <row r="310" spans="1:33" ht="11.25" customHeight="1" x14ac:dyDescent="0.25">
      <c r="A310" s="4" t="s">
        <v>21</v>
      </c>
      <c r="B310" s="4" t="s">
        <v>33</v>
      </c>
      <c r="C310" s="4" t="s">
        <v>34</v>
      </c>
      <c r="D310" s="4" t="s">
        <v>41</v>
      </c>
      <c r="E310" s="4" t="s">
        <v>50</v>
      </c>
      <c r="F310" s="4" t="s">
        <v>25</v>
      </c>
      <c r="G310" s="4" t="s">
        <v>25</v>
      </c>
      <c r="H310" s="4" t="s">
        <v>35</v>
      </c>
      <c r="I310" s="5">
        <v>44287</v>
      </c>
      <c r="J310" s="6">
        <v>0</v>
      </c>
      <c r="K310" s="70">
        <v>0</v>
      </c>
      <c r="L310" s="6">
        <v>50.738999999999997</v>
      </c>
      <c r="M310" s="70">
        <v>50.738999999999997</v>
      </c>
      <c r="N310" s="6">
        <v>50.738999999999997</v>
      </c>
      <c r="O310" s="70">
        <v>50.738999999999997</v>
      </c>
      <c r="P310" s="6">
        <v>0</v>
      </c>
      <c r="Q310" s="4" t="s">
        <v>26</v>
      </c>
      <c r="R310" s="4">
        <v>0</v>
      </c>
      <c r="S310" s="6">
        <v>0</v>
      </c>
      <c r="T310" s="6">
        <v>66</v>
      </c>
      <c r="U310" s="6">
        <v>6</v>
      </c>
      <c r="V310" s="70">
        <f>IF(ISERROR(VLOOKUP($S$310,'TAR FIN'!$A$1:$O$85,15,0)),0,VLOOKUP($S$310,'TAR FIN'!$A$1:$O$85,15,0))</f>
        <v>0</v>
      </c>
      <c r="W310" s="70">
        <f>IF(ISERROR(VLOOKUP($T$310,'TAR FIN'!$A$1:$O$85,15,0)),0,VLOOKUP($T$310,'TAR FIN'!$A$1:$O$85,15,0))*(1-0.04)</f>
        <v>2173.0367999999999</v>
      </c>
      <c r="X310" s="70">
        <f>IF(ISERROR(VLOOKUP($U$310,'TAR FIN'!$A$1:$O$85,15,0)),0,VLOOKUP($U$310,'TAR FIN'!$A$1:$O$85,15,0))*(1-0.04)</f>
        <v>214.77119999999999</v>
      </c>
      <c r="Y310" s="70"/>
      <c r="Z310" s="70">
        <f ca="1">('TUSD BE'!$AM$11+'TUSD BF'!$AM$11+'TUSD CVA'!$AM$11)*1*(1-0.02)</f>
        <v>2326.2024462524073</v>
      </c>
      <c r="AA310" s="70">
        <f>('TE BE'!$AA$5+'TE BF'!$AA$5+'TE CVA'!$AA$5)*1*(1-0.02)</f>
        <v>213.27681122210436</v>
      </c>
      <c r="AB310" s="6">
        <f>$K$310*$V$310</f>
        <v>0</v>
      </c>
      <c r="AC310" s="6">
        <f>$M$310*$W$310</f>
        <v>110257.71419519998</v>
      </c>
      <c r="AD310" s="6">
        <f>$O$310*$X$310</f>
        <v>10897.275916799999</v>
      </c>
      <c r="AE310" s="6">
        <f>$K$310*$Y$310</f>
        <v>0</v>
      </c>
      <c r="AF310" s="6">
        <f ca="1">$M$310*$Z$310</f>
        <v>118029.18592040089</v>
      </c>
      <c r="AG310" s="6">
        <f>$O$310*$AA$310</f>
        <v>10821.452124598352</v>
      </c>
    </row>
    <row r="311" spans="1:33" ht="11.25" customHeight="1" x14ac:dyDescent="0.25">
      <c r="A311" s="4" t="s">
        <v>21</v>
      </c>
      <c r="B311" s="4" t="s">
        <v>33</v>
      </c>
      <c r="C311" s="4" t="s">
        <v>34</v>
      </c>
      <c r="D311" s="4" t="s">
        <v>41</v>
      </c>
      <c r="E311" s="4" t="s">
        <v>50</v>
      </c>
      <c r="F311" s="4" t="s">
        <v>25</v>
      </c>
      <c r="G311" s="4" t="s">
        <v>25</v>
      </c>
      <c r="H311" s="4" t="s">
        <v>35</v>
      </c>
      <c r="I311" s="5">
        <v>44317</v>
      </c>
      <c r="J311" s="6">
        <v>0</v>
      </c>
      <c r="K311" s="70">
        <v>0</v>
      </c>
      <c r="L311" s="6">
        <v>40.271000000000001</v>
      </c>
      <c r="M311" s="70">
        <v>40.271000000000001</v>
      </c>
      <c r="N311" s="6">
        <v>40.271000000000001</v>
      </c>
      <c r="O311" s="70">
        <v>40.271000000000001</v>
      </c>
      <c r="P311" s="6">
        <v>0</v>
      </c>
      <c r="Q311" s="4" t="s">
        <v>26</v>
      </c>
      <c r="R311" s="4">
        <v>0</v>
      </c>
      <c r="S311" s="6">
        <v>0</v>
      </c>
      <c r="T311" s="6">
        <v>66</v>
      </c>
      <c r="U311" s="6">
        <v>6</v>
      </c>
      <c r="V311" s="70">
        <f>IF(ISERROR(VLOOKUP($S$311,'TAR FIN'!$A$1:$O$85,15,0)),0,VLOOKUP($S$311,'TAR FIN'!$A$1:$O$85,15,0))</f>
        <v>0</v>
      </c>
      <c r="W311" s="70">
        <f>IF(ISERROR(VLOOKUP($T$311,'TAR FIN'!$A$1:$O$85,15,0)),0,VLOOKUP($T$311,'TAR FIN'!$A$1:$O$85,15,0))*(1-0.04)</f>
        <v>2173.0367999999999</v>
      </c>
      <c r="X311" s="70">
        <f>IF(ISERROR(VLOOKUP($U$311,'TAR FIN'!$A$1:$O$85,15,0)),0,VLOOKUP($U$311,'TAR FIN'!$A$1:$O$85,15,0))*(1-0.04)</f>
        <v>214.77119999999999</v>
      </c>
      <c r="Y311" s="70"/>
      <c r="Z311" s="70">
        <f ca="1">('TUSD BE'!$AM$11+'TUSD BF'!$AM$11+'TUSD CVA'!$AM$11)*1*(1-0.02)</f>
        <v>2326.2024462524073</v>
      </c>
      <c r="AA311" s="70">
        <f>('TE BE'!$AA$5+'TE BF'!$AA$5+'TE CVA'!$AA$5)*1*(1-0.02)</f>
        <v>213.27681122210436</v>
      </c>
      <c r="AB311" s="6">
        <f>$K$311*$V$311</f>
        <v>0</v>
      </c>
      <c r="AC311" s="6">
        <f>$M$311*$W$311</f>
        <v>87510.364972800002</v>
      </c>
      <c r="AD311" s="6">
        <f>$O$311*$X$311</f>
        <v>8649.0509951999993</v>
      </c>
      <c r="AE311" s="6">
        <f>$K$311*$Y$311</f>
        <v>0</v>
      </c>
      <c r="AF311" s="6">
        <f ca="1">$M$311*$Z$311</f>
        <v>93678.498713030698</v>
      </c>
      <c r="AG311" s="6">
        <f>$O$311*$AA$311</f>
        <v>8588.8704647253653</v>
      </c>
    </row>
    <row r="312" spans="1:33" ht="11.25" customHeight="1" x14ac:dyDescent="0.25">
      <c r="A312" s="4" t="s">
        <v>21</v>
      </c>
      <c r="B312" s="4" t="s">
        <v>33</v>
      </c>
      <c r="C312" s="4" t="s">
        <v>34</v>
      </c>
      <c r="D312" s="4" t="s">
        <v>41</v>
      </c>
      <c r="E312" s="4" t="s">
        <v>50</v>
      </c>
      <c r="F312" s="4" t="s">
        <v>25</v>
      </c>
      <c r="G312" s="4" t="s">
        <v>25</v>
      </c>
      <c r="H312" s="4" t="s">
        <v>35</v>
      </c>
      <c r="I312" s="5">
        <v>44348</v>
      </c>
      <c r="J312" s="6">
        <v>0</v>
      </c>
      <c r="K312" s="70">
        <v>0</v>
      </c>
      <c r="L312" s="6">
        <v>18.818000000000001</v>
      </c>
      <c r="M312" s="70">
        <v>18.818000000000001</v>
      </c>
      <c r="N312" s="6">
        <v>18.818000000000001</v>
      </c>
      <c r="O312" s="70">
        <v>18.818000000000001</v>
      </c>
      <c r="P312" s="6">
        <v>0</v>
      </c>
      <c r="Q312" s="4" t="s">
        <v>26</v>
      </c>
      <c r="R312" s="4">
        <v>0</v>
      </c>
      <c r="S312" s="6">
        <v>0</v>
      </c>
      <c r="T312" s="6">
        <v>66</v>
      </c>
      <c r="U312" s="6">
        <v>6</v>
      </c>
      <c r="V312" s="70">
        <f>IF(ISERROR(VLOOKUP($S$312,'TAR FIN'!$A$1:$O$85,15,0)),0,VLOOKUP($S$312,'TAR FIN'!$A$1:$O$85,15,0))</f>
        <v>0</v>
      </c>
      <c r="W312" s="70">
        <f>IF(ISERROR(VLOOKUP($T$312,'TAR FIN'!$A$1:$O$85,15,0)),0,VLOOKUP($T$312,'TAR FIN'!$A$1:$O$85,15,0))*(1-0.04)</f>
        <v>2173.0367999999999</v>
      </c>
      <c r="X312" s="70">
        <f>IF(ISERROR(VLOOKUP($U$312,'TAR FIN'!$A$1:$O$85,15,0)),0,VLOOKUP($U$312,'TAR FIN'!$A$1:$O$85,15,0))*(1-0.04)</f>
        <v>214.77119999999999</v>
      </c>
      <c r="Y312" s="70"/>
      <c r="Z312" s="70">
        <f ca="1">('TUSD BE'!$AM$11+'TUSD BF'!$AM$11+'TUSD CVA'!$AM$11)*1*(1-0.02)</f>
        <v>2326.2024462524073</v>
      </c>
      <c r="AA312" s="70">
        <f>('TE BE'!$AA$5+'TE BF'!$AA$5+'TE CVA'!$AA$5)*1*(1-0.02)</f>
        <v>213.27681122210436</v>
      </c>
      <c r="AB312" s="6">
        <f>$K$312*$V$312</f>
        <v>0</v>
      </c>
      <c r="AC312" s="6">
        <f>$M$312*$W$312</f>
        <v>40892.206502400004</v>
      </c>
      <c r="AD312" s="6">
        <f>$O$312*$X$312</f>
        <v>4041.5644416</v>
      </c>
      <c r="AE312" s="6">
        <f>$K$312*$Y$312</f>
        <v>0</v>
      </c>
      <c r="AF312" s="6">
        <f ca="1">$M$312*$Z$312</f>
        <v>43774.477633577801</v>
      </c>
      <c r="AG312" s="6">
        <f>$O$312*$AA$312</f>
        <v>4013.4430335775601</v>
      </c>
    </row>
    <row r="313" spans="1:33" ht="11.25" customHeight="1" x14ac:dyDescent="0.25">
      <c r="A313" s="4" t="s">
        <v>28</v>
      </c>
      <c r="B313" s="4" t="s">
        <v>33</v>
      </c>
      <c r="C313" s="4" t="s">
        <v>34</v>
      </c>
      <c r="D313" s="4" t="s">
        <v>41</v>
      </c>
      <c r="E313" s="4" t="s">
        <v>50</v>
      </c>
      <c r="F313" s="4" t="s">
        <v>25</v>
      </c>
      <c r="G313" s="4" t="s">
        <v>25</v>
      </c>
      <c r="H313" s="4" t="s">
        <v>35</v>
      </c>
      <c r="I313" s="5">
        <v>44348</v>
      </c>
      <c r="J313" s="6">
        <v>0</v>
      </c>
      <c r="K313" s="70">
        <v>0</v>
      </c>
      <c r="L313" s="6">
        <v>0.30599999999999999</v>
      </c>
      <c r="M313" s="70">
        <v>0.30599999999999999</v>
      </c>
      <c r="N313" s="6">
        <v>0.30599999999999999</v>
      </c>
      <c r="O313" s="70">
        <v>0.30599999999999999</v>
      </c>
      <c r="P313" s="6">
        <v>0</v>
      </c>
      <c r="Q313" s="4" t="s">
        <v>26</v>
      </c>
      <c r="R313" s="4">
        <v>0</v>
      </c>
      <c r="S313" s="6">
        <v>0</v>
      </c>
      <c r="T313" s="6">
        <v>66</v>
      </c>
      <c r="U313" s="6">
        <v>6</v>
      </c>
      <c r="V313" s="70">
        <f>IF(ISERROR(VLOOKUP($S$313,'TAR FIN'!$A$1:$O$85,15,0)),0,VLOOKUP($S$313,'TAR FIN'!$A$1:$O$85,15,0))</f>
        <v>0</v>
      </c>
      <c r="W313" s="70">
        <f>IF(ISERROR(VLOOKUP($T$313,'TAR FIN'!$A$1:$O$85,15,0)),0,VLOOKUP($T$313,'TAR FIN'!$A$1:$O$85,15,0))*(1-0.04)</f>
        <v>2173.0367999999999</v>
      </c>
      <c r="X313" s="70">
        <f>IF(ISERROR(VLOOKUP($U$313,'TAR FIN'!$A$1:$O$85,15,0)),0,VLOOKUP($U$313,'TAR FIN'!$A$1:$O$85,15,0))*(1-0.04)</f>
        <v>214.77119999999999</v>
      </c>
      <c r="Y313" s="70"/>
      <c r="Z313" s="70">
        <f ca="1">('TUSD BE'!$AM$11+'TUSD BF'!$AM$11+'TUSD CVA'!$AM$11)*1*(1-0.02)</f>
        <v>2326.2024462524073</v>
      </c>
      <c r="AA313" s="70">
        <f>('TE BE'!$AA$5+'TE BF'!$AA$5+'TE CVA'!$AA$5)*1*(1-0.02)</f>
        <v>213.27681122210436</v>
      </c>
      <c r="AB313" s="6">
        <f>$K$313*$V$313</f>
        <v>0</v>
      </c>
      <c r="AC313" s="6">
        <f>$M$313*$W$313</f>
        <v>664.94926079999993</v>
      </c>
      <c r="AD313" s="6">
        <f>$O$313*$X$313</f>
        <v>65.719987199999991</v>
      </c>
      <c r="AE313" s="6">
        <f>$K$313*$Y$313</f>
        <v>0</v>
      </c>
      <c r="AF313" s="6">
        <f ca="1">$M$313*$Z$313</f>
        <v>711.81794855323665</v>
      </c>
      <c r="AG313" s="6">
        <f>$O$313*$AA$313</f>
        <v>65.26270423396393</v>
      </c>
    </row>
    <row r="314" spans="1:33" ht="11.25" customHeight="1" x14ac:dyDescent="0.25">
      <c r="A314" s="4" t="s">
        <v>21</v>
      </c>
      <c r="B314" s="4" t="s">
        <v>33</v>
      </c>
      <c r="C314" s="4" t="s">
        <v>34</v>
      </c>
      <c r="D314" s="4" t="s">
        <v>41</v>
      </c>
      <c r="E314" s="4" t="s">
        <v>50</v>
      </c>
      <c r="F314" s="4" t="s">
        <v>25</v>
      </c>
      <c r="G314" s="4" t="s">
        <v>25</v>
      </c>
      <c r="H314" s="4" t="s">
        <v>35</v>
      </c>
      <c r="I314" s="5">
        <v>44378</v>
      </c>
      <c r="J314" s="6">
        <v>0</v>
      </c>
      <c r="K314" s="70">
        <v>0</v>
      </c>
      <c r="L314" s="6">
        <v>52.542000000000002</v>
      </c>
      <c r="M314" s="70">
        <v>52.542000000000002</v>
      </c>
      <c r="N314" s="6">
        <v>52.542000000000002</v>
      </c>
      <c r="O314" s="70">
        <v>52.542000000000002</v>
      </c>
      <c r="P314" s="6">
        <v>0</v>
      </c>
      <c r="Q314" s="4" t="s">
        <v>26</v>
      </c>
      <c r="R314" s="4">
        <v>0</v>
      </c>
      <c r="S314" s="6">
        <v>0</v>
      </c>
      <c r="T314" s="6">
        <v>66</v>
      </c>
      <c r="U314" s="6">
        <v>6</v>
      </c>
      <c r="V314" s="70">
        <f>IF(ISERROR(VLOOKUP($S$314,'TAR FIN'!$A$1:$O$85,15,0)),0,VLOOKUP($S$314,'TAR FIN'!$A$1:$O$85,15,0))</f>
        <v>0</v>
      </c>
      <c r="W314" s="70">
        <f>IF(ISERROR(VLOOKUP($T$314,'TAR FIN'!$A$1:$O$85,15,0)),0,VLOOKUP($T$314,'TAR FIN'!$A$1:$O$85,15,0))*(1-0.04)</f>
        <v>2173.0367999999999</v>
      </c>
      <c r="X314" s="70">
        <f>IF(ISERROR(VLOOKUP($U$314,'TAR FIN'!$A$1:$O$85,15,0)),0,VLOOKUP($U$314,'TAR FIN'!$A$1:$O$85,15,0))*(1-0.04)</f>
        <v>214.77119999999999</v>
      </c>
      <c r="Y314" s="70"/>
      <c r="Z314" s="70">
        <f ca="1">('TUSD BE'!$AM$11+'TUSD BF'!$AM$11+'TUSD CVA'!$AM$11)*1*(1-0.02)</f>
        <v>2326.2024462524073</v>
      </c>
      <c r="AA314" s="70">
        <f>('TE BE'!$AA$5+'TE BF'!$AA$5+'TE CVA'!$AA$5)*1*(1-0.02)</f>
        <v>213.27681122210436</v>
      </c>
      <c r="AB314" s="6">
        <f>$K$314*$V$314</f>
        <v>0</v>
      </c>
      <c r="AC314" s="6">
        <f>$M$314*$W$314</f>
        <v>114175.6995456</v>
      </c>
      <c r="AD314" s="6">
        <f>$O$314*$X$314</f>
        <v>11284.5083904</v>
      </c>
      <c r="AE314" s="6">
        <f>$K$314*$Y$314</f>
        <v>0</v>
      </c>
      <c r="AF314" s="6">
        <f ca="1">$M$314*$Z$314</f>
        <v>122223.32893099399</v>
      </c>
      <c r="AG314" s="6">
        <f>$O$314*$AA$314</f>
        <v>11205.990215231808</v>
      </c>
    </row>
    <row r="315" spans="1:33" ht="11.25" customHeight="1" x14ac:dyDescent="0.25">
      <c r="A315" s="4" t="s">
        <v>28</v>
      </c>
      <c r="B315" s="4" t="s">
        <v>33</v>
      </c>
      <c r="C315" s="4" t="s">
        <v>34</v>
      </c>
      <c r="D315" s="4" t="s">
        <v>41</v>
      </c>
      <c r="E315" s="4" t="s">
        <v>50</v>
      </c>
      <c r="F315" s="4" t="s">
        <v>25</v>
      </c>
      <c r="G315" s="4" t="s">
        <v>25</v>
      </c>
      <c r="H315" s="4" t="s">
        <v>35</v>
      </c>
      <c r="I315" s="5">
        <v>44378</v>
      </c>
      <c r="J315" s="6">
        <v>0</v>
      </c>
      <c r="K315" s="70">
        <v>0</v>
      </c>
      <c r="L315" s="6">
        <v>6.7000000000000004E-2</v>
      </c>
      <c r="M315" s="70">
        <v>6.7000000000000004E-2</v>
      </c>
      <c r="N315" s="6">
        <v>6.7000000000000004E-2</v>
      </c>
      <c r="O315" s="70">
        <v>6.7000000000000004E-2</v>
      </c>
      <c r="P315" s="6">
        <v>0</v>
      </c>
      <c r="Q315" s="4" t="s">
        <v>26</v>
      </c>
      <c r="R315" s="4">
        <v>0</v>
      </c>
      <c r="S315" s="6">
        <v>0</v>
      </c>
      <c r="T315" s="6">
        <v>66</v>
      </c>
      <c r="U315" s="6">
        <v>6</v>
      </c>
      <c r="V315" s="70">
        <f>IF(ISERROR(VLOOKUP($S$315,'TAR FIN'!$A$1:$O$85,15,0)),0,VLOOKUP($S$315,'TAR FIN'!$A$1:$O$85,15,0))</f>
        <v>0</v>
      </c>
      <c r="W315" s="70">
        <f>IF(ISERROR(VLOOKUP($T$315,'TAR FIN'!$A$1:$O$85,15,0)),0,VLOOKUP($T$315,'TAR FIN'!$A$1:$O$85,15,0))*(1-0.04)</f>
        <v>2173.0367999999999</v>
      </c>
      <c r="X315" s="70">
        <f>IF(ISERROR(VLOOKUP($U$315,'TAR FIN'!$A$1:$O$85,15,0)),0,VLOOKUP($U$315,'TAR FIN'!$A$1:$O$85,15,0))*(1-0.04)</f>
        <v>214.77119999999999</v>
      </c>
      <c r="Y315" s="70"/>
      <c r="Z315" s="70">
        <f ca="1">('TUSD BE'!$AM$11+'TUSD BF'!$AM$11+'TUSD CVA'!$AM$11)*1*(1-0.02)</f>
        <v>2326.2024462524073</v>
      </c>
      <c r="AA315" s="70">
        <f>('TE BE'!$AA$5+'TE BF'!$AA$5+'TE CVA'!$AA$5)*1*(1-0.02)</f>
        <v>213.27681122210436</v>
      </c>
      <c r="AB315" s="6">
        <f>$K$315*$V$315</f>
        <v>0</v>
      </c>
      <c r="AC315" s="6">
        <f>$M$315*$W$315</f>
        <v>145.5934656</v>
      </c>
      <c r="AD315" s="6">
        <f>$O$315*$X$315</f>
        <v>14.3896704</v>
      </c>
      <c r="AE315" s="6">
        <f>$K$315*$Y$315</f>
        <v>0</v>
      </c>
      <c r="AF315" s="6">
        <f ca="1">$M$315*$Z$315</f>
        <v>155.8555638989113</v>
      </c>
      <c r="AG315" s="6">
        <f>$O$315*$AA$315</f>
        <v>14.289546351880993</v>
      </c>
    </row>
    <row r="316" spans="1:33" ht="11.25" customHeight="1" x14ac:dyDescent="0.25">
      <c r="A316" s="4" t="s">
        <v>21</v>
      </c>
      <c r="B316" s="4" t="s">
        <v>33</v>
      </c>
      <c r="C316" s="4" t="s">
        <v>34</v>
      </c>
      <c r="D316" s="4" t="s">
        <v>41</v>
      </c>
      <c r="E316" s="4" t="s">
        <v>50</v>
      </c>
      <c r="F316" s="4" t="s">
        <v>25</v>
      </c>
      <c r="G316" s="4" t="s">
        <v>25</v>
      </c>
      <c r="H316" s="4" t="s">
        <v>35</v>
      </c>
      <c r="I316" s="5">
        <v>44409</v>
      </c>
      <c r="J316" s="6">
        <v>0</v>
      </c>
      <c r="K316" s="70">
        <v>0</v>
      </c>
      <c r="L316" s="6">
        <v>49.073999999999998</v>
      </c>
      <c r="M316" s="70">
        <v>49.073999999999998</v>
      </c>
      <c r="N316" s="6">
        <v>49.073999999999998</v>
      </c>
      <c r="O316" s="70">
        <v>49.073999999999998</v>
      </c>
      <c r="P316" s="6">
        <v>0</v>
      </c>
      <c r="Q316" s="4" t="s">
        <v>26</v>
      </c>
      <c r="R316" s="4">
        <v>0</v>
      </c>
      <c r="S316" s="6">
        <v>0</v>
      </c>
      <c r="T316" s="6">
        <v>66</v>
      </c>
      <c r="U316" s="6">
        <v>6</v>
      </c>
      <c r="V316" s="70">
        <f>IF(ISERROR(VLOOKUP($S$316,'TAR FIN'!$A$1:$O$85,15,0)),0,VLOOKUP($S$316,'TAR FIN'!$A$1:$O$85,15,0))</f>
        <v>0</v>
      </c>
      <c r="W316" s="70">
        <f>IF(ISERROR(VLOOKUP($T$316,'TAR FIN'!$A$1:$O$85,15,0)),0,VLOOKUP($T$316,'TAR FIN'!$A$1:$O$85,15,0))*(1-0.04)</f>
        <v>2173.0367999999999</v>
      </c>
      <c r="X316" s="70">
        <f>IF(ISERROR(VLOOKUP($U$316,'TAR FIN'!$A$1:$O$85,15,0)),0,VLOOKUP($U$316,'TAR FIN'!$A$1:$O$85,15,0))*(1-0.04)</f>
        <v>214.77119999999999</v>
      </c>
      <c r="Y316" s="70"/>
      <c r="Z316" s="70">
        <f ca="1">('TUSD BE'!$AM$11+'TUSD BF'!$AM$11+'TUSD CVA'!$AM$11)*1*(1-0.02)</f>
        <v>2326.2024462524073</v>
      </c>
      <c r="AA316" s="70">
        <f>('TE BE'!$AA$5+'TE BF'!$AA$5+'TE CVA'!$AA$5)*1*(1-0.02)</f>
        <v>213.27681122210436</v>
      </c>
      <c r="AB316" s="6">
        <f>$K$316*$V$316</f>
        <v>0</v>
      </c>
      <c r="AC316" s="6">
        <f>$M$316*$W$316</f>
        <v>106639.60792319999</v>
      </c>
      <c r="AD316" s="6">
        <f>$O$316*$X$316</f>
        <v>10539.681868799998</v>
      </c>
      <c r="AE316" s="6">
        <f>$K$316*$Y$316</f>
        <v>0</v>
      </c>
      <c r="AF316" s="6">
        <f ca="1">$M$316*$Z$316</f>
        <v>114156.05884739062</v>
      </c>
      <c r="AG316" s="6">
        <f>$O$316*$AA$316</f>
        <v>10466.346233913549</v>
      </c>
    </row>
    <row r="317" spans="1:33" ht="11.25" customHeight="1" x14ac:dyDescent="0.25">
      <c r="A317" s="4" t="s">
        <v>21</v>
      </c>
      <c r="B317" s="4" t="s">
        <v>33</v>
      </c>
      <c r="C317" s="4" t="s">
        <v>34</v>
      </c>
      <c r="D317" s="4" t="s">
        <v>41</v>
      </c>
      <c r="E317" s="4" t="s">
        <v>50</v>
      </c>
      <c r="F317" s="4" t="s">
        <v>25</v>
      </c>
      <c r="G317" s="4" t="s">
        <v>25</v>
      </c>
      <c r="H317" s="4" t="s">
        <v>35</v>
      </c>
      <c r="I317" s="5">
        <v>44440</v>
      </c>
      <c r="J317" s="6">
        <v>0</v>
      </c>
      <c r="K317" s="70">
        <v>0</v>
      </c>
      <c r="L317" s="6">
        <v>55.771000000000001</v>
      </c>
      <c r="M317" s="70">
        <v>55.771000000000001</v>
      </c>
      <c r="N317" s="6">
        <v>55.771000000000001</v>
      </c>
      <c r="O317" s="70">
        <v>55.771000000000001</v>
      </c>
      <c r="P317" s="6">
        <v>0</v>
      </c>
      <c r="Q317" s="4" t="s">
        <v>26</v>
      </c>
      <c r="R317" s="4">
        <v>0</v>
      </c>
      <c r="S317" s="6">
        <v>0</v>
      </c>
      <c r="T317" s="6">
        <v>66</v>
      </c>
      <c r="U317" s="6">
        <v>6</v>
      </c>
      <c r="V317" s="70">
        <f>IF(ISERROR(VLOOKUP($S$317,'TAR FIN'!$A$1:$O$85,15,0)),0,VLOOKUP($S$317,'TAR FIN'!$A$1:$O$85,15,0))</f>
        <v>0</v>
      </c>
      <c r="W317" s="70">
        <f>IF(ISERROR(VLOOKUP($T$317,'TAR FIN'!$A$1:$O$85,15,0)),0,VLOOKUP($T$317,'TAR FIN'!$A$1:$O$85,15,0))*(1-0.04)</f>
        <v>2173.0367999999999</v>
      </c>
      <c r="X317" s="70">
        <f>IF(ISERROR(VLOOKUP($U$317,'TAR FIN'!$A$1:$O$85,15,0)),0,VLOOKUP($U$317,'TAR FIN'!$A$1:$O$85,15,0))*(1-0.04)</f>
        <v>214.77119999999999</v>
      </c>
      <c r="Y317" s="70"/>
      <c r="Z317" s="70">
        <f ca="1">('TUSD BE'!$AM$11+'TUSD BF'!$AM$11+'TUSD CVA'!$AM$11)*1*(1-0.02)</f>
        <v>2326.2024462524073</v>
      </c>
      <c r="AA317" s="70">
        <f>('TE BE'!$AA$5+'TE BF'!$AA$5+'TE CVA'!$AA$5)*1*(1-0.02)</f>
        <v>213.27681122210436</v>
      </c>
      <c r="AB317" s="6">
        <f>$K$317*$V$317</f>
        <v>0</v>
      </c>
      <c r="AC317" s="6">
        <f>$M$317*$W$317</f>
        <v>121192.4353728</v>
      </c>
      <c r="AD317" s="6">
        <f>$O$317*$X$317</f>
        <v>11978.0045952</v>
      </c>
      <c r="AE317" s="6">
        <f>$K$317*$Y$317</f>
        <v>0</v>
      </c>
      <c r="AF317" s="6">
        <f ca="1">$M$317*$Z$317</f>
        <v>129734.63662994301</v>
      </c>
      <c r="AG317" s="6">
        <f>$O$317*$AA$317</f>
        <v>11894.661038667982</v>
      </c>
    </row>
    <row r="318" spans="1:33" ht="11.25" customHeight="1" x14ac:dyDescent="0.25">
      <c r="A318" s="4" t="s">
        <v>21</v>
      </c>
      <c r="B318" s="4" t="s">
        <v>33</v>
      </c>
      <c r="C318" s="4" t="s">
        <v>34</v>
      </c>
      <c r="D318" s="4" t="s">
        <v>41</v>
      </c>
      <c r="E318" s="4" t="s">
        <v>50</v>
      </c>
      <c r="F318" s="4" t="s">
        <v>25</v>
      </c>
      <c r="G318" s="4" t="s">
        <v>25</v>
      </c>
      <c r="H318" s="4" t="s">
        <v>35</v>
      </c>
      <c r="I318" s="5">
        <v>44470</v>
      </c>
      <c r="J318" s="6">
        <v>0</v>
      </c>
      <c r="K318" s="70">
        <v>0</v>
      </c>
      <c r="L318" s="6">
        <v>44.161000000000001</v>
      </c>
      <c r="M318" s="70">
        <v>44.161000000000001</v>
      </c>
      <c r="N318" s="6">
        <v>44.161000000000001</v>
      </c>
      <c r="O318" s="70">
        <v>44.161000000000001</v>
      </c>
      <c r="P318" s="6">
        <v>0</v>
      </c>
      <c r="Q318" s="4" t="s">
        <v>26</v>
      </c>
      <c r="R318" s="4">
        <v>0</v>
      </c>
      <c r="S318" s="6">
        <v>0</v>
      </c>
      <c r="T318" s="6">
        <v>66</v>
      </c>
      <c r="U318" s="6">
        <v>6</v>
      </c>
      <c r="V318" s="70">
        <f>IF(ISERROR(VLOOKUP($S$318,'TAR FIN'!$A$1:$O$85,15,0)),0,VLOOKUP($S$318,'TAR FIN'!$A$1:$O$85,15,0))</f>
        <v>0</v>
      </c>
      <c r="W318" s="70">
        <f>IF(ISERROR(VLOOKUP($T$318,'TAR FIN'!$A$1:$O$85,15,0)),0,VLOOKUP($T$318,'TAR FIN'!$A$1:$O$85,15,0))*(1-0.04)</f>
        <v>2173.0367999999999</v>
      </c>
      <c r="X318" s="70">
        <f>IF(ISERROR(VLOOKUP($U$318,'TAR FIN'!$A$1:$O$85,15,0)),0,VLOOKUP($U$318,'TAR FIN'!$A$1:$O$85,15,0))*(1-0.04)</f>
        <v>214.77119999999999</v>
      </c>
      <c r="Y318" s="70"/>
      <c r="Z318" s="70">
        <f ca="1">('TUSD BE'!$AM$11+'TUSD BF'!$AM$11+'TUSD CVA'!$AM$11)*1*(1-0.02)</f>
        <v>2326.2024462524073</v>
      </c>
      <c r="AA318" s="70">
        <f>('TE BE'!$AA$5+'TE BF'!$AA$5+'TE CVA'!$AA$5)*1*(1-0.02)</f>
        <v>213.27681122210436</v>
      </c>
      <c r="AB318" s="6">
        <f>$K$318*$V$318</f>
        <v>0</v>
      </c>
      <c r="AC318" s="6">
        <f>$M$318*$W$318</f>
        <v>95963.478124799993</v>
      </c>
      <c r="AD318" s="6">
        <f>$O$318*$X$318</f>
        <v>9484.5109632000003</v>
      </c>
      <c r="AE318" s="6">
        <f>$K$318*$Y$318</f>
        <v>0</v>
      </c>
      <c r="AF318" s="6">
        <f ca="1">$M$318*$Z$318</f>
        <v>102727.42622895256</v>
      </c>
      <c r="AG318" s="6">
        <f>$O$318*$AA$318</f>
        <v>9418.5172603793508</v>
      </c>
    </row>
    <row r="319" spans="1:33" ht="11.25" customHeight="1" x14ac:dyDescent="0.25">
      <c r="A319" s="4" t="s">
        <v>21</v>
      </c>
      <c r="B319" s="4" t="s">
        <v>33</v>
      </c>
      <c r="C319" s="4" t="s">
        <v>34</v>
      </c>
      <c r="D319" s="4" t="s">
        <v>41</v>
      </c>
      <c r="E319" s="4" t="s">
        <v>50</v>
      </c>
      <c r="F319" s="4" t="s">
        <v>25</v>
      </c>
      <c r="G319" s="4" t="s">
        <v>25</v>
      </c>
      <c r="H319" s="4" t="s">
        <v>35</v>
      </c>
      <c r="I319" s="5">
        <v>44501</v>
      </c>
      <c r="J319" s="6">
        <v>0</v>
      </c>
      <c r="K319" s="70">
        <v>0</v>
      </c>
      <c r="L319" s="6">
        <v>74.503</v>
      </c>
      <c r="M319" s="70">
        <v>74.503</v>
      </c>
      <c r="N319" s="6">
        <v>74.503</v>
      </c>
      <c r="O319" s="70">
        <v>74.503</v>
      </c>
      <c r="P319" s="6">
        <v>0</v>
      </c>
      <c r="Q319" s="4" t="s">
        <v>26</v>
      </c>
      <c r="R319" s="4">
        <v>0</v>
      </c>
      <c r="S319" s="6">
        <v>0</v>
      </c>
      <c r="T319" s="6">
        <v>66</v>
      </c>
      <c r="U319" s="6">
        <v>6</v>
      </c>
      <c r="V319" s="70">
        <f>IF(ISERROR(VLOOKUP($S$319,'TAR FIN'!$A$1:$O$85,15,0)),0,VLOOKUP($S$319,'TAR FIN'!$A$1:$O$85,15,0))</f>
        <v>0</v>
      </c>
      <c r="W319" s="70">
        <f>IF(ISERROR(VLOOKUP($T$319,'TAR FIN'!$A$1:$O$85,15,0)),0,VLOOKUP($T$319,'TAR FIN'!$A$1:$O$85,15,0))*(1-0.04)</f>
        <v>2173.0367999999999</v>
      </c>
      <c r="X319" s="70">
        <f>IF(ISERROR(VLOOKUP($U$319,'TAR FIN'!$A$1:$O$85,15,0)),0,VLOOKUP($U$319,'TAR FIN'!$A$1:$O$85,15,0))*(1-0.04)</f>
        <v>214.77119999999999</v>
      </c>
      <c r="Y319" s="70"/>
      <c r="Z319" s="70">
        <f ca="1">('TUSD BE'!$AM$11+'TUSD BF'!$AM$11+'TUSD CVA'!$AM$11)*1*(1-0.02)</f>
        <v>2326.2024462524073</v>
      </c>
      <c r="AA319" s="70">
        <f>('TE BE'!$AA$5+'TE BF'!$AA$5+'TE CVA'!$AA$5)*1*(1-0.02)</f>
        <v>213.27681122210436</v>
      </c>
      <c r="AB319" s="6">
        <f>$K$319*$V$319</f>
        <v>0</v>
      </c>
      <c r="AC319" s="6">
        <f>$M$319*$W$319</f>
        <v>161897.76071039998</v>
      </c>
      <c r="AD319" s="6">
        <f>$O$319*$X$319</f>
        <v>16001.0987136</v>
      </c>
      <c r="AE319" s="6">
        <f>$K$319*$Y$319</f>
        <v>0</v>
      </c>
      <c r="AF319" s="6">
        <f ca="1">$M$319*$Z$319</f>
        <v>173309.06085314311</v>
      </c>
      <c r="AG319" s="6">
        <f>$O$319*$AA$319</f>
        <v>15889.76226648044</v>
      </c>
    </row>
    <row r="320" spans="1:33" ht="11.25" customHeight="1" x14ac:dyDescent="0.25">
      <c r="A320" s="4" t="s">
        <v>28</v>
      </c>
      <c r="B320" s="4" t="s">
        <v>33</v>
      </c>
      <c r="C320" s="4" t="s">
        <v>34</v>
      </c>
      <c r="D320" s="4" t="s">
        <v>41</v>
      </c>
      <c r="E320" s="4" t="s">
        <v>50</v>
      </c>
      <c r="F320" s="4" t="s">
        <v>25</v>
      </c>
      <c r="G320" s="4" t="s">
        <v>25</v>
      </c>
      <c r="H320" s="4" t="s">
        <v>35</v>
      </c>
      <c r="I320" s="5">
        <v>44501</v>
      </c>
      <c r="J320" s="6">
        <v>0</v>
      </c>
      <c r="K320" s="70">
        <v>0</v>
      </c>
      <c r="L320" s="6">
        <v>7.4999999999999997E-2</v>
      </c>
      <c r="M320" s="70">
        <v>7.4999999999999997E-2</v>
      </c>
      <c r="N320" s="6">
        <v>7.4999999999999997E-2</v>
      </c>
      <c r="O320" s="70">
        <v>7.4999999999999997E-2</v>
      </c>
      <c r="P320" s="6">
        <v>0</v>
      </c>
      <c r="Q320" s="4" t="s">
        <v>26</v>
      </c>
      <c r="R320" s="4">
        <v>0</v>
      </c>
      <c r="S320" s="6">
        <v>0</v>
      </c>
      <c r="T320" s="6">
        <v>66</v>
      </c>
      <c r="U320" s="6">
        <v>6</v>
      </c>
      <c r="V320" s="70">
        <f>IF(ISERROR(VLOOKUP($S$320,'TAR FIN'!$A$1:$O$85,15,0)),0,VLOOKUP($S$320,'TAR FIN'!$A$1:$O$85,15,0))</f>
        <v>0</v>
      </c>
      <c r="W320" s="70">
        <f>IF(ISERROR(VLOOKUP($T$320,'TAR FIN'!$A$1:$O$85,15,0)),0,VLOOKUP($T$320,'TAR FIN'!$A$1:$O$85,15,0))*(1-0.04)</f>
        <v>2173.0367999999999</v>
      </c>
      <c r="X320" s="70">
        <f>IF(ISERROR(VLOOKUP($U$320,'TAR FIN'!$A$1:$O$85,15,0)),0,VLOOKUP($U$320,'TAR FIN'!$A$1:$O$85,15,0))*(1-0.04)</f>
        <v>214.77119999999999</v>
      </c>
      <c r="Y320" s="70"/>
      <c r="Z320" s="70">
        <f ca="1">('TUSD BE'!$AM$11+'TUSD BF'!$AM$11+'TUSD CVA'!$AM$11)*1*(1-0.02)</f>
        <v>2326.2024462524073</v>
      </c>
      <c r="AA320" s="70">
        <f>('TE BE'!$AA$5+'TE BF'!$AA$5+'TE CVA'!$AA$5)*1*(1-0.02)</f>
        <v>213.27681122210436</v>
      </c>
      <c r="AB320" s="6">
        <f>$K$320*$V$320</f>
        <v>0</v>
      </c>
      <c r="AC320" s="6">
        <f>$M$320*$W$320</f>
        <v>162.97775999999999</v>
      </c>
      <c r="AD320" s="6">
        <f>$O$320*$X$320</f>
        <v>16.107839999999999</v>
      </c>
      <c r="AE320" s="6">
        <f>$K$320*$Y$320</f>
        <v>0</v>
      </c>
      <c r="AF320" s="6">
        <f ca="1">$M$320*$Z$320</f>
        <v>174.46518346893055</v>
      </c>
      <c r="AG320" s="6">
        <f>$O$320*$AA$320</f>
        <v>15.995760841657827</v>
      </c>
    </row>
    <row r="321" spans="1:33" ht="11.25" customHeight="1" x14ac:dyDescent="0.25">
      <c r="A321" s="4" t="s">
        <v>21</v>
      </c>
      <c r="B321" s="4" t="s">
        <v>33</v>
      </c>
      <c r="C321" s="4" t="s">
        <v>34</v>
      </c>
      <c r="D321" s="4" t="s">
        <v>41</v>
      </c>
      <c r="E321" s="4" t="s">
        <v>50</v>
      </c>
      <c r="F321" s="4" t="s">
        <v>25</v>
      </c>
      <c r="G321" s="4" t="s">
        <v>25</v>
      </c>
      <c r="H321" s="4" t="s">
        <v>35</v>
      </c>
      <c r="I321" s="5">
        <v>44531</v>
      </c>
      <c r="J321" s="6">
        <v>0</v>
      </c>
      <c r="K321" s="70">
        <v>0</v>
      </c>
      <c r="L321" s="6">
        <v>74.665999999999997</v>
      </c>
      <c r="M321" s="70">
        <v>74.665999999999997</v>
      </c>
      <c r="N321" s="6">
        <v>74.665999999999997</v>
      </c>
      <c r="O321" s="70">
        <v>74.665999999999997</v>
      </c>
      <c r="P321" s="6">
        <v>0</v>
      </c>
      <c r="Q321" s="4" t="s">
        <v>26</v>
      </c>
      <c r="R321" s="4">
        <v>0</v>
      </c>
      <c r="S321" s="6">
        <v>0</v>
      </c>
      <c r="T321" s="6">
        <v>66</v>
      </c>
      <c r="U321" s="6">
        <v>6</v>
      </c>
      <c r="V321" s="70">
        <f>IF(ISERROR(VLOOKUP($S$321,'TAR FIN'!$A$1:$O$85,15,0)),0,VLOOKUP($S$321,'TAR FIN'!$A$1:$O$85,15,0))</f>
        <v>0</v>
      </c>
      <c r="W321" s="70">
        <f>IF(ISERROR(VLOOKUP($T$321,'TAR FIN'!$A$1:$O$85,15,0)),0,VLOOKUP($T$321,'TAR FIN'!$A$1:$O$85,15,0))*(1-0.04)</f>
        <v>2173.0367999999999</v>
      </c>
      <c r="X321" s="70">
        <f>IF(ISERROR(VLOOKUP($U$321,'TAR FIN'!$A$1:$O$85,15,0)),0,VLOOKUP($U$321,'TAR FIN'!$A$1:$O$85,15,0))*(1-0.04)</f>
        <v>214.77119999999999</v>
      </c>
      <c r="Y321" s="70"/>
      <c r="Z321" s="70">
        <f ca="1">('TUSD BE'!$AM$11+'TUSD BF'!$AM$11+'TUSD CVA'!$AM$11)*1*(1-0.02)</f>
        <v>2326.2024462524073</v>
      </c>
      <c r="AA321" s="70">
        <f>('TE BE'!$AA$5+'TE BF'!$AA$5+'TE CVA'!$AA$5)*1*(1-0.02)</f>
        <v>213.27681122210436</v>
      </c>
      <c r="AB321" s="6">
        <f>$K$321*$V$321</f>
        <v>0</v>
      </c>
      <c r="AC321" s="6">
        <f>$M$321*$W$321</f>
        <v>162251.96570879998</v>
      </c>
      <c r="AD321" s="6">
        <f>$O$321*$X$321</f>
        <v>16036.106419199999</v>
      </c>
      <c r="AE321" s="6">
        <f>$K$321*$Y$321</f>
        <v>0</v>
      </c>
      <c r="AF321" s="6">
        <f ca="1">$M$321*$Z$321</f>
        <v>173688.23185188224</v>
      </c>
      <c r="AG321" s="6">
        <f>$O$321*$AA$321</f>
        <v>15924.526386709644</v>
      </c>
    </row>
    <row r="322" spans="1:33" ht="11.25" customHeight="1" x14ac:dyDescent="0.25">
      <c r="A322" s="4" t="s">
        <v>27</v>
      </c>
      <c r="B322" s="4" t="s">
        <v>33</v>
      </c>
      <c r="C322" s="4" t="s">
        <v>34</v>
      </c>
      <c r="D322" s="4" t="s">
        <v>41</v>
      </c>
      <c r="E322" s="4" t="s">
        <v>50</v>
      </c>
      <c r="F322" s="4" t="s">
        <v>25</v>
      </c>
      <c r="G322" s="4" t="s">
        <v>25</v>
      </c>
      <c r="H322" s="4" t="s">
        <v>35</v>
      </c>
      <c r="I322" s="5">
        <v>44531</v>
      </c>
      <c r="J322" s="6">
        <v>0</v>
      </c>
      <c r="K322" s="70">
        <v>0</v>
      </c>
      <c r="L322" s="6">
        <v>-1.665</v>
      </c>
      <c r="M322" s="70">
        <v>-1.665</v>
      </c>
      <c r="N322" s="6">
        <v>-1.665</v>
      </c>
      <c r="O322" s="70">
        <v>-1.665</v>
      </c>
      <c r="P322" s="6">
        <v>0</v>
      </c>
      <c r="Q322" s="4" t="s">
        <v>26</v>
      </c>
      <c r="R322" s="4">
        <v>0</v>
      </c>
      <c r="S322" s="6">
        <v>0</v>
      </c>
      <c r="T322" s="6">
        <v>66</v>
      </c>
      <c r="U322" s="6">
        <v>6</v>
      </c>
      <c r="V322" s="70">
        <f>IF(ISERROR(VLOOKUP($S$322,'TAR FIN'!$A$1:$O$85,15,0)),0,VLOOKUP($S$322,'TAR FIN'!$A$1:$O$85,15,0))</f>
        <v>0</v>
      </c>
      <c r="W322" s="70">
        <f>IF(ISERROR(VLOOKUP($T$322,'TAR FIN'!$A$1:$O$85,15,0)),0,VLOOKUP($T$322,'TAR FIN'!$A$1:$O$85,15,0))*(1-0.04)</f>
        <v>2173.0367999999999</v>
      </c>
      <c r="X322" s="70">
        <f>IF(ISERROR(VLOOKUP($U$322,'TAR FIN'!$A$1:$O$85,15,0)),0,VLOOKUP($U$322,'TAR FIN'!$A$1:$O$85,15,0))*(1-0.04)</f>
        <v>214.77119999999999</v>
      </c>
      <c r="Y322" s="70"/>
      <c r="Z322" s="70">
        <f ca="1">('TUSD BE'!$AM$11+'TUSD BF'!$AM$11+'TUSD CVA'!$AM$11)*1*(1-0.02)</f>
        <v>2326.2024462524073</v>
      </c>
      <c r="AA322" s="70">
        <f>('TE BE'!$AA$5+'TE BF'!$AA$5+'TE CVA'!$AA$5)*1*(1-0.02)</f>
        <v>213.27681122210436</v>
      </c>
      <c r="AB322" s="6">
        <f>$K$322*$V$322</f>
        <v>0</v>
      </c>
      <c r="AC322" s="6">
        <f>$M$322*$W$322</f>
        <v>-3618.106272</v>
      </c>
      <c r="AD322" s="6">
        <f>$O$322*$X$322</f>
        <v>-357.59404799999999</v>
      </c>
      <c r="AE322" s="6">
        <f>$K$322*$Y$322</f>
        <v>0</v>
      </c>
      <c r="AF322" s="6">
        <f ca="1">$M$322*$Z$322</f>
        <v>-3873.1270730102583</v>
      </c>
      <c r="AG322" s="6">
        <f>$O$322*$AA$322</f>
        <v>-355.10589068480374</v>
      </c>
    </row>
    <row r="323" spans="1:33" ht="11.25" customHeight="1" x14ac:dyDescent="0.25">
      <c r="A323" s="4" t="s">
        <v>28</v>
      </c>
      <c r="B323" s="4" t="s">
        <v>33</v>
      </c>
      <c r="C323" s="4" t="s">
        <v>34</v>
      </c>
      <c r="D323" s="4" t="s">
        <v>41</v>
      </c>
      <c r="E323" s="4" t="s">
        <v>50</v>
      </c>
      <c r="F323" s="4" t="s">
        <v>25</v>
      </c>
      <c r="G323" s="4" t="s">
        <v>25</v>
      </c>
      <c r="H323" s="4" t="s">
        <v>35</v>
      </c>
      <c r="I323" s="5">
        <v>44531</v>
      </c>
      <c r="J323" s="6">
        <v>0</v>
      </c>
      <c r="K323" s="70">
        <v>0</v>
      </c>
      <c r="L323" s="6">
        <v>2.3E-2</v>
      </c>
      <c r="M323" s="70">
        <v>2.3E-2</v>
      </c>
      <c r="N323" s="6">
        <v>2.3E-2</v>
      </c>
      <c r="O323" s="70">
        <v>2.3E-2</v>
      </c>
      <c r="P323" s="6">
        <v>0</v>
      </c>
      <c r="Q323" s="4" t="s">
        <v>26</v>
      </c>
      <c r="R323" s="4">
        <v>0</v>
      </c>
      <c r="S323" s="6">
        <v>0</v>
      </c>
      <c r="T323" s="6">
        <v>66</v>
      </c>
      <c r="U323" s="6">
        <v>6</v>
      </c>
      <c r="V323" s="70">
        <f>IF(ISERROR(VLOOKUP($S$323,'TAR FIN'!$A$1:$O$85,15,0)),0,VLOOKUP($S$323,'TAR FIN'!$A$1:$O$85,15,0))</f>
        <v>0</v>
      </c>
      <c r="W323" s="70">
        <f>IF(ISERROR(VLOOKUP($T$323,'TAR FIN'!$A$1:$O$85,15,0)),0,VLOOKUP($T$323,'TAR FIN'!$A$1:$O$85,15,0))*(1-0.04)</f>
        <v>2173.0367999999999</v>
      </c>
      <c r="X323" s="70">
        <f>IF(ISERROR(VLOOKUP($U$323,'TAR FIN'!$A$1:$O$85,15,0)),0,VLOOKUP($U$323,'TAR FIN'!$A$1:$O$85,15,0))*(1-0.04)</f>
        <v>214.77119999999999</v>
      </c>
      <c r="Y323" s="70"/>
      <c r="Z323" s="70">
        <f ca="1">('TUSD BE'!$AM$11+'TUSD BF'!$AM$11+'TUSD CVA'!$AM$11)*1*(1-0.02)</f>
        <v>2326.2024462524073</v>
      </c>
      <c r="AA323" s="70">
        <f>('TE BE'!$AA$5+'TE BF'!$AA$5+'TE CVA'!$AA$5)*1*(1-0.02)</f>
        <v>213.27681122210436</v>
      </c>
      <c r="AB323" s="6">
        <f>$K$323*$V$323</f>
        <v>0</v>
      </c>
      <c r="AC323" s="6">
        <f>$M$323*$W$323</f>
        <v>49.979846399999992</v>
      </c>
      <c r="AD323" s="6">
        <f>$O$323*$X$323</f>
        <v>4.9397376</v>
      </c>
      <c r="AE323" s="6">
        <f>$K$323*$Y$323</f>
        <v>0</v>
      </c>
      <c r="AF323" s="6">
        <f ca="1">$M$323*$Z$323</f>
        <v>53.50265626380537</v>
      </c>
      <c r="AG323" s="6">
        <f>$O$323*$AA$323</f>
        <v>4.9053666581084006</v>
      </c>
    </row>
    <row r="324" spans="1:33" ht="11.25" customHeight="1" x14ac:dyDescent="0.25">
      <c r="A324" s="4" t="s">
        <v>21</v>
      </c>
      <c r="B324" s="4" t="s">
        <v>33</v>
      </c>
      <c r="C324" s="4" t="s">
        <v>34</v>
      </c>
      <c r="D324" s="4" t="s">
        <v>41</v>
      </c>
      <c r="E324" s="4" t="s">
        <v>50</v>
      </c>
      <c r="F324" s="4" t="s">
        <v>25</v>
      </c>
      <c r="G324" s="4" t="s">
        <v>25</v>
      </c>
      <c r="H324" s="4" t="s">
        <v>35</v>
      </c>
      <c r="I324" s="5">
        <v>44562</v>
      </c>
      <c r="J324" s="6">
        <v>0</v>
      </c>
      <c r="K324" s="70">
        <v>0</v>
      </c>
      <c r="L324" s="6">
        <v>42.938000000000002</v>
      </c>
      <c r="M324" s="70">
        <v>42.938000000000002</v>
      </c>
      <c r="N324" s="6">
        <v>42.938000000000002</v>
      </c>
      <c r="O324" s="70">
        <v>42.938000000000002</v>
      </c>
      <c r="P324" s="6">
        <v>0</v>
      </c>
      <c r="Q324" s="4" t="s">
        <v>26</v>
      </c>
      <c r="R324" s="4">
        <v>0</v>
      </c>
      <c r="S324" s="6">
        <v>0</v>
      </c>
      <c r="T324" s="6">
        <v>66</v>
      </c>
      <c r="U324" s="6">
        <v>6</v>
      </c>
      <c r="V324" s="70">
        <f>IF(ISERROR(VLOOKUP($S$324,'TAR FIN'!$A$1:$O$85,15,0)),0,VLOOKUP($S$324,'TAR FIN'!$A$1:$O$85,15,0))</f>
        <v>0</v>
      </c>
      <c r="W324" s="70">
        <f>IF(ISERROR(VLOOKUP($T$324,'TAR FIN'!$A$1:$O$85,15,0)),0,VLOOKUP($T$324,'TAR FIN'!$A$1:$O$85,15,0))*(1-0.04)</f>
        <v>2173.0367999999999</v>
      </c>
      <c r="X324" s="70">
        <f>IF(ISERROR(VLOOKUP($U$324,'TAR FIN'!$A$1:$O$85,15,0)),0,VLOOKUP($U$324,'TAR FIN'!$A$1:$O$85,15,0))*(1-0.04)</f>
        <v>214.77119999999999</v>
      </c>
      <c r="Y324" s="70"/>
      <c r="Z324" s="70">
        <f ca="1">('TUSD BE'!$AM$11+'TUSD BF'!$AM$11+'TUSD CVA'!$AM$11)*1*(1-0.02)</f>
        <v>2326.2024462524073</v>
      </c>
      <c r="AA324" s="70">
        <f>('TE BE'!$AA$5+'TE BF'!$AA$5+'TE CVA'!$AA$5)*1*(1-0.02)</f>
        <v>213.27681122210436</v>
      </c>
      <c r="AB324" s="6">
        <f>$K$324*$V$324</f>
        <v>0</v>
      </c>
      <c r="AC324" s="6">
        <f>$M$324*$W$324</f>
        <v>93305.854118400006</v>
      </c>
      <c r="AD324" s="6">
        <f>$O$324*$X$324</f>
        <v>9221.8457856000005</v>
      </c>
      <c r="AE324" s="6">
        <f>$K$324*$Y$324</f>
        <v>0</v>
      </c>
      <c r="AF324" s="6">
        <f ca="1">$M$324*$Z$324</f>
        <v>99882.480637185872</v>
      </c>
      <c r="AG324" s="6">
        <f>$O$324*$AA$324</f>
        <v>9157.6797202547168</v>
      </c>
    </row>
    <row r="325" spans="1:33" ht="11.25" customHeight="1" x14ac:dyDescent="0.25">
      <c r="A325" s="4" t="s">
        <v>21</v>
      </c>
      <c r="B325" s="4" t="s">
        <v>33</v>
      </c>
      <c r="C325" s="4" t="s">
        <v>34</v>
      </c>
      <c r="D325" s="4" t="s">
        <v>41</v>
      </c>
      <c r="E325" s="4" t="s">
        <v>50</v>
      </c>
      <c r="F325" s="4" t="s">
        <v>25</v>
      </c>
      <c r="G325" s="4" t="s">
        <v>25</v>
      </c>
      <c r="H325" s="4" t="s">
        <v>35</v>
      </c>
      <c r="I325" s="5">
        <v>44593</v>
      </c>
      <c r="J325" s="6">
        <v>0</v>
      </c>
      <c r="K325" s="70">
        <v>0</v>
      </c>
      <c r="L325" s="6">
        <v>71.948999999999998</v>
      </c>
      <c r="M325" s="70">
        <v>71.948999999999998</v>
      </c>
      <c r="N325" s="6">
        <v>71.948999999999998</v>
      </c>
      <c r="O325" s="70">
        <v>71.948999999999998</v>
      </c>
      <c r="P325" s="6">
        <v>0</v>
      </c>
      <c r="Q325" s="4" t="s">
        <v>26</v>
      </c>
      <c r="R325" s="4">
        <v>0</v>
      </c>
      <c r="S325" s="6">
        <v>0</v>
      </c>
      <c r="T325" s="6">
        <v>66</v>
      </c>
      <c r="U325" s="6">
        <v>6</v>
      </c>
      <c r="V325" s="70">
        <f>IF(ISERROR(VLOOKUP($S$325,'TAR FIN'!$A$1:$O$85,15,0)),0,VLOOKUP($S$325,'TAR FIN'!$A$1:$O$85,15,0))</f>
        <v>0</v>
      </c>
      <c r="W325" s="70">
        <f>IF(ISERROR(VLOOKUP($T$325,'TAR FIN'!$A$1:$O$85,15,0)),0,VLOOKUP($T$325,'TAR FIN'!$A$1:$O$85,15,0))*(1-0.04)</f>
        <v>2173.0367999999999</v>
      </c>
      <c r="X325" s="70">
        <f>IF(ISERROR(VLOOKUP($U$325,'TAR FIN'!$A$1:$O$85,15,0)),0,VLOOKUP($U$325,'TAR FIN'!$A$1:$O$85,15,0))*(1-0.04)</f>
        <v>214.77119999999999</v>
      </c>
      <c r="Y325" s="70"/>
      <c r="Z325" s="70">
        <f ca="1">('TUSD BE'!$AM$11+'TUSD BF'!$AM$11+'TUSD CVA'!$AM$11)*1*(1-0.02)</f>
        <v>2326.2024462524073</v>
      </c>
      <c r="AA325" s="70">
        <f>('TE BE'!$AA$5+'TE BF'!$AA$5+'TE CVA'!$AA$5)*1*(1-0.02)</f>
        <v>213.27681122210436</v>
      </c>
      <c r="AB325" s="6">
        <f>$K$325*$V$325</f>
        <v>0</v>
      </c>
      <c r="AC325" s="6">
        <f>$M$325*$W$325</f>
        <v>156347.8247232</v>
      </c>
      <c r="AD325" s="6">
        <f>$O$325*$X$325</f>
        <v>15452.573068799999</v>
      </c>
      <c r="AE325" s="6">
        <f>$K$325*$Y$325</f>
        <v>0</v>
      </c>
      <c r="AF325" s="6">
        <f ca="1">$M$325*$Z$325</f>
        <v>167367.93980541444</v>
      </c>
      <c r="AG325" s="6">
        <f>$O$325*$AA$325</f>
        <v>15345.053290619186</v>
      </c>
    </row>
    <row r="326" spans="1:33" ht="11.25" customHeight="1" x14ac:dyDescent="0.25">
      <c r="A326" s="4" t="s">
        <v>28</v>
      </c>
      <c r="B326" s="4" t="s">
        <v>33</v>
      </c>
      <c r="C326" s="4" t="s">
        <v>34</v>
      </c>
      <c r="D326" s="4" t="s">
        <v>41</v>
      </c>
      <c r="E326" s="4" t="s">
        <v>50</v>
      </c>
      <c r="F326" s="4" t="s">
        <v>25</v>
      </c>
      <c r="G326" s="4" t="s">
        <v>25</v>
      </c>
      <c r="H326" s="4" t="s">
        <v>35</v>
      </c>
      <c r="I326" s="5">
        <v>44593</v>
      </c>
      <c r="J326" s="6">
        <v>0</v>
      </c>
      <c r="K326" s="70">
        <v>0</v>
      </c>
      <c r="L326" s="6">
        <v>1.2E-2</v>
      </c>
      <c r="M326" s="70">
        <v>1.2E-2</v>
      </c>
      <c r="N326" s="6">
        <v>1.2E-2</v>
      </c>
      <c r="O326" s="70">
        <v>1.2E-2</v>
      </c>
      <c r="P326" s="6">
        <v>0</v>
      </c>
      <c r="Q326" s="4" t="s">
        <v>26</v>
      </c>
      <c r="R326" s="4">
        <v>0</v>
      </c>
      <c r="S326" s="6">
        <v>0</v>
      </c>
      <c r="T326" s="6">
        <v>66</v>
      </c>
      <c r="U326" s="6">
        <v>6</v>
      </c>
      <c r="V326" s="70">
        <f>IF(ISERROR(VLOOKUP($S$326,'TAR FIN'!$A$1:$O$85,15,0)),0,VLOOKUP($S$326,'TAR FIN'!$A$1:$O$85,15,0))</f>
        <v>0</v>
      </c>
      <c r="W326" s="70">
        <f>IF(ISERROR(VLOOKUP($T$326,'TAR FIN'!$A$1:$O$85,15,0)),0,VLOOKUP($T$326,'TAR FIN'!$A$1:$O$85,15,0))*(1-0.04)</f>
        <v>2173.0367999999999</v>
      </c>
      <c r="X326" s="70">
        <f>IF(ISERROR(VLOOKUP($U$326,'TAR FIN'!$A$1:$O$85,15,0)),0,VLOOKUP($U$326,'TAR FIN'!$A$1:$O$85,15,0))*(1-0.04)</f>
        <v>214.77119999999999</v>
      </c>
      <c r="Y326" s="70"/>
      <c r="Z326" s="70">
        <f ca="1">('TUSD BE'!$AM$11+'TUSD BF'!$AM$11+'TUSD CVA'!$AM$11)*1*(1-0.02)</f>
        <v>2326.2024462524073</v>
      </c>
      <c r="AA326" s="70">
        <f>('TE BE'!$AA$5+'TE BF'!$AA$5+'TE CVA'!$AA$5)*1*(1-0.02)</f>
        <v>213.27681122210436</v>
      </c>
      <c r="AB326" s="6">
        <f>$K$326*$V$326</f>
        <v>0</v>
      </c>
      <c r="AC326" s="6">
        <f>$M$326*$W$326</f>
        <v>26.076441599999999</v>
      </c>
      <c r="AD326" s="6">
        <f>$O$326*$X$326</f>
        <v>2.5772544000000002</v>
      </c>
      <c r="AE326" s="6">
        <f>$K$326*$Y$326</f>
        <v>0</v>
      </c>
      <c r="AF326" s="6">
        <f ca="1">$M$326*$Z$326</f>
        <v>27.914429355028886</v>
      </c>
      <c r="AG326" s="6">
        <f>$O$326*$AA$326</f>
        <v>2.5593217346652524</v>
      </c>
    </row>
    <row r="327" spans="1:33" ht="11.25" customHeight="1" x14ac:dyDescent="0.25">
      <c r="A327" s="4" t="s">
        <v>54</v>
      </c>
      <c r="B327" s="4" t="s">
        <v>33</v>
      </c>
      <c r="C327" s="4" t="s">
        <v>34</v>
      </c>
      <c r="D327" s="4" t="s">
        <v>41</v>
      </c>
      <c r="E327" s="4" t="s">
        <v>50</v>
      </c>
      <c r="F327" s="4" t="s">
        <v>25</v>
      </c>
      <c r="G327" s="4" t="s">
        <v>25</v>
      </c>
      <c r="H327" s="4" t="s">
        <v>35</v>
      </c>
      <c r="I327" s="5">
        <v>44621</v>
      </c>
      <c r="J327" s="6">
        <v>0</v>
      </c>
      <c r="K327" s="70">
        <v>0</v>
      </c>
      <c r="L327" s="6">
        <v>71.948999999999998</v>
      </c>
      <c r="M327" s="70">
        <v>71.948999999999998</v>
      </c>
      <c r="N327" s="6">
        <v>71.948999999999998</v>
      </c>
      <c r="O327" s="70">
        <v>71.948999999999998</v>
      </c>
      <c r="P327" s="6">
        <v>0</v>
      </c>
      <c r="Q327" s="4" t="s">
        <v>26</v>
      </c>
      <c r="R327" s="4">
        <v>0</v>
      </c>
      <c r="S327" s="6">
        <v>0</v>
      </c>
      <c r="T327" s="6">
        <v>66</v>
      </c>
      <c r="U327" s="6">
        <v>6</v>
      </c>
      <c r="V327" s="70">
        <f>IF(ISERROR(VLOOKUP($S$327,'TAR FIN'!$A$1:$O$85,15,0)),0,VLOOKUP($S$327,'TAR FIN'!$A$1:$O$85,15,0))</f>
        <v>0</v>
      </c>
      <c r="W327" s="70">
        <f>IF(ISERROR(VLOOKUP($T$327,'TAR FIN'!$A$1:$O$85,15,0)),0,VLOOKUP($T$327,'TAR FIN'!$A$1:$O$85,15,0))*(1-0.04)</f>
        <v>2173.0367999999999</v>
      </c>
      <c r="X327" s="70">
        <f>IF(ISERROR(VLOOKUP($U$327,'TAR FIN'!$A$1:$O$85,15,0)),0,VLOOKUP($U$327,'TAR FIN'!$A$1:$O$85,15,0))*(1-0.04)</f>
        <v>214.77119999999999</v>
      </c>
      <c r="Y327" s="70"/>
      <c r="Z327" s="70">
        <f ca="1">('TUSD BE'!$AM$11+'TUSD BF'!$AM$11+'TUSD CVA'!$AM$11)*1*(1-0.02)</f>
        <v>2326.2024462524073</v>
      </c>
      <c r="AA327" s="70">
        <f>('TE BE'!$AA$5+'TE BF'!$AA$5+'TE CVA'!$AA$5)*1*(1-0.02)</f>
        <v>213.27681122210436</v>
      </c>
      <c r="AB327" s="6">
        <f>$K$327*$V$327</f>
        <v>0</v>
      </c>
      <c r="AC327" s="6">
        <f>$M$327*$W$327</f>
        <v>156347.8247232</v>
      </c>
      <c r="AD327" s="6">
        <f>$O$327*$X$327</f>
        <v>15452.573068799999</v>
      </c>
      <c r="AE327" s="6">
        <f>$K$327*$Y$327</f>
        <v>0</v>
      </c>
      <c r="AF327" s="6">
        <f ca="1">$M$327*$Z$327</f>
        <v>167367.93980541444</v>
      </c>
      <c r="AG327" s="6">
        <f>$O$327*$AA$327</f>
        <v>15345.053290619186</v>
      </c>
    </row>
    <row r="328" spans="1:33" ht="11.25" customHeight="1" x14ac:dyDescent="0.25">
      <c r="A328" s="4" t="s">
        <v>54</v>
      </c>
      <c r="B328" s="4" t="s">
        <v>33</v>
      </c>
      <c r="C328" s="4" t="s">
        <v>34</v>
      </c>
      <c r="D328" s="4" t="s">
        <v>41</v>
      </c>
      <c r="E328" s="4" t="s">
        <v>50</v>
      </c>
      <c r="F328" s="4" t="s">
        <v>25</v>
      </c>
      <c r="G328" s="4" t="s">
        <v>25</v>
      </c>
      <c r="H328" s="4" t="s">
        <v>35</v>
      </c>
      <c r="I328" s="5">
        <v>44621</v>
      </c>
      <c r="J328" s="6">
        <v>0</v>
      </c>
      <c r="K328" s="70">
        <v>0</v>
      </c>
      <c r="L328" s="6">
        <v>1.2E-2</v>
      </c>
      <c r="M328" s="70">
        <v>1.2E-2</v>
      </c>
      <c r="N328" s="6">
        <v>1.2E-2</v>
      </c>
      <c r="O328" s="70">
        <v>1.2E-2</v>
      </c>
      <c r="P328" s="6">
        <v>0</v>
      </c>
      <c r="Q328" s="4" t="s">
        <v>26</v>
      </c>
      <c r="R328" s="4">
        <v>0</v>
      </c>
      <c r="S328" s="6">
        <v>0</v>
      </c>
      <c r="T328" s="6">
        <v>66</v>
      </c>
      <c r="U328" s="6">
        <v>6</v>
      </c>
      <c r="V328" s="70">
        <f>IF(ISERROR(VLOOKUP($S$328,'TAR FIN'!$A$1:$O$85,15,0)),0,VLOOKUP($S$328,'TAR FIN'!$A$1:$O$85,15,0))</f>
        <v>0</v>
      </c>
      <c r="W328" s="70">
        <f>IF(ISERROR(VLOOKUP($T$328,'TAR FIN'!$A$1:$O$85,15,0)),0,VLOOKUP($T$328,'TAR FIN'!$A$1:$O$85,15,0))*(1-0.04)</f>
        <v>2173.0367999999999</v>
      </c>
      <c r="X328" s="70">
        <f>IF(ISERROR(VLOOKUP($U$328,'TAR FIN'!$A$1:$O$85,15,0)),0,VLOOKUP($U$328,'TAR FIN'!$A$1:$O$85,15,0))*(1-0.04)</f>
        <v>214.77119999999999</v>
      </c>
      <c r="Y328" s="70"/>
      <c r="Z328" s="70">
        <f ca="1">('TUSD BE'!$AM$11+'TUSD BF'!$AM$11+'TUSD CVA'!$AM$11)*1*(1-0.02)</f>
        <v>2326.2024462524073</v>
      </c>
      <c r="AA328" s="70">
        <f>('TE BE'!$AA$5+'TE BF'!$AA$5+'TE CVA'!$AA$5)*1*(1-0.02)</f>
        <v>213.27681122210436</v>
      </c>
      <c r="AB328" s="6">
        <f>$K$328*$V$328</f>
        <v>0</v>
      </c>
      <c r="AC328" s="6">
        <f>$M$328*$W$328</f>
        <v>26.076441599999999</v>
      </c>
      <c r="AD328" s="6">
        <f>$O$328*$X$328</f>
        <v>2.5772544000000002</v>
      </c>
      <c r="AE328" s="6">
        <f>$K$328*$Y$328</f>
        <v>0</v>
      </c>
      <c r="AF328" s="6">
        <f ca="1">$M$328*$Z$328</f>
        <v>27.914429355028886</v>
      </c>
      <c r="AG328" s="6">
        <f>$O$328*$AA$328</f>
        <v>2.5593217346652524</v>
      </c>
    </row>
    <row r="329" spans="1:33" ht="11.25" customHeight="1" x14ac:dyDescent="0.25">
      <c r="A329" s="4" t="s">
        <v>21</v>
      </c>
      <c r="B329" s="4" t="s">
        <v>33</v>
      </c>
      <c r="C329" s="4" t="s">
        <v>34</v>
      </c>
      <c r="D329" s="4" t="s">
        <v>41</v>
      </c>
      <c r="E329" s="4" t="s">
        <v>25</v>
      </c>
      <c r="F329" s="4" t="s">
        <v>25</v>
      </c>
      <c r="G329" s="4" t="s">
        <v>25</v>
      </c>
      <c r="H329" s="4" t="s">
        <v>36</v>
      </c>
      <c r="I329" s="5">
        <v>44287</v>
      </c>
      <c r="J329" s="6">
        <v>0</v>
      </c>
      <c r="K329" s="70">
        <v>0</v>
      </c>
      <c r="L329" s="6">
        <v>188.108</v>
      </c>
      <c r="M329" s="70">
        <v>188.108</v>
      </c>
      <c r="N329" s="6">
        <v>188.108</v>
      </c>
      <c r="O329" s="70">
        <v>188.108</v>
      </c>
      <c r="P329" s="6">
        <v>0</v>
      </c>
      <c r="Q329" s="4" t="s">
        <v>26</v>
      </c>
      <c r="R329" s="4">
        <v>0</v>
      </c>
      <c r="S329" s="6">
        <v>0</v>
      </c>
      <c r="T329" s="6">
        <v>47</v>
      </c>
      <c r="U329" s="6">
        <v>27</v>
      </c>
      <c r="V329" s="70">
        <f>IF(ISERROR(VLOOKUP($S$329,'TAR FIN'!$A$1:$O$85,15,0)),0,VLOOKUP($S$329,'TAR FIN'!$A$1:$O$85,15,0))</f>
        <v>0</v>
      </c>
      <c r="W329" s="70">
        <f>IF(ISERROR(VLOOKUP($T$329,'TAR FIN'!$A$1:$O$85,15,0)),0,VLOOKUP($T$329,'TAR FIN'!$A$1:$O$85,15,0))*(1-0.04)</f>
        <v>69.340800000000002</v>
      </c>
      <c r="X329" s="70">
        <f>IF(ISERROR(VLOOKUP($U$329,'TAR FIN'!$A$1:$O$85,15,0)),0,VLOOKUP($U$329,'TAR FIN'!$A$1:$O$85,15,0))*(1-0.04)</f>
        <v>214.77119999999999</v>
      </c>
      <c r="Y329" s="70"/>
      <c r="Z329" s="70">
        <f ca="1">('TUSD BE'!$AM$12+'TUSD BF'!$AM$12+'TUSD CVA'!$AM$12)*1*(1-0.02)</f>
        <v>101.23895799225831</v>
      </c>
      <c r="AA329" s="70">
        <f>('TE BE'!$AA$6+'TE BF'!$AA$6+'TE CVA'!$AA$6)*1*(1-0.02)</f>
        <v>213.27681122210436</v>
      </c>
      <c r="AB329" s="6">
        <f>$K$329*$V$329</f>
        <v>0</v>
      </c>
      <c r="AC329" s="6">
        <f>$M$329*$W$329</f>
        <v>13043.559206400001</v>
      </c>
      <c r="AD329" s="6">
        <f>$O$329*$X$329</f>
        <v>40400.1808896</v>
      </c>
      <c r="AE329" s="6">
        <f>$K$329*$Y$329</f>
        <v>0</v>
      </c>
      <c r="AF329" s="6">
        <f ca="1">$M$329*$Z$329</f>
        <v>19043.857910007726</v>
      </c>
      <c r="AG329" s="6">
        <f>$O$329*$AA$329</f>
        <v>40119.07440536761</v>
      </c>
    </row>
    <row r="330" spans="1:33" ht="11.25" customHeight="1" x14ac:dyDescent="0.25">
      <c r="A330" s="4" t="s">
        <v>21</v>
      </c>
      <c r="B330" s="4" t="s">
        <v>33</v>
      </c>
      <c r="C330" s="4" t="s">
        <v>34</v>
      </c>
      <c r="D330" s="4" t="s">
        <v>41</v>
      </c>
      <c r="E330" s="4" t="s">
        <v>25</v>
      </c>
      <c r="F330" s="4" t="s">
        <v>25</v>
      </c>
      <c r="G330" s="4" t="s">
        <v>25</v>
      </c>
      <c r="H330" s="4" t="s">
        <v>36</v>
      </c>
      <c r="I330" s="5">
        <v>44317</v>
      </c>
      <c r="J330" s="6">
        <v>0</v>
      </c>
      <c r="K330" s="70">
        <v>0</v>
      </c>
      <c r="L330" s="6">
        <v>146.77600000000001</v>
      </c>
      <c r="M330" s="70">
        <v>146.77600000000001</v>
      </c>
      <c r="N330" s="6">
        <v>146.77600000000001</v>
      </c>
      <c r="O330" s="70">
        <v>146.77600000000001</v>
      </c>
      <c r="P330" s="6">
        <v>0</v>
      </c>
      <c r="Q330" s="4" t="s">
        <v>26</v>
      </c>
      <c r="R330" s="4">
        <v>0</v>
      </c>
      <c r="S330" s="6">
        <v>0</v>
      </c>
      <c r="T330" s="6">
        <v>47</v>
      </c>
      <c r="U330" s="6">
        <v>27</v>
      </c>
      <c r="V330" s="70">
        <f>IF(ISERROR(VLOOKUP($S$330,'TAR FIN'!$A$1:$O$85,15,0)),0,VLOOKUP($S$330,'TAR FIN'!$A$1:$O$85,15,0))</f>
        <v>0</v>
      </c>
      <c r="W330" s="70">
        <f>IF(ISERROR(VLOOKUP($T$330,'TAR FIN'!$A$1:$O$85,15,0)),0,VLOOKUP($T$330,'TAR FIN'!$A$1:$O$85,15,0))*(1-0.04)</f>
        <v>69.340800000000002</v>
      </c>
      <c r="X330" s="70">
        <f>IF(ISERROR(VLOOKUP($U$330,'TAR FIN'!$A$1:$O$85,15,0)),0,VLOOKUP($U$330,'TAR FIN'!$A$1:$O$85,15,0))*(1-0.04)</f>
        <v>214.77119999999999</v>
      </c>
      <c r="Y330" s="70"/>
      <c r="Z330" s="70">
        <f ca="1">('TUSD BE'!$AM$12+'TUSD BF'!$AM$12+'TUSD CVA'!$AM$12)*1*(1-0.02)</f>
        <v>101.23895799225831</v>
      </c>
      <c r="AA330" s="70">
        <f>('TE BE'!$AA$6+'TE BF'!$AA$6+'TE CVA'!$AA$6)*1*(1-0.02)</f>
        <v>213.27681122210436</v>
      </c>
      <c r="AB330" s="6">
        <f>$K$330*$V$330</f>
        <v>0</v>
      </c>
      <c r="AC330" s="6">
        <f>$M$330*$W$330</f>
        <v>10177.565260800002</v>
      </c>
      <c r="AD330" s="6">
        <f>$O$330*$X$330</f>
        <v>31523.257651200001</v>
      </c>
      <c r="AE330" s="6">
        <f>$K$330*$Y$330</f>
        <v>0</v>
      </c>
      <c r="AF330" s="6">
        <f ca="1">$M$330*$Z$330</f>
        <v>14859.449298271706</v>
      </c>
      <c r="AG330" s="6">
        <f>$O$330*$AA$330</f>
        <v>31303.91724393559</v>
      </c>
    </row>
    <row r="331" spans="1:33" ht="11.25" customHeight="1" x14ac:dyDescent="0.25">
      <c r="A331" s="4" t="s">
        <v>21</v>
      </c>
      <c r="B331" s="4" t="s">
        <v>33</v>
      </c>
      <c r="C331" s="4" t="s">
        <v>34</v>
      </c>
      <c r="D331" s="4" t="s">
        <v>41</v>
      </c>
      <c r="E331" s="4" t="s">
        <v>25</v>
      </c>
      <c r="F331" s="4" t="s">
        <v>25</v>
      </c>
      <c r="G331" s="4" t="s">
        <v>25</v>
      </c>
      <c r="H331" s="4" t="s">
        <v>36</v>
      </c>
      <c r="I331" s="5">
        <v>44348</v>
      </c>
      <c r="J331" s="6">
        <v>0</v>
      </c>
      <c r="K331" s="70">
        <v>0</v>
      </c>
      <c r="L331" s="6">
        <v>133.42400000000001</v>
      </c>
      <c r="M331" s="70">
        <v>133.42400000000001</v>
      </c>
      <c r="N331" s="6">
        <v>133.42400000000001</v>
      </c>
      <c r="O331" s="70">
        <v>133.42400000000001</v>
      </c>
      <c r="P331" s="6">
        <v>0</v>
      </c>
      <c r="Q331" s="4" t="s">
        <v>26</v>
      </c>
      <c r="R331" s="4">
        <v>0</v>
      </c>
      <c r="S331" s="6">
        <v>0</v>
      </c>
      <c r="T331" s="6">
        <v>47</v>
      </c>
      <c r="U331" s="6">
        <v>27</v>
      </c>
      <c r="V331" s="70">
        <f>IF(ISERROR(VLOOKUP($S$331,'TAR FIN'!$A$1:$O$85,15,0)),0,VLOOKUP($S$331,'TAR FIN'!$A$1:$O$85,15,0))</f>
        <v>0</v>
      </c>
      <c r="W331" s="70">
        <f>IF(ISERROR(VLOOKUP($T$331,'TAR FIN'!$A$1:$O$85,15,0)),0,VLOOKUP($T$331,'TAR FIN'!$A$1:$O$85,15,0))*(1-0.04)</f>
        <v>69.340800000000002</v>
      </c>
      <c r="X331" s="70">
        <f>IF(ISERROR(VLOOKUP($U$331,'TAR FIN'!$A$1:$O$85,15,0)),0,VLOOKUP($U$331,'TAR FIN'!$A$1:$O$85,15,0))*(1-0.04)</f>
        <v>214.77119999999999</v>
      </c>
      <c r="Y331" s="70"/>
      <c r="Z331" s="70">
        <f ca="1">('TUSD BE'!$AM$12+'TUSD BF'!$AM$12+'TUSD CVA'!$AM$12)*1*(1-0.02)</f>
        <v>101.23895799225831</v>
      </c>
      <c r="AA331" s="70">
        <f>('TE BE'!$AA$6+'TE BF'!$AA$6+'TE CVA'!$AA$6)*1*(1-0.02)</f>
        <v>213.27681122210436</v>
      </c>
      <c r="AB331" s="6">
        <f>$K$331*$V$331</f>
        <v>0</v>
      </c>
      <c r="AC331" s="6">
        <f>$M$331*$W$331</f>
        <v>9251.7268992000008</v>
      </c>
      <c r="AD331" s="6">
        <f>$O$331*$X$331</f>
        <v>28655.632588799999</v>
      </c>
      <c r="AE331" s="6">
        <f>$K$331*$Y$331</f>
        <v>0</v>
      </c>
      <c r="AF331" s="6">
        <f ca="1">$M$331*$Z$331</f>
        <v>13507.706731159073</v>
      </c>
      <c r="AG331" s="6">
        <f>$O$331*$AA$331</f>
        <v>28456.245260498054</v>
      </c>
    </row>
    <row r="332" spans="1:33" ht="11.25" customHeight="1" x14ac:dyDescent="0.25">
      <c r="A332" s="4" t="s">
        <v>21</v>
      </c>
      <c r="B332" s="4" t="s">
        <v>33</v>
      </c>
      <c r="C332" s="4" t="s">
        <v>34</v>
      </c>
      <c r="D332" s="4" t="s">
        <v>41</v>
      </c>
      <c r="E332" s="4" t="s">
        <v>25</v>
      </c>
      <c r="F332" s="4" t="s">
        <v>25</v>
      </c>
      <c r="G332" s="4" t="s">
        <v>25</v>
      </c>
      <c r="H332" s="4" t="s">
        <v>36</v>
      </c>
      <c r="I332" s="5">
        <v>44378</v>
      </c>
      <c r="J332" s="6">
        <v>0</v>
      </c>
      <c r="K332" s="70">
        <v>0</v>
      </c>
      <c r="L332" s="6">
        <v>162.58199999999999</v>
      </c>
      <c r="M332" s="70">
        <v>162.58199999999999</v>
      </c>
      <c r="N332" s="6">
        <v>162.58199999999999</v>
      </c>
      <c r="O332" s="70">
        <v>162.58199999999999</v>
      </c>
      <c r="P332" s="6">
        <v>0</v>
      </c>
      <c r="Q332" s="4" t="s">
        <v>26</v>
      </c>
      <c r="R332" s="4">
        <v>0</v>
      </c>
      <c r="S332" s="6">
        <v>0</v>
      </c>
      <c r="T332" s="6">
        <v>47</v>
      </c>
      <c r="U332" s="6">
        <v>27</v>
      </c>
      <c r="V332" s="70">
        <f>IF(ISERROR(VLOOKUP($S$332,'TAR FIN'!$A$1:$O$85,15,0)),0,VLOOKUP($S$332,'TAR FIN'!$A$1:$O$85,15,0))</f>
        <v>0</v>
      </c>
      <c r="W332" s="70">
        <f>IF(ISERROR(VLOOKUP($T$332,'TAR FIN'!$A$1:$O$85,15,0)),0,VLOOKUP($T$332,'TAR FIN'!$A$1:$O$85,15,0))*(1-0.04)</f>
        <v>69.340800000000002</v>
      </c>
      <c r="X332" s="70">
        <f>IF(ISERROR(VLOOKUP($U$332,'TAR FIN'!$A$1:$O$85,15,0)),0,VLOOKUP($U$332,'TAR FIN'!$A$1:$O$85,15,0))*(1-0.04)</f>
        <v>214.77119999999999</v>
      </c>
      <c r="Y332" s="70"/>
      <c r="Z332" s="70">
        <f ca="1">('TUSD BE'!$AM$12+'TUSD BF'!$AM$12+'TUSD CVA'!$AM$12)*1*(1-0.02)</f>
        <v>101.23895799225831</v>
      </c>
      <c r="AA332" s="70">
        <f>('TE BE'!$AA$6+'TE BF'!$AA$6+'TE CVA'!$AA$6)*1*(1-0.02)</f>
        <v>213.27681122210436</v>
      </c>
      <c r="AB332" s="6">
        <f>$K$332*$V$332</f>
        <v>0</v>
      </c>
      <c r="AC332" s="6">
        <f>$M$332*$W$332</f>
        <v>11273.565945599999</v>
      </c>
      <c r="AD332" s="6">
        <f>$O$332*$X$332</f>
        <v>34917.9312384</v>
      </c>
      <c r="AE332" s="6">
        <f>$K$332*$Y$332</f>
        <v>0</v>
      </c>
      <c r="AF332" s="6">
        <f ca="1">$M$332*$Z$332</f>
        <v>16459.63226829734</v>
      </c>
      <c r="AG332" s="6">
        <f>$O$332*$AA$332</f>
        <v>34674.970522112169</v>
      </c>
    </row>
    <row r="333" spans="1:33" ht="11.25" customHeight="1" x14ac:dyDescent="0.25">
      <c r="A333" s="4" t="s">
        <v>21</v>
      </c>
      <c r="B333" s="4" t="s">
        <v>33</v>
      </c>
      <c r="C333" s="4" t="s">
        <v>34</v>
      </c>
      <c r="D333" s="4" t="s">
        <v>41</v>
      </c>
      <c r="E333" s="4" t="s">
        <v>25</v>
      </c>
      <c r="F333" s="4" t="s">
        <v>25</v>
      </c>
      <c r="G333" s="4" t="s">
        <v>25</v>
      </c>
      <c r="H333" s="4" t="s">
        <v>36</v>
      </c>
      <c r="I333" s="5">
        <v>44409</v>
      </c>
      <c r="J333" s="6">
        <v>0</v>
      </c>
      <c r="K333" s="70">
        <v>0</v>
      </c>
      <c r="L333" s="6">
        <v>189.41</v>
      </c>
      <c r="M333" s="70">
        <v>189.41</v>
      </c>
      <c r="N333" s="6">
        <v>189.41</v>
      </c>
      <c r="O333" s="70">
        <v>189.41</v>
      </c>
      <c r="P333" s="6">
        <v>0</v>
      </c>
      <c r="Q333" s="4" t="s">
        <v>26</v>
      </c>
      <c r="R333" s="4">
        <v>0</v>
      </c>
      <c r="S333" s="6">
        <v>0</v>
      </c>
      <c r="T333" s="6">
        <v>47</v>
      </c>
      <c r="U333" s="6">
        <v>27</v>
      </c>
      <c r="V333" s="70">
        <f>IF(ISERROR(VLOOKUP($S$333,'TAR FIN'!$A$1:$O$85,15,0)),0,VLOOKUP($S$333,'TAR FIN'!$A$1:$O$85,15,0))</f>
        <v>0</v>
      </c>
      <c r="W333" s="70">
        <f>IF(ISERROR(VLOOKUP($T$333,'TAR FIN'!$A$1:$O$85,15,0)),0,VLOOKUP($T$333,'TAR FIN'!$A$1:$O$85,15,0))*(1-0.04)</f>
        <v>69.340800000000002</v>
      </c>
      <c r="X333" s="70">
        <f>IF(ISERROR(VLOOKUP($U$333,'TAR FIN'!$A$1:$O$85,15,0)),0,VLOOKUP($U$333,'TAR FIN'!$A$1:$O$85,15,0))*(1-0.04)</f>
        <v>214.77119999999999</v>
      </c>
      <c r="Y333" s="70"/>
      <c r="Z333" s="70">
        <f ca="1">('TUSD BE'!$AM$12+'TUSD BF'!$AM$12+'TUSD CVA'!$AM$12)*1*(1-0.02)</f>
        <v>101.23895799225831</v>
      </c>
      <c r="AA333" s="70">
        <f>('TE BE'!$AA$6+'TE BF'!$AA$6+'TE CVA'!$AA$6)*1*(1-0.02)</f>
        <v>213.27681122210436</v>
      </c>
      <c r="AB333" s="6">
        <f>$K$333*$V$333</f>
        <v>0</v>
      </c>
      <c r="AC333" s="6">
        <f>$M$333*$W$333</f>
        <v>13133.840928</v>
      </c>
      <c r="AD333" s="6">
        <f>$O$333*$X$333</f>
        <v>40679.812991999999</v>
      </c>
      <c r="AE333" s="6">
        <f>$K$333*$Y$333</f>
        <v>0</v>
      </c>
      <c r="AF333" s="6">
        <f ca="1">$M$333*$Z$333</f>
        <v>19175.671033313647</v>
      </c>
      <c r="AG333" s="6">
        <f>$O$333*$AA$333</f>
        <v>40396.760813578789</v>
      </c>
    </row>
    <row r="334" spans="1:33" ht="11.25" customHeight="1" x14ac:dyDescent="0.25">
      <c r="A334" s="4" t="s">
        <v>21</v>
      </c>
      <c r="B334" s="4" t="s">
        <v>33</v>
      </c>
      <c r="C334" s="4" t="s">
        <v>34</v>
      </c>
      <c r="D334" s="4" t="s">
        <v>41</v>
      </c>
      <c r="E334" s="4" t="s">
        <v>25</v>
      </c>
      <c r="F334" s="4" t="s">
        <v>25</v>
      </c>
      <c r="G334" s="4" t="s">
        <v>25</v>
      </c>
      <c r="H334" s="4" t="s">
        <v>36</v>
      </c>
      <c r="I334" s="5">
        <v>44440</v>
      </c>
      <c r="J334" s="6">
        <v>0</v>
      </c>
      <c r="K334" s="70">
        <v>0</v>
      </c>
      <c r="L334" s="6">
        <v>207.28800000000001</v>
      </c>
      <c r="M334" s="70">
        <v>207.28800000000001</v>
      </c>
      <c r="N334" s="6">
        <v>207.28800000000001</v>
      </c>
      <c r="O334" s="70">
        <v>207.28800000000001</v>
      </c>
      <c r="P334" s="6">
        <v>0</v>
      </c>
      <c r="Q334" s="4" t="s">
        <v>26</v>
      </c>
      <c r="R334" s="4">
        <v>0</v>
      </c>
      <c r="S334" s="6">
        <v>0</v>
      </c>
      <c r="T334" s="6">
        <v>47</v>
      </c>
      <c r="U334" s="6">
        <v>27</v>
      </c>
      <c r="V334" s="70">
        <f>IF(ISERROR(VLOOKUP($S$334,'TAR FIN'!$A$1:$O$85,15,0)),0,VLOOKUP($S$334,'TAR FIN'!$A$1:$O$85,15,0))</f>
        <v>0</v>
      </c>
      <c r="W334" s="70">
        <f>IF(ISERROR(VLOOKUP($T$334,'TAR FIN'!$A$1:$O$85,15,0)),0,VLOOKUP($T$334,'TAR FIN'!$A$1:$O$85,15,0))*(1-0.04)</f>
        <v>69.340800000000002</v>
      </c>
      <c r="X334" s="70">
        <f>IF(ISERROR(VLOOKUP($U$334,'TAR FIN'!$A$1:$O$85,15,0)),0,VLOOKUP($U$334,'TAR FIN'!$A$1:$O$85,15,0))*(1-0.04)</f>
        <v>214.77119999999999</v>
      </c>
      <c r="Y334" s="70"/>
      <c r="Z334" s="70">
        <f ca="1">('TUSD BE'!$AM$12+'TUSD BF'!$AM$12+'TUSD CVA'!$AM$12)*1*(1-0.02)</f>
        <v>101.23895799225831</v>
      </c>
      <c r="AA334" s="70">
        <f>('TE BE'!$AA$6+'TE BF'!$AA$6+'TE CVA'!$AA$6)*1*(1-0.02)</f>
        <v>213.27681122210436</v>
      </c>
      <c r="AB334" s="6">
        <f>$K$334*$V$334</f>
        <v>0</v>
      </c>
      <c r="AC334" s="6">
        <f>$M$334*$W$334</f>
        <v>14373.515750400002</v>
      </c>
      <c r="AD334" s="6">
        <f>$O$334*$X$334</f>
        <v>44519.492505599999</v>
      </c>
      <c r="AE334" s="6">
        <f>$K$334*$Y$334</f>
        <v>0</v>
      </c>
      <c r="AF334" s="6">
        <f ca="1">$M$334*$Z$334</f>
        <v>20985.621124299239</v>
      </c>
      <c r="AG334" s="6">
        <f>$O$334*$AA$334</f>
        <v>44209.723644607569</v>
      </c>
    </row>
    <row r="335" spans="1:33" ht="11.25" customHeight="1" x14ac:dyDescent="0.25">
      <c r="A335" s="4" t="s">
        <v>21</v>
      </c>
      <c r="B335" s="4" t="s">
        <v>33</v>
      </c>
      <c r="C335" s="4" t="s">
        <v>34</v>
      </c>
      <c r="D335" s="4" t="s">
        <v>41</v>
      </c>
      <c r="E335" s="4" t="s">
        <v>25</v>
      </c>
      <c r="F335" s="4" t="s">
        <v>25</v>
      </c>
      <c r="G335" s="4" t="s">
        <v>25</v>
      </c>
      <c r="H335" s="4" t="s">
        <v>36</v>
      </c>
      <c r="I335" s="5">
        <v>44470</v>
      </c>
      <c r="J335" s="6">
        <v>0</v>
      </c>
      <c r="K335" s="70">
        <v>0</v>
      </c>
      <c r="L335" s="6">
        <v>183.16399999999999</v>
      </c>
      <c r="M335" s="70">
        <v>183.16399999999999</v>
      </c>
      <c r="N335" s="6">
        <v>183.16399999999999</v>
      </c>
      <c r="O335" s="70">
        <v>183.16399999999999</v>
      </c>
      <c r="P335" s="6">
        <v>0</v>
      </c>
      <c r="Q335" s="4" t="s">
        <v>26</v>
      </c>
      <c r="R335" s="4">
        <v>0</v>
      </c>
      <c r="S335" s="6">
        <v>0</v>
      </c>
      <c r="T335" s="6">
        <v>47</v>
      </c>
      <c r="U335" s="6">
        <v>27</v>
      </c>
      <c r="V335" s="70">
        <f>IF(ISERROR(VLOOKUP($S$335,'TAR FIN'!$A$1:$O$85,15,0)),0,VLOOKUP($S$335,'TAR FIN'!$A$1:$O$85,15,0))</f>
        <v>0</v>
      </c>
      <c r="W335" s="70">
        <f>IF(ISERROR(VLOOKUP($T$335,'TAR FIN'!$A$1:$O$85,15,0)),0,VLOOKUP($T$335,'TAR FIN'!$A$1:$O$85,15,0))*(1-0.04)</f>
        <v>69.340800000000002</v>
      </c>
      <c r="X335" s="70">
        <f>IF(ISERROR(VLOOKUP($U$335,'TAR FIN'!$A$1:$O$85,15,0)),0,VLOOKUP($U$335,'TAR FIN'!$A$1:$O$85,15,0))*(1-0.04)</f>
        <v>214.77119999999999</v>
      </c>
      <c r="Y335" s="70"/>
      <c r="Z335" s="70">
        <f ca="1">('TUSD BE'!$AM$12+'TUSD BF'!$AM$12+'TUSD CVA'!$AM$12)*1*(1-0.02)</f>
        <v>101.23895799225831</v>
      </c>
      <c r="AA335" s="70">
        <f>('TE BE'!$AA$6+'TE BF'!$AA$6+'TE CVA'!$AA$6)*1*(1-0.02)</f>
        <v>213.27681122210436</v>
      </c>
      <c r="AB335" s="6">
        <f>$K$335*$V$335</f>
        <v>0</v>
      </c>
      <c r="AC335" s="6">
        <f>$M$335*$W$335</f>
        <v>12700.738291199999</v>
      </c>
      <c r="AD335" s="6">
        <f>$O$335*$X$335</f>
        <v>39338.352076799994</v>
      </c>
      <c r="AE335" s="6">
        <f>$K$335*$Y$335</f>
        <v>0</v>
      </c>
      <c r="AF335" s="6">
        <f ca="1">$M$335*$Z$335</f>
        <v>18543.332501694</v>
      </c>
      <c r="AG335" s="6">
        <f>$O$335*$AA$335</f>
        <v>39064.633850685517</v>
      </c>
    </row>
    <row r="336" spans="1:33" ht="11.25" customHeight="1" x14ac:dyDescent="0.25">
      <c r="A336" s="4" t="s">
        <v>21</v>
      </c>
      <c r="B336" s="4" t="s">
        <v>33</v>
      </c>
      <c r="C336" s="4" t="s">
        <v>34</v>
      </c>
      <c r="D336" s="4" t="s">
        <v>41</v>
      </c>
      <c r="E336" s="4" t="s">
        <v>25</v>
      </c>
      <c r="F336" s="4" t="s">
        <v>25</v>
      </c>
      <c r="G336" s="4" t="s">
        <v>25</v>
      </c>
      <c r="H336" s="4" t="s">
        <v>36</v>
      </c>
      <c r="I336" s="5">
        <v>44501</v>
      </c>
      <c r="J336" s="6">
        <v>0</v>
      </c>
      <c r="K336" s="70">
        <v>0</v>
      </c>
      <c r="L336" s="6">
        <v>225.84800000000001</v>
      </c>
      <c r="M336" s="70">
        <v>225.84800000000001</v>
      </c>
      <c r="N336" s="6">
        <v>225.84800000000001</v>
      </c>
      <c r="O336" s="70">
        <v>225.84800000000001</v>
      </c>
      <c r="P336" s="6">
        <v>0</v>
      </c>
      <c r="Q336" s="4" t="s">
        <v>26</v>
      </c>
      <c r="R336" s="4">
        <v>0</v>
      </c>
      <c r="S336" s="6">
        <v>0</v>
      </c>
      <c r="T336" s="6">
        <v>47</v>
      </c>
      <c r="U336" s="6">
        <v>27</v>
      </c>
      <c r="V336" s="70">
        <f>IF(ISERROR(VLOOKUP($S$336,'TAR FIN'!$A$1:$O$85,15,0)),0,VLOOKUP($S$336,'TAR FIN'!$A$1:$O$85,15,0))</f>
        <v>0</v>
      </c>
      <c r="W336" s="70">
        <f>IF(ISERROR(VLOOKUP($T$336,'TAR FIN'!$A$1:$O$85,15,0)),0,VLOOKUP($T$336,'TAR FIN'!$A$1:$O$85,15,0))*(1-0.04)</f>
        <v>69.340800000000002</v>
      </c>
      <c r="X336" s="70">
        <f>IF(ISERROR(VLOOKUP($U$336,'TAR FIN'!$A$1:$O$85,15,0)),0,VLOOKUP($U$336,'TAR FIN'!$A$1:$O$85,15,0))*(1-0.04)</f>
        <v>214.77119999999999</v>
      </c>
      <c r="Y336" s="70"/>
      <c r="Z336" s="70">
        <f ca="1">('TUSD BE'!$AM$12+'TUSD BF'!$AM$12+'TUSD CVA'!$AM$12)*1*(1-0.02)</f>
        <v>101.23895799225831</v>
      </c>
      <c r="AA336" s="70">
        <f>('TE BE'!$AA$6+'TE BF'!$AA$6+'TE CVA'!$AA$6)*1*(1-0.02)</f>
        <v>213.27681122210436</v>
      </c>
      <c r="AB336" s="6">
        <f>$K$336*$V$336</f>
        <v>0</v>
      </c>
      <c r="AC336" s="6">
        <f>$M$336*$W$336</f>
        <v>15660.480998400002</v>
      </c>
      <c r="AD336" s="6">
        <f>$O$336*$X$336</f>
        <v>48505.645977600005</v>
      </c>
      <c r="AE336" s="6">
        <f>$K$336*$Y$336</f>
        <v>0</v>
      </c>
      <c r="AF336" s="6">
        <f ca="1">$M$336*$Z$336</f>
        <v>22864.616184635557</v>
      </c>
      <c r="AG336" s="6">
        <f>$O$336*$AA$336</f>
        <v>48168.141260889824</v>
      </c>
    </row>
    <row r="337" spans="1:33" ht="11.25" customHeight="1" x14ac:dyDescent="0.25">
      <c r="A337" s="4" t="s">
        <v>21</v>
      </c>
      <c r="B337" s="4" t="s">
        <v>33</v>
      </c>
      <c r="C337" s="4" t="s">
        <v>34</v>
      </c>
      <c r="D337" s="4" t="s">
        <v>41</v>
      </c>
      <c r="E337" s="4" t="s">
        <v>25</v>
      </c>
      <c r="F337" s="4" t="s">
        <v>25</v>
      </c>
      <c r="G337" s="4" t="s">
        <v>25</v>
      </c>
      <c r="H337" s="4" t="s">
        <v>36</v>
      </c>
      <c r="I337" s="5">
        <v>44531</v>
      </c>
      <c r="J337" s="6">
        <v>0</v>
      </c>
      <c r="K337" s="70">
        <v>0</v>
      </c>
      <c r="L337" s="6">
        <v>220.56800000000001</v>
      </c>
      <c r="M337" s="70">
        <v>220.56800000000001</v>
      </c>
      <c r="N337" s="6">
        <v>220.56800000000001</v>
      </c>
      <c r="O337" s="70">
        <v>220.56800000000001</v>
      </c>
      <c r="P337" s="6">
        <v>0</v>
      </c>
      <c r="Q337" s="4" t="s">
        <v>26</v>
      </c>
      <c r="R337" s="4">
        <v>0</v>
      </c>
      <c r="S337" s="6">
        <v>0</v>
      </c>
      <c r="T337" s="6">
        <v>47</v>
      </c>
      <c r="U337" s="6">
        <v>27</v>
      </c>
      <c r="V337" s="70">
        <f>IF(ISERROR(VLOOKUP($S$337,'TAR FIN'!$A$1:$O$85,15,0)),0,VLOOKUP($S$337,'TAR FIN'!$A$1:$O$85,15,0))</f>
        <v>0</v>
      </c>
      <c r="W337" s="70">
        <f>IF(ISERROR(VLOOKUP($T$337,'TAR FIN'!$A$1:$O$85,15,0)),0,VLOOKUP($T$337,'TAR FIN'!$A$1:$O$85,15,0))*(1-0.04)</f>
        <v>69.340800000000002</v>
      </c>
      <c r="X337" s="70">
        <f>IF(ISERROR(VLOOKUP($U$337,'TAR FIN'!$A$1:$O$85,15,0)),0,VLOOKUP($U$337,'TAR FIN'!$A$1:$O$85,15,0))*(1-0.04)</f>
        <v>214.77119999999999</v>
      </c>
      <c r="Y337" s="70"/>
      <c r="Z337" s="70">
        <f ca="1">('TUSD BE'!$AM$12+'TUSD BF'!$AM$12+'TUSD CVA'!$AM$12)*1*(1-0.02)</f>
        <v>101.23895799225831</v>
      </c>
      <c r="AA337" s="70">
        <f>('TE BE'!$AA$6+'TE BF'!$AA$6+'TE CVA'!$AA$6)*1*(1-0.02)</f>
        <v>213.27681122210436</v>
      </c>
      <c r="AB337" s="6">
        <f>$K$337*$V$337</f>
        <v>0</v>
      </c>
      <c r="AC337" s="6">
        <f>$M$337*$W$337</f>
        <v>15294.361574400002</v>
      </c>
      <c r="AD337" s="6">
        <f>$O$337*$X$337</f>
        <v>47371.654041599999</v>
      </c>
      <c r="AE337" s="6">
        <f>$K$337*$Y$337</f>
        <v>0</v>
      </c>
      <c r="AF337" s="6">
        <f ca="1">$M$337*$Z$337</f>
        <v>22330.074486436431</v>
      </c>
      <c r="AG337" s="6">
        <f>$O$337*$AA$337</f>
        <v>47042.039697637119</v>
      </c>
    </row>
    <row r="338" spans="1:33" ht="11.25" customHeight="1" x14ac:dyDescent="0.25">
      <c r="A338" s="4" t="s">
        <v>21</v>
      </c>
      <c r="B338" s="4" t="s">
        <v>33</v>
      </c>
      <c r="C338" s="4" t="s">
        <v>34</v>
      </c>
      <c r="D338" s="4" t="s">
        <v>41</v>
      </c>
      <c r="E338" s="4" t="s">
        <v>25</v>
      </c>
      <c r="F338" s="4" t="s">
        <v>25</v>
      </c>
      <c r="G338" s="4" t="s">
        <v>25</v>
      </c>
      <c r="H338" s="4" t="s">
        <v>36</v>
      </c>
      <c r="I338" s="5">
        <v>44562</v>
      </c>
      <c r="J338" s="6">
        <v>0</v>
      </c>
      <c r="K338" s="70">
        <v>0</v>
      </c>
      <c r="L338" s="6">
        <v>219.31399999999999</v>
      </c>
      <c r="M338" s="70">
        <v>219.31399999999999</v>
      </c>
      <c r="N338" s="6">
        <v>219.31399999999999</v>
      </c>
      <c r="O338" s="70">
        <v>219.31399999999999</v>
      </c>
      <c r="P338" s="6">
        <v>0</v>
      </c>
      <c r="Q338" s="4" t="s">
        <v>26</v>
      </c>
      <c r="R338" s="4">
        <v>0</v>
      </c>
      <c r="S338" s="6">
        <v>0</v>
      </c>
      <c r="T338" s="6">
        <v>47</v>
      </c>
      <c r="U338" s="6">
        <v>27</v>
      </c>
      <c r="V338" s="70">
        <f>IF(ISERROR(VLOOKUP($S$338,'TAR FIN'!$A$1:$O$85,15,0)),0,VLOOKUP($S$338,'TAR FIN'!$A$1:$O$85,15,0))</f>
        <v>0</v>
      </c>
      <c r="W338" s="70">
        <f>IF(ISERROR(VLOOKUP($T$338,'TAR FIN'!$A$1:$O$85,15,0)),0,VLOOKUP($T$338,'TAR FIN'!$A$1:$O$85,15,0))*(1-0.04)</f>
        <v>69.340800000000002</v>
      </c>
      <c r="X338" s="70">
        <f>IF(ISERROR(VLOOKUP($U$338,'TAR FIN'!$A$1:$O$85,15,0)),0,VLOOKUP($U$338,'TAR FIN'!$A$1:$O$85,15,0))*(1-0.04)</f>
        <v>214.77119999999999</v>
      </c>
      <c r="Y338" s="70"/>
      <c r="Z338" s="70">
        <f ca="1">('TUSD BE'!$AM$12+'TUSD BF'!$AM$12+'TUSD CVA'!$AM$12)*1*(1-0.02)</f>
        <v>101.23895799225831</v>
      </c>
      <c r="AA338" s="70">
        <f>('TE BE'!$AA$6+'TE BF'!$AA$6+'TE CVA'!$AA$6)*1*(1-0.02)</f>
        <v>213.27681122210436</v>
      </c>
      <c r="AB338" s="6">
        <f>$K$338*$V$338</f>
        <v>0</v>
      </c>
      <c r="AC338" s="6">
        <f>$M$338*$W$338</f>
        <v>15207.4082112</v>
      </c>
      <c r="AD338" s="6">
        <f>$O$338*$X$338</f>
        <v>47102.330956799997</v>
      </c>
      <c r="AE338" s="6">
        <f>$K$338*$Y$338</f>
        <v>0</v>
      </c>
      <c r="AF338" s="6">
        <f ca="1">$M$338*$Z$338</f>
        <v>22203.120833114139</v>
      </c>
      <c r="AG338" s="6">
        <f>$O$338*$AA$338</f>
        <v>46774.590576364593</v>
      </c>
    </row>
    <row r="339" spans="1:33" ht="11.25" customHeight="1" x14ac:dyDescent="0.25">
      <c r="A339" s="4" t="s">
        <v>21</v>
      </c>
      <c r="B339" s="4" t="s">
        <v>33</v>
      </c>
      <c r="C339" s="4" t="s">
        <v>34</v>
      </c>
      <c r="D339" s="4" t="s">
        <v>41</v>
      </c>
      <c r="E339" s="4" t="s">
        <v>25</v>
      </c>
      <c r="F339" s="4" t="s">
        <v>25</v>
      </c>
      <c r="G339" s="4" t="s">
        <v>25</v>
      </c>
      <c r="H339" s="4" t="s">
        <v>36</v>
      </c>
      <c r="I339" s="5">
        <v>44593</v>
      </c>
      <c r="J339" s="6">
        <v>0</v>
      </c>
      <c r="K339" s="70">
        <v>0</v>
      </c>
      <c r="L339" s="6">
        <v>278.76299999999998</v>
      </c>
      <c r="M339" s="70">
        <v>278.76299999999998</v>
      </c>
      <c r="N339" s="6">
        <v>278.76299999999998</v>
      </c>
      <c r="O339" s="70">
        <v>278.76299999999998</v>
      </c>
      <c r="P339" s="6">
        <v>0</v>
      </c>
      <c r="Q339" s="4" t="s">
        <v>26</v>
      </c>
      <c r="R339" s="4">
        <v>0</v>
      </c>
      <c r="S339" s="6">
        <v>0</v>
      </c>
      <c r="T339" s="6">
        <v>47</v>
      </c>
      <c r="U339" s="6">
        <v>27</v>
      </c>
      <c r="V339" s="70">
        <f>IF(ISERROR(VLOOKUP($S$339,'TAR FIN'!$A$1:$O$85,15,0)),0,VLOOKUP($S$339,'TAR FIN'!$A$1:$O$85,15,0))</f>
        <v>0</v>
      </c>
      <c r="W339" s="70">
        <f>IF(ISERROR(VLOOKUP($T$339,'TAR FIN'!$A$1:$O$85,15,0)),0,VLOOKUP($T$339,'TAR FIN'!$A$1:$O$85,15,0))*(1-0.04)</f>
        <v>69.340800000000002</v>
      </c>
      <c r="X339" s="70">
        <f>IF(ISERROR(VLOOKUP($U$339,'TAR FIN'!$A$1:$O$85,15,0)),0,VLOOKUP($U$339,'TAR FIN'!$A$1:$O$85,15,0))*(1-0.04)</f>
        <v>214.77119999999999</v>
      </c>
      <c r="Y339" s="70"/>
      <c r="Z339" s="70">
        <f ca="1">('TUSD BE'!$AM$12+'TUSD BF'!$AM$12+'TUSD CVA'!$AM$12)*1*(1-0.02)</f>
        <v>101.23895799225831</v>
      </c>
      <c r="AA339" s="70">
        <f>('TE BE'!$AA$6+'TE BF'!$AA$6+'TE CVA'!$AA$6)*1*(1-0.02)</f>
        <v>213.27681122210436</v>
      </c>
      <c r="AB339" s="6">
        <f>$K$339*$V$339</f>
        <v>0</v>
      </c>
      <c r="AC339" s="6">
        <f>$M$339*$W$339</f>
        <v>19329.649430399997</v>
      </c>
      <c r="AD339" s="6">
        <f>$O$339*$X$339</f>
        <v>59870.264025599994</v>
      </c>
      <c r="AE339" s="6">
        <f>$K$339*$Y$339</f>
        <v>0</v>
      </c>
      <c r="AF339" s="6">
        <f ca="1">$M$339*$Z$339</f>
        <v>28221.675646795899</v>
      </c>
      <c r="AG339" s="6">
        <f>$O$339*$AA$339</f>
        <v>59453.683726707473</v>
      </c>
    </row>
    <row r="340" spans="1:33" ht="11.25" customHeight="1" x14ac:dyDescent="0.25">
      <c r="A340" s="4" t="s">
        <v>54</v>
      </c>
      <c r="B340" s="4" t="s">
        <v>33</v>
      </c>
      <c r="C340" s="4" t="s">
        <v>34</v>
      </c>
      <c r="D340" s="4" t="s">
        <v>41</v>
      </c>
      <c r="E340" s="4" t="s">
        <v>25</v>
      </c>
      <c r="F340" s="4" t="s">
        <v>25</v>
      </c>
      <c r="G340" s="4" t="s">
        <v>25</v>
      </c>
      <c r="H340" s="4" t="s">
        <v>36</v>
      </c>
      <c r="I340" s="5">
        <v>44621</v>
      </c>
      <c r="J340" s="6">
        <v>0</v>
      </c>
      <c r="K340" s="70">
        <v>0</v>
      </c>
      <c r="L340" s="6">
        <v>278.76299999999998</v>
      </c>
      <c r="M340" s="70">
        <v>278.76299999999998</v>
      </c>
      <c r="N340" s="6">
        <v>278.76299999999998</v>
      </c>
      <c r="O340" s="70">
        <v>278.76299999999998</v>
      </c>
      <c r="P340" s="6">
        <v>0</v>
      </c>
      <c r="Q340" s="4" t="s">
        <v>26</v>
      </c>
      <c r="R340" s="4">
        <v>0</v>
      </c>
      <c r="S340" s="6">
        <v>0</v>
      </c>
      <c r="T340" s="6">
        <v>47</v>
      </c>
      <c r="U340" s="6">
        <v>27</v>
      </c>
      <c r="V340" s="70">
        <f>IF(ISERROR(VLOOKUP($S$340,'TAR FIN'!$A$1:$O$85,15,0)),0,VLOOKUP($S$340,'TAR FIN'!$A$1:$O$85,15,0))</f>
        <v>0</v>
      </c>
      <c r="W340" s="70">
        <f>IF(ISERROR(VLOOKUP($T$340,'TAR FIN'!$A$1:$O$85,15,0)),0,VLOOKUP($T$340,'TAR FIN'!$A$1:$O$85,15,0))*(1-0.04)</f>
        <v>69.340800000000002</v>
      </c>
      <c r="X340" s="70">
        <f>IF(ISERROR(VLOOKUP($U$340,'TAR FIN'!$A$1:$O$85,15,0)),0,VLOOKUP($U$340,'TAR FIN'!$A$1:$O$85,15,0))*(1-0.04)</f>
        <v>214.77119999999999</v>
      </c>
      <c r="Y340" s="70"/>
      <c r="Z340" s="70">
        <f ca="1">('TUSD BE'!$AM$12+'TUSD BF'!$AM$12+'TUSD CVA'!$AM$12)*1*(1-0.02)</f>
        <v>101.23895799225831</v>
      </c>
      <c r="AA340" s="70">
        <f>('TE BE'!$AA$6+'TE BF'!$AA$6+'TE CVA'!$AA$6)*1*(1-0.02)</f>
        <v>213.27681122210436</v>
      </c>
      <c r="AB340" s="6">
        <f>$K$340*$V$340</f>
        <v>0</v>
      </c>
      <c r="AC340" s="6">
        <f>$M$340*$W$340</f>
        <v>19329.649430399997</v>
      </c>
      <c r="AD340" s="6">
        <f>$O$340*$X$340</f>
        <v>59870.264025599994</v>
      </c>
      <c r="AE340" s="6">
        <f>$K$340*$Y$340</f>
        <v>0</v>
      </c>
      <c r="AF340" s="6">
        <f ca="1">$M$340*$Z$340</f>
        <v>28221.675646795899</v>
      </c>
      <c r="AG340" s="6">
        <f>$O$340*$AA$340</f>
        <v>59453.683726707473</v>
      </c>
    </row>
    <row r="341" spans="1:33" ht="11.25" customHeight="1" x14ac:dyDescent="0.25">
      <c r="A341" s="4" t="s">
        <v>21</v>
      </c>
      <c r="B341" s="4" t="s">
        <v>33</v>
      </c>
      <c r="C341" s="4" t="s">
        <v>34</v>
      </c>
      <c r="D341" s="4" t="s">
        <v>41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44287</v>
      </c>
      <c r="J341" s="6">
        <v>1432</v>
      </c>
      <c r="K341" s="70">
        <v>1432</v>
      </c>
      <c r="L341" s="6">
        <v>0</v>
      </c>
      <c r="M341" s="70">
        <v>0</v>
      </c>
      <c r="N341" s="6">
        <v>0</v>
      </c>
      <c r="O341" s="70">
        <v>0</v>
      </c>
      <c r="P341" s="6">
        <v>12</v>
      </c>
      <c r="Q341" s="4" t="s">
        <v>26</v>
      </c>
      <c r="R341" s="4">
        <v>0</v>
      </c>
      <c r="S341" s="6">
        <v>65</v>
      </c>
      <c r="T341" s="6">
        <v>0</v>
      </c>
      <c r="U341" s="6">
        <v>0</v>
      </c>
      <c r="V341" s="70">
        <f>IF(ISERROR(VLOOKUP($S$341,'TAR FIN'!$A$1:$O$85,15,0)),0,VLOOKUP($S$341,'TAR FIN'!$A$1:$O$85,15,0))*(1-0.04)</f>
        <v>22.473599999999998</v>
      </c>
      <c r="W341" s="70">
        <f>IF(ISERROR(VLOOKUP($T$341,'TAR FIN'!$A$1:$O$85,15,0)),0,VLOOKUP($T$341,'TAR FIN'!$A$1:$O$85,15,0))</f>
        <v>0</v>
      </c>
      <c r="X341" s="70">
        <f>IF(ISERROR(VLOOKUP($U$341,'TAR FIN'!$A$1:$O$85,15,0)),0,VLOOKUP($U$341,'TAR FIN'!$A$1:$O$85,15,0))</f>
        <v>0</v>
      </c>
      <c r="Y341" s="70">
        <f ca="1">('TUSD BE'!$AM$10+'TUSD BF'!$AM$10+'TUSD CVA'!$AM$10)*1*(1-0.02)</f>
        <v>23.78256034881678</v>
      </c>
      <c r="Z341" s="70"/>
      <c r="AA341" s="70"/>
      <c r="AB341" s="6">
        <f>$K$341*$V$341</f>
        <v>32182.195199999998</v>
      </c>
      <c r="AC341" s="6">
        <f>$M$341*$W$341</f>
        <v>0</v>
      </c>
      <c r="AD341" s="6">
        <f>$O$341*$X$341</f>
        <v>0</v>
      </c>
      <c r="AE341" s="6">
        <f ca="1">$K$341*$Y$341</f>
        <v>34056.626419505628</v>
      </c>
      <c r="AF341" s="6">
        <f>$M$341*$Z$341</f>
        <v>0</v>
      </c>
      <c r="AG341" s="6">
        <f>$O$341*$AA$341</f>
        <v>0</v>
      </c>
    </row>
    <row r="342" spans="1:33" ht="11.25" customHeight="1" x14ac:dyDescent="0.25">
      <c r="A342" s="4" t="s">
        <v>21</v>
      </c>
      <c r="B342" s="4" t="s">
        <v>33</v>
      </c>
      <c r="C342" s="4" t="s">
        <v>34</v>
      </c>
      <c r="D342" s="4" t="s">
        <v>41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44317</v>
      </c>
      <c r="J342" s="6">
        <v>1066</v>
      </c>
      <c r="K342" s="70">
        <v>1066</v>
      </c>
      <c r="L342" s="6">
        <v>0</v>
      </c>
      <c r="M342" s="70">
        <v>0</v>
      </c>
      <c r="N342" s="6">
        <v>0</v>
      </c>
      <c r="O342" s="70">
        <v>0</v>
      </c>
      <c r="P342" s="6">
        <v>12</v>
      </c>
      <c r="Q342" s="4" t="s">
        <v>26</v>
      </c>
      <c r="R342" s="4">
        <v>0</v>
      </c>
      <c r="S342" s="6">
        <v>65</v>
      </c>
      <c r="T342" s="6">
        <v>0</v>
      </c>
      <c r="U342" s="6">
        <v>0</v>
      </c>
      <c r="V342" s="70">
        <f>IF(ISERROR(VLOOKUP($S$342,'TAR FIN'!$A$1:$O$85,15,0)),0,VLOOKUP($S$342,'TAR FIN'!$A$1:$O$85,15,0))*(1-0.04)</f>
        <v>22.473599999999998</v>
      </c>
      <c r="W342" s="70">
        <f>IF(ISERROR(VLOOKUP($T$342,'TAR FIN'!$A$1:$O$85,15,0)),0,VLOOKUP($T$342,'TAR FIN'!$A$1:$O$85,15,0))</f>
        <v>0</v>
      </c>
      <c r="X342" s="70">
        <f>IF(ISERROR(VLOOKUP($U$342,'TAR FIN'!$A$1:$O$85,15,0)),0,VLOOKUP($U$342,'TAR FIN'!$A$1:$O$85,15,0))</f>
        <v>0</v>
      </c>
      <c r="Y342" s="70">
        <f ca="1">('TUSD BE'!$AM$10+'TUSD BF'!$AM$10+'TUSD CVA'!$AM$10)*1*(1-0.02)</f>
        <v>23.78256034881678</v>
      </c>
      <c r="Z342" s="70"/>
      <c r="AA342" s="70"/>
      <c r="AB342" s="6">
        <f>$K$342*$V$342</f>
        <v>23956.857599999996</v>
      </c>
      <c r="AC342" s="6">
        <f>$M$342*$W$342</f>
        <v>0</v>
      </c>
      <c r="AD342" s="6">
        <f>$O$342*$X$342</f>
        <v>0</v>
      </c>
      <c r="AE342" s="6">
        <f ca="1">$K$342*$Y$342</f>
        <v>25352.209331838687</v>
      </c>
      <c r="AF342" s="6">
        <f>$M$342*$Z$342</f>
        <v>0</v>
      </c>
      <c r="AG342" s="6">
        <f>$O$342*$AA$342</f>
        <v>0</v>
      </c>
    </row>
    <row r="343" spans="1:33" ht="11.25" customHeight="1" x14ac:dyDescent="0.25">
      <c r="A343" s="4" t="s">
        <v>21</v>
      </c>
      <c r="B343" s="4" t="s">
        <v>33</v>
      </c>
      <c r="C343" s="4" t="s">
        <v>34</v>
      </c>
      <c r="D343" s="4" t="s">
        <v>41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44348</v>
      </c>
      <c r="J343" s="6">
        <v>1292</v>
      </c>
      <c r="K343" s="70">
        <v>1292</v>
      </c>
      <c r="L343" s="6">
        <v>0</v>
      </c>
      <c r="M343" s="70">
        <v>0</v>
      </c>
      <c r="N343" s="6">
        <v>0</v>
      </c>
      <c r="O343" s="70">
        <v>0</v>
      </c>
      <c r="P343" s="6">
        <v>12</v>
      </c>
      <c r="Q343" s="4" t="s">
        <v>26</v>
      </c>
      <c r="R343" s="4">
        <v>0</v>
      </c>
      <c r="S343" s="6">
        <v>65</v>
      </c>
      <c r="T343" s="6">
        <v>0</v>
      </c>
      <c r="U343" s="6">
        <v>0</v>
      </c>
      <c r="V343" s="70">
        <f>IF(ISERROR(VLOOKUP($S$343,'TAR FIN'!$A$1:$O$85,15,0)),0,VLOOKUP($S$343,'TAR FIN'!$A$1:$O$85,15,0))*(1-0.04)</f>
        <v>22.473599999999998</v>
      </c>
      <c r="W343" s="70">
        <f>IF(ISERROR(VLOOKUP($T$343,'TAR FIN'!$A$1:$O$85,15,0)),0,VLOOKUP($T$343,'TAR FIN'!$A$1:$O$85,15,0))</f>
        <v>0</v>
      </c>
      <c r="X343" s="70">
        <f>IF(ISERROR(VLOOKUP($U$343,'TAR FIN'!$A$1:$O$85,15,0)),0,VLOOKUP($U$343,'TAR FIN'!$A$1:$O$85,15,0))</f>
        <v>0</v>
      </c>
      <c r="Y343" s="70">
        <f ca="1">('TUSD BE'!$AM$10+'TUSD BF'!$AM$10+'TUSD CVA'!$AM$10)*1*(1-0.02)</f>
        <v>23.78256034881678</v>
      </c>
      <c r="Z343" s="70"/>
      <c r="AA343" s="70"/>
      <c r="AB343" s="6">
        <f>$K$343*$V$343</f>
        <v>29035.891199999998</v>
      </c>
      <c r="AC343" s="6">
        <f>$M$343*$W$343</f>
        <v>0</v>
      </c>
      <c r="AD343" s="6">
        <f>$O$343*$X$343</f>
        <v>0</v>
      </c>
      <c r="AE343" s="6">
        <f ca="1">$K$343*$Y$343</f>
        <v>30727.06797067128</v>
      </c>
      <c r="AF343" s="6">
        <f>$M$343*$Z$343</f>
        <v>0</v>
      </c>
      <c r="AG343" s="6">
        <f>$O$343*$AA$343</f>
        <v>0</v>
      </c>
    </row>
    <row r="344" spans="1:33" ht="11.25" customHeight="1" x14ac:dyDescent="0.25">
      <c r="A344" s="4" t="s">
        <v>21</v>
      </c>
      <c r="B344" s="4" t="s">
        <v>33</v>
      </c>
      <c r="C344" s="4" t="s">
        <v>34</v>
      </c>
      <c r="D344" s="4" t="s">
        <v>41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44378</v>
      </c>
      <c r="J344" s="6">
        <v>1311</v>
      </c>
      <c r="K344" s="70">
        <v>1311</v>
      </c>
      <c r="L344" s="6">
        <v>0</v>
      </c>
      <c r="M344" s="70">
        <v>0</v>
      </c>
      <c r="N344" s="6">
        <v>0</v>
      </c>
      <c r="O344" s="70">
        <v>0</v>
      </c>
      <c r="P344" s="6">
        <v>12</v>
      </c>
      <c r="Q344" s="4" t="s">
        <v>26</v>
      </c>
      <c r="R344" s="4">
        <v>0</v>
      </c>
      <c r="S344" s="6">
        <v>65</v>
      </c>
      <c r="T344" s="6">
        <v>0</v>
      </c>
      <c r="U344" s="6">
        <v>0</v>
      </c>
      <c r="V344" s="70">
        <f>IF(ISERROR(VLOOKUP($S$344,'TAR FIN'!$A$1:$O$85,15,0)),0,VLOOKUP($S$344,'TAR FIN'!$A$1:$O$85,15,0))*(1-0.04)</f>
        <v>22.473599999999998</v>
      </c>
      <c r="W344" s="70">
        <f>IF(ISERROR(VLOOKUP($T$344,'TAR FIN'!$A$1:$O$85,15,0)),0,VLOOKUP($T$344,'TAR FIN'!$A$1:$O$85,15,0))</f>
        <v>0</v>
      </c>
      <c r="X344" s="70">
        <f>IF(ISERROR(VLOOKUP($U$344,'TAR FIN'!$A$1:$O$85,15,0)),0,VLOOKUP($U$344,'TAR FIN'!$A$1:$O$85,15,0))</f>
        <v>0</v>
      </c>
      <c r="Y344" s="70">
        <f ca="1">('TUSD BE'!$AM$10+'TUSD BF'!$AM$10+'TUSD CVA'!$AM$10)*1*(1-0.02)</f>
        <v>23.78256034881678</v>
      </c>
      <c r="Z344" s="70"/>
      <c r="AA344" s="70"/>
      <c r="AB344" s="6">
        <f>$K$344*$V$344</f>
        <v>29462.889599999999</v>
      </c>
      <c r="AC344" s="6">
        <f>$M$344*$W$344</f>
        <v>0</v>
      </c>
      <c r="AD344" s="6">
        <f>$O$344*$X$344</f>
        <v>0</v>
      </c>
      <c r="AE344" s="6">
        <f ca="1">$K$344*$Y$344</f>
        <v>31178.936617298798</v>
      </c>
      <c r="AF344" s="6">
        <f>$M$344*$Z$344</f>
        <v>0</v>
      </c>
      <c r="AG344" s="6">
        <f>$O$344*$AA$344</f>
        <v>0</v>
      </c>
    </row>
    <row r="345" spans="1:33" ht="11.25" customHeight="1" x14ac:dyDescent="0.25">
      <c r="A345" s="4" t="s">
        <v>21</v>
      </c>
      <c r="B345" s="4" t="s">
        <v>33</v>
      </c>
      <c r="C345" s="4" t="s">
        <v>34</v>
      </c>
      <c r="D345" s="4" t="s">
        <v>41</v>
      </c>
      <c r="E345" s="4" t="s">
        <v>25</v>
      </c>
      <c r="F345" s="4" t="s">
        <v>25</v>
      </c>
      <c r="G345" s="4" t="s">
        <v>25</v>
      </c>
      <c r="H345" s="4" t="s">
        <v>25</v>
      </c>
      <c r="I345" s="5">
        <v>44409</v>
      </c>
      <c r="J345" s="6">
        <v>1384</v>
      </c>
      <c r="K345" s="70">
        <v>1384</v>
      </c>
      <c r="L345" s="6">
        <v>0</v>
      </c>
      <c r="M345" s="70">
        <v>0</v>
      </c>
      <c r="N345" s="6">
        <v>0</v>
      </c>
      <c r="O345" s="70">
        <v>0</v>
      </c>
      <c r="P345" s="6">
        <v>12</v>
      </c>
      <c r="Q345" s="4" t="s">
        <v>26</v>
      </c>
      <c r="R345" s="4">
        <v>0</v>
      </c>
      <c r="S345" s="6">
        <v>65</v>
      </c>
      <c r="T345" s="6">
        <v>0</v>
      </c>
      <c r="U345" s="6">
        <v>0</v>
      </c>
      <c r="V345" s="70">
        <f>IF(ISERROR(VLOOKUP($S$345,'TAR FIN'!$A$1:$O$85,15,0)),0,VLOOKUP($S$345,'TAR FIN'!$A$1:$O$85,15,0))*(1-0.04)</f>
        <v>22.473599999999998</v>
      </c>
      <c r="W345" s="70">
        <f>IF(ISERROR(VLOOKUP($T$345,'TAR FIN'!$A$1:$O$85,15,0)),0,VLOOKUP($T$345,'TAR FIN'!$A$1:$O$85,15,0))</f>
        <v>0</v>
      </c>
      <c r="X345" s="70">
        <f>IF(ISERROR(VLOOKUP($U$345,'TAR FIN'!$A$1:$O$85,15,0)),0,VLOOKUP($U$345,'TAR FIN'!$A$1:$O$85,15,0))</f>
        <v>0</v>
      </c>
      <c r="Y345" s="70">
        <f ca="1">('TUSD BE'!$AM$10+'TUSD BF'!$AM$10+'TUSD CVA'!$AM$10)*1*(1-0.02)</f>
        <v>23.78256034881678</v>
      </c>
      <c r="Z345" s="70"/>
      <c r="AA345" s="70"/>
      <c r="AB345" s="6">
        <f>$K$345*$V$345</f>
        <v>31103.462399999997</v>
      </c>
      <c r="AC345" s="6">
        <f>$M$345*$W$345</f>
        <v>0</v>
      </c>
      <c r="AD345" s="6">
        <f>$O$345*$X$345</f>
        <v>0</v>
      </c>
      <c r="AE345" s="6">
        <f ca="1">$K$345*$Y$345</f>
        <v>32915.063522762423</v>
      </c>
      <c r="AF345" s="6">
        <f>$M$345*$Z$345</f>
        <v>0</v>
      </c>
      <c r="AG345" s="6">
        <f>$O$345*$AA$345</f>
        <v>0</v>
      </c>
    </row>
    <row r="346" spans="1:33" ht="11.25" customHeight="1" x14ac:dyDescent="0.25">
      <c r="A346" s="4" t="s">
        <v>21</v>
      </c>
      <c r="B346" s="4" t="s">
        <v>33</v>
      </c>
      <c r="C346" s="4" t="s">
        <v>34</v>
      </c>
      <c r="D346" s="4" t="s">
        <v>41</v>
      </c>
      <c r="E346" s="4" t="s">
        <v>25</v>
      </c>
      <c r="F346" s="4" t="s">
        <v>25</v>
      </c>
      <c r="G346" s="4" t="s">
        <v>25</v>
      </c>
      <c r="H346" s="4" t="s">
        <v>25</v>
      </c>
      <c r="I346" s="5">
        <v>44440</v>
      </c>
      <c r="J346" s="6">
        <v>1484</v>
      </c>
      <c r="K346" s="70">
        <v>1484</v>
      </c>
      <c r="L346" s="6">
        <v>0</v>
      </c>
      <c r="M346" s="70">
        <v>0</v>
      </c>
      <c r="N346" s="6">
        <v>0</v>
      </c>
      <c r="O346" s="70">
        <v>0</v>
      </c>
      <c r="P346" s="6">
        <v>13</v>
      </c>
      <c r="Q346" s="4" t="s">
        <v>26</v>
      </c>
      <c r="R346" s="4">
        <v>0</v>
      </c>
      <c r="S346" s="6">
        <v>65</v>
      </c>
      <c r="T346" s="6">
        <v>0</v>
      </c>
      <c r="U346" s="6">
        <v>0</v>
      </c>
      <c r="V346" s="70">
        <f>IF(ISERROR(VLOOKUP($S$346,'TAR FIN'!$A$1:$O$85,15,0)),0,VLOOKUP($S$346,'TAR FIN'!$A$1:$O$85,15,0))*(1-0.04)</f>
        <v>22.473599999999998</v>
      </c>
      <c r="W346" s="70">
        <f>IF(ISERROR(VLOOKUP($T$346,'TAR FIN'!$A$1:$O$85,15,0)),0,VLOOKUP($T$346,'TAR FIN'!$A$1:$O$85,15,0))</f>
        <v>0</v>
      </c>
      <c r="X346" s="70">
        <f>IF(ISERROR(VLOOKUP($U$346,'TAR FIN'!$A$1:$O$85,15,0)),0,VLOOKUP($U$346,'TAR FIN'!$A$1:$O$85,15,0))</f>
        <v>0</v>
      </c>
      <c r="Y346" s="70">
        <f ca="1">('TUSD BE'!$AM$10+'TUSD BF'!$AM$10+'TUSD CVA'!$AM$10)*1*(1-0.02)</f>
        <v>23.78256034881678</v>
      </c>
      <c r="Z346" s="70"/>
      <c r="AA346" s="70"/>
      <c r="AB346" s="6">
        <f>$K$346*$V$346</f>
        <v>33350.822399999997</v>
      </c>
      <c r="AC346" s="6">
        <f>$M$346*$W$346</f>
        <v>0</v>
      </c>
      <c r="AD346" s="6">
        <f>$O$346*$X$346</f>
        <v>0</v>
      </c>
      <c r="AE346" s="6">
        <f ca="1">$K$346*$Y$346</f>
        <v>35293.319557644099</v>
      </c>
      <c r="AF346" s="6">
        <f>$M$346*$Z$346</f>
        <v>0</v>
      </c>
      <c r="AG346" s="6">
        <f>$O$346*$AA$346</f>
        <v>0</v>
      </c>
    </row>
    <row r="347" spans="1:33" ht="11.25" customHeight="1" x14ac:dyDescent="0.25">
      <c r="A347" s="4" t="s">
        <v>21</v>
      </c>
      <c r="B347" s="4" t="s">
        <v>33</v>
      </c>
      <c r="C347" s="4" t="s">
        <v>34</v>
      </c>
      <c r="D347" s="4" t="s">
        <v>41</v>
      </c>
      <c r="E347" s="4" t="s">
        <v>25</v>
      </c>
      <c r="F347" s="4" t="s">
        <v>25</v>
      </c>
      <c r="G347" s="4" t="s">
        <v>25</v>
      </c>
      <c r="H347" s="4" t="s">
        <v>25</v>
      </c>
      <c r="I347" s="5">
        <v>44470</v>
      </c>
      <c r="J347" s="6">
        <v>1377</v>
      </c>
      <c r="K347" s="70">
        <v>1377</v>
      </c>
      <c r="L347" s="6">
        <v>0</v>
      </c>
      <c r="M347" s="70">
        <v>0</v>
      </c>
      <c r="N347" s="6">
        <v>0</v>
      </c>
      <c r="O347" s="70">
        <v>0</v>
      </c>
      <c r="P347" s="6">
        <v>13</v>
      </c>
      <c r="Q347" s="4" t="s">
        <v>26</v>
      </c>
      <c r="R347" s="4">
        <v>0</v>
      </c>
      <c r="S347" s="6">
        <v>65</v>
      </c>
      <c r="T347" s="6">
        <v>0</v>
      </c>
      <c r="U347" s="6">
        <v>0</v>
      </c>
      <c r="V347" s="70">
        <f>IF(ISERROR(VLOOKUP($S$347,'TAR FIN'!$A$1:$O$85,15,0)),0,VLOOKUP($S$347,'TAR FIN'!$A$1:$O$85,15,0))*(1-0.04)</f>
        <v>22.473599999999998</v>
      </c>
      <c r="W347" s="70">
        <f>IF(ISERROR(VLOOKUP($T$347,'TAR FIN'!$A$1:$O$85,15,0)),0,VLOOKUP($T$347,'TAR FIN'!$A$1:$O$85,15,0))</f>
        <v>0</v>
      </c>
      <c r="X347" s="70">
        <f>IF(ISERROR(VLOOKUP($U$347,'TAR FIN'!$A$1:$O$85,15,0)),0,VLOOKUP($U$347,'TAR FIN'!$A$1:$O$85,15,0))</f>
        <v>0</v>
      </c>
      <c r="Y347" s="70">
        <f ca="1">('TUSD BE'!$AM$10+'TUSD BF'!$AM$10+'TUSD CVA'!$AM$10)*1*(1-0.02)</f>
        <v>23.78256034881678</v>
      </c>
      <c r="Z347" s="70"/>
      <c r="AA347" s="70"/>
      <c r="AB347" s="6">
        <f>$K$347*$V$347</f>
        <v>30946.147199999996</v>
      </c>
      <c r="AC347" s="6">
        <f>$M$347*$W$347</f>
        <v>0</v>
      </c>
      <c r="AD347" s="6">
        <f>$O$347*$X$347</f>
        <v>0</v>
      </c>
      <c r="AE347" s="6">
        <f ca="1">$K$347*$Y$347</f>
        <v>32748.585600320705</v>
      </c>
      <c r="AF347" s="6">
        <f>$M$347*$Z$347</f>
        <v>0</v>
      </c>
      <c r="AG347" s="6">
        <f>$O$347*$AA$347</f>
        <v>0</v>
      </c>
    </row>
    <row r="348" spans="1:33" ht="11.25" customHeight="1" x14ac:dyDescent="0.25">
      <c r="A348" s="4" t="s">
        <v>21</v>
      </c>
      <c r="B348" s="4" t="s">
        <v>33</v>
      </c>
      <c r="C348" s="4" t="s">
        <v>34</v>
      </c>
      <c r="D348" s="4" t="s">
        <v>41</v>
      </c>
      <c r="E348" s="4" t="s">
        <v>25</v>
      </c>
      <c r="F348" s="4" t="s">
        <v>25</v>
      </c>
      <c r="G348" s="4" t="s">
        <v>25</v>
      </c>
      <c r="H348" s="4" t="s">
        <v>25</v>
      </c>
      <c r="I348" s="5">
        <v>44501</v>
      </c>
      <c r="J348" s="6">
        <v>1383</v>
      </c>
      <c r="K348" s="70">
        <v>1383</v>
      </c>
      <c r="L348" s="6">
        <v>0</v>
      </c>
      <c r="M348" s="70">
        <v>0</v>
      </c>
      <c r="N348" s="6">
        <v>0</v>
      </c>
      <c r="O348" s="70">
        <v>0</v>
      </c>
      <c r="P348" s="6">
        <v>13</v>
      </c>
      <c r="Q348" s="4" t="s">
        <v>26</v>
      </c>
      <c r="R348" s="4">
        <v>0</v>
      </c>
      <c r="S348" s="6">
        <v>65</v>
      </c>
      <c r="T348" s="6">
        <v>0</v>
      </c>
      <c r="U348" s="6">
        <v>0</v>
      </c>
      <c r="V348" s="70">
        <f>IF(ISERROR(VLOOKUP($S$348,'TAR FIN'!$A$1:$O$85,15,0)),0,VLOOKUP($S$348,'TAR FIN'!$A$1:$O$85,15,0))*(1-0.04)</f>
        <v>22.473599999999998</v>
      </c>
      <c r="W348" s="70">
        <f>IF(ISERROR(VLOOKUP($T$348,'TAR FIN'!$A$1:$O$85,15,0)),0,VLOOKUP($T$348,'TAR FIN'!$A$1:$O$85,15,0))</f>
        <v>0</v>
      </c>
      <c r="X348" s="70">
        <f>IF(ISERROR(VLOOKUP($U$348,'TAR FIN'!$A$1:$O$85,15,0)),0,VLOOKUP($U$348,'TAR FIN'!$A$1:$O$85,15,0))</f>
        <v>0</v>
      </c>
      <c r="Y348" s="70">
        <f ca="1">('TUSD BE'!$AM$10+'TUSD BF'!$AM$10+'TUSD CVA'!$AM$10)*1*(1-0.02)</f>
        <v>23.78256034881678</v>
      </c>
      <c r="Z348" s="70"/>
      <c r="AA348" s="70"/>
      <c r="AB348" s="6">
        <f>$K$348*$V$348</f>
        <v>31080.988799999996</v>
      </c>
      <c r="AC348" s="6">
        <f>$M$348*$W$348</f>
        <v>0</v>
      </c>
      <c r="AD348" s="6">
        <f>$O$348*$X$348</f>
        <v>0</v>
      </c>
      <c r="AE348" s="6">
        <f ca="1">$K$348*$Y$348</f>
        <v>32891.280962413606</v>
      </c>
      <c r="AF348" s="6">
        <f>$M$348*$Z$348</f>
        <v>0</v>
      </c>
      <c r="AG348" s="6">
        <f>$O$348*$AA$348</f>
        <v>0</v>
      </c>
    </row>
    <row r="349" spans="1:33" ht="11.25" customHeight="1" x14ac:dyDescent="0.25">
      <c r="A349" s="4" t="s">
        <v>21</v>
      </c>
      <c r="B349" s="4" t="s">
        <v>33</v>
      </c>
      <c r="C349" s="4" t="s">
        <v>34</v>
      </c>
      <c r="D349" s="4" t="s">
        <v>41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44531</v>
      </c>
      <c r="J349" s="6">
        <v>1410</v>
      </c>
      <c r="K349" s="70">
        <v>1410</v>
      </c>
      <c r="L349" s="6">
        <v>0</v>
      </c>
      <c r="M349" s="70">
        <v>0</v>
      </c>
      <c r="N349" s="6">
        <v>0</v>
      </c>
      <c r="O349" s="70">
        <v>0</v>
      </c>
      <c r="P349" s="6">
        <v>13</v>
      </c>
      <c r="Q349" s="4" t="s">
        <v>26</v>
      </c>
      <c r="R349" s="4">
        <v>0</v>
      </c>
      <c r="S349" s="6">
        <v>65</v>
      </c>
      <c r="T349" s="6">
        <v>0</v>
      </c>
      <c r="U349" s="6">
        <v>0</v>
      </c>
      <c r="V349" s="70">
        <f>IF(ISERROR(VLOOKUP($S$349,'TAR FIN'!$A$1:$O$85,15,0)),0,VLOOKUP($S$349,'TAR FIN'!$A$1:$O$85,15,0))*(1-0.04)</f>
        <v>22.473599999999998</v>
      </c>
      <c r="W349" s="70">
        <f>IF(ISERROR(VLOOKUP($T$349,'TAR FIN'!$A$1:$O$85,15,0)),0,VLOOKUP($T$349,'TAR FIN'!$A$1:$O$85,15,0))</f>
        <v>0</v>
      </c>
      <c r="X349" s="70">
        <f>IF(ISERROR(VLOOKUP($U$349,'TAR FIN'!$A$1:$O$85,15,0)),0,VLOOKUP($U$349,'TAR FIN'!$A$1:$O$85,15,0))</f>
        <v>0</v>
      </c>
      <c r="Y349" s="70">
        <f ca="1">('TUSD BE'!$AM$10+'TUSD BF'!$AM$10+'TUSD CVA'!$AM$10)*1*(1-0.02)</f>
        <v>23.78256034881678</v>
      </c>
      <c r="Z349" s="70"/>
      <c r="AA349" s="70"/>
      <c r="AB349" s="6">
        <f>$K$349*$V$349</f>
        <v>31687.775999999998</v>
      </c>
      <c r="AC349" s="6">
        <f>$M$349*$W$349</f>
        <v>0</v>
      </c>
      <c r="AD349" s="6">
        <f>$O$349*$X$349</f>
        <v>0</v>
      </c>
      <c r="AE349" s="6">
        <f ca="1">$K$349*$Y$349</f>
        <v>33533.410091831662</v>
      </c>
      <c r="AF349" s="6">
        <f>$M$349*$Z$349</f>
        <v>0</v>
      </c>
      <c r="AG349" s="6">
        <f>$O$349*$AA$349</f>
        <v>0</v>
      </c>
    </row>
    <row r="350" spans="1:33" ht="11.25" customHeight="1" x14ac:dyDescent="0.25">
      <c r="A350" s="4" t="s">
        <v>21</v>
      </c>
      <c r="B350" s="4" t="s">
        <v>33</v>
      </c>
      <c r="C350" s="4" t="s">
        <v>34</v>
      </c>
      <c r="D350" s="4" t="s">
        <v>41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44562</v>
      </c>
      <c r="J350" s="6">
        <v>1300</v>
      </c>
      <c r="K350" s="70">
        <v>1300</v>
      </c>
      <c r="L350" s="6">
        <v>0</v>
      </c>
      <c r="M350" s="70">
        <v>0</v>
      </c>
      <c r="N350" s="6">
        <v>0</v>
      </c>
      <c r="O350" s="70">
        <v>0</v>
      </c>
      <c r="P350" s="6">
        <v>13</v>
      </c>
      <c r="Q350" s="4" t="s">
        <v>26</v>
      </c>
      <c r="R350" s="4">
        <v>0</v>
      </c>
      <c r="S350" s="6">
        <v>65</v>
      </c>
      <c r="T350" s="6">
        <v>0</v>
      </c>
      <c r="U350" s="6">
        <v>0</v>
      </c>
      <c r="V350" s="70">
        <f>IF(ISERROR(VLOOKUP($S$350,'TAR FIN'!$A$1:$O$85,15,0)),0,VLOOKUP($S$350,'TAR FIN'!$A$1:$O$85,15,0))*(1-0.04)</f>
        <v>22.473599999999998</v>
      </c>
      <c r="W350" s="70">
        <f>IF(ISERROR(VLOOKUP($T$350,'TAR FIN'!$A$1:$O$85,15,0)),0,VLOOKUP($T$350,'TAR FIN'!$A$1:$O$85,15,0))</f>
        <v>0</v>
      </c>
      <c r="X350" s="70">
        <f>IF(ISERROR(VLOOKUP($U$350,'TAR FIN'!$A$1:$O$85,15,0)),0,VLOOKUP($U$350,'TAR FIN'!$A$1:$O$85,15,0))</f>
        <v>0</v>
      </c>
      <c r="Y350" s="70">
        <f ca="1">('TUSD BE'!$AM$10+'TUSD BF'!$AM$10+'TUSD CVA'!$AM$10)*1*(1-0.02)</f>
        <v>23.78256034881678</v>
      </c>
      <c r="Z350" s="70"/>
      <c r="AA350" s="70"/>
      <c r="AB350" s="6">
        <f>$K$350*$V$350</f>
        <v>29215.679999999997</v>
      </c>
      <c r="AC350" s="6">
        <f>$M$350*$W$350</f>
        <v>0</v>
      </c>
      <c r="AD350" s="6">
        <f>$O$350*$X$350</f>
        <v>0</v>
      </c>
      <c r="AE350" s="6">
        <f ca="1">$K$350*$Y$350</f>
        <v>30917.328453461814</v>
      </c>
      <c r="AF350" s="6">
        <f>$M$350*$Z$350</f>
        <v>0</v>
      </c>
      <c r="AG350" s="6">
        <f>$O$350*$AA$350</f>
        <v>0</v>
      </c>
    </row>
    <row r="351" spans="1:33" ht="11.25" customHeight="1" x14ac:dyDescent="0.25">
      <c r="A351" s="4" t="s">
        <v>21</v>
      </c>
      <c r="B351" s="4" t="s">
        <v>33</v>
      </c>
      <c r="C351" s="4" t="s">
        <v>34</v>
      </c>
      <c r="D351" s="4" t="s">
        <v>41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44593</v>
      </c>
      <c r="J351" s="6">
        <v>1383</v>
      </c>
      <c r="K351" s="70">
        <v>1383</v>
      </c>
      <c r="L351" s="6">
        <v>0</v>
      </c>
      <c r="M351" s="70">
        <v>0</v>
      </c>
      <c r="N351" s="6">
        <v>0</v>
      </c>
      <c r="O351" s="70">
        <v>0</v>
      </c>
      <c r="P351" s="6">
        <v>13</v>
      </c>
      <c r="Q351" s="4" t="s">
        <v>26</v>
      </c>
      <c r="R351" s="4">
        <v>0</v>
      </c>
      <c r="S351" s="6">
        <v>65</v>
      </c>
      <c r="T351" s="6">
        <v>0</v>
      </c>
      <c r="U351" s="6">
        <v>0</v>
      </c>
      <c r="V351" s="70">
        <f>IF(ISERROR(VLOOKUP($S$351,'TAR FIN'!$A$1:$O$85,15,0)),0,VLOOKUP($S$351,'TAR FIN'!$A$1:$O$85,15,0))*(1-0.04)</f>
        <v>22.473599999999998</v>
      </c>
      <c r="W351" s="70">
        <f>IF(ISERROR(VLOOKUP($T$351,'TAR FIN'!$A$1:$O$85,15,0)),0,VLOOKUP($T$351,'TAR FIN'!$A$1:$O$85,15,0))</f>
        <v>0</v>
      </c>
      <c r="X351" s="70">
        <f>IF(ISERROR(VLOOKUP($U$351,'TAR FIN'!$A$1:$O$85,15,0)),0,VLOOKUP($U$351,'TAR FIN'!$A$1:$O$85,15,0))</f>
        <v>0</v>
      </c>
      <c r="Y351" s="70">
        <f ca="1">('TUSD BE'!$AM$10+'TUSD BF'!$AM$10+'TUSD CVA'!$AM$10)*1*(1-0.02)</f>
        <v>23.78256034881678</v>
      </c>
      <c r="Z351" s="70"/>
      <c r="AA351" s="70"/>
      <c r="AB351" s="6">
        <f>$K$351*$V$351</f>
        <v>31080.988799999996</v>
      </c>
      <c r="AC351" s="6">
        <f>$M$351*$W$351</f>
        <v>0</v>
      </c>
      <c r="AD351" s="6">
        <f>$O$351*$X$351</f>
        <v>0</v>
      </c>
      <c r="AE351" s="6">
        <f ca="1">$K$351*$Y$351</f>
        <v>32891.280962413606</v>
      </c>
      <c r="AF351" s="6">
        <f>$M$351*$Z$351</f>
        <v>0</v>
      </c>
      <c r="AG351" s="6">
        <f>$O$351*$AA$351</f>
        <v>0</v>
      </c>
    </row>
    <row r="352" spans="1:33" ht="11.25" customHeight="1" x14ac:dyDescent="0.25">
      <c r="A352" s="4" t="s">
        <v>54</v>
      </c>
      <c r="B352" s="4" t="s">
        <v>33</v>
      </c>
      <c r="C352" s="4" t="s">
        <v>34</v>
      </c>
      <c r="D352" s="4" t="s">
        <v>41</v>
      </c>
      <c r="E352" s="4" t="s">
        <v>25</v>
      </c>
      <c r="F352" s="4" t="s">
        <v>25</v>
      </c>
      <c r="G352" s="4" t="s">
        <v>25</v>
      </c>
      <c r="H352" s="4" t="s">
        <v>25</v>
      </c>
      <c r="I352" s="5">
        <v>44621</v>
      </c>
      <c r="J352" s="6">
        <v>1383</v>
      </c>
      <c r="K352" s="70">
        <v>1383</v>
      </c>
      <c r="L352" s="6">
        <v>0</v>
      </c>
      <c r="M352" s="70">
        <v>0</v>
      </c>
      <c r="N352" s="6">
        <v>0</v>
      </c>
      <c r="O352" s="70">
        <v>0</v>
      </c>
      <c r="P352" s="6">
        <v>13</v>
      </c>
      <c r="Q352" s="4" t="s">
        <v>26</v>
      </c>
      <c r="R352" s="4">
        <v>0</v>
      </c>
      <c r="S352" s="6">
        <v>65</v>
      </c>
      <c r="T352" s="6">
        <v>0</v>
      </c>
      <c r="U352" s="6">
        <v>0</v>
      </c>
      <c r="V352" s="70">
        <f>IF(ISERROR(VLOOKUP($S$352,'TAR FIN'!$A$1:$O$85,15,0)),0,VLOOKUP($S$352,'TAR FIN'!$A$1:$O$85,15,0))*(1-0.04)</f>
        <v>22.473599999999998</v>
      </c>
      <c r="W352" s="70">
        <f>IF(ISERROR(VLOOKUP($T$352,'TAR FIN'!$A$1:$O$85,15,0)),0,VLOOKUP($T$352,'TAR FIN'!$A$1:$O$85,15,0))</f>
        <v>0</v>
      </c>
      <c r="X352" s="70">
        <f>IF(ISERROR(VLOOKUP($U$352,'TAR FIN'!$A$1:$O$85,15,0)),0,VLOOKUP($U$352,'TAR FIN'!$A$1:$O$85,15,0))</f>
        <v>0</v>
      </c>
      <c r="Y352" s="70">
        <f ca="1">('TUSD BE'!$AM$10+'TUSD BF'!$AM$10+'TUSD CVA'!$AM$10)*1*(1-0.02)</f>
        <v>23.78256034881678</v>
      </c>
      <c r="Z352" s="70"/>
      <c r="AA352" s="70"/>
      <c r="AB352" s="6">
        <f>$K$352*$V$352</f>
        <v>31080.988799999996</v>
      </c>
      <c r="AC352" s="6">
        <f>$M$352*$W$352</f>
        <v>0</v>
      </c>
      <c r="AD352" s="6">
        <f>$O$352*$X$352</f>
        <v>0</v>
      </c>
      <c r="AE352" s="6">
        <f ca="1">$K$352*$Y$352</f>
        <v>32891.280962413606</v>
      </c>
      <c r="AF352" s="6">
        <f>$M$352*$Z$352</f>
        <v>0</v>
      </c>
      <c r="AG352" s="6">
        <f>$O$352*$AA$352</f>
        <v>0</v>
      </c>
    </row>
    <row r="353" spans="1:33" ht="11.25" customHeight="1" x14ac:dyDescent="0.25">
      <c r="A353" s="4" t="s">
        <v>21</v>
      </c>
      <c r="B353" s="4" t="s">
        <v>33</v>
      </c>
      <c r="C353" s="4" t="s">
        <v>34</v>
      </c>
      <c r="D353" s="4" t="s">
        <v>41</v>
      </c>
      <c r="E353" s="4" t="s">
        <v>25</v>
      </c>
      <c r="F353" s="4" t="s">
        <v>25</v>
      </c>
      <c r="G353" s="4" t="s">
        <v>25</v>
      </c>
      <c r="H353" s="4" t="s">
        <v>35</v>
      </c>
      <c r="I353" s="5">
        <v>44287</v>
      </c>
      <c r="J353" s="6">
        <v>0</v>
      </c>
      <c r="K353" s="70">
        <v>0</v>
      </c>
      <c r="L353" s="6">
        <v>13.541</v>
      </c>
      <c r="M353" s="70">
        <v>13.541</v>
      </c>
      <c r="N353" s="6">
        <v>13.541</v>
      </c>
      <c r="O353" s="70">
        <v>13.541</v>
      </c>
      <c r="P353" s="6">
        <v>0</v>
      </c>
      <c r="Q353" s="4" t="s">
        <v>26</v>
      </c>
      <c r="R353" s="4">
        <v>0</v>
      </c>
      <c r="S353" s="6">
        <v>0</v>
      </c>
      <c r="T353" s="6">
        <v>66</v>
      </c>
      <c r="U353" s="6">
        <v>6</v>
      </c>
      <c r="V353" s="70">
        <f>IF(ISERROR(VLOOKUP($S$353,'TAR FIN'!$A$1:$O$85,15,0)),0,VLOOKUP($S$353,'TAR FIN'!$A$1:$O$85,15,0))</f>
        <v>0</v>
      </c>
      <c r="W353" s="70">
        <f>IF(ISERROR(VLOOKUP($T$353,'TAR FIN'!$A$1:$O$85,15,0)),0,VLOOKUP($T$353,'TAR FIN'!$A$1:$O$85,15,0))*(1-0.04)</f>
        <v>2173.0367999999999</v>
      </c>
      <c r="X353" s="70">
        <f>IF(ISERROR(VLOOKUP($U$353,'TAR FIN'!$A$1:$O$85,15,0)),0,VLOOKUP($U$353,'TAR FIN'!$A$1:$O$85,15,0))*(1-0.04)</f>
        <v>214.77119999999999</v>
      </c>
      <c r="Y353" s="70"/>
      <c r="Z353" s="70">
        <f ca="1">('TUSD BE'!$AM$11+'TUSD BF'!$AM$11+'TUSD CVA'!$AM$11)*1*(1-0.02)</f>
        <v>2326.2024462524073</v>
      </c>
      <c r="AA353" s="70">
        <f>('TE BE'!$AA$5+'TE BF'!$AA$5+'TE CVA'!$AA$5)*1*(1-0.02)</f>
        <v>213.27681122210436</v>
      </c>
      <c r="AB353" s="6">
        <f>$K$353*$V$353</f>
        <v>0</v>
      </c>
      <c r="AC353" s="6">
        <f>$M$353*$W$353</f>
        <v>29425.091308799998</v>
      </c>
      <c r="AD353" s="6">
        <f>$O$353*$X$353</f>
        <v>2908.2168191999999</v>
      </c>
      <c r="AE353" s="6">
        <f>$K$353*$Y$353</f>
        <v>0</v>
      </c>
      <c r="AF353" s="6">
        <f ca="1">$M$353*$Z$353</f>
        <v>31499.107324703848</v>
      </c>
      <c r="AG353" s="6">
        <f>$O$353*$AA$353</f>
        <v>2887.9813007585153</v>
      </c>
    </row>
    <row r="354" spans="1:33" ht="11.25" customHeight="1" x14ac:dyDescent="0.25">
      <c r="A354" s="4" t="s">
        <v>21</v>
      </c>
      <c r="B354" s="4" t="s">
        <v>33</v>
      </c>
      <c r="C354" s="4" t="s">
        <v>34</v>
      </c>
      <c r="D354" s="4" t="s">
        <v>41</v>
      </c>
      <c r="E354" s="4" t="s">
        <v>25</v>
      </c>
      <c r="F354" s="4" t="s">
        <v>25</v>
      </c>
      <c r="G354" s="4" t="s">
        <v>25</v>
      </c>
      <c r="H354" s="4" t="s">
        <v>35</v>
      </c>
      <c r="I354" s="5">
        <v>44317</v>
      </c>
      <c r="J354" s="6">
        <v>0</v>
      </c>
      <c r="K354" s="70">
        <v>0</v>
      </c>
      <c r="L354" s="6">
        <v>10.247</v>
      </c>
      <c r="M354" s="70">
        <v>10.247</v>
      </c>
      <c r="N354" s="6">
        <v>10.247</v>
      </c>
      <c r="O354" s="70">
        <v>10.247</v>
      </c>
      <c r="P354" s="6">
        <v>0</v>
      </c>
      <c r="Q354" s="4" t="s">
        <v>26</v>
      </c>
      <c r="R354" s="4">
        <v>0</v>
      </c>
      <c r="S354" s="6">
        <v>0</v>
      </c>
      <c r="T354" s="6">
        <v>66</v>
      </c>
      <c r="U354" s="6">
        <v>6</v>
      </c>
      <c r="V354" s="70">
        <f>IF(ISERROR(VLOOKUP($S$354,'TAR FIN'!$A$1:$O$85,15,0)),0,VLOOKUP($S$354,'TAR FIN'!$A$1:$O$85,15,0))</f>
        <v>0</v>
      </c>
      <c r="W354" s="70">
        <f>IF(ISERROR(VLOOKUP($T$354,'TAR FIN'!$A$1:$O$85,15,0)),0,VLOOKUP($T$354,'TAR FIN'!$A$1:$O$85,15,0))*(1-0.04)</f>
        <v>2173.0367999999999</v>
      </c>
      <c r="X354" s="70">
        <f>IF(ISERROR(VLOOKUP($U$354,'TAR FIN'!$A$1:$O$85,15,0)),0,VLOOKUP($U$354,'TAR FIN'!$A$1:$O$85,15,0))*(1-0.04)</f>
        <v>214.77119999999999</v>
      </c>
      <c r="Y354" s="70"/>
      <c r="Z354" s="70">
        <f ca="1">('TUSD BE'!$AM$11+'TUSD BF'!$AM$11+'TUSD CVA'!$AM$11)*1*(1-0.02)</f>
        <v>2326.2024462524073</v>
      </c>
      <c r="AA354" s="70">
        <f>('TE BE'!$AA$5+'TE BF'!$AA$5+'TE CVA'!$AA$5)*1*(1-0.02)</f>
        <v>213.27681122210436</v>
      </c>
      <c r="AB354" s="6">
        <f>$K$354*$V$354</f>
        <v>0</v>
      </c>
      <c r="AC354" s="6">
        <f>$M$354*$W$354</f>
        <v>22267.108089599998</v>
      </c>
      <c r="AD354" s="6">
        <f>$O$354*$X$354</f>
        <v>2200.7604864</v>
      </c>
      <c r="AE354" s="6">
        <f>$K$354*$Y$354</f>
        <v>0</v>
      </c>
      <c r="AF354" s="6">
        <f ca="1">$M$354*$Z$354</f>
        <v>23836.596466748419</v>
      </c>
      <c r="AG354" s="6">
        <f>$O$354*$AA$354</f>
        <v>2185.4474845929035</v>
      </c>
    </row>
    <row r="355" spans="1:33" ht="11.25" customHeight="1" x14ac:dyDescent="0.25">
      <c r="A355" s="4" t="s">
        <v>21</v>
      </c>
      <c r="B355" s="4" t="s">
        <v>33</v>
      </c>
      <c r="C355" s="4" t="s">
        <v>34</v>
      </c>
      <c r="D355" s="4" t="s">
        <v>41</v>
      </c>
      <c r="E355" s="4" t="s">
        <v>25</v>
      </c>
      <c r="F355" s="4" t="s">
        <v>25</v>
      </c>
      <c r="G355" s="4" t="s">
        <v>25</v>
      </c>
      <c r="H355" s="4" t="s">
        <v>35</v>
      </c>
      <c r="I355" s="5">
        <v>44348</v>
      </c>
      <c r="J355" s="6">
        <v>0</v>
      </c>
      <c r="K355" s="70">
        <v>0</v>
      </c>
      <c r="L355" s="6">
        <v>8.9819999999999993</v>
      </c>
      <c r="M355" s="70">
        <v>8.9819999999999993</v>
      </c>
      <c r="N355" s="6">
        <v>8.9819999999999993</v>
      </c>
      <c r="O355" s="70">
        <v>8.9819999999999993</v>
      </c>
      <c r="P355" s="6">
        <v>0</v>
      </c>
      <c r="Q355" s="4" t="s">
        <v>26</v>
      </c>
      <c r="R355" s="4">
        <v>0</v>
      </c>
      <c r="S355" s="6">
        <v>0</v>
      </c>
      <c r="T355" s="6">
        <v>66</v>
      </c>
      <c r="U355" s="6">
        <v>6</v>
      </c>
      <c r="V355" s="70">
        <f>IF(ISERROR(VLOOKUP($S$355,'TAR FIN'!$A$1:$O$85,15,0)),0,VLOOKUP($S$355,'TAR FIN'!$A$1:$O$85,15,0))</f>
        <v>0</v>
      </c>
      <c r="W355" s="70">
        <f>IF(ISERROR(VLOOKUP($T$355,'TAR FIN'!$A$1:$O$85,15,0)),0,VLOOKUP($T$355,'TAR FIN'!$A$1:$O$85,15,0))*(1-0.04)</f>
        <v>2173.0367999999999</v>
      </c>
      <c r="X355" s="70">
        <f>IF(ISERROR(VLOOKUP($U$355,'TAR FIN'!$A$1:$O$85,15,0)),0,VLOOKUP($U$355,'TAR FIN'!$A$1:$O$85,15,0))*(1-0.04)</f>
        <v>214.77119999999999</v>
      </c>
      <c r="Y355" s="70"/>
      <c r="Z355" s="70">
        <f ca="1">('TUSD BE'!$AM$11+'TUSD BF'!$AM$11+'TUSD CVA'!$AM$11)*1*(1-0.02)</f>
        <v>2326.2024462524073</v>
      </c>
      <c r="AA355" s="70">
        <f>('TE BE'!$AA$5+'TE BF'!$AA$5+'TE CVA'!$AA$5)*1*(1-0.02)</f>
        <v>213.27681122210436</v>
      </c>
      <c r="AB355" s="6">
        <f>$K$355*$V$355</f>
        <v>0</v>
      </c>
      <c r="AC355" s="6">
        <f>$M$355*$W$355</f>
        <v>19518.216537599998</v>
      </c>
      <c r="AD355" s="6">
        <f>$O$355*$X$355</f>
        <v>1929.0749183999999</v>
      </c>
      <c r="AE355" s="6">
        <f>$K$355*$Y$355</f>
        <v>0</v>
      </c>
      <c r="AF355" s="6">
        <f ca="1">$M$355*$Z$355</f>
        <v>20893.95037223912</v>
      </c>
      <c r="AG355" s="6">
        <f>$O$355*$AA$355</f>
        <v>1915.6523183969412</v>
      </c>
    </row>
    <row r="356" spans="1:33" ht="11.25" customHeight="1" x14ac:dyDescent="0.25">
      <c r="A356" s="4" t="s">
        <v>21</v>
      </c>
      <c r="B356" s="4" t="s">
        <v>33</v>
      </c>
      <c r="C356" s="4" t="s">
        <v>34</v>
      </c>
      <c r="D356" s="4" t="s">
        <v>41</v>
      </c>
      <c r="E356" s="4" t="s">
        <v>25</v>
      </c>
      <c r="F356" s="4" t="s">
        <v>25</v>
      </c>
      <c r="G356" s="4" t="s">
        <v>25</v>
      </c>
      <c r="H356" s="4" t="s">
        <v>35</v>
      </c>
      <c r="I356" s="5">
        <v>44378</v>
      </c>
      <c r="J356" s="6">
        <v>0</v>
      </c>
      <c r="K356" s="70">
        <v>0</v>
      </c>
      <c r="L356" s="6">
        <v>12.948</v>
      </c>
      <c r="M356" s="70">
        <v>12.948</v>
      </c>
      <c r="N356" s="6">
        <v>12.948</v>
      </c>
      <c r="O356" s="70">
        <v>12.948</v>
      </c>
      <c r="P356" s="6">
        <v>0</v>
      </c>
      <c r="Q356" s="4" t="s">
        <v>26</v>
      </c>
      <c r="R356" s="4">
        <v>0</v>
      </c>
      <c r="S356" s="6">
        <v>0</v>
      </c>
      <c r="T356" s="6">
        <v>66</v>
      </c>
      <c r="U356" s="6">
        <v>6</v>
      </c>
      <c r="V356" s="70">
        <f>IF(ISERROR(VLOOKUP($S$356,'TAR FIN'!$A$1:$O$85,15,0)),0,VLOOKUP($S$356,'TAR FIN'!$A$1:$O$85,15,0))</f>
        <v>0</v>
      </c>
      <c r="W356" s="70">
        <f>IF(ISERROR(VLOOKUP($T$356,'TAR FIN'!$A$1:$O$85,15,0)),0,VLOOKUP($T$356,'TAR FIN'!$A$1:$O$85,15,0))*(1-0.04)</f>
        <v>2173.0367999999999</v>
      </c>
      <c r="X356" s="70">
        <f>IF(ISERROR(VLOOKUP($U$356,'TAR FIN'!$A$1:$O$85,15,0)),0,VLOOKUP($U$356,'TAR FIN'!$A$1:$O$85,15,0))*(1-0.04)</f>
        <v>214.77119999999999</v>
      </c>
      <c r="Y356" s="70"/>
      <c r="Z356" s="70">
        <f ca="1">('TUSD BE'!$AM$11+'TUSD BF'!$AM$11+'TUSD CVA'!$AM$11)*1*(1-0.02)</f>
        <v>2326.2024462524073</v>
      </c>
      <c r="AA356" s="70">
        <f>('TE BE'!$AA$5+'TE BF'!$AA$5+'TE CVA'!$AA$5)*1*(1-0.02)</f>
        <v>213.27681122210436</v>
      </c>
      <c r="AB356" s="6">
        <f>$K$356*$V$356</f>
        <v>0</v>
      </c>
      <c r="AC356" s="6">
        <f>$M$356*$W$356</f>
        <v>28136.4804864</v>
      </c>
      <c r="AD356" s="6">
        <f>$O$356*$X$356</f>
        <v>2780.8574976</v>
      </c>
      <c r="AE356" s="6">
        <f>$K$356*$Y$356</f>
        <v>0</v>
      </c>
      <c r="AF356" s="6">
        <f ca="1">$M$356*$Z$356</f>
        <v>30119.669274076172</v>
      </c>
      <c r="AG356" s="6">
        <f>$O$356*$AA$356</f>
        <v>2761.5081517038075</v>
      </c>
    </row>
    <row r="357" spans="1:33" ht="11.25" customHeight="1" x14ac:dyDescent="0.25">
      <c r="A357" s="4" t="s">
        <v>21</v>
      </c>
      <c r="B357" s="4" t="s">
        <v>33</v>
      </c>
      <c r="C357" s="4" t="s">
        <v>34</v>
      </c>
      <c r="D357" s="4" t="s">
        <v>41</v>
      </c>
      <c r="E357" s="4" t="s">
        <v>25</v>
      </c>
      <c r="F357" s="4" t="s">
        <v>25</v>
      </c>
      <c r="G357" s="4" t="s">
        <v>25</v>
      </c>
      <c r="H357" s="4" t="s">
        <v>35</v>
      </c>
      <c r="I357" s="5">
        <v>44409</v>
      </c>
      <c r="J357" s="6">
        <v>0</v>
      </c>
      <c r="K357" s="70">
        <v>0</v>
      </c>
      <c r="L357" s="6">
        <v>15.106</v>
      </c>
      <c r="M357" s="70">
        <v>15.106</v>
      </c>
      <c r="N357" s="6">
        <v>15.106</v>
      </c>
      <c r="O357" s="70">
        <v>15.106</v>
      </c>
      <c r="P357" s="6">
        <v>0</v>
      </c>
      <c r="Q357" s="4" t="s">
        <v>26</v>
      </c>
      <c r="R357" s="4">
        <v>0</v>
      </c>
      <c r="S357" s="6">
        <v>0</v>
      </c>
      <c r="T357" s="6">
        <v>66</v>
      </c>
      <c r="U357" s="6">
        <v>6</v>
      </c>
      <c r="V357" s="70">
        <f>IF(ISERROR(VLOOKUP($S$357,'TAR FIN'!$A$1:$O$85,15,0)),0,VLOOKUP($S$357,'TAR FIN'!$A$1:$O$85,15,0))</f>
        <v>0</v>
      </c>
      <c r="W357" s="70">
        <f>IF(ISERROR(VLOOKUP($T$357,'TAR FIN'!$A$1:$O$85,15,0)),0,VLOOKUP($T$357,'TAR FIN'!$A$1:$O$85,15,0))*(1-0.04)</f>
        <v>2173.0367999999999</v>
      </c>
      <c r="X357" s="70">
        <f>IF(ISERROR(VLOOKUP($U$357,'TAR FIN'!$A$1:$O$85,15,0)),0,VLOOKUP($U$357,'TAR FIN'!$A$1:$O$85,15,0))*(1-0.04)</f>
        <v>214.77119999999999</v>
      </c>
      <c r="Y357" s="70"/>
      <c r="Z357" s="70">
        <f ca="1">('TUSD BE'!$AM$11+'TUSD BF'!$AM$11+'TUSD CVA'!$AM$11)*1*(1-0.02)</f>
        <v>2326.2024462524073</v>
      </c>
      <c r="AA357" s="70">
        <f>('TE BE'!$AA$5+'TE BF'!$AA$5+'TE CVA'!$AA$5)*1*(1-0.02)</f>
        <v>213.27681122210436</v>
      </c>
      <c r="AB357" s="6">
        <f>$K$357*$V$357</f>
        <v>0</v>
      </c>
      <c r="AC357" s="6">
        <f>$M$357*$W$357</f>
        <v>32825.893900799994</v>
      </c>
      <c r="AD357" s="6">
        <f>$O$357*$X$357</f>
        <v>3244.3337471999998</v>
      </c>
      <c r="AE357" s="6">
        <f>$K$357*$Y$357</f>
        <v>0</v>
      </c>
      <c r="AF357" s="6">
        <f ca="1">$M$357*$Z$357</f>
        <v>35139.614153088864</v>
      </c>
      <c r="AG357" s="6">
        <f>$O$357*$AA$357</f>
        <v>3221.7595103211083</v>
      </c>
    </row>
    <row r="358" spans="1:33" ht="11.25" customHeight="1" x14ac:dyDescent="0.25">
      <c r="A358" s="4" t="s">
        <v>21</v>
      </c>
      <c r="B358" s="4" t="s">
        <v>33</v>
      </c>
      <c r="C358" s="4" t="s">
        <v>34</v>
      </c>
      <c r="D358" s="4" t="s">
        <v>41</v>
      </c>
      <c r="E358" s="4" t="s">
        <v>25</v>
      </c>
      <c r="F358" s="4" t="s">
        <v>25</v>
      </c>
      <c r="G358" s="4" t="s">
        <v>25</v>
      </c>
      <c r="H358" s="4" t="s">
        <v>35</v>
      </c>
      <c r="I358" s="5">
        <v>44440</v>
      </c>
      <c r="J358" s="6">
        <v>0</v>
      </c>
      <c r="K358" s="70">
        <v>0</v>
      </c>
      <c r="L358" s="6">
        <v>13.499000000000001</v>
      </c>
      <c r="M358" s="70">
        <v>13.499000000000001</v>
      </c>
      <c r="N358" s="6">
        <v>13.499000000000001</v>
      </c>
      <c r="O358" s="70">
        <v>13.499000000000001</v>
      </c>
      <c r="P358" s="6">
        <v>0</v>
      </c>
      <c r="Q358" s="4" t="s">
        <v>26</v>
      </c>
      <c r="R358" s="4">
        <v>0</v>
      </c>
      <c r="S358" s="6">
        <v>0</v>
      </c>
      <c r="T358" s="6">
        <v>66</v>
      </c>
      <c r="U358" s="6">
        <v>6</v>
      </c>
      <c r="V358" s="70">
        <f>IF(ISERROR(VLOOKUP($S$358,'TAR FIN'!$A$1:$O$85,15,0)),0,VLOOKUP($S$358,'TAR FIN'!$A$1:$O$85,15,0))</f>
        <v>0</v>
      </c>
      <c r="W358" s="70">
        <f>IF(ISERROR(VLOOKUP($T$358,'TAR FIN'!$A$1:$O$85,15,0)),0,VLOOKUP($T$358,'TAR FIN'!$A$1:$O$85,15,0))*(1-0.04)</f>
        <v>2173.0367999999999</v>
      </c>
      <c r="X358" s="70">
        <f>IF(ISERROR(VLOOKUP($U$358,'TAR FIN'!$A$1:$O$85,15,0)),0,VLOOKUP($U$358,'TAR FIN'!$A$1:$O$85,15,0))*(1-0.04)</f>
        <v>214.77119999999999</v>
      </c>
      <c r="Y358" s="70"/>
      <c r="Z358" s="70">
        <f ca="1">('TUSD BE'!$AM$11+'TUSD BF'!$AM$11+'TUSD CVA'!$AM$11)*1*(1-0.02)</f>
        <v>2326.2024462524073</v>
      </c>
      <c r="AA358" s="70">
        <f>('TE BE'!$AA$5+'TE BF'!$AA$5+'TE CVA'!$AA$5)*1*(1-0.02)</f>
        <v>213.27681122210436</v>
      </c>
      <c r="AB358" s="6">
        <f>$K$358*$V$358</f>
        <v>0</v>
      </c>
      <c r="AC358" s="6">
        <f>$M$358*$W$358</f>
        <v>29333.823763199998</v>
      </c>
      <c r="AD358" s="6">
        <f>$O$358*$X$358</f>
        <v>2899.1964287999999</v>
      </c>
      <c r="AE358" s="6">
        <f>$K$358*$Y$358</f>
        <v>0</v>
      </c>
      <c r="AF358" s="6">
        <f ca="1">$M$358*$Z$358</f>
        <v>31401.406821961249</v>
      </c>
      <c r="AG358" s="6">
        <f>$O$358*$AA$358</f>
        <v>2879.0236746871869</v>
      </c>
    </row>
    <row r="359" spans="1:33" ht="11.25" customHeight="1" x14ac:dyDescent="0.25">
      <c r="A359" s="4" t="s">
        <v>21</v>
      </c>
      <c r="B359" s="4" t="s">
        <v>33</v>
      </c>
      <c r="C359" s="4" t="s">
        <v>34</v>
      </c>
      <c r="D359" s="4" t="s">
        <v>41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44470</v>
      </c>
      <c r="J359" s="6">
        <v>0</v>
      </c>
      <c r="K359" s="70">
        <v>0</v>
      </c>
      <c r="L359" s="6">
        <v>11.019</v>
      </c>
      <c r="M359" s="70">
        <v>11.019</v>
      </c>
      <c r="N359" s="6">
        <v>11.019</v>
      </c>
      <c r="O359" s="70">
        <v>11.019</v>
      </c>
      <c r="P359" s="6">
        <v>0</v>
      </c>
      <c r="Q359" s="4" t="s">
        <v>26</v>
      </c>
      <c r="R359" s="4">
        <v>0</v>
      </c>
      <c r="S359" s="6">
        <v>0</v>
      </c>
      <c r="T359" s="6">
        <v>66</v>
      </c>
      <c r="U359" s="6">
        <v>6</v>
      </c>
      <c r="V359" s="70">
        <f>IF(ISERROR(VLOOKUP($S$359,'TAR FIN'!$A$1:$O$85,15,0)),0,VLOOKUP($S$359,'TAR FIN'!$A$1:$O$85,15,0))</f>
        <v>0</v>
      </c>
      <c r="W359" s="70">
        <f>IF(ISERROR(VLOOKUP($T$359,'TAR FIN'!$A$1:$O$85,15,0)),0,VLOOKUP($T$359,'TAR FIN'!$A$1:$O$85,15,0))*(1-0.04)</f>
        <v>2173.0367999999999</v>
      </c>
      <c r="X359" s="70">
        <f>IF(ISERROR(VLOOKUP($U$359,'TAR FIN'!$A$1:$O$85,15,0)),0,VLOOKUP($U$359,'TAR FIN'!$A$1:$O$85,15,0))*(1-0.04)</f>
        <v>214.77119999999999</v>
      </c>
      <c r="Y359" s="70"/>
      <c r="Z359" s="70">
        <f ca="1">('TUSD BE'!$AM$11+'TUSD BF'!$AM$11+'TUSD CVA'!$AM$11)*1*(1-0.02)</f>
        <v>2326.2024462524073</v>
      </c>
      <c r="AA359" s="70">
        <f>('TE BE'!$AA$5+'TE BF'!$AA$5+'TE CVA'!$AA$5)*1*(1-0.02)</f>
        <v>213.27681122210436</v>
      </c>
      <c r="AB359" s="6">
        <f>$K$359*$V$359</f>
        <v>0</v>
      </c>
      <c r="AC359" s="6">
        <f>$M$359*$W$359</f>
        <v>23944.692499199999</v>
      </c>
      <c r="AD359" s="6">
        <f>$O$359*$X$359</f>
        <v>2366.5638527999999</v>
      </c>
      <c r="AE359" s="6">
        <f>$K$359*$Y$359</f>
        <v>0</v>
      </c>
      <c r="AF359" s="6">
        <f ca="1">$M$359*$Z$359</f>
        <v>25632.424755255277</v>
      </c>
      <c r="AG359" s="6">
        <f>$O$359*$AA$359</f>
        <v>2350.0971828563679</v>
      </c>
    </row>
    <row r="360" spans="1:33" ht="11.25" customHeight="1" x14ac:dyDescent="0.25">
      <c r="A360" s="4" t="s">
        <v>21</v>
      </c>
      <c r="B360" s="4" t="s">
        <v>33</v>
      </c>
      <c r="C360" s="4" t="s">
        <v>34</v>
      </c>
      <c r="D360" s="4" t="s">
        <v>41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44501</v>
      </c>
      <c r="J360" s="6">
        <v>0</v>
      </c>
      <c r="K360" s="70">
        <v>0</v>
      </c>
      <c r="L360" s="6">
        <v>14.958</v>
      </c>
      <c r="M360" s="70">
        <v>14.958</v>
      </c>
      <c r="N360" s="6">
        <v>14.958</v>
      </c>
      <c r="O360" s="70">
        <v>14.958</v>
      </c>
      <c r="P360" s="6">
        <v>0</v>
      </c>
      <c r="Q360" s="4" t="s">
        <v>26</v>
      </c>
      <c r="R360" s="4">
        <v>0</v>
      </c>
      <c r="S360" s="6">
        <v>0</v>
      </c>
      <c r="T360" s="6">
        <v>66</v>
      </c>
      <c r="U360" s="6">
        <v>6</v>
      </c>
      <c r="V360" s="70">
        <f>IF(ISERROR(VLOOKUP($S$360,'TAR FIN'!$A$1:$O$85,15,0)),0,VLOOKUP($S$360,'TAR FIN'!$A$1:$O$85,15,0))</f>
        <v>0</v>
      </c>
      <c r="W360" s="70">
        <f>IF(ISERROR(VLOOKUP($T$360,'TAR FIN'!$A$1:$O$85,15,0)),0,VLOOKUP($T$360,'TAR FIN'!$A$1:$O$85,15,0))*(1-0.04)</f>
        <v>2173.0367999999999</v>
      </c>
      <c r="X360" s="70">
        <f>IF(ISERROR(VLOOKUP($U$360,'TAR FIN'!$A$1:$O$85,15,0)),0,VLOOKUP($U$360,'TAR FIN'!$A$1:$O$85,15,0))*(1-0.04)</f>
        <v>214.77119999999999</v>
      </c>
      <c r="Y360" s="70"/>
      <c r="Z360" s="70">
        <f ca="1">('TUSD BE'!$AM$11+'TUSD BF'!$AM$11+'TUSD CVA'!$AM$11)*1*(1-0.02)</f>
        <v>2326.2024462524073</v>
      </c>
      <c r="AA360" s="70">
        <f>('TE BE'!$AA$5+'TE BF'!$AA$5+'TE CVA'!$AA$5)*1*(1-0.02)</f>
        <v>213.27681122210436</v>
      </c>
      <c r="AB360" s="6">
        <f>$K$360*$V$360</f>
        <v>0</v>
      </c>
      <c r="AC360" s="6">
        <f>$M$360*$W$360</f>
        <v>32504.2844544</v>
      </c>
      <c r="AD360" s="6">
        <f>$O$360*$X$360</f>
        <v>3212.5476095999998</v>
      </c>
      <c r="AE360" s="6">
        <f>$K$360*$Y$360</f>
        <v>0</v>
      </c>
      <c r="AF360" s="6">
        <f ca="1">$M$360*$Z$360</f>
        <v>34795.336191043512</v>
      </c>
      <c r="AG360" s="6">
        <f>$O$360*$AA$360</f>
        <v>3190.1945422602371</v>
      </c>
    </row>
    <row r="361" spans="1:33" ht="11.25" customHeight="1" x14ac:dyDescent="0.25">
      <c r="A361" s="4" t="s">
        <v>21</v>
      </c>
      <c r="B361" s="4" t="s">
        <v>33</v>
      </c>
      <c r="C361" s="4" t="s">
        <v>34</v>
      </c>
      <c r="D361" s="4" t="s">
        <v>41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44531</v>
      </c>
      <c r="J361" s="6">
        <v>0</v>
      </c>
      <c r="K361" s="70">
        <v>0</v>
      </c>
      <c r="L361" s="6">
        <v>15.686</v>
      </c>
      <c r="M361" s="70">
        <v>15.686</v>
      </c>
      <c r="N361" s="6">
        <v>15.686</v>
      </c>
      <c r="O361" s="70">
        <v>15.686</v>
      </c>
      <c r="P361" s="6">
        <v>0</v>
      </c>
      <c r="Q361" s="4" t="s">
        <v>26</v>
      </c>
      <c r="R361" s="4">
        <v>0</v>
      </c>
      <c r="S361" s="6">
        <v>0</v>
      </c>
      <c r="T361" s="6">
        <v>66</v>
      </c>
      <c r="U361" s="6">
        <v>6</v>
      </c>
      <c r="V361" s="70">
        <f>IF(ISERROR(VLOOKUP($S$361,'TAR FIN'!$A$1:$O$85,15,0)),0,VLOOKUP($S$361,'TAR FIN'!$A$1:$O$85,15,0))</f>
        <v>0</v>
      </c>
      <c r="W361" s="70">
        <f>IF(ISERROR(VLOOKUP($T$361,'TAR FIN'!$A$1:$O$85,15,0)),0,VLOOKUP($T$361,'TAR FIN'!$A$1:$O$85,15,0))*(1-0.04)</f>
        <v>2173.0367999999999</v>
      </c>
      <c r="X361" s="70">
        <f>IF(ISERROR(VLOOKUP($U$361,'TAR FIN'!$A$1:$O$85,15,0)),0,VLOOKUP($U$361,'TAR FIN'!$A$1:$O$85,15,0))*(1-0.04)</f>
        <v>214.77119999999999</v>
      </c>
      <c r="Y361" s="70"/>
      <c r="Z361" s="70">
        <f ca="1">('TUSD BE'!$AM$11+'TUSD BF'!$AM$11+'TUSD CVA'!$AM$11)*1*(1-0.02)</f>
        <v>2326.2024462524073</v>
      </c>
      <c r="AA361" s="70">
        <f>('TE BE'!$AA$5+'TE BF'!$AA$5+'TE CVA'!$AA$5)*1*(1-0.02)</f>
        <v>213.27681122210436</v>
      </c>
      <c r="AB361" s="6">
        <f>$K$361*$V$361</f>
        <v>0</v>
      </c>
      <c r="AC361" s="6">
        <f>$M$361*$W$361</f>
        <v>34086.255244799999</v>
      </c>
      <c r="AD361" s="6">
        <f>$O$361*$X$361</f>
        <v>3368.9010432</v>
      </c>
      <c r="AE361" s="6">
        <f>$K$361*$Y$361</f>
        <v>0</v>
      </c>
      <c r="AF361" s="6">
        <f ca="1">$M$361*$Z$361</f>
        <v>36488.811571915263</v>
      </c>
      <c r="AG361" s="6">
        <f>$O$361*$AA$361</f>
        <v>3345.4600608299288</v>
      </c>
    </row>
    <row r="362" spans="1:33" ht="11.25" customHeight="1" x14ac:dyDescent="0.25">
      <c r="A362" s="4" t="s">
        <v>21</v>
      </c>
      <c r="B362" s="4" t="s">
        <v>33</v>
      </c>
      <c r="C362" s="4" t="s">
        <v>34</v>
      </c>
      <c r="D362" s="4" t="s">
        <v>41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44562</v>
      </c>
      <c r="J362" s="6">
        <v>0</v>
      </c>
      <c r="K362" s="70">
        <v>0</v>
      </c>
      <c r="L362" s="6">
        <v>16.434999999999999</v>
      </c>
      <c r="M362" s="70">
        <v>16.434999999999999</v>
      </c>
      <c r="N362" s="6">
        <v>16.434999999999999</v>
      </c>
      <c r="O362" s="70">
        <v>16.434999999999999</v>
      </c>
      <c r="P362" s="6">
        <v>0</v>
      </c>
      <c r="Q362" s="4" t="s">
        <v>26</v>
      </c>
      <c r="R362" s="4">
        <v>0</v>
      </c>
      <c r="S362" s="6">
        <v>0</v>
      </c>
      <c r="T362" s="6">
        <v>66</v>
      </c>
      <c r="U362" s="6">
        <v>6</v>
      </c>
      <c r="V362" s="70">
        <f>IF(ISERROR(VLOOKUP($S$362,'TAR FIN'!$A$1:$O$85,15,0)),0,VLOOKUP($S$362,'TAR FIN'!$A$1:$O$85,15,0))</f>
        <v>0</v>
      </c>
      <c r="W362" s="70">
        <f>IF(ISERROR(VLOOKUP($T$362,'TAR FIN'!$A$1:$O$85,15,0)),0,VLOOKUP($T$362,'TAR FIN'!$A$1:$O$85,15,0))*(1-0.04)</f>
        <v>2173.0367999999999</v>
      </c>
      <c r="X362" s="70">
        <f>IF(ISERROR(VLOOKUP($U$362,'TAR FIN'!$A$1:$O$85,15,0)),0,VLOOKUP($U$362,'TAR FIN'!$A$1:$O$85,15,0))*(1-0.04)</f>
        <v>214.77119999999999</v>
      </c>
      <c r="Y362" s="70"/>
      <c r="Z362" s="70">
        <f ca="1">('TUSD BE'!$AM$11+'TUSD BF'!$AM$11+'TUSD CVA'!$AM$11)*1*(1-0.02)</f>
        <v>2326.2024462524073</v>
      </c>
      <c r="AA362" s="70">
        <f>('TE BE'!$AA$5+'TE BF'!$AA$5+'TE CVA'!$AA$5)*1*(1-0.02)</f>
        <v>213.27681122210436</v>
      </c>
      <c r="AB362" s="6">
        <f>$K$362*$V$362</f>
        <v>0</v>
      </c>
      <c r="AC362" s="6">
        <f>$M$362*$W$362</f>
        <v>35713.859807999994</v>
      </c>
      <c r="AD362" s="6">
        <f>$O$362*$X$362</f>
        <v>3529.7646719999998</v>
      </c>
      <c r="AE362" s="6">
        <f>$K$362*$Y$362</f>
        <v>0</v>
      </c>
      <c r="AF362" s="6">
        <f ca="1">$M$362*$Z$362</f>
        <v>38231.137204158309</v>
      </c>
      <c r="AG362" s="6">
        <f>$O$362*$AA$362</f>
        <v>3505.2043924352847</v>
      </c>
    </row>
    <row r="363" spans="1:33" ht="11.25" customHeight="1" x14ac:dyDescent="0.25">
      <c r="A363" s="4" t="s">
        <v>21</v>
      </c>
      <c r="B363" s="4" t="s">
        <v>33</v>
      </c>
      <c r="C363" s="4" t="s">
        <v>34</v>
      </c>
      <c r="D363" s="4" t="s">
        <v>41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44593</v>
      </c>
      <c r="J363" s="6">
        <v>0</v>
      </c>
      <c r="K363" s="70">
        <v>0</v>
      </c>
      <c r="L363" s="6">
        <v>25.297999999999998</v>
      </c>
      <c r="M363" s="70">
        <v>25.297999999999998</v>
      </c>
      <c r="N363" s="6">
        <v>25.297999999999998</v>
      </c>
      <c r="O363" s="70">
        <v>25.297999999999998</v>
      </c>
      <c r="P363" s="6">
        <v>0</v>
      </c>
      <c r="Q363" s="4" t="s">
        <v>26</v>
      </c>
      <c r="R363" s="4">
        <v>0</v>
      </c>
      <c r="S363" s="6">
        <v>0</v>
      </c>
      <c r="T363" s="6">
        <v>66</v>
      </c>
      <c r="U363" s="6">
        <v>6</v>
      </c>
      <c r="V363" s="70">
        <f>IF(ISERROR(VLOOKUP($S$363,'TAR FIN'!$A$1:$O$85,15,0)),0,VLOOKUP($S$363,'TAR FIN'!$A$1:$O$85,15,0))</f>
        <v>0</v>
      </c>
      <c r="W363" s="70">
        <f>IF(ISERROR(VLOOKUP($T$363,'TAR FIN'!$A$1:$O$85,15,0)),0,VLOOKUP($T$363,'TAR FIN'!$A$1:$O$85,15,0))*(1-0.04)</f>
        <v>2173.0367999999999</v>
      </c>
      <c r="X363" s="70">
        <f>IF(ISERROR(VLOOKUP($U$363,'TAR FIN'!$A$1:$O$85,15,0)),0,VLOOKUP($U$363,'TAR FIN'!$A$1:$O$85,15,0))*(1-0.04)</f>
        <v>214.77119999999999</v>
      </c>
      <c r="Y363" s="70"/>
      <c r="Z363" s="70">
        <f ca="1">('TUSD BE'!$AM$11+'TUSD BF'!$AM$11+'TUSD CVA'!$AM$11)*1*(1-0.02)</f>
        <v>2326.2024462524073</v>
      </c>
      <c r="AA363" s="70">
        <f>('TE BE'!$AA$5+'TE BF'!$AA$5+'TE CVA'!$AA$5)*1*(1-0.02)</f>
        <v>213.27681122210436</v>
      </c>
      <c r="AB363" s="6">
        <f>$K$363*$V$363</f>
        <v>0</v>
      </c>
      <c r="AC363" s="6">
        <f>$M$363*$W$363</f>
        <v>54973.484966399992</v>
      </c>
      <c r="AD363" s="6">
        <f>$O$363*$X$363</f>
        <v>5433.2818175999992</v>
      </c>
      <c r="AE363" s="6">
        <f>$K$363*$Y$363</f>
        <v>0</v>
      </c>
      <c r="AF363" s="6">
        <f ca="1">$M$363*$Z$363</f>
        <v>58848.269485293393</v>
      </c>
      <c r="AG363" s="6">
        <f>$O$363*$AA$363</f>
        <v>5395.4767702967956</v>
      </c>
    </row>
    <row r="364" spans="1:33" ht="11.25" customHeight="1" x14ac:dyDescent="0.25">
      <c r="A364" s="4" t="s">
        <v>54</v>
      </c>
      <c r="B364" s="4" t="s">
        <v>33</v>
      </c>
      <c r="C364" s="4" t="s">
        <v>34</v>
      </c>
      <c r="D364" s="4" t="s">
        <v>41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44621</v>
      </c>
      <c r="J364" s="6">
        <v>0</v>
      </c>
      <c r="K364" s="70">
        <v>0</v>
      </c>
      <c r="L364" s="6">
        <v>25.297999999999998</v>
      </c>
      <c r="M364" s="70">
        <v>25.297999999999998</v>
      </c>
      <c r="N364" s="6">
        <v>25.297999999999998</v>
      </c>
      <c r="O364" s="70">
        <v>25.297999999999998</v>
      </c>
      <c r="P364" s="6">
        <v>0</v>
      </c>
      <c r="Q364" s="4" t="s">
        <v>26</v>
      </c>
      <c r="R364" s="4">
        <v>0</v>
      </c>
      <c r="S364" s="6">
        <v>0</v>
      </c>
      <c r="T364" s="6">
        <v>66</v>
      </c>
      <c r="U364" s="6">
        <v>6</v>
      </c>
      <c r="V364" s="70">
        <f>IF(ISERROR(VLOOKUP($S$364,'TAR FIN'!$A$1:$O$85,15,0)),0,VLOOKUP($S$364,'TAR FIN'!$A$1:$O$85,15,0))</f>
        <v>0</v>
      </c>
      <c r="W364" s="70">
        <f>IF(ISERROR(VLOOKUP($T$364,'TAR FIN'!$A$1:$O$85,15,0)),0,VLOOKUP($T$364,'TAR FIN'!$A$1:$O$85,15,0))*(1-0.04)</f>
        <v>2173.0367999999999</v>
      </c>
      <c r="X364" s="70">
        <f>IF(ISERROR(VLOOKUP($U$364,'TAR FIN'!$A$1:$O$85,15,0)),0,VLOOKUP($U$364,'TAR FIN'!$A$1:$O$85,15,0))*(1-0.04)</f>
        <v>214.77119999999999</v>
      </c>
      <c r="Y364" s="70"/>
      <c r="Z364" s="70">
        <f ca="1">('TUSD BE'!$AM$11+'TUSD BF'!$AM$11+'TUSD CVA'!$AM$11)*1*(1-0.02)</f>
        <v>2326.2024462524073</v>
      </c>
      <c r="AA364" s="70">
        <f>('TE BE'!$AA$5+'TE BF'!$AA$5+'TE CVA'!$AA$5)*1*(1-0.02)</f>
        <v>213.27681122210436</v>
      </c>
      <c r="AB364" s="6">
        <f>$K$364*$V$364</f>
        <v>0</v>
      </c>
      <c r="AC364" s="6">
        <f>$M$364*$W$364</f>
        <v>54973.484966399992</v>
      </c>
      <c r="AD364" s="6">
        <f>$O$364*$X$364</f>
        <v>5433.2818175999992</v>
      </c>
      <c r="AE364" s="6">
        <f>$K$364*$Y$364</f>
        <v>0</v>
      </c>
      <c r="AF364" s="6">
        <f ca="1">$M$364*$Z$364</f>
        <v>58848.269485293393</v>
      </c>
      <c r="AG364" s="6">
        <f>$O$364*$AA$364</f>
        <v>5395.4767702967956</v>
      </c>
    </row>
    <row r="365" spans="1:33" ht="11.25" customHeight="1" x14ac:dyDescent="0.25">
      <c r="A365" s="4" t="s">
        <v>21</v>
      </c>
      <c r="B365" s="4" t="s">
        <v>33</v>
      </c>
      <c r="C365" s="4" t="s">
        <v>34</v>
      </c>
      <c r="D365" s="4" t="s">
        <v>48</v>
      </c>
      <c r="E365" s="4" t="s">
        <v>49</v>
      </c>
      <c r="F365" s="4" t="s">
        <v>25</v>
      </c>
      <c r="G365" s="4" t="s">
        <v>25</v>
      </c>
      <c r="H365" s="4" t="s">
        <v>36</v>
      </c>
      <c r="I365" s="5">
        <v>44287</v>
      </c>
      <c r="J365" s="6">
        <v>0</v>
      </c>
      <c r="K365" s="70">
        <v>0</v>
      </c>
      <c r="L365" s="6">
        <v>130.72300000000001</v>
      </c>
      <c r="M365" s="70">
        <v>130.72300000000001</v>
      </c>
      <c r="N365" s="6">
        <v>130.72300000000001</v>
      </c>
      <c r="O365" s="70">
        <v>130.72300000000001</v>
      </c>
      <c r="P365" s="6">
        <v>0</v>
      </c>
      <c r="Q365" s="4" t="s">
        <v>26</v>
      </c>
      <c r="R365" s="4">
        <v>0</v>
      </c>
      <c r="S365" s="6">
        <v>0</v>
      </c>
      <c r="T365" s="6">
        <v>47</v>
      </c>
      <c r="U365" s="6">
        <v>27</v>
      </c>
      <c r="V365" s="70">
        <f>IF(ISERROR(VLOOKUP($S$365,'TAR FIN'!$A$1:$O$85,15,0)),0,VLOOKUP($S$365,'TAR FIN'!$A$1:$O$85,15,0))</f>
        <v>0</v>
      </c>
      <c r="W365" s="70">
        <f>IF(ISERROR(VLOOKUP($T$365,'TAR FIN'!$A$1:$O$85,15,0)),0,VLOOKUP($T$365,'TAR FIN'!$A$1:$O$85,15,0))*(1-0.06)</f>
        <v>67.896199999999993</v>
      </c>
      <c r="X365" s="70">
        <f>IF(ISERROR(VLOOKUP($U$365,'TAR FIN'!$A$1:$O$85,15,0)),0,VLOOKUP($U$365,'TAR FIN'!$A$1:$O$85,15,0))*(1-0.06)</f>
        <v>210.29679999999999</v>
      </c>
      <c r="Y365" s="70"/>
      <c r="Z365" s="70">
        <f ca="1">('TUSD BE'!$AM$12+'TUSD BF'!$AM$12+'TUSD CVA'!$AM$12)*1*(1-0.03)</f>
        <v>100.20590740050056</v>
      </c>
      <c r="AA365" s="70">
        <f>('TE BE'!$AA$6+'TE BF'!$AA$6+'TE CVA'!$AA$6)*1*(1-0.03)</f>
        <v>211.10051723004204</v>
      </c>
      <c r="AB365" s="6">
        <f>$K$365*$V$365</f>
        <v>0</v>
      </c>
      <c r="AC365" s="6">
        <f>$M$365*$W$365</f>
        <v>8875.5949526000004</v>
      </c>
      <c r="AD365" s="6">
        <f>$O$365*$X$365</f>
        <v>27490.628586400002</v>
      </c>
      <c r="AE365" s="6">
        <f>$K$365*$Y$365</f>
        <v>0</v>
      </c>
      <c r="AF365" s="6">
        <f ca="1">$M$365*$Z$365</f>
        <v>13099.216833115637</v>
      </c>
      <c r="AG365" s="6">
        <f>$O$365*$AA$365</f>
        <v>27595.692913862789</v>
      </c>
    </row>
    <row r="366" spans="1:33" ht="11.25" customHeight="1" x14ac:dyDescent="0.25">
      <c r="A366" s="4" t="s">
        <v>21</v>
      </c>
      <c r="B366" s="4" t="s">
        <v>33</v>
      </c>
      <c r="C366" s="4" t="s">
        <v>34</v>
      </c>
      <c r="D366" s="4" t="s">
        <v>48</v>
      </c>
      <c r="E366" s="4" t="s">
        <v>49</v>
      </c>
      <c r="F366" s="4" t="s">
        <v>25</v>
      </c>
      <c r="G366" s="4" t="s">
        <v>25</v>
      </c>
      <c r="H366" s="4" t="s">
        <v>36</v>
      </c>
      <c r="I366" s="5">
        <v>44317</v>
      </c>
      <c r="J366" s="6">
        <v>0</v>
      </c>
      <c r="K366" s="70">
        <v>0</v>
      </c>
      <c r="L366" s="6">
        <v>120.06699999999999</v>
      </c>
      <c r="M366" s="70">
        <v>120.06699999999999</v>
      </c>
      <c r="N366" s="6">
        <v>120.06699999999999</v>
      </c>
      <c r="O366" s="70">
        <v>120.06699999999999</v>
      </c>
      <c r="P366" s="6">
        <v>0</v>
      </c>
      <c r="Q366" s="4" t="s">
        <v>26</v>
      </c>
      <c r="R366" s="4">
        <v>0</v>
      </c>
      <c r="S366" s="6">
        <v>0</v>
      </c>
      <c r="T366" s="6">
        <v>47</v>
      </c>
      <c r="U366" s="6">
        <v>27</v>
      </c>
      <c r="V366" s="70">
        <f>IF(ISERROR(VLOOKUP($S$366,'TAR FIN'!$A$1:$O$85,15,0)),0,VLOOKUP($S$366,'TAR FIN'!$A$1:$O$85,15,0))</f>
        <v>0</v>
      </c>
      <c r="W366" s="70">
        <f>IF(ISERROR(VLOOKUP($T$366,'TAR FIN'!$A$1:$O$85,15,0)),0,VLOOKUP($T$366,'TAR FIN'!$A$1:$O$85,15,0))*(1-0.06)</f>
        <v>67.896199999999993</v>
      </c>
      <c r="X366" s="70">
        <f>IF(ISERROR(VLOOKUP($U$366,'TAR FIN'!$A$1:$O$85,15,0)),0,VLOOKUP($U$366,'TAR FIN'!$A$1:$O$85,15,0))*(1-0.06)</f>
        <v>210.29679999999999</v>
      </c>
      <c r="Y366" s="70"/>
      <c r="Z366" s="70">
        <f ca="1">('TUSD BE'!$AM$12+'TUSD BF'!$AM$12+'TUSD CVA'!$AM$12)*1*(1-0.03)</f>
        <v>100.20590740050056</v>
      </c>
      <c r="AA366" s="70">
        <f>('TE BE'!$AA$6+'TE BF'!$AA$6+'TE CVA'!$AA$6)*1*(1-0.03)</f>
        <v>211.10051723004204</v>
      </c>
      <c r="AB366" s="6">
        <f>$K$366*$V$366</f>
        <v>0</v>
      </c>
      <c r="AC366" s="6">
        <f>$M$366*$W$366</f>
        <v>8152.093045399999</v>
      </c>
      <c r="AD366" s="6">
        <f>$O$366*$X$366</f>
        <v>25249.705885599997</v>
      </c>
      <c r="AE366" s="6">
        <f>$K$366*$Y$366</f>
        <v>0</v>
      </c>
      <c r="AF366" s="6">
        <f ca="1">$M$366*$Z$366</f>
        <v>12031.422683855901</v>
      </c>
      <c r="AG366" s="6">
        <f>$O$366*$AA$366</f>
        <v>25346.205802259457</v>
      </c>
    </row>
    <row r="367" spans="1:33" ht="11.25" customHeight="1" x14ac:dyDescent="0.25">
      <c r="A367" s="4" t="s">
        <v>21</v>
      </c>
      <c r="B367" s="4" t="s">
        <v>33</v>
      </c>
      <c r="C367" s="4" t="s">
        <v>34</v>
      </c>
      <c r="D367" s="4" t="s">
        <v>48</v>
      </c>
      <c r="E367" s="4" t="s">
        <v>49</v>
      </c>
      <c r="F367" s="4" t="s">
        <v>25</v>
      </c>
      <c r="G367" s="4" t="s">
        <v>25</v>
      </c>
      <c r="H367" s="4" t="s">
        <v>36</v>
      </c>
      <c r="I367" s="5">
        <v>44348</v>
      </c>
      <c r="J367" s="6">
        <v>0</v>
      </c>
      <c r="K367" s="70">
        <v>0</v>
      </c>
      <c r="L367" s="6">
        <v>116.58799999999999</v>
      </c>
      <c r="M367" s="70">
        <v>116.58799999999999</v>
      </c>
      <c r="N367" s="6">
        <v>116.58799999999999</v>
      </c>
      <c r="O367" s="70">
        <v>116.58799999999999</v>
      </c>
      <c r="P367" s="6">
        <v>0</v>
      </c>
      <c r="Q367" s="4" t="s">
        <v>26</v>
      </c>
      <c r="R367" s="4">
        <v>0</v>
      </c>
      <c r="S367" s="6">
        <v>0</v>
      </c>
      <c r="T367" s="6">
        <v>47</v>
      </c>
      <c r="U367" s="6">
        <v>27</v>
      </c>
      <c r="V367" s="70">
        <f>IF(ISERROR(VLOOKUP($S$367,'TAR FIN'!$A$1:$O$85,15,0)),0,VLOOKUP($S$367,'TAR FIN'!$A$1:$O$85,15,0))</f>
        <v>0</v>
      </c>
      <c r="W367" s="70">
        <f>IF(ISERROR(VLOOKUP($T$367,'TAR FIN'!$A$1:$O$85,15,0)),0,VLOOKUP($T$367,'TAR FIN'!$A$1:$O$85,15,0))*(1-0.06)</f>
        <v>67.896199999999993</v>
      </c>
      <c r="X367" s="70">
        <f>IF(ISERROR(VLOOKUP($U$367,'TAR FIN'!$A$1:$O$85,15,0)),0,VLOOKUP($U$367,'TAR FIN'!$A$1:$O$85,15,0))*(1-0.06)</f>
        <v>210.29679999999999</v>
      </c>
      <c r="Y367" s="70"/>
      <c r="Z367" s="70">
        <f ca="1">('TUSD BE'!$AM$12+'TUSD BF'!$AM$12+'TUSD CVA'!$AM$12)*1*(1-0.03)</f>
        <v>100.20590740050056</v>
      </c>
      <c r="AA367" s="70">
        <f>('TE BE'!$AA$6+'TE BF'!$AA$6+'TE CVA'!$AA$6)*1*(1-0.03)</f>
        <v>211.10051723004204</v>
      </c>
      <c r="AB367" s="6">
        <f>$K$367*$V$367</f>
        <v>0</v>
      </c>
      <c r="AC367" s="6">
        <f>$M$367*$W$367</f>
        <v>7915.8821655999991</v>
      </c>
      <c r="AD367" s="6">
        <f>$O$367*$X$367</f>
        <v>24518.083318399997</v>
      </c>
      <c r="AE367" s="6">
        <f>$K$367*$Y$367</f>
        <v>0</v>
      </c>
      <c r="AF367" s="6">
        <f ca="1">$M$367*$Z$367</f>
        <v>11682.806332009559</v>
      </c>
      <c r="AG367" s="6">
        <f>$O$367*$AA$367</f>
        <v>24611.787102816139</v>
      </c>
    </row>
    <row r="368" spans="1:33" ht="11.25" customHeight="1" x14ac:dyDescent="0.25">
      <c r="A368" s="4" t="s">
        <v>21</v>
      </c>
      <c r="B368" s="4" t="s">
        <v>33</v>
      </c>
      <c r="C368" s="4" t="s">
        <v>34</v>
      </c>
      <c r="D368" s="4" t="s">
        <v>48</v>
      </c>
      <c r="E368" s="4" t="s">
        <v>49</v>
      </c>
      <c r="F368" s="4" t="s">
        <v>25</v>
      </c>
      <c r="G368" s="4" t="s">
        <v>25</v>
      </c>
      <c r="H368" s="4" t="s">
        <v>36</v>
      </c>
      <c r="I368" s="5">
        <v>44378</v>
      </c>
      <c r="J368" s="6">
        <v>0</v>
      </c>
      <c r="K368" s="70">
        <v>0</v>
      </c>
      <c r="L368" s="6">
        <v>112.50700000000001</v>
      </c>
      <c r="M368" s="70">
        <v>112.50700000000001</v>
      </c>
      <c r="N368" s="6">
        <v>112.50700000000001</v>
      </c>
      <c r="O368" s="70">
        <v>112.50700000000001</v>
      </c>
      <c r="P368" s="6">
        <v>0</v>
      </c>
      <c r="Q368" s="4" t="s">
        <v>26</v>
      </c>
      <c r="R368" s="4">
        <v>0</v>
      </c>
      <c r="S368" s="6">
        <v>0</v>
      </c>
      <c r="T368" s="6">
        <v>47</v>
      </c>
      <c r="U368" s="6">
        <v>27</v>
      </c>
      <c r="V368" s="70">
        <f>IF(ISERROR(VLOOKUP($S$368,'TAR FIN'!$A$1:$O$85,15,0)),0,VLOOKUP($S$368,'TAR FIN'!$A$1:$O$85,15,0))</f>
        <v>0</v>
      </c>
      <c r="W368" s="70">
        <f>IF(ISERROR(VLOOKUP($T$368,'TAR FIN'!$A$1:$O$85,15,0)),0,VLOOKUP($T$368,'TAR FIN'!$A$1:$O$85,15,0))*(1-0.06)</f>
        <v>67.896199999999993</v>
      </c>
      <c r="X368" s="70">
        <f>IF(ISERROR(VLOOKUP($U$368,'TAR FIN'!$A$1:$O$85,15,0)),0,VLOOKUP($U$368,'TAR FIN'!$A$1:$O$85,15,0))*(1-0.06)</f>
        <v>210.29679999999999</v>
      </c>
      <c r="Y368" s="70"/>
      <c r="Z368" s="70">
        <f ca="1">('TUSD BE'!$AM$12+'TUSD BF'!$AM$12+'TUSD CVA'!$AM$12)*1*(1-0.03)</f>
        <v>100.20590740050056</v>
      </c>
      <c r="AA368" s="70">
        <f>('TE BE'!$AA$6+'TE BF'!$AA$6+'TE CVA'!$AA$6)*1*(1-0.03)</f>
        <v>211.10051723004204</v>
      </c>
      <c r="AB368" s="6">
        <f>$K$368*$V$368</f>
        <v>0</v>
      </c>
      <c r="AC368" s="6">
        <f>$M$368*$W$368</f>
        <v>7638.7977733999996</v>
      </c>
      <c r="AD368" s="6">
        <f>$O$368*$X$368</f>
        <v>23659.862077599999</v>
      </c>
      <c r="AE368" s="6">
        <f>$K$368*$Y$368</f>
        <v>0</v>
      </c>
      <c r="AF368" s="6">
        <f ca="1">$M$368*$Z$368</f>
        <v>11273.866023908118</v>
      </c>
      <c r="AG368" s="6">
        <f>$O$368*$AA$368</f>
        <v>23750.285892000342</v>
      </c>
    </row>
    <row r="369" spans="1:33" ht="11.25" customHeight="1" x14ac:dyDescent="0.25">
      <c r="A369" s="4" t="s">
        <v>21</v>
      </c>
      <c r="B369" s="4" t="s">
        <v>33</v>
      </c>
      <c r="C369" s="4" t="s">
        <v>34</v>
      </c>
      <c r="D369" s="4" t="s">
        <v>48</v>
      </c>
      <c r="E369" s="4" t="s">
        <v>49</v>
      </c>
      <c r="F369" s="4" t="s">
        <v>25</v>
      </c>
      <c r="G369" s="4" t="s">
        <v>25</v>
      </c>
      <c r="H369" s="4" t="s">
        <v>36</v>
      </c>
      <c r="I369" s="5">
        <v>44409</v>
      </c>
      <c r="J369" s="6">
        <v>0</v>
      </c>
      <c r="K369" s="70">
        <v>0</v>
      </c>
      <c r="L369" s="6">
        <v>112.31399999999999</v>
      </c>
      <c r="M369" s="70">
        <v>112.31399999999999</v>
      </c>
      <c r="N369" s="6">
        <v>112.31399999999999</v>
      </c>
      <c r="O369" s="70">
        <v>112.31399999999999</v>
      </c>
      <c r="P369" s="6">
        <v>0</v>
      </c>
      <c r="Q369" s="4" t="s">
        <v>26</v>
      </c>
      <c r="R369" s="4">
        <v>0</v>
      </c>
      <c r="S369" s="6">
        <v>0</v>
      </c>
      <c r="T369" s="6">
        <v>47</v>
      </c>
      <c r="U369" s="6">
        <v>27</v>
      </c>
      <c r="V369" s="70">
        <f>IF(ISERROR(VLOOKUP($S$369,'TAR FIN'!$A$1:$O$85,15,0)),0,VLOOKUP($S$369,'TAR FIN'!$A$1:$O$85,15,0))</f>
        <v>0</v>
      </c>
      <c r="W369" s="70">
        <f>IF(ISERROR(VLOOKUP($T$369,'TAR FIN'!$A$1:$O$85,15,0)),0,VLOOKUP($T$369,'TAR FIN'!$A$1:$O$85,15,0))*(1-0.06)</f>
        <v>67.896199999999993</v>
      </c>
      <c r="X369" s="70">
        <f>IF(ISERROR(VLOOKUP($U$369,'TAR FIN'!$A$1:$O$85,15,0)),0,VLOOKUP($U$369,'TAR FIN'!$A$1:$O$85,15,0))*(1-0.06)</f>
        <v>210.29679999999999</v>
      </c>
      <c r="Y369" s="70"/>
      <c r="Z369" s="70">
        <f ca="1">('TUSD BE'!$AM$12+'TUSD BF'!$AM$12+'TUSD CVA'!$AM$12)*1*(1-0.03)</f>
        <v>100.20590740050056</v>
      </c>
      <c r="AA369" s="70">
        <f>('TE BE'!$AA$6+'TE BF'!$AA$6+'TE CVA'!$AA$6)*1*(1-0.03)</f>
        <v>211.10051723004204</v>
      </c>
      <c r="AB369" s="6">
        <f>$K$369*$V$369</f>
        <v>0</v>
      </c>
      <c r="AC369" s="6">
        <f>$M$369*$W$369</f>
        <v>7625.693806799999</v>
      </c>
      <c r="AD369" s="6">
        <f>$O$369*$X$369</f>
        <v>23619.274795199999</v>
      </c>
      <c r="AE369" s="6">
        <f>$K$369*$Y$369</f>
        <v>0</v>
      </c>
      <c r="AF369" s="6">
        <f ca="1">$M$369*$Z$369</f>
        <v>11254.52628377982</v>
      </c>
      <c r="AG369" s="6">
        <f>$O$369*$AA$369</f>
        <v>23709.54349217494</v>
      </c>
    </row>
    <row r="370" spans="1:33" ht="11.25" customHeight="1" x14ac:dyDescent="0.25">
      <c r="A370" s="4" t="s">
        <v>21</v>
      </c>
      <c r="B370" s="4" t="s">
        <v>33</v>
      </c>
      <c r="C370" s="4" t="s">
        <v>34</v>
      </c>
      <c r="D370" s="4" t="s">
        <v>48</v>
      </c>
      <c r="E370" s="4" t="s">
        <v>49</v>
      </c>
      <c r="F370" s="4" t="s">
        <v>25</v>
      </c>
      <c r="G370" s="4" t="s">
        <v>25</v>
      </c>
      <c r="H370" s="4" t="s">
        <v>36</v>
      </c>
      <c r="I370" s="5">
        <v>44440</v>
      </c>
      <c r="J370" s="6">
        <v>0</v>
      </c>
      <c r="K370" s="70">
        <v>0</v>
      </c>
      <c r="L370" s="6">
        <v>116.23399999999999</v>
      </c>
      <c r="M370" s="70">
        <v>116.23399999999999</v>
      </c>
      <c r="N370" s="6">
        <v>116.23399999999999</v>
      </c>
      <c r="O370" s="70">
        <v>116.23399999999999</v>
      </c>
      <c r="P370" s="6">
        <v>0</v>
      </c>
      <c r="Q370" s="4" t="s">
        <v>26</v>
      </c>
      <c r="R370" s="4">
        <v>0</v>
      </c>
      <c r="S370" s="6">
        <v>0</v>
      </c>
      <c r="T370" s="6">
        <v>47</v>
      </c>
      <c r="U370" s="6">
        <v>27</v>
      </c>
      <c r="V370" s="70">
        <f>IF(ISERROR(VLOOKUP($S$370,'TAR FIN'!$A$1:$O$85,15,0)),0,VLOOKUP($S$370,'TAR FIN'!$A$1:$O$85,15,0))</f>
        <v>0</v>
      </c>
      <c r="W370" s="70">
        <f>IF(ISERROR(VLOOKUP($T$370,'TAR FIN'!$A$1:$O$85,15,0)),0,VLOOKUP($T$370,'TAR FIN'!$A$1:$O$85,15,0))*(1-0.06)</f>
        <v>67.896199999999993</v>
      </c>
      <c r="X370" s="70">
        <f>IF(ISERROR(VLOOKUP($U$370,'TAR FIN'!$A$1:$O$85,15,0)),0,VLOOKUP($U$370,'TAR FIN'!$A$1:$O$85,15,0))*(1-0.06)</f>
        <v>210.29679999999999</v>
      </c>
      <c r="Y370" s="70"/>
      <c r="Z370" s="70">
        <f ca="1">('TUSD BE'!$AM$12+'TUSD BF'!$AM$12+'TUSD CVA'!$AM$12)*1*(1-0.03)</f>
        <v>100.20590740050056</v>
      </c>
      <c r="AA370" s="70">
        <f>('TE BE'!$AA$6+'TE BF'!$AA$6+'TE CVA'!$AA$6)*1*(1-0.03)</f>
        <v>211.10051723004204</v>
      </c>
      <c r="AB370" s="6">
        <f>$K$370*$V$370</f>
        <v>0</v>
      </c>
      <c r="AC370" s="6">
        <f>$M$370*$W$370</f>
        <v>7891.846910799999</v>
      </c>
      <c r="AD370" s="6">
        <f>$O$370*$X$370</f>
        <v>24443.638251199998</v>
      </c>
      <c r="AE370" s="6">
        <f>$K$370*$Y$370</f>
        <v>0</v>
      </c>
      <c r="AF370" s="6">
        <f ca="1">$M$370*$Z$370</f>
        <v>11647.333440789782</v>
      </c>
      <c r="AG370" s="6">
        <f>$O$370*$AA$370</f>
        <v>24537.057519716705</v>
      </c>
    </row>
    <row r="371" spans="1:33" ht="11.25" customHeight="1" x14ac:dyDescent="0.25">
      <c r="A371" s="4" t="s">
        <v>21</v>
      </c>
      <c r="B371" s="4" t="s">
        <v>33</v>
      </c>
      <c r="C371" s="4" t="s">
        <v>34</v>
      </c>
      <c r="D371" s="4" t="s">
        <v>48</v>
      </c>
      <c r="E371" s="4" t="s">
        <v>49</v>
      </c>
      <c r="F371" s="4" t="s">
        <v>25</v>
      </c>
      <c r="G371" s="4" t="s">
        <v>25</v>
      </c>
      <c r="H371" s="4" t="s">
        <v>36</v>
      </c>
      <c r="I371" s="5">
        <v>44470</v>
      </c>
      <c r="J371" s="6">
        <v>0</v>
      </c>
      <c r="K371" s="70">
        <v>0</v>
      </c>
      <c r="L371" s="6">
        <v>113.712</v>
      </c>
      <c r="M371" s="70">
        <v>113.712</v>
      </c>
      <c r="N371" s="6">
        <v>113.712</v>
      </c>
      <c r="O371" s="70">
        <v>113.712</v>
      </c>
      <c r="P371" s="6">
        <v>0</v>
      </c>
      <c r="Q371" s="4" t="s">
        <v>26</v>
      </c>
      <c r="R371" s="4">
        <v>0</v>
      </c>
      <c r="S371" s="6">
        <v>0</v>
      </c>
      <c r="T371" s="6">
        <v>47</v>
      </c>
      <c r="U371" s="6">
        <v>27</v>
      </c>
      <c r="V371" s="70">
        <f>IF(ISERROR(VLOOKUP($S$371,'TAR FIN'!$A$1:$O$85,15,0)),0,VLOOKUP($S$371,'TAR FIN'!$A$1:$O$85,15,0))</f>
        <v>0</v>
      </c>
      <c r="W371" s="70">
        <f>IF(ISERROR(VLOOKUP($T$371,'TAR FIN'!$A$1:$O$85,15,0)),0,VLOOKUP($T$371,'TAR FIN'!$A$1:$O$85,15,0))*(1-0.06)</f>
        <v>67.896199999999993</v>
      </c>
      <c r="X371" s="70">
        <f>IF(ISERROR(VLOOKUP($U$371,'TAR FIN'!$A$1:$O$85,15,0)),0,VLOOKUP($U$371,'TAR FIN'!$A$1:$O$85,15,0))*(1-0.06)</f>
        <v>210.29679999999999</v>
      </c>
      <c r="Y371" s="70"/>
      <c r="Z371" s="70">
        <f ca="1">('TUSD BE'!$AM$12+'TUSD BF'!$AM$12+'TUSD CVA'!$AM$12)*1*(1-0.03)</f>
        <v>100.20590740050056</v>
      </c>
      <c r="AA371" s="70">
        <f>('TE BE'!$AA$6+'TE BF'!$AA$6+'TE CVA'!$AA$6)*1*(1-0.03)</f>
        <v>211.10051723004204</v>
      </c>
      <c r="AB371" s="6">
        <f>$K$371*$V$371</f>
        <v>0</v>
      </c>
      <c r="AC371" s="6">
        <f>$M$371*$W$371</f>
        <v>7720.6126943999998</v>
      </c>
      <c r="AD371" s="6">
        <f>$O$371*$X$371</f>
        <v>23913.269721599998</v>
      </c>
      <c r="AE371" s="6">
        <f>$K$371*$Y$371</f>
        <v>0</v>
      </c>
      <c r="AF371" s="6">
        <f ca="1">$M$371*$Z$371</f>
        <v>11394.614142325721</v>
      </c>
      <c r="AG371" s="6">
        <f>$O$371*$AA$371</f>
        <v>24004.66201526254</v>
      </c>
    </row>
    <row r="372" spans="1:33" ht="11.25" customHeight="1" x14ac:dyDescent="0.25">
      <c r="A372" s="4" t="s">
        <v>21</v>
      </c>
      <c r="B372" s="4" t="s">
        <v>33</v>
      </c>
      <c r="C372" s="4" t="s">
        <v>34</v>
      </c>
      <c r="D372" s="4" t="s">
        <v>48</v>
      </c>
      <c r="E372" s="4" t="s">
        <v>49</v>
      </c>
      <c r="F372" s="4" t="s">
        <v>25</v>
      </c>
      <c r="G372" s="4" t="s">
        <v>25</v>
      </c>
      <c r="H372" s="4" t="s">
        <v>36</v>
      </c>
      <c r="I372" s="5">
        <v>44501</v>
      </c>
      <c r="J372" s="6">
        <v>0</v>
      </c>
      <c r="K372" s="70">
        <v>0</v>
      </c>
      <c r="L372" s="6">
        <v>114.208</v>
      </c>
      <c r="M372" s="70">
        <v>114.208</v>
      </c>
      <c r="N372" s="6">
        <v>114.208</v>
      </c>
      <c r="O372" s="70">
        <v>114.208</v>
      </c>
      <c r="P372" s="6">
        <v>0</v>
      </c>
      <c r="Q372" s="4" t="s">
        <v>26</v>
      </c>
      <c r="R372" s="4">
        <v>0</v>
      </c>
      <c r="S372" s="6">
        <v>0</v>
      </c>
      <c r="T372" s="6">
        <v>47</v>
      </c>
      <c r="U372" s="6">
        <v>27</v>
      </c>
      <c r="V372" s="70">
        <f>IF(ISERROR(VLOOKUP($S$372,'TAR FIN'!$A$1:$O$85,15,0)),0,VLOOKUP($S$372,'TAR FIN'!$A$1:$O$85,15,0))</f>
        <v>0</v>
      </c>
      <c r="W372" s="70">
        <f>IF(ISERROR(VLOOKUP($T$372,'TAR FIN'!$A$1:$O$85,15,0)),0,VLOOKUP($T$372,'TAR FIN'!$A$1:$O$85,15,0))*(1-0.06)</f>
        <v>67.896199999999993</v>
      </c>
      <c r="X372" s="70">
        <f>IF(ISERROR(VLOOKUP($U$372,'TAR FIN'!$A$1:$O$85,15,0)),0,VLOOKUP($U$372,'TAR FIN'!$A$1:$O$85,15,0))*(1-0.06)</f>
        <v>210.29679999999999</v>
      </c>
      <c r="Y372" s="70"/>
      <c r="Z372" s="70">
        <f ca="1">('TUSD BE'!$AM$12+'TUSD BF'!$AM$12+'TUSD CVA'!$AM$12)*1*(1-0.03)</f>
        <v>100.20590740050056</v>
      </c>
      <c r="AA372" s="70">
        <f>('TE BE'!$AA$6+'TE BF'!$AA$6+'TE CVA'!$AA$6)*1*(1-0.03)</f>
        <v>211.10051723004204</v>
      </c>
      <c r="AB372" s="6">
        <f>$K$372*$V$372</f>
        <v>0</v>
      </c>
      <c r="AC372" s="6">
        <f>$M$372*$W$372</f>
        <v>7754.2892095999987</v>
      </c>
      <c r="AD372" s="6">
        <f>$O$372*$X$372</f>
        <v>24017.5769344</v>
      </c>
      <c r="AE372" s="6">
        <f>$K$372*$Y$372</f>
        <v>0</v>
      </c>
      <c r="AF372" s="6">
        <f ca="1">$M$372*$Z$372</f>
        <v>11444.316272396369</v>
      </c>
      <c r="AG372" s="6">
        <f>$O$372*$AA$372</f>
        <v>24109.367871808641</v>
      </c>
    </row>
    <row r="373" spans="1:33" ht="11.25" customHeight="1" x14ac:dyDescent="0.25">
      <c r="A373" s="4" t="s">
        <v>21</v>
      </c>
      <c r="B373" s="4" t="s">
        <v>33</v>
      </c>
      <c r="C373" s="4" t="s">
        <v>34</v>
      </c>
      <c r="D373" s="4" t="s">
        <v>48</v>
      </c>
      <c r="E373" s="4" t="s">
        <v>49</v>
      </c>
      <c r="F373" s="4" t="s">
        <v>25</v>
      </c>
      <c r="G373" s="4" t="s">
        <v>25</v>
      </c>
      <c r="H373" s="4" t="s">
        <v>36</v>
      </c>
      <c r="I373" s="5">
        <v>44531</v>
      </c>
      <c r="J373" s="6">
        <v>0</v>
      </c>
      <c r="K373" s="70">
        <v>0</v>
      </c>
      <c r="L373" s="6">
        <v>111.374</v>
      </c>
      <c r="M373" s="70">
        <v>111.374</v>
      </c>
      <c r="N373" s="6">
        <v>111.374</v>
      </c>
      <c r="O373" s="70">
        <v>111.374</v>
      </c>
      <c r="P373" s="6">
        <v>0</v>
      </c>
      <c r="Q373" s="4" t="s">
        <v>26</v>
      </c>
      <c r="R373" s="4">
        <v>0</v>
      </c>
      <c r="S373" s="6">
        <v>0</v>
      </c>
      <c r="T373" s="6">
        <v>47</v>
      </c>
      <c r="U373" s="6">
        <v>27</v>
      </c>
      <c r="V373" s="70">
        <f>IF(ISERROR(VLOOKUP($S$373,'TAR FIN'!$A$1:$O$85,15,0)),0,VLOOKUP($S$373,'TAR FIN'!$A$1:$O$85,15,0))</f>
        <v>0</v>
      </c>
      <c r="W373" s="70">
        <f>IF(ISERROR(VLOOKUP($T$373,'TAR FIN'!$A$1:$O$85,15,0)),0,VLOOKUP($T$373,'TAR FIN'!$A$1:$O$85,15,0))*(1-0.06)</f>
        <v>67.896199999999993</v>
      </c>
      <c r="X373" s="70">
        <f>IF(ISERROR(VLOOKUP($U$373,'TAR FIN'!$A$1:$O$85,15,0)),0,VLOOKUP($U$373,'TAR FIN'!$A$1:$O$85,15,0))*(1-0.06)</f>
        <v>210.29679999999999</v>
      </c>
      <c r="Y373" s="70"/>
      <c r="Z373" s="70">
        <f ca="1">('TUSD BE'!$AM$12+'TUSD BF'!$AM$12+'TUSD CVA'!$AM$12)*1*(1-0.03)</f>
        <v>100.20590740050056</v>
      </c>
      <c r="AA373" s="70">
        <f>('TE BE'!$AA$6+'TE BF'!$AA$6+'TE CVA'!$AA$6)*1*(1-0.03)</f>
        <v>211.10051723004204</v>
      </c>
      <c r="AB373" s="6">
        <f>$K$373*$V$373</f>
        <v>0</v>
      </c>
      <c r="AC373" s="6">
        <f>$M$373*$W$373</f>
        <v>7561.8713787999986</v>
      </c>
      <c r="AD373" s="6">
        <f>$O$373*$X$373</f>
        <v>23421.595803199998</v>
      </c>
      <c r="AE373" s="6">
        <f>$K$373*$Y$373</f>
        <v>0</v>
      </c>
      <c r="AF373" s="6">
        <f ca="1">$M$373*$Z$373</f>
        <v>11160.332730823349</v>
      </c>
      <c r="AG373" s="6">
        <f>$O$373*$AA$373</f>
        <v>23511.109005978702</v>
      </c>
    </row>
    <row r="374" spans="1:33" ht="11.25" customHeight="1" x14ac:dyDescent="0.25">
      <c r="A374" s="4" t="s">
        <v>21</v>
      </c>
      <c r="B374" s="4" t="s">
        <v>33</v>
      </c>
      <c r="C374" s="4" t="s">
        <v>34</v>
      </c>
      <c r="D374" s="4" t="s">
        <v>48</v>
      </c>
      <c r="E374" s="4" t="s">
        <v>49</v>
      </c>
      <c r="F374" s="4" t="s">
        <v>25</v>
      </c>
      <c r="G374" s="4" t="s">
        <v>25</v>
      </c>
      <c r="H374" s="4" t="s">
        <v>36</v>
      </c>
      <c r="I374" s="5">
        <v>44562</v>
      </c>
      <c r="J374" s="6">
        <v>0</v>
      </c>
      <c r="K374" s="70">
        <v>0</v>
      </c>
      <c r="L374" s="6">
        <v>117.708</v>
      </c>
      <c r="M374" s="70">
        <v>117.708</v>
      </c>
      <c r="N374" s="6">
        <v>117.708</v>
      </c>
      <c r="O374" s="70">
        <v>117.708</v>
      </c>
      <c r="P374" s="6">
        <v>0</v>
      </c>
      <c r="Q374" s="4" t="s">
        <v>26</v>
      </c>
      <c r="R374" s="4">
        <v>0</v>
      </c>
      <c r="S374" s="6">
        <v>0</v>
      </c>
      <c r="T374" s="6">
        <v>47</v>
      </c>
      <c r="U374" s="6">
        <v>27</v>
      </c>
      <c r="V374" s="70">
        <f>IF(ISERROR(VLOOKUP($S$374,'TAR FIN'!$A$1:$O$85,15,0)),0,VLOOKUP($S$374,'TAR FIN'!$A$1:$O$85,15,0))</f>
        <v>0</v>
      </c>
      <c r="W374" s="70">
        <f>IF(ISERROR(VLOOKUP($T$374,'TAR FIN'!$A$1:$O$85,15,0)),0,VLOOKUP($T$374,'TAR FIN'!$A$1:$O$85,15,0))*(1-0.06)</f>
        <v>67.896199999999993</v>
      </c>
      <c r="X374" s="70">
        <f>IF(ISERROR(VLOOKUP($U$374,'TAR FIN'!$A$1:$O$85,15,0)),0,VLOOKUP($U$374,'TAR FIN'!$A$1:$O$85,15,0))*(1-0.06)</f>
        <v>210.29679999999999</v>
      </c>
      <c r="Y374" s="70"/>
      <c r="Z374" s="70">
        <f ca="1">('TUSD BE'!$AM$12+'TUSD BF'!$AM$12+'TUSD CVA'!$AM$12)*1*(1-0.03)</f>
        <v>100.20590740050056</v>
      </c>
      <c r="AA374" s="70">
        <f>('TE BE'!$AA$6+'TE BF'!$AA$6+'TE CVA'!$AA$6)*1*(1-0.03)</f>
        <v>211.10051723004204</v>
      </c>
      <c r="AB374" s="6">
        <f>$K$374*$V$374</f>
        <v>0</v>
      </c>
      <c r="AC374" s="6">
        <f>$M$374*$W$374</f>
        <v>7991.9259095999987</v>
      </c>
      <c r="AD374" s="6">
        <f>$O$374*$X$374</f>
        <v>24753.615734399998</v>
      </c>
      <c r="AE374" s="6">
        <f>$K$374*$Y$374</f>
        <v>0</v>
      </c>
      <c r="AF374" s="6">
        <f ca="1">$M$374*$Z$374</f>
        <v>11795.03694829812</v>
      </c>
      <c r="AG374" s="6">
        <f>$O$374*$AA$374</f>
        <v>24848.219682113788</v>
      </c>
    </row>
    <row r="375" spans="1:33" ht="11.25" customHeight="1" x14ac:dyDescent="0.25">
      <c r="A375" s="4" t="s">
        <v>21</v>
      </c>
      <c r="B375" s="4" t="s">
        <v>33</v>
      </c>
      <c r="C375" s="4" t="s">
        <v>34</v>
      </c>
      <c r="D375" s="4" t="s">
        <v>48</v>
      </c>
      <c r="E375" s="4" t="s">
        <v>49</v>
      </c>
      <c r="F375" s="4" t="s">
        <v>25</v>
      </c>
      <c r="G375" s="4" t="s">
        <v>25</v>
      </c>
      <c r="H375" s="4" t="s">
        <v>36</v>
      </c>
      <c r="I375" s="5">
        <v>44593</v>
      </c>
      <c r="J375" s="6">
        <v>0</v>
      </c>
      <c r="K375" s="70">
        <v>0</v>
      </c>
      <c r="L375" s="6">
        <v>132.66999999999999</v>
      </c>
      <c r="M375" s="70">
        <v>132.66999999999999</v>
      </c>
      <c r="N375" s="6">
        <v>132.66999999999999</v>
      </c>
      <c r="O375" s="70">
        <v>132.66999999999999</v>
      </c>
      <c r="P375" s="6">
        <v>0</v>
      </c>
      <c r="Q375" s="4" t="s">
        <v>26</v>
      </c>
      <c r="R375" s="4">
        <v>0</v>
      </c>
      <c r="S375" s="6">
        <v>0</v>
      </c>
      <c r="T375" s="6">
        <v>47</v>
      </c>
      <c r="U375" s="6">
        <v>27</v>
      </c>
      <c r="V375" s="70">
        <f>IF(ISERROR(VLOOKUP($S$375,'TAR FIN'!$A$1:$O$85,15,0)),0,VLOOKUP($S$375,'TAR FIN'!$A$1:$O$85,15,0))</f>
        <v>0</v>
      </c>
      <c r="W375" s="70">
        <f>IF(ISERROR(VLOOKUP($T$375,'TAR FIN'!$A$1:$O$85,15,0)),0,VLOOKUP($T$375,'TAR FIN'!$A$1:$O$85,15,0))*(1-0.06)</f>
        <v>67.896199999999993</v>
      </c>
      <c r="X375" s="70">
        <f>IF(ISERROR(VLOOKUP($U$375,'TAR FIN'!$A$1:$O$85,15,0)),0,VLOOKUP($U$375,'TAR FIN'!$A$1:$O$85,15,0))*(1-0.06)</f>
        <v>210.29679999999999</v>
      </c>
      <c r="Y375" s="70"/>
      <c r="Z375" s="70">
        <f ca="1">('TUSD BE'!$AM$12+'TUSD BF'!$AM$12+'TUSD CVA'!$AM$12)*1*(1-0.03)</f>
        <v>100.20590740050056</v>
      </c>
      <c r="AA375" s="70">
        <f>('TE BE'!$AA$6+'TE BF'!$AA$6+'TE CVA'!$AA$6)*1*(1-0.03)</f>
        <v>211.10051723004204</v>
      </c>
      <c r="AB375" s="6">
        <f>$K$375*$V$375</f>
        <v>0</v>
      </c>
      <c r="AC375" s="6">
        <f>$M$375*$W$375</f>
        <v>9007.7888539999985</v>
      </c>
      <c r="AD375" s="6">
        <f>$O$375*$X$375</f>
        <v>27900.076455999995</v>
      </c>
      <c r="AE375" s="6">
        <f>$K$375*$Y$375</f>
        <v>0</v>
      </c>
      <c r="AF375" s="6">
        <f ca="1">$M$375*$Z$375</f>
        <v>13294.317734824408</v>
      </c>
      <c r="AG375" s="6">
        <f>$O$375*$AA$375</f>
        <v>28006.705620909674</v>
      </c>
    </row>
    <row r="376" spans="1:33" ht="11.25" customHeight="1" x14ac:dyDescent="0.25">
      <c r="A376" s="4" t="s">
        <v>54</v>
      </c>
      <c r="B376" s="4" t="s">
        <v>33</v>
      </c>
      <c r="C376" s="4" t="s">
        <v>34</v>
      </c>
      <c r="D376" s="4" t="s">
        <v>48</v>
      </c>
      <c r="E376" s="4" t="s">
        <v>49</v>
      </c>
      <c r="F376" s="4" t="s">
        <v>25</v>
      </c>
      <c r="G376" s="4" t="s">
        <v>25</v>
      </c>
      <c r="H376" s="4" t="s">
        <v>36</v>
      </c>
      <c r="I376" s="5">
        <v>44621</v>
      </c>
      <c r="J376" s="6">
        <v>0</v>
      </c>
      <c r="K376" s="70">
        <v>0</v>
      </c>
      <c r="L376" s="6">
        <v>132.66999999999999</v>
      </c>
      <c r="M376" s="70">
        <v>132.66999999999999</v>
      </c>
      <c r="N376" s="6">
        <v>132.66999999999999</v>
      </c>
      <c r="O376" s="70">
        <v>132.66999999999999</v>
      </c>
      <c r="P376" s="6">
        <v>0</v>
      </c>
      <c r="Q376" s="4" t="s">
        <v>26</v>
      </c>
      <c r="R376" s="4">
        <v>0</v>
      </c>
      <c r="S376" s="6">
        <v>0</v>
      </c>
      <c r="T376" s="6">
        <v>47</v>
      </c>
      <c r="U376" s="6">
        <v>27</v>
      </c>
      <c r="V376" s="70">
        <f>IF(ISERROR(VLOOKUP($S$376,'TAR FIN'!$A$1:$O$85,15,0)),0,VLOOKUP($S$376,'TAR FIN'!$A$1:$O$85,15,0))</f>
        <v>0</v>
      </c>
      <c r="W376" s="70">
        <f>IF(ISERROR(VLOOKUP($T$376,'TAR FIN'!$A$1:$O$85,15,0)),0,VLOOKUP($T$376,'TAR FIN'!$A$1:$O$85,15,0))*(1-0.06)</f>
        <v>67.896199999999993</v>
      </c>
      <c r="X376" s="70">
        <f>IF(ISERROR(VLOOKUP($U$376,'TAR FIN'!$A$1:$O$85,15,0)),0,VLOOKUP($U$376,'TAR FIN'!$A$1:$O$85,15,0))*(1-0.06)</f>
        <v>210.29679999999999</v>
      </c>
      <c r="Y376" s="70"/>
      <c r="Z376" s="70">
        <f ca="1">('TUSD BE'!$AM$12+'TUSD BF'!$AM$12+'TUSD CVA'!$AM$12)*1*(1-0.03)</f>
        <v>100.20590740050056</v>
      </c>
      <c r="AA376" s="70">
        <f>('TE BE'!$AA$6+'TE BF'!$AA$6+'TE CVA'!$AA$6)*1*(1-0.03)</f>
        <v>211.10051723004204</v>
      </c>
      <c r="AB376" s="6">
        <f>$K$376*$V$376</f>
        <v>0</v>
      </c>
      <c r="AC376" s="6">
        <f>$M$376*$W$376</f>
        <v>9007.7888539999985</v>
      </c>
      <c r="AD376" s="6">
        <f>$O$376*$X$376</f>
        <v>27900.076455999995</v>
      </c>
      <c r="AE376" s="6">
        <f>$K$376*$Y$376</f>
        <v>0</v>
      </c>
      <c r="AF376" s="6">
        <f ca="1">$M$376*$Z$376</f>
        <v>13294.317734824408</v>
      </c>
      <c r="AG376" s="6">
        <f>$O$376*$AA$376</f>
        <v>28006.705620909674</v>
      </c>
    </row>
    <row r="377" spans="1:33" ht="11.25" customHeight="1" x14ac:dyDescent="0.25">
      <c r="A377" s="4" t="s">
        <v>21</v>
      </c>
      <c r="B377" s="4" t="s">
        <v>33</v>
      </c>
      <c r="C377" s="4" t="s">
        <v>34</v>
      </c>
      <c r="D377" s="4" t="s">
        <v>48</v>
      </c>
      <c r="E377" s="4" t="s">
        <v>49</v>
      </c>
      <c r="F377" s="4" t="s">
        <v>25</v>
      </c>
      <c r="G377" s="4" t="s">
        <v>25</v>
      </c>
      <c r="H377" s="4" t="s">
        <v>25</v>
      </c>
      <c r="I377" s="5">
        <v>44287</v>
      </c>
      <c r="J377" s="6">
        <v>325</v>
      </c>
      <c r="K377" s="71">
        <v>325</v>
      </c>
      <c r="L377" s="6">
        <v>0</v>
      </c>
      <c r="M377" s="70">
        <v>0</v>
      </c>
      <c r="N377" s="6">
        <v>0</v>
      </c>
      <c r="O377" s="70">
        <v>0</v>
      </c>
      <c r="P377" s="6">
        <v>3</v>
      </c>
      <c r="Q377" s="4" t="s">
        <v>26</v>
      </c>
      <c r="R377" s="4">
        <v>0</v>
      </c>
      <c r="S377" s="6">
        <v>65</v>
      </c>
      <c r="T377" s="6">
        <v>0</v>
      </c>
      <c r="U377" s="6">
        <v>0</v>
      </c>
      <c r="V377" s="70">
        <f>IF(ISERROR(VLOOKUP($S$377,'TAR FIN'!$A$1:$O$85,15,0)),0,VLOOKUP($S$377,'TAR FIN'!$A$1:$O$85,15,0))*(1-0.06)</f>
        <v>22.005399999999998</v>
      </c>
      <c r="W377" s="70">
        <f>IF(ISERROR(VLOOKUP($T$377,'TAR FIN'!$A$1:$O$85,15,0)),0,VLOOKUP($T$377,'TAR FIN'!$A$1:$O$85,15,0))</f>
        <v>0</v>
      </c>
      <c r="X377" s="70">
        <f>IF(ISERROR(VLOOKUP($U$377,'TAR FIN'!$A$1:$O$85,15,0)),0,VLOOKUP($U$377,'TAR FIN'!$A$1:$O$85,15,0))</f>
        <v>0</v>
      </c>
      <c r="Y377" s="70">
        <f ca="1">('TUSD BE'!$AM$10+'TUSD BF'!$AM$10+'TUSD CVA'!$AM$10)*1*(1-0.03)</f>
        <v>23.539881161583953</v>
      </c>
      <c r="Z377" s="70"/>
      <c r="AA377" s="70"/>
      <c r="AB377" s="6">
        <f>$K$377*$V$377</f>
        <v>7151.7549999999992</v>
      </c>
      <c r="AC377" s="6">
        <f>$M$377*$W$377</f>
        <v>0</v>
      </c>
      <c r="AD377" s="6">
        <f>$O$377*$X$377</f>
        <v>0</v>
      </c>
      <c r="AE377" s="6">
        <f ca="1">$K$377*$Y$377</f>
        <v>7650.4613775147845</v>
      </c>
      <c r="AF377" s="6">
        <f>$M$377*$Z$377</f>
        <v>0</v>
      </c>
      <c r="AG377" s="6">
        <f>$O$377*$AA$377</f>
        <v>0</v>
      </c>
    </row>
    <row r="378" spans="1:33" ht="11.25" customHeight="1" x14ac:dyDescent="0.25">
      <c r="A378" s="4" t="s">
        <v>21</v>
      </c>
      <c r="B378" s="4" t="s">
        <v>33</v>
      </c>
      <c r="C378" s="4" t="s">
        <v>34</v>
      </c>
      <c r="D378" s="4" t="s">
        <v>48</v>
      </c>
      <c r="E378" s="4" t="s">
        <v>49</v>
      </c>
      <c r="F378" s="4" t="s">
        <v>25</v>
      </c>
      <c r="G378" s="4" t="s">
        <v>25</v>
      </c>
      <c r="H378" s="4" t="s">
        <v>25</v>
      </c>
      <c r="I378" s="5">
        <v>44317</v>
      </c>
      <c r="J378" s="6">
        <v>324</v>
      </c>
      <c r="K378" s="71">
        <v>324</v>
      </c>
      <c r="L378" s="6">
        <v>0</v>
      </c>
      <c r="M378" s="70">
        <v>0</v>
      </c>
      <c r="N378" s="6">
        <v>0</v>
      </c>
      <c r="O378" s="70">
        <v>0</v>
      </c>
      <c r="P378" s="6">
        <v>3</v>
      </c>
      <c r="Q378" s="4" t="s">
        <v>26</v>
      </c>
      <c r="R378" s="4">
        <v>0</v>
      </c>
      <c r="S378" s="6">
        <v>65</v>
      </c>
      <c r="T378" s="6">
        <v>0</v>
      </c>
      <c r="U378" s="6">
        <v>0</v>
      </c>
      <c r="V378" s="70">
        <f>IF(ISERROR(VLOOKUP($S$378,'TAR FIN'!$A$1:$O$85,15,0)),0,VLOOKUP($S$378,'TAR FIN'!$A$1:$O$85,15,0))*(1-0.06)</f>
        <v>22.005399999999998</v>
      </c>
      <c r="W378" s="70">
        <f>IF(ISERROR(VLOOKUP($T$378,'TAR FIN'!$A$1:$O$85,15,0)),0,VLOOKUP($T$378,'TAR FIN'!$A$1:$O$85,15,0))</f>
        <v>0</v>
      </c>
      <c r="X378" s="70">
        <f>IF(ISERROR(VLOOKUP($U$378,'TAR FIN'!$A$1:$O$85,15,0)),0,VLOOKUP($U$378,'TAR FIN'!$A$1:$O$85,15,0))</f>
        <v>0</v>
      </c>
      <c r="Y378" s="70">
        <f ca="1">('TUSD BE'!$AM$10+'TUSD BF'!$AM$10+'TUSD CVA'!$AM$10)*1*(1-0.03)</f>
        <v>23.539881161583953</v>
      </c>
      <c r="Z378" s="70"/>
      <c r="AA378" s="70"/>
      <c r="AB378" s="6">
        <f>$K$378*$V$378</f>
        <v>7129.7495999999992</v>
      </c>
      <c r="AC378" s="6">
        <f>$M$378*$W$378</f>
        <v>0</v>
      </c>
      <c r="AD378" s="6">
        <f>$O$378*$X$378</f>
        <v>0</v>
      </c>
      <c r="AE378" s="6">
        <f ca="1">$K$378*$Y$378</f>
        <v>7626.9214963532004</v>
      </c>
      <c r="AF378" s="6">
        <f>$M$378*$Z$378</f>
        <v>0</v>
      </c>
      <c r="AG378" s="6">
        <f>$O$378*$AA$378</f>
        <v>0</v>
      </c>
    </row>
    <row r="379" spans="1:33" ht="11.25" customHeight="1" x14ac:dyDescent="0.25">
      <c r="A379" s="4" t="s">
        <v>21</v>
      </c>
      <c r="B379" s="4" t="s">
        <v>33</v>
      </c>
      <c r="C379" s="4" t="s">
        <v>34</v>
      </c>
      <c r="D379" s="4" t="s">
        <v>48</v>
      </c>
      <c r="E379" s="4" t="s">
        <v>49</v>
      </c>
      <c r="F379" s="4" t="s">
        <v>25</v>
      </c>
      <c r="G379" s="4" t="s">
        <v>25</v>
      </c>
      <c r="H379" s="4" t="s">
        <v>25</v>
      </c>
      <c r="I379" s="5">
        <v>44348</v>
      </c>
      <c r="J379" s="6">
        <v>324</v>
      </c>
      <c r="K379" s="71">
        <v>324</v>
      </c>
      <c r="L379" s="6">
        <v>0</v>
      </c>
      <c r="M379" s="70">
        <v>0</v>
      </c>
      <c r="N379" s="6">
        <v>0</v>
      </c>
      <c r="O379" s="70">
        <v>0</v>
      </c>
      <c r="P379" s="6">
        <v>3</v>
      </c>
      <c r="Q379" s="4" t="s">
        <v>26</v>
      </c>
      <c r="R379" s="4">
        <v>0</v>
      </c>
      <c r="S379" s="6">
        <v>65</v>
      </c>
      <c r="T379" s="6">
        <v>0</v>
      </c>
      <c r="U379" s="6">
        <v>0</v>
      </c>
      <c r="V379" s="70">
        <f>IF(ISERROR(VLOOKUP($S$379,'TAR FIN'!$A$1:$O$85,15,0)),0,VLOOKUP($S$379,'TAR FIN'!$A$1:$O$85,15,0))*(1-0.06)</f>
        <v>22.005399999999998</v>
      </c>
      <c r="W379" s="70">
        <f>IF(ISERROR(VLOOKUP($T$379,'TAR FIN'!$A$1:$O$85,15,0)),0,VLOOKUP($T$379,'TAR FIN'!$A$1:$O$85,15,0))</f>
        <v>0</v>
      </c>
      <c r="X379" s="70">
        <f>IF(ISERROR(VLOOKUP($U$379,'TAR FIN'!$A$1:$O$85,15,0)),0,VLOOKUP($U$379,'TAR FIN'!$A$1:$O$85,15,0))</f>
        <v>0</v>
      </c>
      <c r="Y379" s="70">
        <f ca="1">('TUSD BE'!$AM$10+'TUSD BF'!$AM$10+'TUSD CVA'!$AM$10)*1*(1-0.03)</f>
        <v>23.539881161583953</v>
      </c>
      <c r="Z379" s="70"/>
      <c r="AA379" s="70"/>
      <c r="AB379" s="6">
        <f>$K$379*$V$379</f>
        <v>7129.7495999999992</v>
      </c>
      <c r="AC379" s="6">
        <f>$M$379*$W$379</f>
        <v>0</v>
      </c>
      <c r="AD379" s="6">
        <f>$O$379*$X$379</f>
        <v>0</v>
      </c>
      <c r="AE379" s="6">
        <f ca="1">$K$379*$Y$379</f>
        <v>7626.9214963532004</v>
      </c>
      <c r="AF379" s="6">
        <f>$M$379*$Z$379</f>
        <v>0</v>
      </c>
      <c r="AG379" s="6">
        <f>$O$379*$AA$379</f>
        <v>0</v>
      </c>
    </row>
    <row r="380" spans="1:33" ht="11.25" customHeight="1" x14ac:dyDescent="0.25">
      <c r="A380" s="4" t="s">
        <v>21</v>
      </c>
      <c r="B380" s="4" t="s">
        <v>33</v>
      </c>
      <c r="C380" s="4" t="s">
        <v>34</v>
      </c>
      <c r="D380" s="4" t="s">
        <v>48</v>
      </c>
      <c r="E380" s="4" t="s">
        <v>49</v>
      </c>
      <c r="F380" s="4" t="s">
        <v>25</v>
      </c>
      <c r="G380" s="4" t="s">
        <v>25</v>
      </c>
      <c r="H380" s="4" t="s">
        <v>25</v>
      </c>
      <c r="I380" s="5">
        <v>44378</v>
      </c>
      <c r="J380" s="6">
        <v>336</v>
      </c>
      <c r="K380" s="71">
        <v>336</v>
      </c>
      <c r="L380" s="6">
        <v>0</v>
      </c>
      <c r="M380" s="70">
        <v>0</v>
      </c>
      <c r="N380" s="6">
        <v>0</v>
      </c>
      <c r="O380" s="70">
        <v>0</v>
      </c>
      <c r="P380" s="6">
        <v>3</v>
      </c>
      <c r="Q380" s="4" t="s">
        <v>26</v>
      </c>
      <c r="R380" s="4">
        <v>0</v>
      </c>
      <c r="S380" s="6">
        <v>65</v>
      </c>
      <c r="T380" s="6">
        <v>0</v>
      </c>
      <c r="U380" s="6">
        <v>0</v>
      </c>
      <c r="V380" s="70">
        <f>IF(ISERROR(VLOOKUP($S$380,'TAR FIN'!$A$1:$O$85,15,0)),0,VLOOKUP($S$380,'TAR FIN'!$A$1:$O$85,15,0))*(1-0.06)</f>
        <v>22.005399999999998</v>
      </c>
      <c r="W380" s="70">
        <f>IF(ISERROR(VLOOKUP($T$380,'TAR FIN'!$A$1:$O$85,15,0)),0,VLOOKUP($T$380,'TAR FIN'!$A$1:$O$85,15,0))</f>
        <v>0</v>
      </c>
      <c r="X380" s="70">
        <f>IF(ISERROR(VLOOKUP($U$380,'TAR FIN'!$A$1:$O$85,15,0)),0,VLOOKUP($U$380,'TAR FIN'!$A$1:$O$85,15,0))</f>
        <v>0</v>
      </c>
      <c r="Y380" s="70">
        <f ca="1">('TUSD BE'!$AM$10+'TUSD BF'!$AM$10+'TUSD CVA'!$AM$10)*1*(1-0.03)</f>
        <v>23.539881161583953</v>
      </c>
      <c r="Z380" s="70"/>
      <c r="AA380" s="70"/>
      <c r="AB380" s="6">
        <f>$K$380*$V$380</f>
        <v>7393.8143999999993</v>
      </c>
      <c r="AC380" s="6">
        <f>$M$380*$W$380</f>
        <v>0</v>
      </c>
      <c r="AD380" s="6">
        <f>$O$380*$X$380</f>
        <v>0</v>
      </c>
      <c r="AE380" s="6">
        <f ca="1">$K$380*$Y$380</f>
        <v>7909.4000702922085</v>
      </c>
      <c r="AF380" s="6">
        <f>$M$380*$Z$380</f>
        <v>0</v>
      </c>
      <c r="AG380" s="6">
        <f>$O$380*$AA$380</f>
        <v>0</v>
      </c>
    </row>
    <row r="381" spans="1:33" ht="11.25" customHeight="1" x14ac:dyDescent="0.25">
      <c r="A381" s="4" t="s">
        <v>21</v>
      </c>
      <c r="B381" s="4" t="s">
        <v>33</v>
      </c>
      <c r="C381" s="4" t="s">
        <v>34</v>
      </c>
      <c r="D381" s="4" t="s">
        <v>48</v>
      </c>
      <c r="E381" s="4" t="s">
        <v>49</v>
      </c>
      <c r="F381" s="4" t="s">
        <v>25</v>
      </c>
      <c r="G381" s="4" t="s">
        <v>25</v>
      </c>
      <c r="H381" s="4" t="s">
        <v>25</v>
      </c>
      <c r="I381" s="5">
        <v>44409</v>
      </c>
      <c r="J381" s="6">
        <v>329</v>
      </c>
      <c r="K381" s="71">
        <v>329</v>
      </c>
      <c r="L381" s="6">
        <v>0</v>
      </c>
      <c r="M381" s="70">
        <v>0</v>
      </c>
      <c r="N381" s="6">
        <v>0</v>
      </c>
      <c r="O381" s="70">
        <v>0</v>
      </c>
      <c r="P381" s="6">
        <v>3</v>
      </c>
      <c r="Q381" s="4" t="s">
        <v>26</v>
      </c>
      <c r="R381" s="4">
        <v>0</v>
      </c>
      <c r="S381" s="6">
        <v>65</v>
      </c>
      <c r="T381" s="6">
        <v>0</v>
      </c>
      <c r="U381" s="6">
        <v>0</v>
      </c>
      <c r="V381" s="70">
        <f>IF(ISERROR(VLOOKUP($S$381,'TAR FIN'!$A$1:$O$85,15,0)),0,VLOOKUP($S$381,'TAR FIN'!$A$1:$O$85,15,0))*(1-0.06)</f>
        <v>22.005399999999998</v>
      </c>
      <c r="W381" s="70">
        <f>IF(ISERROR(VLOOKUP($T$381,'TAR FIN'!$A$1:$O$85,15,0)),0,VLOOKUP($T$381,'TAR FIN'!$A$1:$O$85,15,0))</f>
        <v>0</v>
      </c>
      <c r="X381" s="70">
        <f>IF(ISERROR(VLOOKUP($U$381,'TAR FIN'!$A$1:$O$85,15,0)),0,VLOOKUP($U$381,'TAR FIN'!$A$1:$O$85,15,0))</f>
        <v>0</v>
      </c>
      <c r="Y381" s="70">
        <f ca="1">('TUSD BE'!$AM$10+'TUSD BF'!$AM$10+'TUSD CVA'!$AM$10)*1*(1-0.03)</f>
        <v>23.539881161583953</v>
      </c>
      <c r="Z381" s="70"/>
      <c r="AA381" s="70"/>
      <c r="AB381" s="6">
        <f>$K$381*$V$381</f>
        <v>7239.7765999999992</v>
      </c>
      <c r="AC381" s="6">
        <f>$M$381*$W$381</f>
        <v>0</v>
      </c>
      <c r="AD381" s="6">
        <f>$O$381*$X$381</f>
        <v>0</v>
      </c>
      <c r="AE381" s="6">
        <f ca="1">$K$381*$Y$381</f>
        <v>7744.6209021611203</v>
      </c>
      <c r="AF381" s="6">
        <f>$M$381*$Z$381</f>
        <v>0</v>
      </c>
      <c r="AG381" s="6">
        <f>$O$381*$AA$381</f>
        <v>0</v>
      </c>
    </row>
    <row r="382" spans="1:33" ht="11.25" customHeight="1" x14ac:dyDescent="0.25">
      <c r="A382" s="4" t="s">
        <v>21</v>
      </c>
      <c r="B382" s="4" t="s">
        <v>33</v>
      </c>
      <c r="C382" s="4" t="s">
        <v>34</v>
      </c>
      <c r="D382" s="4" t="s">
        <v>48</v>
      </c>
      <c r="E382" s="4" t="s">
        <v>49</v>
      </c>
      <c r="F382" s="4" t="s">
        <v>25</v>
      </c>
      <c r="G382" s="4" t="s">
        <v>25</v>
      </c>
      <c r="H382" s="4" t="s">
        <v>25</v>
      </c>
      <c r="I382" s="5">
        <v>44440</v>
      </c>
      <c r="J382" s="6">
        <v>313</v>
      </c>
      <c r="K382" s="71">
        <v>313</v>
      </c>
      <c r="L382" s="6">
        <v>0</v>
      </c>
      <c r="M382" s="70">
        <v>0</v>
      </c>
      <c r="N382" s="6">
        <v>0</v>
      </c>
      <c r="O382" s="70">
        <v>0</v>
      </c>
      <c r="P382" s="6">
        <v>3</v>
      </c>
      <c r="Q382" s="4" t="s">
        <v>26</v>
      </c>
      <c r="R382" s="4">
        <v>0</v>
      </c>
      <c r="S382" s="6">
        <v>65</v>
      </c>
      <c r="T382" s="6">
        <v>0</v>
      </c>
      <c r="U382" s="6">
        <v>0</v>
      </c>
      <c r="V382" s="70">
        <f>IF(ISERROR(VLOOKUP($S$382,'TAR FIN'!$A$1:$O$85,15,0)),0,VLOOKUP($S$382,'TAR FIN'!$A$1:$O$85,15,0))*(1-0.06)</f>
        <v>22.005399999999998</v>
      </c>
      <c r="W382" s="70">
        <f>IF(ISERROR(VLOOKUP($T$382,'TAR FIN'!$A$1:$O$85,15,0)),0,VLOOKUP($T$382,'TAR FIN'!$A$1:$O$85,15,0))</f>
        <v>0</v>
      </c>
      <c r="X382" s="70">
        <f>IF(ISERROR(VLOOKUP($U$382,'TAR FIN'!$A$1:$O$85,15,0)),0,VLOOKUP($U$382,'TAR FIN'!$A$1:$O$85,15,0))</f>
        <v>0</v>
      </c>
      <c r="Y382" s="70">
        <f ca="1">('TUSD BE'!$AM$10+'TUSD BF'!$AM$10+'TUSD CVA'!$AM$10)*1*(1-0.03)</f>
        <v>23.539881161583953</v>
      </c>
      <c r="Z382" s="70"/>
      <c r="AA382" s="70"/>
      <c r="AB382" s="6">
        <f>$K$382*$V$382</f>
        <v>6887.6901999999991</v>
      </c>
      <c r="AC382" s="6">
        <f>$M$382*$W$382</f>
        <v>0</v>
      </c>
      <c r="AD382" s="6">
        <f>$O$382*$X$382</f>
        <v>0</v>
      </c>
      <c r="AE382" s="6">
        <f ca="1">$K$382*$Y$382</f>
        <v>7367.9828035757773</v>
      </c>
      <c r="AF382" s="6">
        <f>$M$382*$Z$382</f>
        <v>0</v>
      </c>
      <c r="AG382" s="6">
        <f>$O$382*$AA$382</f>
        <v>0</v>
      </c>
    </row>
    <row r="383" spans="1:33" ht="11.25" customHeight="1" x14ac:dyDescent="0.25">
      <c r="A383" s="4" t="s">
        <v>21</v>
      </c>
      <c r="B383" s="4" t="s">
        <v>33</v>
      </c>
      <c r="C383" s="4" t="s">
        <v>34</v>
      </c>
      <c r="D383" s="4" t="s">
        <v>48</v>
      </c>
      <c r="E383" s="4" t="s">
        <v>49</v>
      </c>
      <c r="F383" s="4" t="s">
        <v>25</v>
      </c>
      <c r="G383" s="4" t="s">
        <v>25</v>
      </c>
      <c r="H383" s="4" t="s">
        <v>25</v>
      </c>
      <c r="I383" s="5">
        <v>44470</v>
      </c>
      <c r="J383" s="6">
        <v>313</v>
      </c>
      <c r="K383" s="71">
        <v>313</v>
      </c>
      <c r="L383" s="6">
        <v>0</v>
      </c>
      <c r="M383" s="70">
        <v>0</v>
      </c>
      <c r="N383" s="6">
        <v>0</v>
      </c>
      <c r="O383" s="70">
        <v>0</v>
      </c>
      <c r="P383" s="6">
        <v>3</v>
      </c>
      <c r="Q383" s="4" t="s">
        <v>26</v>
      </c>
      <c r="R383" s="4">
        <v>0</v>
      </c>
      <c r="S383" s="6">
        <v>65</v>
      </c>
      <c r="T383" s="6">
        <v>0</v>
      </c>
      <c r="U383" s="6">
        <v>0</v>
      </c>
      <c r="V383" s="70">
        <f>IF(ISERROR(VLOOKUP($S$383,'TAR FIN'!$A$1:$O$85,15,0)),0,VLOOKUP($S$383,'TAR FIN'!$A$1:$O$85,15,0))*(1-0.06)</f>
        <v>22.005399999999998</v>
      </c>
      <c r="W383" s="70">
        <f>IF(ISERROR(VLOOKUP($T$383,'TAR FIN'!$A$1:$O$85,15,0)),0,VLOOKUP($T$383,'TAR FIN'!$A$1:$O$85,15,0))</f>
        <v>0</v>
      </c>
      <c r="X383" s="70">
        <f>IF(ISERROR(VLOOKUP($U$383,'TAR FIN'!$A$1:$O$85,15,0)),0,VLOOKUP($U$383,'TAR FIN'!$A$1:$O$85,15,0))</f>
        <v>0</v>
      </c>
      <c r="Y383" s="70">
        <f ca="1">('TUSD BE'!$AM$10+'TUSD BF'!$AM$10+'TUSD CVA'!$AM$10)*1*(1-0.03)</f>
        <v>23.539881161583953</v>
      </c>
      <c r="Z383" s="70"/>
      <c r="AA383" s="70"/>
      <c r="AB383" s="6">
        <f>$K$383*$V$383</f>
        <v>6887.6901999999991</v>
      </c>
      <c r="AC383" s="6">
        <f>$M$383*$W$383</f>
        <v>0</v>
      </c>
      <c r="AD383" s="6">
        <f>$O$383*$X$383</f>
        <v>0</v>
      </c>
      <c r="AE383" s="6">
        <f ca="1">$K$383*$Y$383</f>
        <v>7367.9828035757773</v>
      </c>
      <c r="AF383" s="6">
        <f>$M$383*$Z$383</f>
        <v>0</v>
      </c>
      <c r="AG383" s="6">
        <f>$O$383*$AA$383</f>
        <v>0</v>
      </c>
    </row>
    <row r="384" spans="1:33" ht="11.25" customHeight="1" x14ac:dyDescent="0.25">
      <c r="A384" s="4" t="s">
        <v>21</v>
      </c>
      <c r="B384" s="4" t="s">
        <v>33</v>
      </c>
      <c r="C384" s="4" t="s">
        <v>34</v>
      </c>
      <c r="D384" s="4" t="s">
        <v>48</v>
      </c>
      <c r="E384" s="4" t="s">
        <v>49</v>
      </c>
      <c r="F384" s="4" t="s">
        <v>25</v>
      </c>
      <c r="G384" s="4" t="s">
        <v>25</v>
      </c>
      <c r="H384" s="4" t="s">
        <v>25</v>
      </c>
      <c r="I384" s="5">
        <v>44501</v>
      </c>
      <c r="J384" s="6">
        <v>321</v>
      </c>
      <c r="K384" s="71">
        <v>321</v>
      </c>
      <c r="L384" s="6">
        <v>0</v>
      </c>
      <c r="M384" s="70">
        <v>0</v>
      </c>
      <c r="N384" s="6">
        <v>0</v>
      </c>
      <c r="O384" s="70">
        <v>0</v>
      </c>
      <c r="P384" s="6">
        <v>3</v>
      </c>
      <c r="Q384" s="4" t="s">
        <v>26</v>
      </c>
      <c r="R384" s="4">
        <v>0</v>
      </c>
      <c r="S384" s="6">
        <v>65</v>
      </c>
      <c r="T384" s="6">
        <v>0</v>
      </c>
      <c r="U384" s="6">
        <v>0</v>
      </c>
      <c r="V384" s="70">
        <f>IF(ISERROR(VLOOKUP($S$384,'TAR FIN'!$A$1:$O$85,15,0)),0,VLOOKUP($S$384,'TAR FIN'!$A$1:$O$85,15,0))*(1-0.06)</f>
        <v>22.005399999999998</v>
      </c>
      <c r="W384" s="70">
        <f>IF(ISERROR(VLOOKUP($T$384,'TAR FIN'!$A$1:$O$85,15,0)),0,VLOOKUP($T$384,'TAR FIN'!$A$1:$O$85,15,0))</f>
        <v>0</v>
      </c>
      <c r="X384" s="70">
        <f>IF(ISERROR(VLOOKUP($U$384,'TAR FIN'!$A$1:$O$85,15,0)),0,VLOOKUP($U$384,'TAR FIN'!$A$1:$O$85,15,0))</f>
        <v>0</v>
      </c>
      <c r="Y384" s="70">
        <f ca="1">('TUSD BE'!$AM$10+'TUSD BF'!$AM$10+'TUSD CVA'!$AM$10)*1*(1-0.03)</f>
        <v>23.539881161583953</v>
      </c>
      <c r="Z384" s="70"/>
      <c r="AA384" s="70"/>
      <c r="AB384" s="6">
        <f>$K$384*$V$384</f>
        <v>7063.7333999999992</v>
      </c>
      <c r="AC384" s="6">
        <f>$M$384*$W$384</f>
        <v>0</v>
      </c>
      <c r="AD384" s="6">
        <f>$O$384*$X$384</f>
        <v>0</v>
      </c>
      <c r="AE384" s="6">
        <f ca="1">$K$384*$Y$384</f>
        <v>7556.3018528684488</v>
      </c>
      <c r="AF384" s="6">
        <f>$M$384*$Z$384</f>
        <v>0</v>
      </c>
      <c r="AG384" s="6">
        <f>$O$384*$AA$384</f>
        <v>0</v>
      </c>
    </row>
    <row r="385" spans="1:33" ht="11.25" customHeight="1" x14ac:dyDescent="0.25">
      <c r="A385" s="4" t="s">
        <v>21</v>
      </c>
      <c r="B385" s="4" t="s">
        <v>33</v>
      </c>
      <c r="C385" s="4" t="s">
        <v>34</v>
      </c>
      <c r="D385" s="4" t="s">
        <v>48</v>
      </c>
      <c r="E385" s="4" t="s">
        <v>49</v>
      </c>
      <c r="F385" s="4" t="s">
        <v>25</v>
      </c>
      <c r="G385" s="4" t="s">
        <v>25</v>
      </c>
      <c r="H385" s="4" t="s">
        <v>25</v>
      </c>
      <c r="I385" s="5">
        <v>44531</v>
      </c>
      <c r="J385" s="6">
        <v>323</v>
      </c>
      <c r="K385" s="71">
        <v>323</v>
      </c>
      <c r="L385" s="6">
        <v>0</v>
      </c>
      <c r="M385" s="70">
        <v>0</v>
      </c>
      <c r="N385" s="6">
        <v>0</v>
      </c>
      <c r="O385" s="70">
        <v>0</v>
      </c>
      <c r="P385" s="6">
        <v>3</v>
      </c>
      <c r="Q385" s="4" t="s">
        <v>26</v>
      </c>
      <c r="R385" s="4">
        <v>0</v>
      </c>
      <c r="S385" s="6">
        <v>65</v>
      </c>
      <c r="T385" s="6">
        <v>0</v>
      </c>
      <c r="U385" s="6">
        <v>0</v>
      </c>
      <c r="V385" s="70">
        <f>IF(ISERROR(VLOOKUP($S$385,'TAR FIN'!$A$1:$O$85,15,0)),0,VLOOKUP($S$385,'TAR FIN'!$A$1:$O$85,15,0))*(1-0.06)</f>
        <v>22.005399999999998</v>
      </c>
      <c r="W385" s="70">
        <f>IF(ISERROR(VLOOKUP($T$385,'TAR FIN'!$A$1:$O$85,15,0)),0,VLOOKUP($T$385,'TAR FIN'!$A$1:$O$85,15,0))</f>
        <v>0</v>
      </c>
      <c r="X385" s="70">
        <f>IF(ISERROR(VLOOKUP($U$385,'TAR FIN'!$A$1:$O$85,15,0)),0,VLOOKUP($U$385,'TAR FIN'!$A$1:$O$85,15,0))</f>
        <v>0</v>
      </c>
      <c r="Y385" s="70">
        <f ca="1">('TUSD BE'!$AM$10+'TUSD BF'!$AM$10+'TUSD CVA'!$AM$10)*1*(1-0.03)</f>
        <v>23.539881161583953</v>
      </c>
      <c r="Z385" s="70"/>
      <c r="AA385" s="70"/>
      <c r="AB385" s="6">
        <f>$K$385*$V$385</f>
        <v>7107.7441999999992</v>
      </c>
      <c r="AC385" s="6">
        <f>$M$385*$W$385</f>
        <v>0</v>
      </c>
      <c r="AD385" s="6">
        <f>$O$385*$X$385</f>
        <v>0</v>
      </c>
      <c r="AE385" s="6">
        <f ca="1">$K$385*$Y$385</f>
        <v>7603.3816151916171</v>
      </c>
      <c r="AF385" s="6">
        <f>$M$385*$Z$385</f>
        <v>0</v>
      </c>
      <c r="AG385" s="6">
        <f>$O$385*$AA$385</f>
        <v>0</v>
      </c>
    </row>
    <row r="386" spans="1:33" ht="11.25" customHeight="1" x14ac:dyDescent="0.25">
      <c r="A386" s="4" t="s">
        <v>21</v>
      </c>
      <c r="B386" s="4" t="s">
        <v>33</v>
      </c>
      <c r="C386" s="4" t="s">
        <v>34</v>
      </c>
      <c r="D386" s="4" t="s">
        <v>48</v>
      </c>
      <c r="E386" s="4" t="s">
        <v>49</v>
      </c>
      <c r="F386" s="4" t="s">
        <v>25</v>
      </c>
      <c r="G386" s="4" t="s">
        <v>25</v>
      </c>
      <c r="H386" s="4" t="s">
        <v>25</v>
      </c>
      <c r="I386" s="5">
        <v>44562</v>
      </c>
      <c r="J386" s="6">
        <v>322</v>
      </c>
      <c r="K386" s="71">
        <v>322</v>
      </c>
      <c r="L386" s="6">
        <v>0</v>
      </c>
      <c r="M386" s="70">
        <v>0</v>
      </c>
      <c r="N386" s="6">
        <v>0</v>
      </c>
      <c r="O386" s="70">
        <v>0</v>
      </c>
      <c r="P386" s="6">
        <v>3</v>
      </c>
      <c r="Q386" s="4" t="s">
        <v>26</v>
      </c>
      <c r="R386" s="4">
        <v>0</v>
      </c>
      <c r="S386" s="6">
        <v>65</v>
      </c>
      <c r="T386" s="6">
        <v>0</v>
      </c>
      <c r="U386" s="6">
        <v>0</v>
      </c>
      <c r="V386" s="70">
        <f>IF(ISERROR(VLOOKUP($S$386,'TAR FIN'!$A$1:$O$85,15,0)),0,VLOOKUP($S$386,'TAR FIN'!$A$1:$O$85,15,0))*(1-0.06)</f>
        <v>22.005399999999998</v>
      </c>
      <c r="W386" s="70">
        <f>IF(ISERROR(VLOOKUP($T$386,'TAR FIN'!$A$1:$O$85,15,0)),0,VLOOKUP($T$386,'TAR FIN'!$A$1:$O$85,15,0))</f>
        <v>0</v>
      </c>
      <c r="X386" s="70">
        <f>IF(ISERROR(VLOOKUP($U$386,'TAR FIN'!$A$1:$O$85,15,0)),0,VLOOKUP($U$386,'TAR FIN'!$A$1:$O$85,15,0))</f>
        <v>0</v>
      </c>
      <c r="Y386" s="70">
        <f ca="1">('TUSD BE'!$AM$10+'TUSD BF'!$AM$10+'TUSD CVA'!$AM$10)*1*(1-0.03)</f>
        <v>23.539881161583953</v>
      </c>
      <c r="Z386" s="70"/>
      <c r="AA386" s="70"/>
      <c r="AB386" s="6">
        <f>$K$386*$V$386</f>
        <v>7085.7387999999992</v>
      </c>
      <c r="AC386" s="6">
        <f>$M$386*$W$386</f>
        <v>0</v>
      </c>
      <c r="AD386" s="6">
        <f>$O$386*$X$386</f>
        <v>0</v>
      </c>
      <c r="AE386" s="6">
        <f ca="1">$K$386*$Y$386</f>
        <v>7579.841734030033</v>
      </c>
      <c r="AF386" s="6">
        <f>$M$386*$Z$386</f>
        <v>0</v>
      </c>
      <c r="AG386" s="6">
        <f>$O$386*$AA$386</f>
        <v>0</v>
      </c>
    </row>
    <row r="387" spans="1:33" ht="11.25" customHeight="1" x14ac:dyDescent="0.25">
      <c r="A387" s="4" t="s">
        <v>21</v>
      </c>
      <c r="B387" s="4" t="s">
        <v>33</v>
      </c>
      <c r="C387" s="4" t="s">
        <v>34</v>
      </c>
      <c r="D387" s="4" t="s">
        <v>48</v>
      </c>
      <c r="E387" s="4" t="s">
        <v>49</v>
      </c>
      <c r="F387" s="4" t="s">
        <v>25</v>
      </c>
      <c r="G387" s="4" t="s">
        <v>25</v>
      </c>
      <c r="H387" s="4" t="s">
        <v>25</v>
      </c>
      <c r="I387" s="5">
        <v>44593</v>
      </c>
      <c r="J387" s="6">
        <v>313</v>
      </c>
      <c r="K387" s="71">
        <v>313</v>
      </c>
      <c r="L387" s="6">
        <v>0</v>
      </c>
      <c r="M387" s="70">
        <v>0</v>
      </c>
      <c r="N387" s="6">
        <v>0</v>
      </c>
      <c r="O387" s="70">
        <v>0</v>
      </c>
      <c r="P387" s="6">
        <v>3</v>
      </c>
      <c r="Q387" s="4" t="s">
        <v>26</v>
      </c>
      <c r="R387" s="4">
        <v>0</v>
      </c>
      <c r="S387" s="6">
        <v>65</v>
      </c>
      <c r="T387" s="6">
        <v>0</v>
      </c>
      <c r="U387" s="6">
        <v>0</v>
      </c>
      <c r="V387" s="70">
        <f>IF(ISERROR(VLOOKUP($S$387,'TAR FIN'!$A$1:$O$85,15,0)),0,VLOOKUP($S$387,'TAR FIN'!$A$1:$O$85,15,0))*(1-0.06)</f>
        <v>22.005399999999998</v>
      </c>
      <c r="W387" s="70">
        <f>IF(ISERROR(VLOOKUP($T$387,'TAR FIN'!$A$1:$O$85,15,0)),0,VLOOKUP($T$387,'TAR FIN'!$A$1:$O$85,15,0))</f>
        <v>0</v>
      </c>
      <c r="X387" s="70">
        <f>IF(ISERROR(VLOOKUP($U$387,'TAR FIN'!$A$1:$O$85,15,0)),0,VLOOKUP($U$387,'TAR FIN'!$A$1:$O$85,15,0))</f>
        <v>0</v>
      </c>
      <c r="Y387" s="70">
        <f ca="1">('TUSD BE'!$AM$10+'TUSD BF'!$AM$10+'TUSD CVA'!$AM$10)*1*(1-0.03)</f>
        <v>23.539881161583953</v>
      </c>
      <c r="Z387" s="70"/>
      <c r="AA387" s="70"/>
      <c r="AB387" s="6">
        <f>$K$387*$V$387</f>
        <v>6887.6901999999991</v>
      </c>
      <c r="AC387" s="6">
        <f>$M$387*$W$387</f>
        <v>0</v>
      </c>
      <c r="AD387" s="6">
        <f>$O$387*$X$387</f>
        <v>0</v>
      </c>
      <c r="AE387" s="6">
        <f ca="1">$K$387*$Y$387</f>
        <v>7367.9828035757773</v>
      </c>
      <c r="AF387" s="6">
        <f>$M$387*$Z$387</f>
        <v>0</v>
      </c>
      <c r="AG387" s="6">
        <f>$O$387*$AA$387</f>
        <v>0</v>
      </c>
    </row>
    <row r="388" spans="1:33" ht="11.25" customHeight="1" x14ac:dyDescent="0.25">
      <c r="A388" s="4" t="s">
        <v>54</v>
      </c>
      <c r="B388" s="4" t="s">
        <v>33</v>
      </c>
      <c r="C388" s="4" t="s">
        <v>34</v>
      </c>
      <c r="D388" s="4" t="s">
        <v>48</v>
      </c>
      <c r="E388" s="4" t="s">
        <v>49</v>
      </c>
      <c r="F388" s="4" t="s">
        <v>25</v>
      </c>
      <c r="G388" s="4" t="s">
        <v>25</v>
      </c>
      <c r="H388" s="4" t="s">
        <v>25</v>
      </c>
      <c r="I388" s="5">
        <v>44621</v>
      </c>
      <c r="J388" s="6">
        <v>313</v>
      </c>
      <c r="K388" s="71">
        <v>313</v>
      </c>
      <c r="L388" s="6">
        <v>0</v>
      </c>
      <c r="M388" s="70">
        <v>0</v>
      </c>
      <c r="N388" s="6">
        <v>0</v>
      </c>
      <c r="O388" s="70">
        <v>0</v>
      </c>
      <c r="P388" s="6">
        <v>3</v>
      </c>
      <c r="Q388" s="4" t="s">
        <v>26</v>
      </c>
      <c r="R388" s="4">
        <v>0</v>
      </c>
      <c r="S388" s="6">
        <v>65</v>
      </c>
      <c r="T388" s="6">
        <v>0</v>
      </c>
      <c r="U388" s="6">
        <v>0</v>
      </c>
      <c r="V388" s="70">
        <f>IF(ISERROR(VLOOKUP($S$388,'TAR FIN'!$A$1:$O$85,15,0)),0,VLOOKUP($S$388,'TAR FIN'!$A$1:$O$85,15,0))*(1-0.06)</f>
        <v>22.005399999999998</v>
      </c>
      <c r="W388" s="70">
        <f>IF(ISERROR(VLOOKUP($T$388,'TAR FIN'!$A$1:$O$85,15,0)),0,VLOOKUP($T$388,'TAR FIN'!$A$1:$O$85,15,0))</f>
        <v>0</v>
      </c>
      <c r="X388" s="70">
        <f>IF(ISERROR(VLOOKUP($U$388,'TAR FIN'!$A$1:$O$85,15,0)),0,VLOOKUP($U$388,'TAR FIN'!$A$1:$O$85,15,0))</f>
        <v>0</v>
      </c>
      <c r="Y388" s="70">
        <f ca="1">('TUSD BE'!$AM$10+'TUSD BF'!$AM$10+'TUSD CVA'!$AM$10)*1*(1-0.03)</f>
        <v>23.539881161583953</v>
      </c>
      <c r="Z388" s="70"/>
      <c r="AA388" s="70"/>
      <c r="AB388" s="6">
        <f>$K$388*$V$388</f>
        <v>6887.6901999999991</v>
      </c>
      <c r="AC388" s="6">
        <f>$M$388*$W$388</f>
        <v>0</v>
      </c>
      <c r="AD388" s="6">
        <f>$O$388*$X$388</f>
        <v>0</v>
      </c>
      <c r="AE388" s="6">
        <f ca="1">$K$388*$Y$388</f>
        <v>7367.9828035757773</v>
      </c>
      <c r="AF388" s="6">
        <f>$M$388*$Z$388</f>
        <v>0</v>
      </c>
      <c r="AG388" s="6">
        <f>$O$388*$AA$388</f>
        <v>0</v>
      </c>
    </row>
    <row r="389" spans="1:33" ht="11.25" customHeight="1" x14ac:dyDescent="0.25">
      <c r="A389" s="4" t="s">
        <v>21</v>
      </c>
      <c r="B389" s="4" t="s">
        <v>33</v>
      </c>
      <c r="C389" s="4" t="s">
        <v>34</v>
      </c>
      <c r="D389" s="4" t="s">
        <v>48</v>
      </c>
      <c r="E389" s="4" t="s">
        <v>49</v>
      </c>
      <c r="F389" s="4" t="s">
        <v>25</v>
      </c>
      <c r="G389" s="4" t="s">
        <v>25</v>
      </c>
      <c r="H389" s="4" t="s">
        <v>35</v>
      </c>
      <c r="I389" s="5">
        <v>44287</v>
      </c>
      <c r="J389" s="6">
        <v>0</v>
      </c>
      <c r="K389" s="70">
        <v>0</v>
      </c>
      <c r="L389" s="6">
        <v>14.055</v>
      </c>
      <c r="M389" s="70">
        <v>14.055</v>
      </c>
      <c r="N389" s="6">
        <v>14.055</v>
      </c>
      <c r="O389" s="70">
        <v>14.055</v>
      </c>
      <c r="P389" s="6">
        <v>0</v>
      </c>
      <c r="Q389" s="4" t="s">
        <v>26</v>
      </c>
      <c r="R389" s="4">
        <v>0</v>
      </c>
      <c r="S389" s="6">
        <v>0</v>
      </c>
      <c r="T389" s="6">
        <v>66</v>
      </c>
      <c r="U389" s="6">
        <v>6</v>
      </c>
      <c r="V389" s="70">
        <f>IF(ISERROR(VLOOKUP($S$389,'TAR FIN'!$A$1:$O$85,15,0)),0,VLOOKUP($S$389,'TAR FIN'!$A$1:$O$85,15,0))</f>
        <v>0</v>
      </c>
      <c r="W389" s="70">
        <f>IF(ISERROR(VLOOKUP($T$389,'TAR FIN'!$A$1:$O$85,15,0)),0,VLOOKUP($T$389,'TAR FIN'!$A$1:$O$85,15,0))*(1-0.06)</f>
        <v>2127.7651999999998</v>
      </c>
      <c r="X389" s="70">
        <f>IF(ISERROR(VLOOKUP($U$389,'TAR FIN'!$A$1:$O$85,15,0)),0,VLOOKUP($U$389,'TAR FIN'!$A$1:$O$85,15,0))*(1-0.06)</f>
        <v>210.29679999999999</v>
      </c>
      <c r="Y389" s="70"/>
      <c r="Z389" s="70">
        <f ca="1">('TUSD BE'!$AM$11+'TUSD BF'!$AM$11+'TUSD CVA'!$AM$11)*1*(1-0.03)</f>
        <v>2302.4656865967704</v>
      </c>
      <c r="AA389" s="70">
        <f>('TE BE'!$AA$5+'TE BF'!$AA$5+'TE CVA'!$AA$5)*1*(1-0.03)</f>
        <v>211.10051723004204</v>
      </c>
      <c r="AB389" s="6">
        <f>$K$389*$V$389</f>
        <v>0</v>
      </c>
      <c r="AC389" s="6">
        <f>$M$389*$W$389</f>
        <v>29905.739885999996</v>
      </c>
      <c r="AD389" s="6">
        <f>$O$389*$X$389</f>
        <v>2955.7215239999996</v>
      </c>
      <c r="AE389" s="6">
        <f>$K$389*$Y$389</f>
        <v>0</v>
      </c>
      <c r="AF389" s="6">
        <f ca="1">$M$389*$Z$389</f>
        <v>32361.155225117607</v>
      </c>
      <c r="AG389" s="6">
        <f>$O$389*$AA$389</f>
        <v>2967.0177696682408</v>
      </c>
    </row>
    <row r="390" spans="1:33" ht="11.25" customHeight="1" x14ac:dyDescent="0.25">
      <c r="A390" s="4" t="s">
        <v>21</v>
      </c>
      <c r="B390" s="4" t="s">
        <v>33</v>
      </c>
      <c r="C390" s="4" t="s">
        <v>34</v>
      </c>
      <c r="D390" s="4" t="s">
        <v>48</v>
      </c>
      <c r="E390" s="4" t="s">
        <v>49</v>
      </c>
      <c r="F390" s="4" t="s">
        <v>25</v>
      </c>
      <c r="G390" s="4" t="s">
        <v>25</v>
      </c>
      <c r="H390" s="4" t="s">
        <v>35</v>
      </c>
      <c r="I390" s="5">
        <v>44317</v>
      </c>
      <c r="J390" s="6">
        <v>0</v>
      </c>
      <c r="K390" s="70">
        <v>0</v>
      </c>
      <c r="L390" s="6">
        <v>14.256</v>
      </c>
      <c r="M390" s="70">
        <v>14.256</v>
      </c>
      <c r="N390" s="6">
        <v>14.256</v>
      </c>
      <c r="O390" s="70">
        <v>14.256</v>
      </c>
      <c r="P390" s="6">
        <v>0</v>
      </c>
      <c r="Q390" s="4" t="s">
        <v>26</v>
      </c>
      <c r="R390" s="4">
        <v>0</v>
      </c>
      <c r="S390" s="6">
        <v>0</v>
      </c>
      <c r="T390" s="6">
        <v>66</v>
      </c>
      <c r="U390" s="6">
        <v>6</v>
      </c>
      <c r="V390" s="70">
        <f>IF(ISERROR(VLOOKUP($S$390,'TAR FIN'!$A$1:$O$85,15,0)),0,VLOOKUP($S$390,'TAR FIN'!$A$1:$O$85,15,0))</f>
        <v>0</v>
      </c>
      <c r="W390" s="70">
        <f>IF(ISERROR(VLOOKUP($T$390,'TAR FIN'!$A$1:$O$85,15,0)),0,VLOOKUP($T$390,'TAR FIN'!$A$1:$O$85,15,0))*(1-0.06)</f>
        <v>2127.7651999999998</v>
      </c>
      <c r="X390" s="70">
        <f>IF(ISERROR(VLOOKUP($U$390,'TAR FIN'!$A$1:$O$85,15,0)),0,VLOOKUP($U$390,'TAR FIN'!$A$1:$O$85,15,0))*(1-0.06)</f>
        <v>210.29679999999999</v>
      </c>
      <c r="Y390" s="70"/>
      <c r="Z390" s="70">
        <f ca="1">('TUSD BE'!$AM$11+'TUSD BF'!$AM$11+'TUSD CVA'!$AM$11)*1*(1-0.03)</f>
        <v>2302.4656865967704</v>
      </c>
      <c r="AA390" s="70">
        <f>('TE BE'!$AA$5+'TE BF'!$AA$5+'TE CVA'!$AA$5)*1*(1-0.03)</f>
        <v>211.10051723004204</v>
      </c>
      <c r="AB390" s="6">
        <f>$K$390*$V$390</f>
        <v>0</v>
      </c>
      <c r="AC390" s="6">
        <f>$M$390*$W$390</f>
        <v>30333.420691199997</v>
      </c>
      <c r="AD390" s="6">
        <f>$O$390*$X$390</f>
        <v>2997.9911807999997</v>
      </c>
      <c r="AE390" s="6">
        <f>$K$390*$Y$390</f>
        <v>0</v>
      </c>
      <c r="AF390" s="6">
        <f ca="1">$M$390*$Z$390</f>
        <v>32823.950828123561</v>
      </c>
      <c r="AG390" s="6">
        <f>$O$390*$AA$390</f>
        <v>3009.4489736314795</v>
      </c>
    </row>
    <row r="391" spans="1:33" ht="11.25" customHeight="1" x14ac:dyDescent="0.25">
      <c r="A391" s="4" t="s">
        <v>21</v>
      </c>
      <c r="B391" s="4" t="s">
        <v>33</v>
      </c>
      <c r="C391" s="4" t="s">
        <v>34</v>
      </c>
      <c r="D391" s="4" t="s">
        <v>48</v>
      </c>
      <c r="E391" s="4" t="s">
        <v>49</v>
      </c>
      <c r="F391" s="4" t="s">
        <v>25</v>
      </c>
      <c r="G391" s="4" t="s">
        <v>25</v>
      </c>
      <c r="H391" s="4" t="s">
        <v>35</v>
      </c>
      <c r="I391" s="5">
        <v>44348</v>
      </c>
      <c r="J391" s="6">
        <v>0</v>
      </c>
      <c r="K391" s="70">
        <v>0</v>
      </c>
      <c r="L391" s="6">
        <v>12.856</v>
      </c>
      <c r="M391" s="70">
        <v>12.856</v>
      </c>
      <c r="N391" s="6">
        <v>12.856</v>
      </c>
      <c r="O391" s="70">
        <v>12.856</v>
      </c>
      <c r="P391" s="6">
        <v>0</v>
      </c>
      <c r="Q391" s="4" t="s">
        <v>26</v>
      </c>
      <c r="R391" s="4">
        <v>0</v>
      </c>
      <c r="S391" s="6">
        <v>0</v>
      </c>
      <c r="T391" s="6">
        <v>66</v>
      </c>
      <c r="U391" s="6">
        <v>6</v>
      </c>
      <c r="V391" s="70">
        <f>IF(ISERROR(VLOOKUP($S$391,'TAR FIN'!$A$1:$O$85,15,0)),0,VLOOKUP($S$391,'TAR FIN'!$A$1:$O$85,15,0))</f>
        <v>0</v>
      </c>
      <c r="W391" s="70">
        <f>IF(ISERROR(VLOOKUP($T$391,'TAR FIN'!$A$1:$O$85,15,0)),0,VLOOKUP($T$391,'TAR FIN'!$A$1:$O$85,15,0))*(1-0.06)</f>
        <v>2127.7651999999998</v>
      </c>
      <c r="X391" s="70">
        <f>IF(ISERROR(VLOOKUP($U$391,'TAR FIN'!$A$1:$O$85,15,0)),0,VLOOKUP($U$391,'TAR FIN'!$A$1:$O$85,15,0))*(1-0.06)</f>
        <v>210.29679999999999</v>
      </c>
      <c r="Y391" s="70"/>
      <c r="Z391" s="70">
        <f ca="1">('TUSD BE'!$AM$11+'TUSD BF'!$AM$11+'TUSD CVA'!$AM$11)*1*(1-0.03)</f>
        <v>2302.4656865967704</v>
      </c>
      <c r="AA391" s="70">
        <f>('TE BE'!$AA$5+'TE BF'!$AA$5+'TE CVA'!$AA$5)*1*(1-0.03)</f>
        <v>211.10051723004204</v>
      </c>
      <c r="AB391" s="6">
        <f>$K$391*$V$391</f>
        <v>0</v>
      </c>
      <c r="AC391" s="6">
        <f>$M$391*$W$391</f>
        <v>27354.549411199998</v>
      </c>
      <c r="AD391" s="6">
        <f>$O$391*$X$391</f>
        <v>2703.5756607999997</v>
      </c>
      <c r="AE391" s="6">
        <f>$K$391*$Y$391</f>
        <v>0</v>
      </c>
      <c r="AF391" s="6">
        <f ca="1">$M$391*$Z$391</f>
        <v>29600.49886688808</v>
      </c>
      <c r="AG391" s="6">
        <f>$O$391*$AA$391</f>
        <v>2713.9082495094203</v>
      </c>
    </row>
    <row r="392" spans="1:33" ht="11.25" customHeight="1" x14ac:dyDescent="0.25">
      <c r="A392" s="4" t="s">
        <v>21</v>
      </c>
      <c r="B392" s="4" t="s">
        <v>33</v>
      </c>
      <c r="C392" s="4" t="s">
        <v>34</v>
      </c>
      <c r="D392" s="4" t="s">
        <v>48</v>
      </c>
      <c r="E392" s="4" t="s">
        <v>49</v>
      </c>
      <c r="F392" s="4" t="s">
        <v>25</v>
      </c>
      <c r="G392" s="4" t="s">
        <v>25</v>
      </c>
      <c r="H392" s="4" t="s">
        <v>35</v>
      </c>
      <c r="I392" s="5">
        <v>44378</v>
      </c>
      <c r="J392" s="6">
        <v>0</v>
      </c>
      <c r="K392" s="70">
        <v>0</v>
      </c>
      <c r="L392" s="6">
        <v>12.365</v>
      </c>
      <c r="M392" s="70">
        <v>12.365</v>
      </c>
      <c r="N392" s="6">
        <v>12.365</v>
      </c>
      <c r="O392" s="70">
        <v>12.365</v>
      </c>
      <c r="P392" s="6">
        <v>0</v>
      </c>
      <c r="Q392" s="4" t="s">
        <v>26</v>
      </c>
      <c r="R392" s="4">
        <v>0</v>
      </c>
      <c r="S392" s="6">
        <v>0</v>
      </c>
      <c r="T392" s="6">
        <v>66</v>
      </c>
      <c r="U392" s="6">
        <v>6</v>
      </c>
      <c r="V392" s="70">
        <f>IF(ISERROR(VLOOKUP($S$392,'TAR FIN'!$A$1:$O$85,15,0)),0,VLOOKUP($S$392,'TAR FIN'!$A$1:$O$85,15,0))</f>
        <v>0</v>
      </c>
      <c r="W392" s="70">
        <f>IF(ISERROR(VLOOKUP($T$392,'TAR FIN'!$A$1:$O$85,15,0)),0,VLOOKUP($T$392,'TAR FIN'!$A$1:$O$85,15,0))*(1-0.06)</f>
        <v>2127.7651999999998</v>
      </c>
      <c r="X392" s="70">
        <f>IF(ISERROR(VLOOKUP($U$392,'TAR FIN'!$A$1:$O$85,15,0)),0,VLOOKUP($U$392,'TAR FIN'!$A$1:$O$85,15,0))*(1-0.06)</f>
        <v>210.29679999999999</v>
      </c>
      <c r="Y392" s="70"/>
      <c r="Z392" s="70">
        <f ca="1">('TUSD BE'!$AM$11+'TUSD BF'!$AM$11+'TUSD CVA'!$AM$11)*1*(1-0.03)</f>
        <v>2302.4656865967704</v>
      </c>
      <c r="AA392" s="70">
        <f>('TE BE'!$AA$5+'TE BF'!$AA$5+'TE CVA'!$AA$5)*1*(1-0.03)</f>
        <v>211.10051723004204</v>
      </c>
      <c r="AB392" s="6">
        <f>$K$392*$V$392</f>
        <v>0</v>
      </c>
      <c r="AC392" s="6">
        <f>$M$392*$W$392</f>
        <v>26309.816697999999</v>
      </c>
      <c r="AD392" s="6">
        <f>$O$392*$X$392</f>
        <v>2600.3199319999999</v>
      </c>
      <c r="AE392" s="6">
        <f>$K$392*$Y$392</f>
        <v>0</v>
      </c>
      <c r="AF392" s="6">
        <f ca="1">$M$392*$Z$392</f>
        <v>28469.988214769066</v>
      </c>
      <c r="AG392" s="6">
        <f>$O$392*$AA$392</f>
        <v>2610.25789554947</v>
      </c>
    </row>
    <row r="393" spans="1:33" ht="11.25" customHeight="1" x14ac:dyDescent="0.25">
      <c r="A393" s="4" t="s">
        <v>21</v>
      </c>
      <c r="B393" s="4" t="s">
        <v>33</v>
      </c>
      <c r="C393" s="4" t="s">
        <v>34</v>
      </c>
      <c r="D393" s="4" t="s">
        <v>48</v>
      </c>
      <c r="E393" s="4" t="s">
        <v>49</v>
      </c>
      <c r="F393" s="4" t="s">
        <v>25</v>
      </c>
      <c r="G393" s="4" t="s">
        <v>25</v>
      </c>
      <c r="H393" s="4" t="s">
        <v>35</v>
      </c>
      <c r="I393" s="5">
        <v>44409</v>
      </c>
      <c r="J393" s="6">
        <v>0</v>
      </c>
      <c r="K393" s="70">
        <v>0</v>
      </c>
      <c r="L393" s="6">
        <v>13.507999999999999</v>
      </c>
      <c r="M393" s="70">
        <v>13.507999999999999</v>
      </c>
      <c r="N393" s="6">
        <v>13.507999999999999</v>
      </c>
      <c r="O393" s="70">
        <v>13.507999999999999</v>
      </c>
      <c r="P393" s="6">
        <v>0</v>
      </c>
      <c r="Q393" s="4" t="s">
        <v>26</v>
      </c>
      <c r="R393" s="4">
        <v>0</v>
      </c>
      <c r="S393" s="6">
        <v>0</v>
      </c>
      <c r="T393" s="6">
        <v>66</v>
      </c>
      <c r="U393" s="6">
        <v>6</v>
      </c>
      <c r="V393" s="70">
        <f>IF(ISERROR(VLOOKUP($S$393,'TAR FIN'!$A$1:$O$85,15,0)),0,VLOOKUP($S$393,'TAR FIN'!$A$1:$O$85,15,0))</f>
        <v>0</v>
      </c>
      <c r="W393" s="70">
        <f>IF(ISERROR(VLOOKUP($T$393,'TAR FIN'!$A$1:$O$85,15,0)),0,VLOOKUP($T$393,'TAR FIN'!$A$1:$O$85,15,0))*(1-0.06)</f>
        <v>2127.7651999999998</v>
      </c>
      <c r="X393" s="70">
        <f>IF(ISERROR(VLOOKUP($U$393,'TAR FIN'!$A$1:$O$85,15,0)),0,VLOOKUP($U$393,'TAR FIN'!$A$1:$O$85,15,0))*(1-0.06)</f>
        <v>210.29679999999999</v>
      </c>
      <c r="Y393" s="70"/>
      <c r="Z393" s="70">
        <f ca="1">('TUSD BE'!$AM$11+'TUSD BF'!$AM$11+'TUSD CVA'!$AM$11)*1*(1-0.03)</f>
        <v>2302.4656865967704</v>
      </c>
      <c r="AA393" s="70">
        <f>('TE BE'!$AA$5+'TE BF'!$AA$5+'TE CVA'!$AA$5)*1*(1-0.03)</f>
        <v>211.10051723004204</v>
      </c>
      <c r="AB393" s="6">
        <f>$K$393*$V$393</f>
        <v>0</v>
      </c>
      <c r="AC393" s="6">
        <f>$M$393*$W$393</f>
        <v>28741.852321599996</v>
      </c>
      <c r="AD393" s="6">
        <f>$O$393*$X$393</f>
        <v>2840.6891743999995</v>
      </c>
      <c r="AE393" s="6">
        <f>$K$393*$Y$393</f>
        <v>0</v>
      </c>
      <c r="AF393" s="6">
        <f ca="1">$M$393*$Z$393</f>
        <v>31101.706494549173</v>
      </c>
      <c r="AG393" s="6">
        <f>$O$393*$AA$393</f>
        <v>2851.5457867434079</v>
      </c>
    </row>
    <row r="394" spans="1:33" ht="11.25" customHeight="1" x14ac:dyDescent="0.25">
      <c r="A394" s="4" t="s">
        <v>21</v>
      </c>
      <c r="B394" s="4" t="s">
        <v>33</v>
      </c>
      <c r="C394" s="4" t="s">
        <v>34</v>
      </c>
      <c r="D394" s="4" t="s">
        <v>48</v>
      </c>
      <c r="E394" s="4" t="s">
        <v>49</v>
      </c>
      <c r="F394" s="4" t="s">
        <v>25</v>
      </c>
      <c r="G394" s="4" t="s">
        <v>25</v>
      </c>
      <c r="H394" s="4" t="s">
        <v>35</v>
      </c>
      <c r="I394" s="5">
        <v>44440</v>
      </c>
      <c r="J394" s="6">
        <v>0</v>
      </c>
      <c r="K394" s="70">
        <v>0</v>
      </c>
      <c r="L394" s="6">
        <v>13.199</v>
      </c>
      <c r="M394" s="70">
        <v>13.199</v>
      </c>
      <c r="N394" s="6">
        <v>13.199</v>
      </c>
      <c r="O394" s="70">
        <v>13.199</v>
      </c>
      <c r="P394" s="6">
        <v>0</v>
      </c>
      <c r="Q394" s="4" t="s">
        <v>26</v>
      </c>
      <c r="R394" s="4">
        <v>0</v>
      </c>
      <c r="S394" s="6">
        <v>0</v>
      </c>
      <c r="T394" s="6">
        <v>66</v>
      </c>
      <c r="U394" s="6">
        <v>6</v>
      </c>
      <c r="V394" s="70">
        <f>IF(ISERROR(VLOOKUP($S$394,'TAR FIN'!$A$1:$O$85,15,0)),0,VLOOKUP($S$394,'TAR FIN'!$A$1:$O$85,15,0))</f>
        <v>0</v>
      </c>
      <c r="W394" s="70">
        <f>IF(ISERROR(VLOOKUP($T$394,'TAR FIN'!$A$1:$O$85,15,0)),0,VLOOKUP($T$394,'TAR FIN'!$A$1:$O$85,15,0))*(1-0.06)</f>
        <v>2127.7651999999998</v>
      </c>
      <c r="X394" s="70">
        <f>IF(ISERROR(VLOOKUP($U$394,'TAR FIN'!$A$1:$O$85,15,0)),0,VLOOKUP($U$394,'TAR FIN'!$A$1:$O$85,15,0))*(1-0.06)</f>
        <v>210.29679999999999</v>
      </c>
      <c r="Y394" s="70"/>
      <c r="Z394" s="70">
        <f ca="1">('TUSD BE'!$AM$11+'TUSD BF'!$AM$11+'TUSD CVA'!$AM$11)*1*(1-0.03)</f>
        <v>2302.4656865967704</v>
      </c>
      <c r="AA394" s="70">
        <f>('TE BE'!$AA$5+'TE BF'!$AA$5+'TE CVA'!$AA$5)*1*(1-0.03)</f>
        <v>211.10051723004204</v>
      </c>
      <c r="AB394" s="6">
        <f>$K$394*$V$394</f>
        <v>0</v>
      </c>
      <c r="AC394" s="6">
        <f>$M$394*$W$394</f>
        <v>28084.372874799996</v>
      </c>
      <c r="AD394" s="6">
        <f>$O$394*$X$394</f>
        <v>2775.7074631999999</v>
      </c>
      <c r="AE394" s="6">
        <f>$K$394*$Y$394</f>
        <v>0</v>
      </c>
      <c r="AF394" s="6">
        <f ca="1">$M$394*$Z$394</f>
        <v>30390.244597390771</v>
      </c>
      <c r="AG394" s="6">
        <f>$O$394*$AA$394</f>
        <v>2786.3157269193248</v>
      </c>
    </row>
    <row r="395" spans="1:33" ht="11.25" customHeight="1" x14ac:dyDescent="0.25">
      <c r="A395" s="4" t="s">
        <v>21</v>
      </c>
      <c r="B395" s="4" t="s">
        <v>33</v>
      </c>
      <c r="C395" s="4" t="s">
        <v>34</v>
      </c>
      <c r="D395" s="4" t="s">
        <v>48</v>
      </c>
      <c r="E395" s="4" t="s">
        <v>49</v>
      </c>
      <c r="F395" s="4" t="s">
        <v>25</v>
      </c>
      <c r="G395" s="4" t="s">
        <v>25</v>
      </c>
      <c r="H395" s="4" t="s">
        <v>35</v>
      </c>
      <c r="I395" s="5">
        <v>44470</v>
      </c>
      <c r="J395" s="6">
        <v>0</v>
      </c>
      <c r="K395" s="70">
        <v>0</v>
      </c>
      <c r="L395" s="6">
        <v>12.122999999999999</v>
      </c>
      <c r="M395" s="70">
        <v>12.122999999999999</v>
      </c>
      <c r="N395" s="6">
        <v>12.122999999999999</v>
      </c>
      <c r="O395" s="70">
        <v>12.122999999999999</v>
      </c>
      <c r="P395" s="6">
        <v>0</v>
      </c>
      <c r="Q395" s="4" t="s">
        <v>26</v>
      </c>
      <c r="R395" s="4">
        <v>0</v>
      </c>
      <c r="S395" s="6">
        <v>0</v>
      </c>
      <c r="T395" s="6">
        <v>66</v>
      </c>
      <c r="U395" s="6">
        <v>6</v>
      </c>
      <c r="V395" s="70">
        <f>IF(ISERROR(VLOOKUP($S$395,'TAR FIN'!$A$1:$O$85,15,0)),0,VLOOKUP($S$395,'TAR FIN'!$A$1:$O$85,15,0))</f>
        <v>0</v>
      </c>
      <c r="W395" s="70">
        <f>IF(ISERROR(VLOOKUP($T$395,'TAR FIN'!$A$1:$O$85,15,0)),0,VLOOKUP($T$395,'TAR FIN'!$A$1:$O$85,15,0))*(1-0.06)</f>
        <v>2127.7651999999998</v>
      </c>
      <c r="X395" s="70">
        <f>IF(ISERROR(VLOOKUP($U$395,'TAR FIN'!$A$1:$O$85,15,0)),0,VLOOKUP($U$395,'TAR FIN'!$A$1:$O$85,15,0))*(1-0.06)</f>
        <v>210.29679999999999</v>
      </c>
      <c r="Y395" s="70"/>
      <c r="Z395" s="70">
        <f ca="1">('TUSD BE'!$AM$11+'TUSD BF'!$AM$11+'TUSD CVA'!$AM$11)*1*(1-0.03)</f>
        <v>2302.4656865967704</v>
      </c>
      <c r="AA395" s="70">
        <f>('TE BE'!$AA$5+'TE BF'!$AA$5+'TE CVA'!$AA$5)*1*(1-0.03)</f>
        <v>211.10051723004204</v>
      </c>
      <c r="AB395" s="6">
        <f>$K$395*$V$395</f>
        <v>0</v>
      </c>
      <c r="AC395" s="6">
        <f>$M$395*$W$395</f>
        <v>25794.897519599996</v>
      </c>
      <c r="AD395" s="6">
        <f>$O$395*$X$395</f>
        <v>2549.4281063999997</v>
      </c>
      <c r="AE395" s="6">
        <f>$K$395*$Y$395</f>
        <v>0</v>
      </c>
      <c r="AF395" s="6">
        <f ca="1">$M$395*$Z$395</f>
        <v>27912.791518612645</v>
      </c>
      <c r="AG395" s="6">
        <f>$O$395*$AA$395</f>
        <v>2559.1715703797995</v>
      </c>
    </row>
    <row r="396" spans="1:33" ht="11.25" customHeight="1" x14ac:dyDescent="0.25">
      <c r="A396" s="4" t="s">
        <v>21</v>
      </c>
      <c r="B396" s="4" t="s">
        <v>33</v>
      </c>
      <c r="C396" s="4" t="s">
        <v>34</v>
      </c>
      <c r="D396" s="4" t="s">
        <v>48</v>
      </c>
      <c r="E396" s="4" t="s">
        <v>49</v>
      </c>
      <c r="F396" s="4" t="s">
        <v>25</v>
      </c>
      <c r="G396" s="4" t="s">
        <v>25</v>
      </c>
      <c r="H396" s="4" t="s">
        <v>35</v>
      </c>
      <c r="I396" s="5">
        <v>44501</v>
      </c>
      <c r="J396" s="6">
        <v>0</v>
      </c>
      <c r="K396" s="70">
        <v>0</v>
      </c>
      <c r="L396" s="6">
        <v>13.7</v>
      </c>
      <c r="M396" s="70">
        <v>13.7</v>
      </c>
      <c r="N396" s="6">
        <v>13.7</v>
      </c>
      <c r="O396" s="70">
        <v>13.7</v>
      </c>
      <c r="P396" s="6">
        <v>0</v>
      </c>
      <c r="Q396" s="4" t="s">
        <v>26</v>
      </c>
      <c r="R396" s="4">
        <v>0</v>
      </c>
      <c r="S396" s="6">
        <v>0</v>
      </c>
      <c r="T396" s="6">
        <v>66</v>
      </c>
      <c r="U396" s="6">
        <v>6</v>
      </c>
      <c r="V396" s="70">
        <f>IF(ISERROR(VLOOKUP($S$396,'TAR FIN'!$A$1:$O$85,15,0)),0,VLOOKUP($S$396,'TAR FIN'!$A$1:$O$85,15,0))</f>
        <v>0</v>
      </c>
      <c r="W396" s="70">
        <f>IF(ISERROR(VLOOKUP($T$396,'TAR FIN'!$A$1:$O$85,15,0)),0,VLOOKUP($T$396,'TAR FIN'!$A$1:$O$85,15,0))*(1-0.06)</f>
        <v>2127.7651999999998</v>
      </c>
      <c r="X396" s="70">
        <f>IF(ISERROR(VLOOKUP($U$396,'TAR FIN'!$A$1:$O$85,15,0)),0,VLOOKUP($U$396,'TAR FIN'!$A$1:$O$85,15,0))*(1-0.06)</f>
        <v>210.29679999999999</v>
      </c>
      <c r="Y396" s="70"/>
      <c r="Z396" s="70">
        <f ca="1">('TUSD BE'!$AM$11+'TUSD BF'!$AM$11+'TUSD CVA'!$AM$11)*1*(1-0.03)</f>
        <v>2302.4656865967704</v>
      </c>
      <c r="AA396" s="70">
        <f>('TE BE'!$AA$5+'TE BF'!$AA$5+'TE CVA'!$AA$5)*1*(1-0.03)</f>
        <v>211.10051723004204</v>
      </c>
      <c r="AB396" s="6">
        <f>$K$396*$V$396</f>
        <v>0</v>
      </c>
      <c r="AC396" s="6">
        <f>$M$396*$W$396</f>
        <v>29150.383239999996</v>
      </c>
      <c r="AD396" s="6">
        <f>$O$396*$X$396</f>
        <v>2881.0661599999999</v>
      </c>
      <c r="AE396" s="6">
        <f>$K$396*$Y$396</f>
        <v>0</v>
      </c>
      <c r="AF396" s="6">
        <f ca="1">$M$396*$Z$396</f>
        <v>31543.779906375752</v>
      </c>
      <c r="AG396" s="6">
        <f>$O$396*$AA$396</f>
        <v>2892.0770860515759</v>
      </c>
    </row>
    <row r="397" spans="1:33" ht="11.25" customHeight="1" x14ac:dyDescent="0.25">
      <c r="A397" s="4" t="s">
        <v>21</v>
      </c>
      <c r="B397" s="4" t="s">
        <v>33</v>
      </c>
      <c r="C397" s="4" t="s">
        <v>34</v>
      </c>
      <c r="D397" s="4" t="s">
        <v>48</v>
      </c>
      <c r="E397" s="4" t="s">
        <v>49</v>
      </c>
      <c r="F397" s="4" t="s">
        <v>25</v>
      </c>
      <c r="G397" s="4" t="s">
        <v>25</v>
      </c>
      <c r="H397" s="4" t="s">
        <v>35</v>
      </c>
      <c r="I397" s="5">
        <v>44531</v>
      </c>
      <c r="J397" s="6">
        <v>0</v>
      </c>
      <c r="K397" s="70">
        <v>0</v>
      </c>
      <c r="L397" s="6">
        <v>14.138</v>
      </c>
      <c r="M397" s="70">
        <v>14.138</v>
      </c>
      <c r="N397" s="6">
        <v>14.138</v>
      </c>
      <c r="O397" s="70">
        <v>14.138</v>
      </c>
      <c r="P397" s="6">
        <v>0</v>
      </c>
      <c r="Q397" s="4" t="s">
        <v>26</v>
      </c>
      <c r="R397" s="4">
        <v>0</v>
      </c>
      <c r="S397" s="6">
        <v>0</v>
      </c>
      <c r="T397" s="6">
        <v>66</v>
      </c>
      <c r="U397" s="6">
        <v>6</v>
      </c>
      <c r="V397" s="70">
        <f>IF(ISERROR(VLOOKUP($S$397,'TAR FIN'!$A$1:$O$85,15,0)),0,VLOOKUP($S$397,'TAR FIN'!$A$1:$O$85,15,0))</f>
        <v>0</v>
      </c>
      <c r="W397" s="70">
        <f>IF(ISERROR(VLOOKUP($T$397,'TAR FIN'!$A$1:$O$85,15,0)),0,VLOOKUP($T$397,'TAR FIN'!$A$1:$O$85,15,0))*(1-0.06)</f>
        <v>2127.7651999999998</v>
      </c>
      <c r="X397" s="70">
        <f>IF(ISERROR(VLOOKUP($U$397,'TAR FIN'!$A$1:$O$85,15,0)),0,VLOOKUP($U$397,'TAR FIN'!$A$1:$O$85,15,0))*(1-0.06)</f>
        <v>210.29679999999999</v>
      </c>
      <c r="Y397" s="70"/>
      <c r="Z397" s="70">
        <f ca="1">('TUSD BE'!$AM$11+'TUSD BF'!$AM$11+'TUSD CVA'!$AM$11)*1*(1-0.03)</f>
        <v>2302.4656865967704</v>
      </c>
      <c r="AA397" s="70">
        <f>('TE BE'!$AA$5+'TE BF'!$AA$5+'TE CVA'!$AA$5)*1*(1-0.03)</f>
        <v>211.10051723004204</v>
      </c>
      <c r="AB397" s="6">
        <f>$K$397*$V$397</f>
        <v>0</v>
      </c>
      <c r="AC397" s="6">
        <f>$M$397*$W$397</f>
        <v>30082.344397599998</v>
      </c>
      <c r="AD397" s="6">
        <f>$O$397*$X$397</f>
        <v>2973.1761583999996</v>
      </c>
      <c r="AE397" s="6">
        <f>$K$397*$Y$397</f>
        <v>0</v>
      </c>
      <c r="AF397" s="6">
        <f ca="1">$M$397*$Z$397</f>
        <v>32552.259877105142</v>
      </c>
      <c r="AG397" s="6">
        <f>$O$397*$AA$397</f>
        <v>2984.5391125983342</v>
      </c>
    </row>
    <row r="398" spans="1:33" ht="11.25" customHeight="1" x14ac:dyDescent="0.25">
      <c r="A398" s="4" t="s">
        <v>21</v>
      </c>
      <c r="B398" s="4" t="s">
        <v>33</v>
      </c>
      <c r="C398" s="4" t="s">
        <v>34</v>
      </c>
      <c r="D398" s="4" t="s">
        <v>48</v>
      </c>
      <c r="E398" s="4" t="s">
        <v>49</v>
      </c>
      <c r="F398" s="4" t="s">
        <v>25</v>
      </c>
      <c r="G398" s="4" t="s">
        <v>25</v>
      </c>
      <c r="H398" s="4" t="s">
        <v>35</v>
      </c>
      <c r="I398" s="5">
        <v>44562</v>
      </c>
      <c r="J398" s="6">
        <v>0</v>
      </c>
      <c r="K398" s="70">
        <v>0</v>
      </c>
      <c r="L398" s="6">
        <v>13.545</v>
      </c>
      <c r="M398" s="70">
        <v>13.545</v>
      </c>
      <c r="N398" s="6">
        <v>13.545</v>
      </c>
      <c r="O398" s="70">
        <v>13.545</v>
      </c>
      <c r="P398" s="6">
        <v>0</v>
      </c>
      <c r="Q398" s="4" t="s">
        <v>26</v>
      </c>
      <c r="R398" s="4">
        <v>0</v>
      </c>
      <c r="S398" s="6">
        <v>0</v>
      </c>
      <c r="T398" s="6">
        <v>66</v>
      </c>
      <c r="U398" s="6">
        <v>6</v>
      </c>
      <c r="V398" s="70">
        <f>IF(ISERROR(VLOOKUP($S$398,'TAR FIN'!$A$1:$O$85,15,0)),0,VLOOKUP($S$398,'TAR FIN'!$A$1:$O$85,15,0))</f>
        <v>0</v>
      </c>
      <c r="W398" s="70">
        <f>IF(ISERROR(VLOOKUP($T$398,'TAR FIN'!$A$1:$O$85,15,0)),0,VLOOKUP($T$398,'TAR FIN'!$A$1:$O$85,15,0))*(1-0.06)</f>
        <v>2127.7651999999998</v>
      </c>
      <c r="X398" s="70">
        <f>IF(ISERROR(VLOOKUP($U$398,'TAR FIN'!$A$1:$O$85,15,0)),0,VLOOKUP($U$398,'TAR FIN'!$A$1:$O$85,15,0))*(1-0.06)</f>
        <v>210.29679999999999</v>
      </c>
      <c r="Y398" s="70"/>
      <c r="Z398" s="70">
        <f ca="1">('TUSD BE'!$AM$11+'TUSD BF'!$AM$11+'TUSD CVA'!$AM$11)*1*(1-0.03)</f>
        <v>2302.4656865967704</v>
      </c>
      <c r="AA398" s="70">
        <f>('TE BE'!$AA$5+'TE BF'!$AA$5+'TE CVA'!$AA$5)*1*(1-0.03)</f>
        <v>211.10051723004204</v>
      </c>
      <c r="AB398" s="6">
        <f>$K$398*$V$398</f>
        <v>0</v>
      </c>
      <c r="AC398" s="6">
        <f>$M$398*$W$398</f>
        <v>28820.579633999998</v>
      </c>
      <c r="AD398" s="6">
        <f>$O$398*$X$398</f>
        <v>2848.4701559999999</v>
      </c>
      <c r="AE398" s="6">
        <f>$K$398*$Y$398</f>
        <v>0</v>
      </c>
      <c r="AF398" s="6">
        <f ca="1">$M$398*$Z$398</f>
        <v>31186.897724953255</v>
      </c>
      <c r="AG398" s="6">
        <f>$O$398*$AA$398</f>
        <v>2859.3565058809195</v>
      </c>
    </row>
    <row r="399" spans="1:33" ht="11.25" customHeight="1" x14ac:dyDescent="0.25">
      <c r="A399" s="4" t="s">
        <v>21</v>
      </c>
      <c r="B399" s="4" t="s">
        <v>33</v>
      </c>
      <c r="C399" s="4" t="s">
        <v>34</v>
      </c>
      <c r="D399" s="4" t="s">
        <v>48</v>
      </c>
      <c r="E399" s="4" t="s">
        <v>49</v>
      </c>
      <c r="F399" s="4" t="s">
        <v>25</v>
      </c>
      <c r="G399" s="4" t="s">
        <v>25</v>
      </c>
      <c r="H399" s="4" t="s">
        <v>35</v>
      </c>
      <c r="I399" s="5">
        <v>44593</v>
      </c>
      <c r="J399" s="6">
        <v>0</v>
      </c>
      <c r="K399" s="70">
        <v>0</v>
      </c>
      <c r="L399" s="6">
        <v>16.222000000000001</v>
      </c>
      <c r="M399" s="70">
        <v>16.222000000000001</v>
      </c>
      <c r="N399" s="6">
        <v>16.222000000000001</v>
      </c>
      <c r="O399" s="70">
        <v>16.222000000000001</v>
      </c>
      <c r="P399" s="6">
        <v>0</v>
      </c>
      <c r="Q399" s="4" t="s">
        <v>26</v>
      </c>
      <c r="R399" s="4">
        <v>0</v>
      </c>
      <c r="S399" s="6">
        <v>0</v>
      </c>
      <c r="T399" s="6">
        <v>66</v>
      </c>
      <c r="U399" s="6">
        <v>6</v>
      </c>
      <c r="V399" s="70">
        <f>IF(ISERROR(VLOOKUP($S$399,'TAR FIN'!$A$1:$O$85,15,0)),0,VLOOKUP($S$399,'TAR FIN'!$A$1:$O$85,15,0))</f>
        <v>0</v>
      </c>
      <c r="W399" s="70">
        <f>IF(ISERROR(VLOOKUP($T$399,'TAR FIN'!$A$1:$O$85,15,0)),0,VLOOKUP($T$399,'TAR FIN'!$A$1:$O$85,15,0))*(1-0.06)</f>
        <v>2127.7651999999998</v>
      </c>
      <c r="X399" s="70">
        <f>IF(ISERROR(VLOOKUP($U$399,'TAR FIN'!$A$1:$O$85,15,0)),0,VLOOKUP($U$399,'TAR FIN'!$A$1:$O$85,15,0))*(1-0.06)</f>
        <v>210.29679999999999</v>
      </c>
      <c r="Y399" s="70"/>
      <c r="Z399" s="70">
        <f ca="1">('TUSD BE'!$AM$11+'TUSD BF'!$AM$11+'TUSD CVA'!$AM$11)*1*(1-0.03)</f>
        <v>2302.4656865967704</v>
      </c>
      <c r="AA399" s="70">
        <f>('TE BE'!$AA$5+'TE BF'!$AA$5+'TE CVA'!$AA$5)*1*(1-0.03)</f>
        <v>211.10051723004204</v>
      </c>
      <c r="AB399" s="6">
        <f>$K$399*$V$399</f>
        <v>0</v>
      </c>
      <c r="AC399" s="6">
        <f>$M$399*$W$399</f>
        <v>34516.607074400003</v>
      </c>
      <c r="AD399" s="6">
        <f>$O$399*$X$399</f>
        <v>3411.4346896000002</v>
      </c>
      <c r="AE399" s="6">
        <f>$K$399*$Y$399</f>
        <v>0</v>
      </c>
      <c r="AF399" s="6">
        <f ca="1">$M$399*$Z$399</f>
        <v>37350.598367972816</v>
      </c>
      <c r="AG399" s="6">
        <f>$O$399*$AA$399</f>
        <v>3424.4725905057421</v>
      </c>
    </row>
    <row r="400" spans="1:33" ht="11.25" customHeight="1" x14ac:dyDescent="0.25">
      <c r="A400" s="4" t="s">
        <v>54</v>
      </c>
      <c r="B400" s="4" t="s">
        <v>33</v>
      </c>
      <c r="C400" s="4" t="s">
        <v>34</v>
      </c>
      <c r="D400" s="4" t="s">
        <v>48</v>
      </c>
      <c r="E400" s="4" t="s">
        <v>49</v>
      </c>
      <c r="F400" s="4" t="s">
        <v>25</v>
      </c>
      <c r="G400" s="4" t="s">
        <v>25</v>
      </c>
      <c r="H400" s="4" t="s">
        <v>35</v>
      </c>
      <c r="I400" s="5">
        <v>44621</v>
      </c>
      <c r="J400" s="6">
        <v>0</v>
      </c>
      <c r="K400" s="70">
        <v>0</v>
      </c>
      <c r="L400" s="6">
        <v>16.222000000000001</v>
      </c>
      <c r="M400" s="70">
        <v>16.222000000000001</v>
      </c>
      <c r="N400" s="6">
        <v>16.222000000000001</v>
      </c>
      <c r="O400" s="70">
        <v>16.222000000000001</v>
      </c>
      <c r="P400" s="6">
        <v>0</v>
      </c>
      <c r="Q400" s="4" t="s">
        <v>26</v>
      </c>
      <c r="R400" s="4">
        <v>0</v>
      </c>
      <c r="S400" s="6">
        <v>0</v>
      </c>
      <c r="T400" s="6">
        <v>66</v>
      </c>
      <c r="U400" s="6">
        <v>6</v>
      </c>
      <c r="V400" s="70">
        <f>IF(ISERROR(VLOOKUP($S$400,'TAR FIN'!$A$1:$O$85,15,0)),0,VLOOKUP($S$400,'TAR FIN'!$A$1:$O$85,15,0))</f>
        <v>0</v>
      </c>
      <c r="W400" s="70">
        <f>IF(ISERROR(VLOOKUP($T$400,'TAR FIN'!$A$1:$O$85,15,0)),0,VLOOKUP($T$400,'TAR FIN'!$A$1:$O$85,15,0))*(1-0.06)</f>
        <v>2127.7651999999998</v>
      </c>
      <c r="X400" s="70">
        <f>IF(ISERROR(VLOOKUP($U$400,'TAR FIN'!$A$1:$O$85,15,0)),0,VLOOKUP($U$400,'TAR FIN'!$A$1:$O$85,15,0))*(1-0.06)</f>
        <v>210.29679999999999</v>
      </c>
      <c r="Y400" s="70"/>
      <c r="Z400" s="70">
        <f ca="1">('TUSD BE'!$AM$11+'TUSD BF'!$AM$11+'TUSD CVA'!$AM$11)*1*(1-0.03)</f>
        <v>2302.4656865967704</v>
      </c>
      <c r="AA400" s="70">
        <f>('TE BE'!$AA$5+'TE BF'!$AA$5+'TE CVA'!$AA$5)*1*(1-0.03)</f>
        <v>211.10051723004204</v>
      </c>
      <c r="AB400" s="6">
        <f>$K$400*$V$400</f>
        <v>0</v>
      </c>
      <c r="AC400" s="6">
        <f>$M$400*$W$400</f>
        <v>34516.607074400003</v>
      </c>
      <c r="AD400" s="6">
        <f>$O$400*$X$400</f>
        <v>3411.4346896000002</v>
      </c>
      <c r="AE400" s="6">
        <f>$K$400*$Y$400</f>
        <v>0</v>
      </c>
      <c r="AF400" s="6">
        <f ca="1">$M$400*$Z$400</f>
        <v>37350.598367972816</v>
      </c>
      <c r="AG400" s="6">
        <f>$O$400*$AA$400</f>
        <v>3424.4725905057421</v>
      </c>
    </row>
    <row r="401" spans="1:33" ht="11.25" customHeight="1" x14ac:dyDescent="0.25">
      <c r="A401" s="4" t="s">
        <v>21</v>
      </c>
      <c r="B401" s="4" t="s">
        <v>22</v>
      </c>
      <c r="C401" s="4" t="s">
        <v>23</v>
      </c>
      <c r="D401" s="4" t="s">
        <v>24</v>
      </c>
      <c r="E401" s="4" t="s">
        <v>24</v>
      </c>
      <c r="F401" s="4" t="s">
        <v>25</v>
      </c>
      <c r="G401" s="4" t="s">
        <v>25</v>
      </c>
      <c r="H401" s="4" t="s">
        <v>25</v>
      </c>
      <c r="I401" s="5">
        <v>44287</v>
      </c>
      <c r="J401" s="6">
        <v>0</v>
      </c>
      <c r="K401" s="6">
        <v>0</v>
      </c>
      <c r="L401" s="6">
        <v>2193.27</v>
      </c>
      <c r="M401" s="6">
        <v>2193.27</v>
      </c>
      <c r="N401" s="6">
        <v>2193.27</v>
      </c>
      <c r="O401" s="6">
        <v>2193.27</v>
      </c>
      <c r="P401" s="6">
        <v>8530</v>
      </c>
      <c r="Q401" s="4" t="s">
        <v>26</v>
      </c>
      <c r="R401" s="4">
        <v>0</v>
      </c>
      <c r="S401" s="6">
        <v>0</v>
      </c>
      <c r="T401" s="6">
        <v>53</v>
      </c>
      <c r="U401" s="6">
        <v>9</v>
      </c>
      <c r="V401" s="6">
        <f>IF(ISERROR(VLOOKUP($S$401,'TAR FIN'!$A$1:$O$85,15,0)),0,VLOOKUP($S$401,'TAR FIN'!$A$1:$O$85,15,0))</f>
        <v>0</v>
      </c>
      <c r="W401" s="6">
        <f>IF(ISERROR(VLOOKUP($T$401,'TAR FIN'!$A$1:$O$85,15,0)),0,VLOOKUP($T$401,'TAR FIN'!$A$1:$O$85,15,0))</f>
        <v>440.1</v>
      </c>
      <c r="X401" s="6">
        <f>IF(ISERROR(VLOOKUP($U$401,'TAR FIN'!$A$1:$O$85,15,0)),0,VLOOKUP($U$401,'TAR FIN'!$A$1:$O$85,15,0))</f>
        <v>223.72</v>
      </c>
      <c r="Y401" s="6"/>
      <c r="Z401" s="6">
        <f ca="1">('TUSD BE'!$AM$20+'TUSD BF'!$AM$20+'TUSD CVA'!$AM$20)*1</f>
        <v>494.3921362494865</v>
      </c>
      <c r="AA401" s="6">
        <f>('TE BE'!$AA$10+'TE BF'!$AA$10+'TE CVA'!$AA$10)*1</f>
        <v>217.62939920622892</v>
      </c>
      <c r="AB401" s="6">
        <f>$K$401*$V$401</f>
        <v>0</v>
      </c>
      <c r="AC401" s="6">
        <f>$M$401*$W$401</f>
        <v>965258.12700000009</v>
      </c>
      <c r="AD401" s="6">
        <f>$O$401*$X$401</f>
        <v>490678.36440000002</v>
      </c>
      <c r="AE401" s="6">
        <f>$K$401*$Y$401</f>
        <v>0</v>
      </c>
      <c r="AF401" s="6">
        <f ca="1">$M$401*$Z$401</f>
        <v>1084335.4406719112</v>
      </c>
      <c r="AG401" s="6">
        <f>$O$401*$AA$401</f>
        <v>477320.0323970457</v>
      </c>
    </row>
    <row r="402" spans="1:33" ht="11.25" customHeight="1" x14ac:dyDescent="0.25">
      <c r="A402" s="4" t="s">
        <v>27</v>
      </c>
      <c r="B402" s="4" t="s">
        <v>22</v>
      </c>
      <c r="C402" s="4" t="s">
        <v>23</v>
      </c>
      <c r="D402" s="4" t="s">
        <v>24</v>
      </c>
      <c r="E402" s="4" t="s">
        <v>24</v>
      </c>
      <c r="F402" s="4" t="s">
        <v>25</v>
      </c>
      <c r="G402" s="4" t="s">
        <v>25</v>
      </c>
      <c r="H402" s="4" t="s">
        <v>25</v>
      </c>
      <c r="I402" s="5">
        <v>44287</v>
      </c>
      <c r="J402" s="6">
        <v>0</v>
      </c>
      <c r="K402" s="6">
        <v>0</v>
      </c>
      <c r="L402" s="6">
        <v>-1.77</v>
      </c>
      <c r="M402" s="6">
        <v>-1.77</v>
      </c>
      <c r="N402" s="6">
        <v>-1.77</v>
      </c>
      <c r="O402" s="6">
        <v>-1.77</v>
      </c>
      <c r="P402" s="6">
        <v>0</v>
      </c>
      <c r="Q402" s="4" t="s">
        <v>26</v>
      </c>
      <c r="R402" s="4">
        <v>0</v>
      </c>
      <c r="S402" s="6">
        <v>0</v>
      </c>
      <c r="T402" s="6">
        <v>53</v>
      </c>
      <c r="U402" s="6">
        <v>9</v>
      </c>
      <c r="V402" s="6">
        <f>IF(ISERROR(VLOOKUP($S$402,'TAR FIN'!$A$1:$O$85,15,0)),0,VLOOKUP($S$402,'TAR FIN'!$A$1:$O$85,15,0))</f>
        <v>0</v>
      </c>
      <c r="W402" s="6">
        <f>IF(ISERROR(VLOOKUP($T$402,'TAR FIN'!$A$1:$O$85,15,0)),0,VLOOKUP($T$402,'TAR FIN'!$A$1:$O$85,15,0))</f>
        <v>440.1</v>
      </c>
      <c r="X402" s="6">
        <f>IF(ISERROR(VLOOKUP($U$402,'TAR FIN'!$A$1:$O$85,15,0)),0,VLOOKUP($U$402,'TAR FIN'!$A$1:$O$85,15,0))</f>
        <v>223.72</v>
      </c>
      <c r="Y402" s="6"/>
      <c r="Z402" s="6">
        <f ca="1">('TUSD BE'!$AM$20+'TUSD BF'!$AM$20+'TUSD CVA'!$AM$20)*1</f>
        <v>494.3921362494865</v>
      </c>
      <c r="AA402" s="6">
        <f>('TE BE'!$AA$10+'TE BF'!$AA$10+'TE CVA'!$AA$10)*1</f>
        <v>217.62939920622892</v>
      </c>
      <c r="AB402" s="6">
        <f>$K$402*$V$402</f>
        <v>0</v>
      </c>
      <c r="AC402" s="6">
        <f>$M$402*$W$402</f>
        <v>-778.97700000000009</v>
      </c>
      <c r="AD402" s="6">
        <f>$O$402*$X$402</f>
        <v>-395.98439999999999</v>
      </c>
      <c r="AE402" s="6">
        <f>$K$402*$Y$402</f>
        <v>0</v>
      </c>
      <c r="AF402" s="6">
        <f ca="1">$M$402*$Z$402</f>
        <v>-875.07408116159115</v>
      </c>
      <c r="AG402" s="6">
        <f>$O$402*$AA$402</f>
        <v>-385.20403659502517</v>
      </c>
    </row>
    <row r="403" spans="1:33" ht="11.25" customHeight="1" x14ac:dyDescent="0.25">
      <c r="A403" s="4" t="s">
        <v>28</v>
      </c>
      <c r="B403" s="4" t="s">
        <v>22</v>
      </c>
      <c r="C403" s="4" t="s">
        <v>23</v>
      </c>
      <c r="D403" s="4" t="s">
        <v>24</v>
      </c>
      <c r="E403" s="4" t="s">
        <v>24</v>
      </c>
      <c r="F403" s="4" t="s">
        <v>25</v>
      </c>
      <c r="G403" s="4" t="s">
        <v>25</v>
      </c>
      <c r="H403" s="4" t="s">
        <v>25</v>
      </c>
      <c r="I403" s="5">
        <v>44287</v>
      </c>
      <c r="J403" s="6">
        <v>0</v>
      </c>
      <c r="K403" s="6">
        <v>0</v>
      </c>
      <c r="L403" s="6">
        <v>19.829000000000001</v>
      </c>
      <c r="M403" s="6">
        <v>19.829000000000001</v>
      </c>
      <c r="N403" s="6">
        <v>19.829000000000001</v>
      </c>
      <c r="O403" s="6">
        <v>19.829000000000001</v>
      </c>
      <c r="P403" s="6">
        <v>60</v>
      </c>
      <c r="Q403" s="4" t="s">
        <v>26</v>
      </c>
      <c r="R403" s="4">
        <v>0</v>
      </c>
      <c r="S403" s="6">
        <v>0</v>
      </c>
      <c r="T403" s="6">
        <v>53</v>
      </c>
      <c r="U403" s="6">
        <v>9</v>
      </c>
      <c r="V403" s="6">
        <f>IF(ISERROR(VLOOKUP($S$403,'TAR FIN'!$A$1:$O$85,15,0)),0,VLOOKUP($S$403,'TAR FIN'!$A$1:$O$85,15,0))</f>
        <v>0</v>
      </c>
      <c r="W403" s="6">
        <f>IF(ISERROR(VLOOKUP($T$403,'TAR FIN'!$A$1:$O$85,15,0)),0,VLOOKUP($T$403,'TAR FIN'!$A$1:$O$85,15,0))</f>
        <v>440.1</v>
      </c>
      <c r="X403" s="6">
        <f>IF(ISERROR(VLOOKUP($U$403,'TAR FIN'!$A$1:$O$85,15,0)),0,VLOOKUP($U$403,'TAR FIN'!$A$1:$O$85,15,0))</f>
        <v>223.72</v>
      </c>
      <c r="Y403" s="6"/>
      <c r="Z403" s="6">
        <f ca="1">('TUSD BE'!$AM$20+'TUSD BF'!$AM$20+'TUSD CVA'!$AM$20)*1</f>
        <v>494.3921362494865</v>
      </c>
      <c r="AA403" s="6">
        <f>('TE BE'!$AA$10+'TE BF'!$AA$10+'TE CVA'!$AA$10)*1</f>
        <v>217.62939920622892</v>
      </c>
      <c r="AB403" s="6">
        <f>$K$403*$V$403</f>
        <v>0</v>
      </c>
      <c r="AC403" s="6">
        <f>$M$403*$W$403</f>
        <v>8726.7429000000011</v>
      </c>
      <c r="AD403" s="6">
        <f>$O$403*$X$403</f>
        <v>4436.1438800000005</v>
      </c>
      <c r="AE403" s="6">
        <f>$K$403*$Y$403</f>
        <v>0</v>
      </c>
      <c r="AF403" s="6">
        <f ca="1">$M$403*$Z$403</f>
        <v>9803.3016696910672</v>
      </c>
      <c r="AG403" s="6">
        <f>$O$403*$AA$403</f>
        <v>4315.3733568603138</v>
      </c>
    </row>
    <row r="404" spans="1:33" ht="11.25" customHeight="1" x14ac:dyDescent="0.25">
      <c r="A404" s="4" t="s">
        <v>21</v>
      </c>
      <c r="B404" s="4" t="s">
        <v>22</v>
      </c>
      <c r="C404" s="4" t="s">
        <v>23</v>
      </c>
      <c r="D404" s="4" t="s">
        <v>24</v>
      </c>
      <c r="E404" s="4" t="s">
        <v>24</v>
      </c>
      <c r="F404" s="4" t="s">
        <v>25</v>
      </c>
      <c r="G404" s="4" t="s">
        <v>25</v>
      </c>
      <c r="H404" s="4" t="s">
        <v>25</v>
      </c>
      <c r="I404" s="5">
        <v>44317</v>
      </c>
      <c r="J404" s="6">
        <v>0</v>
      </c>
      <c r="K404" s="6">
        <v>0</v>
      </c>
      <c r="L404" s="6">
        <v>1905.6780000000001</v>
      </c>
      <c r="M404" s="6">
        <v>1905.6780000000001</v>
      </c>
      <c r="N404" s="6">
        <v>1905.6780000000001</v>
      </c>
      <c r="O404" s="6">
        <v>1905.6780000000001</v>
      </c>
      <c r="P404" s="6">
        <v>8589</v>
      </c>
      <c r="Q404" s="4" t="s">
        <v>26</v>
      </c>
      <c r="R404" s="4">
        <v>0</v>
      </c>
      <c r="S404" s="6">
        <v>0</v>
      </c>
      <c r="T404" s="6">
        <v>53</v>
      </c>
      <c r="U404" s="6">
        <v>9</v>
      </c>
      <c r="V404" s="6">
        <f>IF(ISERROR(VLOOKUP($S$404,'TAR FIN'!$A$1:$O$85,15,0)),0,VLOOKUP($S$404,'TAR FIN'!$A$1:$O$85,15,0))</f>
        <v>0</v>
      </c>
      <c r="W404" s="6">
        <f>IF(ISERROR(VLOOKUP($T$404,'TAR FIN'!$A$1:$O$85,15,0)),0,VLOOKUP($T$404,'TAR FIN'!$A$1:$O$85,15,0))</f>
        <v>440.1</v>
      </c>
      <c r="X404" s="6">
        <f>IF(ISERROR(VLOOKUP($U$404,'TAR FIN'!$A$1:$O$85,15,0)),0,VLOOKUP($U$404,'TAR FIN'!$A$1:$O$85,15,0))</f>
        <v>223.72</v>
      </c>
      <c r="Y404" s="6"/>
      <c r="Z404" s="6">
        <f ca="1">('TUSD BE'!$AM$20+'TUSD BF'!$AM$20+'TUSD CVA'!$AM$20)*1</f>
        <v>494.3921362494865</v>
      </c>
      <c r="AA404" s="6">
        <f>('TE BE'!$AA$10+'TE BF'!$AA$10+'TE CVA'!$AA$10)*1</f>
        <v>217.62939920622892</v>
      </c>
      <c r="AB404" s="6">
        <f>$K$404*$V$404</f>
        <v>0</v>
      </c>
      <c r="AC404" s="6">
        <f>$M$404*$W$404</f>
        <v>838688.88780000014</v>
      </c>
      <c r="AD404" s="6">
        <f>$O$404*$X$404</f>
        <v>426338.28216</v>
      </c>
      <c r="AE404" s="6">
        <f>$K$404*$Y$404</f>
        <v>0</v>
      </c>
      <c r="AF404" s="6">
        <f ca="1">$M$404*$Z$404</f>
        <v>942152.21742364904</v>
      </c>
      <c r="AG404" s="6">
        <f>$O$404*$AA$404</f>
        <v>414731.55822052795</v>
      </c>
    </row>
    <row r="405" spans="1:33" ht="11.25" customHeight="1" x14ac:dyDescent="0.25">
      <c r="A405" s="4" t="s">
        <v>27</v>
      </c>
      <c r="B405" s="4" t="s">
        <v>22</v>
      </c>
      <c r="C405" s="4" t="s">
        <v>23</v>
      </c>
      <c r="D405" s="4" t="s">
        <v>24</v>
      </c>
      <c r="E405" s="4" t="s">
        <v>24</v>
      </c>
      <c r="F405" s="4" t="s">
        <v>25</v>
      </c>
      <c r="G405" s="4" t="s">
        <v>25</v>
      </c>
      <c r="H405" s="4" t="s">
        <v>25</v>
      </c>
      <c r="I405" s="5">
        <v>44317</v>
      </c>
      <c r="J405" s="6">
        <v>0</v>
      </c>
      <c r="K405" s="6">
        <v>0</v>
      </c>
      <c r="L405" s="6">
        <v>-4.58</v>
      </c>
      <c r="M405" s="6">
        <v>-4.58</v>
      </c>
      <c r="N405" s="6">
        <v>-4.58</v>
      </c>
      <c r="O405" s="6">
        <v>-4.58</v>
      </c>
      <c r="P405" s="6">
        <v>0</v>
      </c>
      <c r="Q405" s="4" t="s">
        <v>26</v>
      </c>
      <c r="R405" s="4">
        <v>0</v>
      </c>
      <c r="S405" s="6">
        <v>0</v>
      </c>
      <c r="T405" s="6">
        <v>53</v>
      </c>
      <c r="U405" s="6">
        <v>9</v>
      </c>
      <c r="V405" s="6">
        <f>IF(ISERROR(VLOOKUP($S$405,'TAR FIN'!$A$1:$O$85,15,0)),0,VLOOKUP($S$405,'TAR FIN'!$A$1:$O$85,15,0))</f>
        <v>0</v>
      </c>
      <c r="W405" s="6">
        <f>IF(ISERROR(VLOOKUP($T$405,'TAR FIN'!$A$1:$O$85,15,0)),0,VLOOKUP($T$405,'TAR FIN'!$A$1:$O$85,15,0))</f>
        <v>440.1</v>
      </c>
      <c r="X405" s="6">
        <f>IF(ISERROR(VLOOKUP($U$405,'TAR FIN'!$A$1:$O$85,15,0)),0,VLOOKUP($U$405,'TAR FIN'!$A$1:$O$85,15,0))</f>
        <v>223.72</v>
      </c>
      <c r="Y405" s="6"/>
      <c r="Z405" s="6">
        <f ca="1">('TUSD BE'!$AM$20+'TUSD BF'!$AM$20+'TUSD CVA'!$AM$20)*1</f>
        <v>494.3921362494865</v>
      </c>
      <c r="AA405" s="6">
        <f>('TE BE'!$AA$10+'TE BF'!$AA$10+'TE CVA'!$AA$10)*1</f>
        <v>217.62939920622892</v>
      </c>
      <c r="AB405" s="6">
        <f>$K$405*$V$405</f>
        <v>0</v>
      </c>
      <c r="AC405" s="6">
        <f>$M$405*$W$405</f>
        <v>-2015.6580000000001</v>
      </c>
      <c r="AD405" s="6">
        <f>$O$405*$X$405</f>
        <v>-1024.6376</v>
      </c>
      <c r="AE405" s="6">
        <f>$K$405*$Y$405</f>
        <v>0</v>
      </c>
      <c r="AF405" s="6">
        <f ca="1">$M$405*$Z$405</f>
        <v>-2264.3159840226481</v>
      </c>
      <c r="AG405" s="6">
        <f>$O$405*$AA$405</f>
        <v>-996.74264836452846</v>
      </c>
    </row>
    <row r="406" spans="1:33" ht="11.25" customHeight="1" x14ac:dyDescent="0.25">
      <c r="A406" s="4" t="s">
        <v>28</v>
      </c>
      <c r="B406" s="4" t="s">
        <v>22</v>
      </c>
      <c r="C406" s="4" t="s">
        <v>23</v>
      </c>
      <c r="D406" s="4" t="s">
        <v>24</v>
      </c>
      <c r="E406" s="4" t="s">
        <v>24</v>
      </c>
      <c r="F406" s="4" t="s">
        <v>25</v>
      </c>
      <c r="G406" s="4" t="s">
        <v>25</v>
      </c>
      <c r="H406" s="4" t="s">
        <v>25</v>
      </c>
      <c r="I406" s="5">
        <v>44317</v>
      </c>
      <c r="J406" s="6">
        <v>0</v>
      </c>
      <c r="K406" s="6">
        <v>0</v>
      </c>
      <c r="L406" s="6">
        <v>21.742000000000001</v>
      </c>
      <c r="M406" s="6">
        <v>21.742000000000001</v>
      </c>
      <c r="N406" s="6">
        <v>21.742000000000001</v>
      </c>
      <c r="O406" s="6">
        <v>21.742000000000001</v>
      </c>
      <c r="P406" s="6">
        <v>63</v>
      </c>
      <c r="Q406" s="4" t="s">
        <v>26</v>
      </c>
      <c r="R406" s="4">
        <v>0</v>
      </c>
      <c r="S406" s="6">
        <v>0</v>
      </c>
      <c r="T406" s="6">
        <v>53</v>
      </c>
      <c r="U406" s="6">
        <v>9</v>
      </c>
      <c r="V406" s="6">
        <f>IF(ISERROR(VLOOKUP($S$406,'TAR FIN'!$A$1:$O$85,15,0)),0,VLOOKUP($S$406,'TAR FIN'!$A$1:$O$85,15,0))</f>
        <v>0</v>
      </c>
      <c r="W406" s="6">
        <f>IF(ISERROR(VLOOKUP($T$406,'TAR FIN'!$A$1:$O$85,15,0)),0,VLOOKUP($T$406,'TAR FIN'!$A$1:$O$85,15,0))</f>
        <v>440.1</v>
      </c>
      <c r="X406" s="6">
        <f>IF(ISERROR(VLOOKUP($U$406,'TAR FIN'!$A$1:$O$85,15,0)),0,VLOOKUP($U$406,'TAR FIN'!$A$1:$O$85,15,0))</f>
        <v>223.72</v>
      </c>
      <c r="Y406" s="6"/>
      <c r="Z406" s="6">
        <f ca="1">('TUSD BE'!$AM$20+'TUSD BF'!$AM$20+'TUSD CVA'!$AM$20)*1</f>
        <v>494.3921362494865</v>
      </c>
      <c r="AA406" s="6">
        <f>('TE BE'!$AA$10+'TE BF'!$AA$10+'TE CVA'!$AA$10)*1</f>
        <v>217.62939920622892</v>
      </c>
      <c r="AB406" s="6">
        <f>$K$406*$V$406</f>
        <v>0</v>
      </c>
      <c r="AC406" s="6">
        <f>$M$406*$W$406</f>
        <v>9568.6542000000009</v>
      </c>
      <c r="AD406" s="6">
        <f>$O$406*$X$406</f>
        <v>4864.1202400000002</v>
      </c>
      <c r="AE406" s="6">
        <f>$K$406*$Y$406</f>
        <v>0</v>
      </c>
      <c r="AF406" s="6">
        <f ca="1">$M$406*$Z$406</f>
        <v>10749.073826336336</v>
      </c>
      <c r="AG406" s="6">
        <f>$O$406*$AA$406</f>
        <v>4731.6983975418298</v>
      </c>
    </row>
    <row r="407" spans="1:33" ht="11.25" customHeight="1" x14ac:dyDescent="0.25">
      <c r="A407" s="4" t="s">
        <v>21</v>
      </c>
      <c r="B407" s="4" t="s">
        <v>22</v>
      </c>
      <c r="C407" s="4" t="s">
        <v>23</v>
      </c>
      <c r="D407" s="4" t="s">
        <v>24</v>
      </c>
      <c r="E407" s="4" t="s">
        <v>24</v>
      </c>
      <c r="F407" s="4" t="s">
        <v>25</v>
      </c>
      <c r="G407" s="4" t="s">
        <v>25</v>
      </c>
      <c r="H407" s="4" t="s">
        <v>25</v>
      </c>
      <c r="I407" s="5">
        <v>44348</v>
      </c>
      <c r="J407" s="6">
        <v>0</v>
      </c>
      <c r="K407" s="6">
        <v>0</v>
      </c>
      <c r="L407" s="6">
        <v>1775.2840000000001</v>
      </c>
      <c r="M407" s="6">
        <v>1775.2840000000001</v>
      </c>
      <c r="N407" s="6">
        <v>1775.2840000000001</v>
      </c>
      <c r="O407" s="6">
        <v>1775.2840000000001</v>
      </c>
      <c r="P407" s="6">
        <v>8695</v>
      </c>
      <c r="Q407" s="4" t="s">
        <v>26</v>
      </c>
      <c r="R407" s="4">
        <v>0</v>
      </c>
      <c r="S407" s="6">
        <v>0</v>
      </c>
      <c r="T407" s="6">
        <v>53</v>
      </c>
      <c r="U407" s="6">
        <v>9</v>
      </c>
      <c r="V407" s="6">
        <f>IF(ISERROR(VLOOKUP($S$407,'TAR FIN'!$A$1:$O$85,15,0)),0,VLOOKUP($S$407,'TAR FIN'!$A$1:$O$85,15,0))</f>
        <v>0</v>
      </c>
      <c r="W407" s="6">
        <f>IF(ISERROR(VLOOKUP($T$407,'TAR FIN'!$A$1:$O$85,15,0)),0,VLOOKUP($T$407,'TAR FIN'!$A$1:$O$85,15,0))</f>
        <v>440.1</v>
      </c>
      <c r="X407" s="6">
        <f>IF(ISERROR(VLOOKUP($U$407,'TAR FIN'!$A$1:$O$85,15,0)),0,VLOOKUP($U$407,'TAR FIN'!$A$1:$O$85,15,0))</f>
        <v>223.72</v>
      </c>
      <c r="Y407" s="6"/>
      <c r="Z407" s="6">
        <f ca="1">('TUSD BE'!$AM$20+'TUSD BF'!$AM$20+'TUSD CVA'!$AM$20)*1</f>
        <v>494.3921362494865</v>
      </c>
      <c r="AA407" s="6">
        <f>('TE BE'!$AA$10+'TE BF'!$AA$10+'TE CVA'!$AA$10)*1</f>
        <v>217.62939920622892</v>
      </c>
      <c r="AB407" s="6">
        <f>$K$407*$V$407</f>
        <v>0</v>
      </c>
      <c r="AC407" s="6">
        <f>$M$407*$W$407</f>
        <v>781302.48840000003</v>
      </c>
      <c r="AD407" s="6">
        <f>$O$407*$X$407</f>
        <v>397166.53648000001</v>
      </c>
      <c r="AE407" s="6">
        <f>$K$407*$Y$407</f>
        <v>0</v>
      </c>
      <c r="AF407" s="6">
        <f ca="1">$M$407*$Z$407</f>
        <v>877686.4492095334</v>
      </c>
      <c r="AG407" s="6">
        <f>$O$407*$AA$407</f>
        <v>386353.99034043093</v>
      </c>
    </row>
    <row r="408" spans="1:33" ht="11.25" customHeight="1" x14ac:dyDescent="0.25">
      <c r="A408" s="4" t="s">
        <v>27</v>
      </c>
      <c r="B408" s="4" t="s">
        <v>22</v>
      </c>
      <c r="C408" s="4" t="s">
        <v>23</v>
      </c>
      <c r="D408" s="4" t="s">
        <v>24</v>
      </c>
      <c r="E408" s="4" t="s">
        <v>24</v>
      </c>
      <c r="F408" s="4" t="s">
        <v>25</v>
      </c>
      <c r="G408" s="4" t="s">
        <v>25</v>
      </c>
      <c r="H408" s="4" t="s">
        <v>25</v>
      </c>
      <c r="I408" s="5">
        <v>44348</v>
      </c>
      <c r="J408" s="6">
        <v>0</v>
      </c>
      <c r="K408" s="6">
        <v>0</v>
      </c>
      <c r="L408" s="6">
        <v>-0.875</v>
      </c>
      <c r="M408" s="6">
        <v>-0.875</v>
      </c>
      <c r="N408" s="6">
        <v>-0.875</v>
      </c>
      <c r="O408" s="6">
        <v>-0.875</v>
      </c>
      <c r="P408" s="6">
        <v>0</v>
      </c>
      <c r="Q408" s="4" t="s">
        <v>26</v>
      </c>
      <c r="R408" s="4">
        <v>0</v>
      </c>
      <c r="S408" s="6">
        <v>0</v>
      </c>
      <c r="T408" s="6">
        <v>53</v>
      </c>
      <c r="U408" s="6">
        <v>9</v>
      </c>
      <c r="V408" s="6">
        <f>IF(ISERROR(VLOOKUP($S$408,'TAR FIN'!$A$1:$O$85,15,0)),0,VLOOKUP($S$408,'TAR FIN'!$A$1:$O$85,15,0))</f>
        <v>0</v>
      </c>
      <c r="W408" s="6">
        <f>IF(ISERROR(VLOOKUP($T$408,'TAR FIN'!$A$1:$O$85,15,0)),0,VLOOKUP($T$408,'TAR FIN'!$A$1:$O$85,15,0))</f>
        <v>440.1</v>
      </c>
      <c r="X408" s="6">
        <f>IF(ISERROR(VLOOKUP($U$408,'TAR FIN'!$A$1:$O$85,15,0)),0,VLOOKUP($U$408,'TAR FIN'!$A$1:$O$85,15,0))</f>
        <v>223.72</v>
      </c>
      <c r="Y408" s="6"/>
      <c r="Z408" s="6">
        <f ca="1">('TUSD BE'!$AM$20+'TUSD BF'!$AM$20+'TUSD CVA'!$AM$20)*1</f>
        <v>494.3921362494865</v>
      </c>
      <c r="AA408" s="6">
        <f>('TE BE'!$AA$10+'TE BF'!$AA$10+'TE CVA'!$AA$10)*1</f>
        <v>217.62939920622892</v>
      </c>
      <c r="AB408" s="6">
        <f>$K$408*$V$408</f>
        <v>0</v>
      </c>
      <c r="AC408" s="6">
        <f>$M$408*$W$408</f>
        <v>-385.08750000000003</v>
      </c>
      <c r="AD408" s="6">
        <f>$O$408*$X$408</f>
        <v>-195.755</v>
      </c>
      <c r="AE408" s="6">
        <f>$K$408*$Y$408</f>
        <v>0</v>
      </c>
      <c r="AF408" s="6">
        <f ca="1">$M$408*$Z$408</f>
        <v>-432.59311921830067</v>
      </c>
      <c r="AG408" s="6">
        <f>$O$408*$AA$408</f>
        <v>-190.4257243054503</v>
      </c>
    </row>
    <row r="409" spans="1:33" ht="11.25" customHeight="1" x14ac:dyDescent="0.25">
      <c r="A409" s="4" t="s">
        <v>28</v>
      </c>
      <c r="B409" s="4" t="s">
        <v>22</v>
      </c>
      <c r="C409" s="4" t="s">
        <v>23</v>
      </c>
      <c r="D409" s="4" t="s">
        <v>24</v>
      </c>
      <c r="E409" s="4" t="s">
        <v>24</v>
      </c>
      <c r="F409" s="4" t="s">
        <v>25</v>
      </c>
      <c r="G409" s="4" t="s">
        <v>25</v>
      </c>
      <c r="H409" s="4" t="s">
        <v>25</v>
      </c>
      <c r="I409" s="5">
        <v>44348</v>
      </c>
      <c r="J409" s="6">
        <v>0</v>
      </c>
      <c r="K409" s="6">
        <v>0</v>
      </c>
      <c r="L409" s="6">
        <v>21.11</v>
      </c>
      <c r="M409" s="6">
        <v>21.11</v>
      </c>
      <c r="N409" s="6">
        <v>21.11</v>
      </c>
      <c r="O409" s="6">
        <v>21.11</v>
      </c>
      <c r="P409" s="6">
        <v>63</v>
      </c>
      <c r="Q409" s="4" t="s">
        <v>26</v>
      </c>
      <c r="R409" s="4">
        <v>0</v>
      </c>
      <c r="S409" s="6">
        <v>0</v>
      </c>
      <c r="T409" s="6">
        <v>53</v>
      </c>
      <c r="U409" s="6">
        <v>9</v>
      </c>
      <c r="V409" s="6">
        <f>IF(ISERROR(VLOOKUP($S$409,'TAR FIN'!$A$1:$O$85,15,0)),0,VLOOKUP($S$409,'TAR FIN'!$A$1:$O$85,15,0))</f>
        <v>0</v>
      </c>
      <c r="W409" s="6">
        <f>IF(ISERROR(VLOOKUP($T$409,'TAR FIN'!$A$1:$O$85,15,0)),0,VLOOKUP($T$409,'TAR FIN'!$A$1:$O$85,15,0))</f>
        <v>440.1</v>
      </c>
      <c r="X409" s="6">
        <f>IF(ISERROR(VLOOKUP($U$409,'TAR FIN'!$A$1:$O$85,15,0)),0,VLOOKUP($U$409,'TAR FIN'!$A$1:$O$85,15,0))</f>
        <v>223.72</v>
      </c>
      <c r="Y409" s="6"/>
      <c r="Z409" s="6">
        <f ca="1">('TUSD BE'!$AM$20+'TUSD BF'!$AM$20+'TUSD CVA'!$AM$20)*1</f>
        <v>494.3921362494865</v>
      </c>
      <c r="AA409" s="6">
        <f>('TE BE'!$AA$10+'TE BF'!$AA$10+'TE CVA'!$AA$10)*1</f>
        <v>217.62939920622892</v>
      </c>
      <c r="AB409" s="6">
        <f>$K$409*$V$409</f>
        <v>0</v>
      </c>
      <c r="AC409" s="6">
        <f>$M$409*$W$409</f>
        <v>9290.5110000000004</v>
      </c>
      <c r="AD409" s="6">
        <f>$O$409*$X$409</f>
        <v>4722.7291999999998</v>
      </c>
      <c r="AE409" s="6">
        <f>$K$409*$Y$409</f>
        <v>0</v>
      </c>
      <c r="AF409" s="6">
        <f ca="1">$M$409*$Z$409</f>
        <v>10436.61799622666</v>
      </c>
      <c r="AG409" s="6">
        <f>$O$409*$AA$409</f>
        <v>4594.1566172434923</v>
      </c>
    </row>
    <row r="410" spans="1:33" ht="11.25" customHeight="1" x14ac:dyDescent="0.25">
      <c r="A410" s="4" t="s">
        <v>21</v>
      </c>
      <c r="B410" s="4" t="s">
        <v>22</v>
      </c>
      <c r="C410" s="4" t="s">
        <v>23</v>
      </c>
      <c r="D410" s="4" t="s">
        <v>24</v>
      </c>
      <c r="E410" s="4" t="s">
        <v>24</v>
      </c>
      <c r="F410" s="4" t="s">
        <v>25</v>
      </c>
      <c r="G410" s="4" t="s">
        <v>25</v>
      </c>
      <c r="H410" s="4" t="s">
        <v>25</v>
      </c>
      <c r="I410" s="5">
        <v>44378</v>
      </c>
      <c r="J410" s="6">
        <v>0</v>
      </c>
      <c r="K410" s="6">
        <v>0</v>
      </c>
      <c r="L410" s="6">
        <v>1794.009</v>
      </c>
      <c r="M410" s="6">
        <v>1794.009</v>
      </c>
      <c r="N410" s="6">
        <v>1794.009</v>
      </c>
      <c r="O410" s="6">
        <v>1794.009</v>
      </c>
      <c r="P410" s="6">
        <v>8747</v>
      </c>
      <c r="Q410" s="4" t="s">
        <v>26</v>
      </c>
      <c r="R410" s="4">
        <v>0</v>
      </c>
      <c r="S410" s="6">
        <v>0</v>
      </c>
      <c r="T410" s="6">
        <v>53</v>
      </c>
      <c r="U410" s="6">
        <v>9</v>
      </c>
      <c r="V410" s="6">
        <f>IF(ISERROR(VLOOKUP($S$410,'TAR FIN'!$A$1:$O$85,15,0)),0,VLOOKUP($S$410,'TAR FIN'!$A$1:$O$85,15,0))</f>
        <v>0</v>
      </c>
      <c r="W410" s="6">
        <f>IF(ISERROR(VLOOKUP($T$410,'TAR FIN'!$A$1:$O$85,15,0)),0,VLOOKUP($T$410,'TAR FIN'!$A$1:$O$85,15,0))</f>
        <v>440.1</v>
      </c>
      <c r="X410" s="6">
        <f>IF(ISERROR(VLOOKUP($U$410,'TAR FIN'!$A$1:$O$85,15,0)),0,VLOOKUP($U$410,'TAR FIN'!$A$1:$O$85,15,0))</f>
        <v>223.72</v>
      </c>
      <c r="Y410" s="6"/>
      <c r="Z410" s="6">
        <f ca="1">('TUSD BE'!$AM$20+'TUSD BF'!$AM$20+'TUSD CVA'!$AM$20)*1</f>
        <v>494.3921362494865</v>
      </c>
      <c r="AA410" s="6">
        <f>('TE BE'!$AA$10+'TE BF'!$AA$10+'TE CVA'!$AA$10)*1</f>
        <v>217.62939920622892</v>
      </c>
      <c r="AB410" s="6">
        <f>$K$410*$V$410</f>
        <v>0</v>
      </c>
      <c r="AC410" s="6">
        <f>$M$410*$W$410</f>
        <v>789543.36090000009</v>
      </c>
      <c r="AD410" s="6">
        <f>$O$410*$X$410</f>
        <v>401355.69348000002</v>
      </c>
      <c r="AE410" s="6">
        <f>$K$410*$Y$410</f>
        <v>0</v>
      </c>
      <c r="AF410" s="6">
        <f ca="1">$M$410*$Z$410</f>
        <v>886943.94196080498</v>
      </c>
      <c r="AG410" s="6">
        <f>$O$410*$AA$410</f>
        <v>390429.10084056755</v>
      </c>
    </row>
    <row r="411" spans="1:33" ht="11.25" customHeight="1" x14ac:dyDescent="0.25">
      <c r="A411" s="4" t="s">
        <v>27</v>
      </c>
      <c r="B411" s="4" t="s">
        <v>22</v>
      </c>
      <c r="C411" s="4" t="s">
        <v>23</v>
      </c>
      <c r="D411" s="4" t="s">
        <v>24</v>
      </c>
      <c r="E411" s="4" t="s">
        <v>24</v>
      </c>
      <c r="F411" s="4" t="s">
        <v>25</v>
      </c>
      <c r="G411" s="4" t="s">
        <v>25</v>
      </c>
      <c r="H411" s="4" t="s">
        <v>25</v>
      </c>
      <c r="I411" s="5">
        <v>44378</v>
      </c>
      <c r="J411" s="6">
        <v>0</v>
      </c>
      <c r="K411" s="6">
        <v>0</v>
      </c>
      <c r="L411" s="6">
        <v>-1.389</v>
      </c>
      <c r="M411" s="6">
        <v>-1.389</v>
      </c>
      <c r="N411" s="6">
        <v>-1.389</v>
      </c>
      <c r="O411" s="6">
        <v>-1.389</v>
      </c>
      <c r="P411" s="6">
        <v>0</v>
      </c>
      <c r="Q411" s="4" t="s">
        <v>26</v>
      </c>
      <c r="R411" s="4">
        <v>0</v>
      </c>
      <c r="S411" s="6">
        <v>0</v>
      </c>
      <c r="T411" s="6">
        <v>53</v>
      </c>
      <c r="U411" s="6">
        <v>9</v>
      </c>
      <c r="V411" s="6">
        <f>IF(ISERROR(VLOOKUP($S$411,'TAR FIN'!$A$1:$O$85,15,0)),0,VLOOKUP($S$411,'TAR FIN'!$A$1:$O$85,15,0))</f>
        <v>0</v>
      </c>
      <c r="W411" s="6">
        <f>IF(ISERROR(VLOOKUP($T$411,'TAR FIN'!$A$1:$O$85,15,0)),0,VLOOKUP($T$411,'TAR FIN'!$A$1:$O$85,15,0))</f>
        <v>440.1</v>
      </c>
      <c r="X411" s="6">
        <f>IF(ISERROR(VLOOKUP($U$411,'TAR FIN'!$A$1:$O$85,15,0)),0,VLOOKUP($U$411,'TAR FIN'!$A$1:$O$85,15,0))</f>
        <v>223.72</v>
      </c>
      <c r="Y411" s="6"/>
      <c r="Z411" s="6">
        <f ca="1">('TUSD BE'!$AM$20+'TUSD BF'!$AM$20+'TUSD CVA'!$AM$20)*1</f>
        <v>494.3921362494865</v>
      </c>
      <c r="AA411" s="6">
        <f>('TE BE'!$AA$10+'TE BF'!$AA$10+'TE CVA'!$AA$10)*1</f>
        <v>217.62939920622892</v>
      </c>
      <c r="AB411" s="6">
        <f>$K$411*$V$411</f>
        <v>0</v>
      </c>
      <c r="AC411" s="6">
        <f>$M$411*$W$411</f>
        <v>-611.2989</v>
      </c>
      <c r="AD411" s="6">
        <f>$O$411*$X$411</f>
        <v>-310.74707999999998</v>
      </c>
      <c r="AE411" s="6">
        <f>$K$411*$Y$411</f>
        <v>0</v>
      </c>
      <c r="AF411" s="6">
        <f ca="1">$M$411*$Z$411</f>
        <v>-686.71067725053672</v>
      </c>
      <c r="AG411" s="6">
        <f>$O$411*$AA$411</f>
        <v>-302.287235497452</v>
      </c>
    </row>
    <row r="412" spans="1:33" ht="11.25" customHeight="1" x14ac:dyDescent="0.25">
      <c r="A412" s="4" t="s">
        <v>28</v>
      </c>
      <c r="B412" s="4" t="s">
        <v>22</v>
      </c>
      <c r="C412" s="4" t="s">
        <v>23</v>
      </c>
      <c r="D412" s="4" t="s">
        <v>24</v>
      </c>
      <c r="E412" s="4" t="s">
        <v>24</v>
      </c>
      <c r="F412" s="4" t="s">
        <v>25</v>
      </c>
      <c r="G412" s="4" t="s">
        <v>25</v>
      </c>
      <c r="H412" s="4" t="s">
        <v>25</v>
      </c>
      <c r="I412" s="5">
        <v>44378</v>
      </c>
      <c r="J412" s="6">
        <v>0</v>
      </c>
      <c r="K412" s="6">
        <v>0</v>
      </c>
      <c r="L412" s="6">
        <v>21.29</v>
      </c>
      <c r="M412" s="6">
        <v>21.29</v>
      </c>
      <c r="N412" s="6">
        <v>21.29</v>
      </c>
      <c r="O412" s="6">
        <v>21.29</v>
      </c>
      <c r="P412" s="6">
        <v>72</v>
      </c>
      <c r="Q412" s="4" t="s">
        <v>26</v>
      </c>
      <c r="R412" s="4">
        <v>0</v>
      </c>
      <c r="S412" s="6">
        <v>0</v>
      </c>
      <c r="T412" s="6">
        <v>53</v>
      </c>
      <c r="U412" s="6">
        <v>9</v>
      </c>
      <c r="V412" s="6">
        <f>IF(ISERROR(VLOOKUP($S$412,'TAR FIN'!$A$1:$O$85,15,0)),0,VLOOKUP($S$412,'TAR FIN'!$A$1:$O$85,15,0))</f>
        <v>0</v>
      </c>
      <c r="W412" s="6">
        <f>IF(ISERROR(VLOOKUP($T$412,'TAR FIN'!$A$1:$O$85,15,0)),0,VLOOKUP($T$412,'TAR FIN'!$A$1:$O$85,15,0))</f>
        <v>440.1</v>
      </c>
      <c r="X412" s="6">
        <f>IF(ISERROR(VLOOKUP($U$412,'TAR FIN'!$A$1:$O$85,15,0)),0,VLOOKUP($U$412,'TAR FIN'!$A$1:$O$85,15,0))</f>
        <v>223.72</v>
      </c>
      <c r="Y412" s="6"/>
      <c r="Z412" s="6">
        <f ca="1">('TUSD BE'!$AM$20+'TUSD BF'!$AM$20+'TUSD CVA'!$AM$20)*1</f>
        <v>494.3921362494865</v>
      </c>
      <c r="AA412" s="6">
        <f>('TE BE'!$AA$10+'TE BF'!$AA$10+'TE CVA'!$AA$10)*1</f>
        <v>217.62939920622892</v>
      </c>
      <c r="AB412" s="6">
        <f>$K$412*$V$412</f>
        <v>0</v>
      </c>
      <c r="AC412" s="6">
        <f>$M$412*$W$412</f>
        <v>9369.7289999999994</v>
      </c>
      <c r="AD412" s="6">
        <f>$O$412*$X$412</f>
        <v>4762.9987999999994</v>
      </c>
      <c r="AE412" s="6">
        <f>$K$412*$Y$412</f>
        <v>0</v>
      </c>
      <c r="AF412" s="6">
        <f ca="1">$M$412*$Z$412</f>
        <v>10525.608580751566</v>
      </c>
      <c r="AG412" s="6">
        <f>$O$412*$AA$412</f>
        <v>4633.3299091006138</v>
      </c>
    </row>
    <row r="413" spans="1:33" ht="11.25" customHeight="1" x14ac:dyDescent="0.25">
      <c r="A413" s="4" t="s">
        <v>28</v>
      </c>
      <c r="B413" s="4" t="s">
        <v>22</v>
      </c>
      <c r="C413" s="4" t="s">
        <v>23</v>
      </c>
      <c r="D413" s="4" t="s">
        <v>24</v>
      </c>
      <c r="E413" s="4" t="s">
        <v>24</v>
      </c>
      <c r="F413" s="4" t="s">
        <v>25</v>
      </c>
      <c r="G413" s="4" t="s">
        <v>25</v>
      </c>
      <c r="H413" s="4" t="s">
        <v>25</v>
      </c>
      <c r="I413" s="5">
        <v>44378</v>
      </c>
      <c r="J413" s="6">
        <v>0</v>
      </c>
      <c r="K413" s="6">
        <v>0</v>
      </c>
      <c r="L413" s="6">
        <v>-3.9E-2</v>
      </c>
      <c r="M413" s="6">
        <v>-3.9E-2</v>
      </c>
      <c r="N413" s="6">
        <v>-3.9E-2</v>
      </c>
      <c r="O413" s="6">
        <v>-3.9E-2</v>
      </c>
      <c r="P413" s="6">
        <v>9</v>
      </c>
      <c r="Q413" s="4" t="s">
        <v>26</v>
      </c>
      <c r="R413" s="4">
        <v>0</v>
      </c>
      <c r="S413" s="6">
        <v>0</v>
      </c>
      <c r="T413" s="6">
        <v>53</v>
      </c>
      <c r="U413" s="6">
        <v>9</v>
      </c>
      <c r="V413" s="6">
        <f>IF(ISERROR(VLOOKUP($S$413,'TAR FIN'!$A$1:$O$85,15,0)),0,VLOOKUP($S$413,'TAR FIN'!$A$1:$O$85,15,0))</f>
        <v>0</v>
      </c>
      <c r="W413" s="6">
        <f>IF(ISERROR(VLOOKUP($T$413,'TAR FIN'!$A$1:$O$85,15,0)),0,VLOOKUP($T$413,'TAR FIN'!$A$1:$O$85,15,0))</f>
        <v>440.1</v>
      </c>
      <c r="X413" s="6">
        <f>IF(ISERROR(VLOOKUP($U$413,'TAR FIN'!$A$1:$O$85,15,0)),0,VLOOKUP($U$413,'TAR FIN'!$A$1:$O$85,15,0))</f>
        <v>223.72</v>
      </c>
      <c r="Y413" s="6"/>
      <c r="Z413" s="6">
        <f ca="1">('TUSD BE'!$AM$20+'TUSD BF'!$AM$20+'TUSD CVA'!$AM$20)*1</f>
        <v>494.3921362494865</v>
      </c>
      <c r="AA413" s="6">
        <f>('TE BE'!$AA$10+'TE BF'!$AA$10+'TE CVA'!$AA$10)*1</f>
        <v>217.62939920622892</v>
      </c>
      <c r="AB413" s="6">
        <f>$K$413*$V$413</f>
        <v>0</v>
      </c>
      <c r="AC413" s="6">
        <f>$M$413*$W$413</f>
        <v>-17.163900000000002</v>
      </c>
      <c r="AD413" s="6">
        <f>$O$413*$X$413</f>
        <v>-8.7250800000000002</v>
      </c>
      <c r="AE413" s="6">
        <f>$K$413*$Y$413</f>
        <v>0</v>
      </c>
      <c r="AF413" s="6">
        <f ca="1">$M$413*$Z$413</f>
        <v>-19.281293313729975</v>
      </c>
      <c r="AG413" s="6">
        <f>$O$413*$AA$413</f>
        <v>-8.4875465690429284</v>
      </c>
    </row>
    <row r="414" spans="1:33" ht="11.25" customHeight="1" x14ac:dyDescent="0.25">
      <c r="A414" s="4" t="s">
        <v>21</v>
      </c>
      <c r="B414" s="4" t="s">
        <v>22</v>
      </c>
      <c r="C414" s="4" t="s">
        <v>23</v>
      </c>
      <c r="D414" s="4" t="s">
        <v>24</v>
      </c>
      <c r="E414" s="4" t="s">
        <v>24</v>
      </c>
      <c r="F414" s="4" t="s">
        <v>25</v>
      </c>
      <c r="G414" s="4" t="s">
        <v>25</v>
      </c>
      <c r="H414" s="4" t="s">
        <v>25</v>
      </c>
      <c r="I414" s="5">
        <v>44409</v>
      </c>
      <c r="J414" s="6">
        <v>0</v>
      </c>
      <c r="K414" s="6">
        <v>0</v>
      </c>
      <c r="L414" s="6">
        <v>1843.434</v>
      </c>
      <c r="M414" s="6">
        <v>1843.434</v>
      </c>
      <c r="N414" s="6">
        <v>1843.434</v>
      </c>
      <c r="O414" s="6">
        <v>1843.434</v>
      </c>
      <c r="P414" s="6">
        <v>8818</v>
      </c>
      <c r="Q414" s="4" t="s">
        <v>26</v>
      </c>
      <c r="R414" s="4">
        <v>0</v>
      </c>
      <c r="S414" s="6">
        <v>0</v>
      </c>
      <c r="T414" s="6">
        <v>53</v>
      </c>
      <c r="U414" s="6">
        <v>9</v>
      </c>
      <c r="V414" s="6">
        <f>IF(ISERROR(VLOOKUP($S$414,'TAR FIN'!$A$1:$O$85,15,0)),0,VLOOKUP($S$414,'TAR FIN'!$A$1:$O$85,15,0))</f>
        <v>0</v>
      </c>
      <c r="W414" s="6">
        <f>IF(ISERROR(VLOOKUP($T$414,'TAR FIN'!$A$1:$O$85,15,0)),0,VLOOKUP($T$414,'TAR FIN'!$A$1:$O$85,15,0))</f>
        <v>440.1</v>
      </c>
      <c r="X414" s="6">
        <f>IF(ISERROR(VLOOKUP($U$414,'TAR FIN'!$A$1:$O$85,15,0)),0,VLOOKUP($U$414,'TAR FIN'!$A$1:$O$85,15,0))</f>
        <v>223.72</v>
      </c>
      <c r="Y414" s="6"/>
      <c r="Z414" s="6">
        <f ca="1">('TUSD BE'!$AM$20+'TUSD BF'!$AM$20+'TUSD CVA'!$AM$20)*1</f>
        <v>494.3921362494865</v>
      </c>
      <c r="AA414" s="6">
        <f>('TE BE'!$AA$10+'TE BF'!$AA$10+'TE CVA'!$AA$10)*1</f>
        <v>217.62939920622892</v>
      </c>
      <c r="AB414" s="6">
        <f>$K$414*$V$414</f>
        <v>0</v>
      </c>
      <c r="AC414" s="6">
        <f>$M$414*$W$414</f>
        <v>811295.30339999998</v>
      </c>
      <c r="AD414" s="6">
        <f>$O$414*$X$414</f>
        <v>412413.05447999999</v>
      </c>
      <c r="AE414" s="6">
        <f>$K$414*$Y$414</f>
        <v>0</v>
      </c>
      <c r="AF414" s="6">
        <f ca="1">$M$414*$Z$414</f>
        <v>911379.27329493593</v>
      </c>
      <c r="AG414" s="6">
        <f>$O$414*$AA$414</f>
        <v>401185.43389633542</v>
      </c>
    </row>
    <row r="415" spans="1:33" ht="11.25" customHeight="1" x14ac:dyDescent="0.25">
      <c r="A415" s="4" t="s">
        <v>27</v>
      </c>
      <c r="B415" s="4" t="s">
        <v>22</v>
      </c>
      <c r="C415" s="4" t="s">
        <v>23</v>
      </c>
      <c r="D415" s="4" t="s">
        <v>24</v>
      </c>
      <c r="E415" s="4" t="s">
        <v>24</v>
      </c>
      <c r="F415" s="4" t="s">
        <v>25</v>
      </c>
      <c r="G415" s="4" t="s">
        <v>25</v>
      </c>
      <c r="H415" s="4" t="s">
        <v>25</v>
      </c>
      <c r="I415" s="5">
        <v>44409</v>
      </c>
      <c r="J415" s="6">
        <v>0</v>
      </c>
      <c r="K415" s="6">
        <v>0</v>
      </c>
      <c r="L415" s="6">
        <v>-7.4560000000000004</v>
      </c>
      <c r="M415" s="6">
        <v>-7.4560000000000004</v>
      </c>
      <c r="N415" s="6">
        <v>-7.4560000000000004</v>
      </c>
      <c r="O415" s="6">
        <v>-7.4560000000000004</v>
      </c>
      <c r="P415" s="6">
        <v>0</v>
      </c>
      <c r="Q415" s="4" t="s">
        <v>26</v>
      </c>
      <c r="R415" s="4">
        <v>0</v>
      </c>
      <c r="S415" s="6">
        <v>0</v>
      </c>
      <c r="T415" s="6">
        <v>53</v>
      </c>
      <c r="U415" s="6">
        <v>9</v>
      </c>
      <c r="V415" s="6">
        <f>IF(ISERROR(VLOOKUP($S$415,'TAR FIN'!$A$1:$O$85,15,0)),0,VLOOKUP($S$415,'TAR FIN'!$A$1:$O$85,15,0))</f>
        <v>0</v>
      </c>
      <c r="W415" s="6">
        <f>IF(ISERROR(VLOOKUP($T$415,'TAR FIN'!$A$1:$O$85,15,0)),0,VLOOKUP($T$415,'TAR FIN'!$A$1:$O$85,15,0))</f>
        <v>440.1</v>
      </c>
      <c r="X415" s="6">
        <f>IF(ISERROR(VLOOKUP($U$415,'TAR FIN'!$A$1:$O$85,15,0)),0,VLOOKUP($U$415,'TAR FIN'!$A$1:$O$85,15,0))</f>
        <v>223.72</v>
      </c>
      <c r="Y415" s="6"/>
      <c r="Z415" s="6">
        <f ca="1">('TUSD BE'!$AM$20+'TUSD BF'!$AM$20+'TUSD CVA'!$AM$20)*1</f>
        <v>494.3921362494865</v>
      </c>
      <c r="AA415" s="6">
        <f>('TE BE'!$AA$10+'TE BF'!$AA$10+'TE CVA'!$AA$10)*1</f>
        <v>217.62939920622892</v>
      </c>
      <c r="AB415" s="6">
        <f>$K$415*$V$415</f>
        <v>0</v>
      </c>
      <c r="AC415" s="6">
        <f>$M$415*$W$415</f>
        <v>-3281.3856000000005</v>
      </c>
      <c r="AD415" s="6">
        <f>$O$415*$X$415</f>
        <v>-1668.0563200000001</v>
      </c>
      <c r="AE415" s="6">
        <f>$K$415*$Y$415</f>
        <v>0</v>
      </c>
      <c r="AF415" s="6">
        <f ca="1">$M$415*$Z$415</f>
        <v>-3686.1877678761716</v>
      </c>
      <c r="AG415" s="6">
        <f>$O$415*$AA$415</f>
        <v>-1622.644800481643</v>
      </c>
    </row>
    <row r="416" spans="1:33" ht="11.25" customHeight="1" x14ac:dyDescent="0.25">
      <c r="A416" s="4" t="s">
        <v>28</v>
      </c>
      <c r="B416" s="4" t="s">
        <v>22</v>
      </c>
      <c r="C416" s="4" t="s">
        <v>23</v>
      </c>
      <c r="D416" s="4" t="s">
        <v>24</v>
      </c>
      <c r="E416" s="4" t="s">
        <v>24</v>
      </c>
      <c r="F416" s="4" t="s">
        <v>25</v>
      </c>
      <c r="G416" s="4" t="s">
        <v>25</v>
      </c>
      <c r="H416" s="4" t="s">
        <v>25</v>
      </c>
      <c r="I416" s="5">
        <v>44409</v>
      </c>
      <c r="J416" s="6">
        <v>0</v>
      </c>
      <c r="K416" s="6">
        <v>0</v>
      </c>
      <c r="L416" s="6">
        <v>19.457999999999998</v>
      </c>
      <c r="M416" s="6">
        <v>19.457999999999998</v>
      </c>
      <c r="N416" s="6">
        <v>19.457999999999998</v>
      </c>
      <c r="O416" s="6">
        <v>19.457999999999998</v>
      </c>
      <c r="P416" s="6">
        <v>75</v>
      </c>
      <c r="Q416" s="4" t="s">
        <v>26</v>
      </c>
      <c r="R416" s="4">
        <v>0</v>
      </c>
      <c r="S416" s="6">
        <v>0</v>
      </c>
      <c r="T416" s="6">
        <v>53</v>
      </c>
      <c r="U416" s="6">
        <v>9</v>
      </c>
      <c r="V416" s="6">
        <f>IF(ISERROR(VLOOKUP($S$416,'TAR FIN'!$A$1:$O$85,15,0)),0,VLOOKUP($S$416,'TAR FIN'!$A$1:$O$85,15,0))</f>
        <v>0</v>
      </c>
      <c r="W416" s="6">
        <f>IF(ISERROR(VLOOKUP($T$416,'TAR FIN'!$A$1:$O$85,15,0)),0,VLOOKUP($T$416,'TAR FIN'!$A$1:$O$85,15,0))</f>
        <v>440.1</v>
      </c>
      <c r="X416" s="6">
        <f>IF(ISERROR(VLOOKUP($U$416,'TAR FIN'!$A$1:$O$85,15,0)),0,VLOOKUP($U$416,'TAR FIN'!$A$1:$O$85,15,0))</f>
        <v>223.72</v>
      </c>
      <c r="Y416" s="6"/>
      <c r="Z416" s="6">
        <f ca="1">('TUSD BE'!$AM$20+'TUSD BF'!$AM$20+'TUSD CVA'!$AM$20)*1</f>
        <v>494.3921362494865</v>
      </c>
      <c r="AA416" s="6">
        <f>('TE BE'!$AA$10+'TE BF'!$AA$10+'TE CVA'!$AA$10)*1</f>
        <v>217.62939920622892</v>
      </c>
      <c r="AB416" s="6">
        <f>$K$416*$V$416</f>
        <v>0</v>
      </c>
      <c r="AC416" s="6">
        <f>$M$416*$W$416</f>
        <v>8563.4657999999999</v>
      </c>
      <c r="AD416" s="6">
        <f>$O$416*$X$416</f>
        <v>4353.1437599999999</v>
      </c>
      <c r="AE416" s="6">
        <f>$K$416*$Y$416</f>
        <v>0</v>
      </c>
      <c r="AF416" s="6">
        <f ca="1">$M$416*$Z$416</f>
        <v>9619.882187142508</v>
      </c>
      <c r="AG416" s="6">
        <f>$O$416*$AA$416</f>
        <v>4234.632849754802</v>
      </c>
    </row>
    <row r="417" spans="1:33" ht="11.25" customHeight="1" x14ac:dyDescent="0.25">
      <c r="A417" s="4" t="s">
        <v>21</v>
      </c>
      <c r="B417" s="4" t="s">
        <v>22</v>
      </c>
      <c r="C417" s="4" t="s">
        <v>23</v>
      </c>
      <c r="D417" s="4" t="s">
        <v>24</v>
      </c>
      <c r="E417" s="4" t="s">
        <v>24</v>
      </c>
      <c r="F417" s="4" t="s">
        <v>25</v>
      </c>
      <c r="G417" s="4" t="s">
        <v>25</v>
      </c>
      <c r="H417" s="4" t="s">
        <v>25</v>
      </c>
      <c r="I417" s="5">
        <v>44440</v>
      </c>
      <c r="J417" s="6">
        <v>0</v>
      </c>
      <c r="K417" s="6">
        <v>0</v>
      </c>
      <c r="L417" s="6">
        <v>1945.261</v>
      </c>
      <c r="M417" s="6">
        <v>1945.261</v>
      </c>
      <c r="N417" s="6">
        <v>1945.261</v>
      </c>
      <c r="O417" s="6">
        <v>1945.261</v>
      </c>
      <c r="P417" s="6">
        <v>8866</v>
      </c>
      <c r="Q417" s="4" t="s">
        <v>26</v>
      </c>
      <c r="R417" s="4">
        <v>0</v>
      </c>
      <c r="S417" s="6">
        <v>0</v>
      </c>
      <c r="T417" s="6">
        <v>53</v>
      </c>
      <c r="U417" s="6">
        <v>9</v>
      </c>
      <c r="V417" s="6">
        <f>IF(ISERROR(VLOOKUP($S$417,'TAR FIN'!$A$1:$O$85,15,0)),0,VLOOKUP($S$417,'TAR FIN'!$A$1:$O$85,15,0))</f>
        <v>0</v>
      </c>
      <c r="W417" s="6">
        <f>IF(ISERROR(VLOOKUP($T$417,'TAR FIN'!$A$1:$O$85,15,0)),0,VLOOKUP($T$417,'TAR FIN'!$A$1:$O$85,15,0))</f>
        <v>440.1</v>
      </c>
      <c r="X417" s="6">
        <f>IF(ISERROR(VLOOKUP($U$417,'TAR FIN'!$A$1:$O$85,15,0)),0,VLOOKUP($U$417,'TAR FIN'!$A$1:$O$85,15,0))</f>
        <v>223.72</v>
      </c>
      <c r="Y417" s="6"/>
      <c r="Z417" s="6">
        <f ca="1">('TUSD BE'!$AM$20+'TUSD BF'!$AM$20+'TUSD CVA'!$AM$20)*1</f>
        <v>494.3921362494865</v>
      </c>
      <c r="AA417" s="6">
        <f>('TE BE'!$AA$10+'TE BF'!$AA$10+'TE CVA'!$AA$10)*1</f>
        <v>217.62939920622892</v>
      </c>
      <c r="AB417" s="6">
        <f>$K$417*$V$417</f>
        <v>0</v>
      </c>
      <c r="AC417" s="6">
        <f>$M$417*$W$417</f>
        <v>856109.36609999998</v>
      </c>
      <c r="AD417" s="6">
        <f>$O$417*$X$417</f>
        <v>435193.79092</v>
      </c>
      <c r="AE417" s="6">
        <f>$K$417*$Y$417</f>
        <v>0</v>
      </c>
      <c r="AF417" s="6">
        <f ca="1">$M$417*$Z$417</f>
        <v>961721.74135281239</v>
      </c>
      <c r="AG417" s="6">
        <f>$O$417*$AA$417</f>
        <v>423345.98272930807</v>
      </c>
    </row>
    <row r="418" spans="1:33" ht="11.25" customHeight="1" x14ac:dyDescent="0.25">
      <c r="A418" s="4" t="s">
        <v>27</v>
      </c>
      <c r="B418" s="4" t="s">
        <v>22</v>
      </c>
      <c r="C418" s="4" t="s">
        <v>23</v>
      </c>
      <c r="D418" s="4" t="s">
        <v>24</v>
      </c>
      <c r="E418" s="4" t="s">
        <v>24</v>
      </c>
      <c r="F418" s="4" t="s">
        <v>25</v>
      </c>
      <c r="G418" s="4" t="s">
        <v>25</v>
      </c>
      <c r="H418" s="4" t="s">
        <v>25</v>
      </c>
      <c r="I418" s="5">
        <v>44440</v>
      </c>
      <c r="J418" s="6">
        <v>0</v>
      </c>
      <c r="K418" s="6">
        <v>0</v>
      </c>
      <c r="L418" s="6">
        <v>-1.0069999999999999</v>
      </c>
      <c r="M418" s="6">
        <v>-1.0069999999999999</v>
      </c>
      <c r="N418" s="6">
        <v>-1.0069999999999999</v>
      </c>
      <c r="O418" s="6">
        <v>-1.0069999999999999</v>
      </c>
      <c r="P418" s="6">
        <v>0</v>
      </c>
      <c r="Q418" s="4" t="s">
        <v>26</v>
      </c>
      <c r="R418" s="4">
        <v>0</v>
      </c>
      <c r="S418" s="6">
        <v>0</v>
      </c>
      <c r="T418" s="6">
        <v>53</v>
      </c>
      <c r="U418" s="6">
        <v>9</v>
      </c>
      <c r="V418" s="6">
        <f>IF(ISERROR(VLOOKUP($S$418,'TAR FIN'!$A$1:$O$85,15,0)),0,VLOOKUP($S$418,'TAR FIN'!$A$1:$O$85,15,0))</f>
        <v>0</v>
      </c>
      <c r="W418" s="6">
        <f>IF(ISERROR(VLOOKUP($T$418,'TAR FIN'!$A$1:$O$85,15,0)),0,VLOOKUP($T$418,'TAR FIN'!$A$1:$O$85,15,0))</f>
        <v>440.1</v>
      </c>
      <c r="X418" s="6">
        <f>IF(ISERROR(VLOOKUP($U$418,'TAR FIN'!$A$1:$O$85,15,0)),0,VLOOKUP($U$418,'TAR FIN'!$A$1:$O$85,15,0))</f>
        <v>223.72</v>
      </c>
      <c r="Y418" s="6"/>
      <c r="Z418" s="6">
        <f ca="1">('TUSD BE'!$AM$20+'TUSD BF'!$AM$20+'TUSD CVA'!$AM$20)*1</f>
        <v>494.3921362494865</v>
      </c>
      <c r="AA418" s="6">
        <f>('TE BE'!$AA$10+'TE BF'!$AA$10+'TE CVA'!$AA$10)*1</f>
        <v>217.62939920622892</v>
      </c>
      <c r="AB418" s="6">
        <f>$K$418*$V$418</f>
        <v>0</v>
      </c>
      <c r="AC418" s="6">
        <f>$M$418*$W$418</f>
        <v>-443.1807</v>
      </c>
      <c r="AD418" s="6">
        <f>$O$418*$X$418</f>
        <v>-225.28603999999999</v>
      </c>
      <c r="AE418" s="6">
        <f>$K$418*$Y$418</f>
        <v>0</v>
      </c>
      <c r="AF418" s="6">
        <f ca="1">$M$418*$Z$418</f>
        <v>-497.85288120323287</v>
      </c>
      <c r="AG418" s="6">
        <f>$O$418*$AA$418</f>
        <v>-219.15280500067252</v>
      </c>
    </row>
    <row r="419" spans="1:33" ht="11.25" customHeight="1" x14ac:dyDescent="0.25">
      <c r="A419" s="4" t="s">
        <v>28</v>
      </c>
      <c r="B419" s="4" t="s">
        <v>22</v>
      </c>
      <c r="C419" s="4" t="s">
        <v>23</v>
      </c>
      <c r="D419" s="4" t="s">
        <v>24</v>
      </c>
      <c r="E419" s="4" t="s">
        <v>24</v>
      </c>
      <c r="F419" s="4" t="s">
        <v>25</v>
      </c>
      <c r="G419" s="4" t="s">
        <v>25</v>
      </c>
      <c r="H419" s="4" t="s">
        <v>25</v>
      </c>
      <c r="I419" s="5">
        <v>44440</v>
      </c>
      <c r="J419" s="6">
        <v>0</v>
      </c>
      <c r="K419" s="6">
        <v>0</v>
      </c>
      <c r="L419" s="6">
        <v>22.57</v>
      </c>
      <c r="M419" s="6">
        <v>22.57</v>
      </c>
      <c r="N419" s="6">
        <v>22.57</v>
      </c>
      <c r="O419" s="6">
        <v>22.57</v>
      </c>
      <c r="P419" s="6">
        <v>83</v>
      </c>
      <c r="Q419" s="4" t="s">
        <v>26</v>
      </c>
      <c r="R419" s="4">
        <v>0</v>
      </c>
      <c r="S419" s="6">
        <v>0</v>
      </c>
      <c r="T419" s="6">
        <v>53</v>
      </c>
      <c r="U419" s="6">
        <v>9</v>
      </c>
      <c r="V419" s="6">
        <f>IF(ISERROR(VLOOKUP($S$419,'TAR FIN'!$A$1:$O$85,15,0)),0,VLOOKUP($S$419,'TAR FIN'!$A$1:$O$85,15,0))</f>
        <v>0</v>
      </c>
      <c r="W419" s="6">
        <f>IF(ISERROR(VLOOKUP($T$419,'TAR FIN'!$A$1:$O$85,15,0)),0,VLOOKUP($T$419,'TAR FIN'!$A$1:$O$85,15,0))</f>
        <v>440.1</v>
      </c>
      <c r="X419" s="6">
        <f>IF(ISERROR(VLOOKUP($U$419,'TAR FIN'!$A$1:$O$85,15,0)),0,VLOOKUP($U$419,'TAR FIN'!$A$1:$O$85,15,0))</f>
        <v>223.72</v>
      </c>
      <c r="Y419" s="6"/>
      <c r="Z419" s="6">
        <f ca="1">('TUSD BE'!$AM$20+'TUSD BF'!$AM$20+'TUSD CVA'!$AM$20)*1</f>
        <v>494.3921362494865</v>
      </c>
      <c r="AA419" s="6">
        <f>('TE BE'!$AA$10+'TE BF'!$AA$10+'TE CVA'!$AA$10)*1</f>
        <v>217.62939920622892</v>
      </c>
      <c r="AB419" s="6">
        <f>$K$419*$V$419</f>
        <v>0</v>
      </c>
      <c r="AC419" s="6">
        <f>$M$419*$W$419</f>
        <v>9933.0570000000007</v>
      </c>
      <c r="AD419" s="6">
        <f>$O$419*$X$419</f>
        <v>5049.3604000000005</v>
      </c>
      <c r="AE419" s="6">
        <f>$K$419*$Y$419</f>
        <v>0</v>
      </c>
      <c r="AF419" s="6">
        <f ca="1">$M$419*$Z$419</f>
        <v>11158.430515150911</v>
      </c>
      <c r="AG419" s="6">
        <f>$O$419*$AA$419</f>
        <v>4911.8955400845871</v>
      </c>
    </row>
    <row r="420" spans="1:33" ht="11.25" customHeight="1" x14ac:dyDescent="0.25">
      <c r="A420" s="4" t="s">
        <v>28</v>
      </c>
      <c r="B420" s="4" t="s">
        <v>22</v>
      </c>
      <c r="C420" s="4" t="s">
        <v>23</v>
      </c>
      <c r="D420" s="4" t="s">
        <v>24</v>
      </c>
      <c r="E420" s="4" t="s">
        <v>24</v>
      </c>
      <c r="F420" s="4" t="s">
        <v>25</v>
      </c>
      <c r="G420" s="4" t="s">
        <v>25</v>
      </c>
      <c r="H420" s="4" t="s">
        <v>25</v>
      </c>
      <c r="I420" s="5">
        <v>44440</v>
      </c>
      <c r="J420" s="6">
        <v>0</v>
      </c>
      <c r="K420" s="6">
        <v>0</v>
      </c>
      <c r="L420" s="6">
        <v>0.114</v>
      </c>
      <c r="M420" s="6">
        <v>0.114</v>
      </c>
      <c r="N420" s="6">
        <v>0.114</v>
      </c>
      <c r="O420" s="6">
        <v>0.114</v>
      </c>
      <c r="P420" s="6">
        <v>1</v>
      </c>
      <c r="Q420" s="4" t="s">
        <v>26</v>
      </c>
      <c r="R420" s="4">
        <v>0</v>
      </c>
      <c r="S420" s="6">
        <v>0</v>
      </c>
      <c r="T420" s="6">
        <v>53</v>
      </c>
      <c r="U420" s="6">
        <v>9</v>
      </c>
      <c r="V420" s="6">
        <f>IF(ISERROR(VLOOKUP($S$420,'TAR FIN'!$A$1:$O$85,15,0)),0,VLOOKUP($S$420,'TAR FIN'!$A$1:$O$85,15,0))</f>
        <v>0</v>
      </c>
      <c r="W420" s="6">
        <f>IF(ISERROR(VLOOKUP($T$420,'TAR FIN'!$A$1:$O$85,15,0)),0,VLOOKUP($T$420,'TAR FIN'!$A$1:$O$85,15,0))</f>
        <v>440.1</v>
      </c>
      <c r="X420" s="6">
        <f>IF(ISERROR(VLOOKUP($U$420,'TAR FIN'!$A$1:$O$85,15,0)),0,VLOOKUP($U$420,'TAR FIN'!$A$1:$O$85,15,0))</f>
        <v>223.72</v>
      </c>
      <c r="Y420" s="6"/>
      <c r="Z420" s="6">
        <f ca="1">('TUSD BE'!$AM$20+'TUSD BF'!$AM$20+'TUSD CVA'!$AM$20)*1</f>
        <v>494.3921362494865</v>
      </c>
      <c r="AA420" s="6">
        <f>('TE BE'!$AA$10+'TE BF'!$AA$10+'TE CVA'!$AA$10)*1</f>
        <v>217.62939920622892</v>
      </c>
      <c r="AB420" s="6">
        <f>$K$420*$V$420</f>
        <v>0</v>
      </c>
      <c r="AC420" s="6">
        <f>$M$420*$W$420</f>
        <v>50.171400000000006</v>
      </c>
      <c r="AD420" s="6">
        <f>$O$420*$X$420</f>
        <v>25.504080000000002</v>
      </c>
      <c r="AE420" s="6">
        <f>$K$420*$Y$420</f>
        <v>0</v>
      </c>
      <c r="AF420" s="6">
        <f ca="1">$M$420*$Z$420</f>
        <v>56.360703532441462</v>
      </c>
      <c r="AG420" s="6">
        <f>$O$420*$AA$420</f>
        <v>24.809751509510097</v>
      </c>
    </row>
    <row r="421" spans="1:33" ht="11.25" customHeight="1" x14ac:dyDescent="0.25">
      <c r="A421" s="4" t="s">
        <v>21</v>
      </c>
      <c r="B421" s="4" t="s">
        <v>22</v>
      </c>
      <c r="C421" s="4" t="s">
        <v>23</v>
      </c>
      <c r="D421" s="4" t="s">
        <v>24</v>
      </c>
      <c r="E421" s="4" t="s">
        <v>24</v>
      </c>
      <c r="F421" s="4" t="s">
        <v>25</v>
      </c>
      <c r="G421" s="4" t="s">
        <v>25</v>
      </c>
      <c r="H421" s="4" t="s">
        <v>25</v>
      </c>
      <c r="I421" s="5">
        <v>44470</v>
      </c>
      <c r="J421" s="6">
        <v>0</v>
      </c>
      <c r="K421" s="6">
        <v>0</v>
      </c>
      <c r="L421" s="6">
        <v>1757.075</v>
      </c>
      <c r="M421" s="6">
        <v>1757.075</v>
      </c>
      <c r="N421" s="6">
        <v>1757.075</v>
      </c>
      <c r="O421" s="6">
        <v>1757.075</v>
      </c>
      <c r="P421" s="6">
        <v>8922</v>
      </c>
      <c r="Q421" s="4" t="s">
        <v>26</v>
      </c>
      <c r="R421" s="4">
        <v>0</v>
      </c>
      <c r="S421" s="6">
        <v>0</v>
      </c>
      <c r="T421" s="6">
        <v>53</v>
      </c>
      <c r="U421" s="6">
        <v>9</v>
      </c>
      <c r="V421" s="6">
        <f>IF(ISERROR(VLOOKUP($S$421,'TAR FIN'!$A$1:$O$85,15,0)),0,VLOOKUP($S$421,'TAR FIN'!$A$1:$O$85,15,0))</f>
        <v>0</v>
      </c>
      <c r="W421" s="6">
        <f>IF(ISERROR(VLOOKUP($T$421,'TAR FIN'!$A$1:$O$85,15,0)),0,VLOOKUP($T$421,'TAR FIN'!$A$1:$O$85,15,0))</f>
        <v>440.1</v>
      </c>
      <c r="X421" s="6">
        <f>IF(ISERROR(VLOOKUP($U$421,'TAR FIN'!$A$1:$O$85,15,0)),0,VLOOKUP($U$421,'TAR FIN'!$A$1:$O$85,15,0))</f>
        <v>223.72</v>
      </c>
      <c r="Y421" s="6"/>
      <c r="Z421" s="6">
        <f ca="1">('TUSD BE'!$AM$20+'TUSD BF'!$AM$20+'TUSD CVA'!$AM$20)*1</f>
        <v>494.3921362494865</v>
      </c>
      <c r="AA421" s="6">
        <f>('TE BE'!$AA$10+'TE BF'!$AA$10+'TE CVA'!$AA$10)*1</f>
        <v>217.62939920622892</v>
      </c>
      <c r="AB421" s="6">
        <f>$K$421*$V$421</f>
        <v>0</v>
      </c>
      <c r="AC421" s="6">
        <f>$M$421*$W$421</f>
        <v>773288.70750000002</v>
      </c>
      <c r="AD421" s="6">
        <f>$O$421*$X$421</f>
        <v>393092.81900000002</v>
      </c>
      <c r="AE421" s="6">
        <f>$K$421*$Y$421</f>
        <v>0</v>
      </c>
      <c r="AF421" s="6">
        <f ca="1">$M$421*$Z$421</f>
        <v>868684.06280056655</v>
      </c>
      <c r="AG421" s="6">
        <f>$O$421*$AA$421</f>
        <v>382391.17661028472</v>
      </c>
    </row>
    <row r="422" spans="1:33" ht="11.25" customHeight="1" x14ac:dyDescent="0.25">
      <c r="A422" s="4" t="s">
        <v>27</v>
      </c>
      <c r="B422" s="4" t="s">
        <v>22</v>
      </c>
      <c r="C422" s="4" t="s">
        <v>23</v>
      </c>
      <c r="D422" s="4" t="s">
        <v>24</v>
      </c>
      <c r="E422" s="4" t="s">
        <v>24</v>
      </c>
      <c r="F422" s="4" t="s">
        <v>25</v>
      </c>
      <c r="G422" s="4" t="s">
        <v>25</v>
      </c>
      <c r="H422" s="4" t="s">
        <v>25</v>
      </c>
      <c r="I422" s="5">
        <v>44470</v>
      </c>
      <c r="J422" s="6">
        <v>0</v>
      </c>
      <c r="K422" s="6">
        <v>0</v>
      </c>
      <c r="L422" s="6">
        <v>-2.9000000000000001E-2</v>
      </c>
      <c r="M422" s="6">
        <v>-2.9000000000000001E-2</v>
      </c>
      <c r="N422" s="6">
        <v>-2.9000000000000001E-2</v>
      </c>
      <c r="O422" s="6">
        <v>-2.9000000000000001E-2</v>
      </c>
      <c r="P422" s="6">
        <v>0</v>
      </c>
      <c r="Q422" s="4" t="s">
        <v>26</v>
      </c>
      <c r="R422" s="4">
        <v>0</v>
      </c>
      <c r="S422" s="6">
        <v>0</v>
      </c>
      <c r="T422" s="6">
        <v>53</v>
      </c>
      <c r="U422" s="6">
        <v>9</v>
      </c>
      <c r="V422" s="6">
        <f>IF(ISERROR(VLOOKUP($S$422,'TAR FIN'!$A$1:$O$85,15,0)),0,VLOOKUP($S$422,'TAR FIN'!$A$1:$O$85,15,0))</f>
        <v>0</v>
      </c>
      <c r="W422" s="6">
        <f>IF(ISERROR(VLOOKUP($T$422,'TAR FIN'!$A$1:$O$85,15,0)),0,VLOOKUP($T$422,'TAR FIN'!$A$1:$O$85,15,0))</f>
        <v>440.1</v>
      </c>
      <c r="X422" s="6">
        <f>IF(ISERROR(VLOOKUP($U$422,'TAR FIN'!$A$1:$O$85,15,0)),0,VLOOKUP($U$422,'TAR FIN'!$A$1:$O$85,15,0))</f>
        <v>223.72</v>
      </c>
      <c r="Y422" s="6"/>
      <c r="Z422" s="6">
        <f ca="1">('TUSD BE'!$AM$20+'TUSD BF'!$AM$20+'TUSD CVA'!$AM$20)*1</f>
        <v>494.3921362494865</v>
      </c>
      <c r="AA422" s="6">
        <f>('TE BE'!$AA$10+'TE BF'!$AA$10+'TE CVA'!$AA$10)*1</f>
        <v>217.62939920622892</v>
      </c>
      <c r="AB422" s="6">
        <f>$K$422*$V$422</f>
        <v>0</v>
      </c>
      <c r="AC422" s="6">
        <f>$M$422*$W$422</f>
        <v>-12.762900000000002</v>
      </c>
      <c r="AD422" s="6">
        <f>$O$422*$X$422</f>
        <v>-6.4878800000000005</v>
      </c>
      <c r="AE422" s="6">
        <f>$K$422*$Y$422</f>
        <v>0</v>
      </c>
      <c r="AF422" s="6">
        <f ca="1">$M$422*$Z$422</f>
        <v>-14.337371951235109</v>
      </c>
      <c r="AG422" s="6">
        <f>$O$422*$AA$422</f>
        <v>-6.3112525769806389</v>
      </c>
    </row>
    <row r="423" spans="1:33" ht="11.25" customHeight="1" x14ac:dyDescent="0.25">
      <c r="A423" s="4" t="s">
        <v>28</v>
      </c>
      <c r="B423" s="4" t="s">
        <v>22</v>
      </c>
      <c r="C423" s="4" t="s">
        <v>23</v>
      </c>
      <c r="D423" s="4" t="s">
        <v>24</v>
      </c>
      <c r="E423" s="4" t="s">
        <v>24</v>
      </c>
      <c r="F423" s="4" t="s">
        <v>25</v>
      </c>
      <c r="G423" s="4" t="s">
        <v>25</v>
      </c>
      <c r="H423" s="4" t="s">
        <v>25</v>
      </c>
      <c r="I423" s="5">
        <v>44470</v>
      </c>
      <c r="J423" s="6">
        <v>0</v>
      </c>
      <c r="K423" s="6">
        <v>0</v>
      </c>
      <c r="L423" s="6">
        <v>24.212</v>
      </c>
      <c r="M423" s="6">
        <v>24.212</v>
      </c>
      <c r="N423" s="6">
        <v>24.212</v>
      </c>
      <c r="O423" s="6">
        <v>24.212</v>
      </c>
      <c r="P423" s="6">
        <v>100</v>
      </c>
      <c r="Q423" s="4" t="s">
        <v>26</v>
      </c>
      <c r="R423" s="4">
        <v>0</v>
      </c>
      <c r="S423" s="6">
        <v>0</v>
      </c>
      <c r="T423" s="6">
        <v>53</v>
      </c>
      <c r="U423" s="6">
        <v>9</v>
      </c>
      <c r="V423" s="6">
        <f>IF(ISERROR(VLOOKUP($S$423,'TAR FIN'!$A$1:$O$85,15,0)),0,VLOOKUP($S$423,'TAR FIN'!$A$1:$O$85,15,0))</f>
        <v>0</v>
      </c>
      <c r="W423" s="6">
        <f>IF(ISERROR(VLOOKUP($T$423,'TAR FIN'!$A$1:$O$85,15,0)),0,VLOOKUP($T$423,'TAR FIN'!$A$1:$O$85,15,0))</f>
        <v>440.1</v>
      </c>
      <c r="X423" s="6">
        <f>IF(ISERROR(VLOOKUP($U$423,'TAR FIN'!$A$1:$O$85,15,0)),0,VLOOKUP($U$423,'TAR FIN'!$A$1:$O$85,15,0))</f>
        <v>223.72</v>
      </c>
      <c r="Y423" s="6"/>
      <c r="Z423" s="6">
        <f ca="1">('TUSD BE'!$AM$20+'TUSD BF'!$AM$20+'TUSD CVA'!$AM$20)*1</f>
        <v>494.3921362494865</v>
      </c>
      <c r="AA423" s="6">
        <f>('TE BE'!$AA$10+'TE BF'!$AA$10+'TE CVA'!$AA$10)*1</f>
        <v>217.62939920622892</v>
      </c>
      <c r="AB423" s="6">
        <f>$K$423*$V$423</f>
        <v>0</v>
      </c>
      <c r="AC423" s="6">
        <f>$M$423*$W$423</f>
        <v>10655.701200000001</v>
      </c>
      <c r="AD423" s="6">
        <f>$O$423*$X$423</f>
        <v>5416.7086399999998</v>
      </c>
      <c r="AE423" s="6">
        <f>$K$423*$Y$423</f>
        <v>0</v>
      </c>
      <c r="AF423" s="6">
        <f ca="1">$M$423*$Z$423</f>
        <v>11970.222402872567</v>
      </c>
      <c r="AG423" s="6">
        <f>$O$423*$AA$423</f>
        <v>5269.2430135812147</v>
      </c>
    </row>
    <row r="424" spans="1:33" ht="11.25" customHeight="1" x14ac:dyDescent="0.25">
      <c r="A424" s="4" t="s">
        <v>21</v>
      </c>
      <c r="B424" s="4" t="s">
        <v>22</v>
      </c>
      <c r="C424" s="4" t="s">
        <v>23</v>
      </c>
      <c r="D424" s="4" t="s">
        <v>24</v>
      </c>
      <c r="E424" s="4" t="s">
        <v>24</v>
      </c>
      <c r="F424" s="4" t="s">
        <v>25</v>
      </c>
      <c r="G424" s="4" t="s">
        <v>25</v>
      </c>
      <c r="H424" s="4" t="s">
        <v>25</v>
      </c>
      <c r="I424" s="5">
        <v>44501</v>
      </c>
      <c r="J424" s="6">
        <v>0</v>
      </c>
      <c r="K424" s="6">
        <v>0</v>
      </c>
      <c r="L424" s="6">
        <v>1970.489</v>
      </c>
      <c r="M424" s="6">
        <v>1970.489</v>
      </c>
      <c r="N424" s="6">
        <v>1970.489</v>
      </c>
      <c r="O424" s="6">
        <v>1970.489</v>
      </c>
      <c r="P424" s="6">
        <v>8956</v>
      </c>
      <c r="Q424" s="4" t="s">
        <v>26</v>
      </c>
      <c r="R424" s="4">
        <v>0</v>
      </c>
      <c r="S424" s="6">
        <v>0</v>
      </c>
      <c r="T424" s="6">
        <v>53</v>
      </c>
      <c r="U424" s="6">
        <v>9</v>
      </c>
      <c r="V424" s="6">
        <f>IF(ISERROR(VLOOKUP($S$424,'TAR FIN'!$A$1:$O$85,15,0)),0,VLOOKUP($S$424,'TAR FIN'!$A$1:$O$85,15,0))</f>
        <v>0</v>
      </c>
      <c r="W424" s="6">
        <f>IF(ISERROR(VLOOKUP($T$424,'TAR FIN'!$A$1:$O$85,15,0)),0,VLOOKUP($T$424,'TAR FIN'!$A$1:$O$85,15,0))</f>
        <v>440.1</v>
      </c>
      <c r="X424" s="6">
        <f>IF(ISERROR(VLOOKUP($U$424,'TAR FIN'!$A$1:$O$85,15,0)),0,VLOOKUP($U$424,'TAR FIN'!$A$1:$O$85,15,0))</f>
        <v>223.72</v>
      </c>
      <c r="Y424" s="6"/>
      <c r="Z424" s="6">
        <f ca="1">('TUSD BE'!$AM$20+'TUSD BF'!$AM$20+'TUSD CVA'!$AM$20)*1</f>
        <v>494.3921362494865</v>
      </c>
      <c r="AA424" s="6">
        <f>('TE BE'!$AA$10+'TE BF'!$AA$10+'TE CVA'!$AA$10)*1</f>
        <v>217.62939920622892</v>
      </c>
      <c r="AB424" s="6">
        <f>$K$424*$V$424</f>
        <v>0</v>
      </c>
      <c r="AC424" s="6">
        <f>$M$424*$W$424</f>
        <v>867212.20890000009</v>
      </c>
      <c r="AD424" s="6">
        <f>$O$424*$X$424</f>
        <v>440837.79908000003</v>
      </c>
      <c r="AE424" s="6">
        <f>$K$424*$Y$424</f>
        <v>0</v>
      </c>
      <c r="AF424" s="6">
        <f ca="1">$M$424*$Z$424</f>
        <v>974194.26616611436</v>
      </c>
      <c r="AG424" s="6">
        <f>$O$424*$AA$424</f>
        <v>428836.33721248282</v>
      </c>
    </row>
    <row r="425" spans="1:33" ht="11.25" customHeight="1" x14ac:dyDescent="0.25">
      <c r="A425" s="4" t="s">
        <v>27</v>
      </c>
      <c r="B425" s="4" t="s">
        <v>22</v>
      </c>
      <c r="C425" s="4" t="s">
        <v>23</v>
      </c>
      <c r="D425" s="4" t="s">
        <v>24</v>
      </c>
      <c r="E425" s="4" t="s">
        <v>24</v>
      </c>
      <c r="F425" s="4" t="s">
        <v>25</v>
      </c>
      <c r="G425" s="4" t="s">
        <v>25</v>
      </c>
      <c r="H425" s="4" t="s">
        <v>25</v>
      </c>
      <c r="I425" s="5">
        <v>44501</v>
      </c>
      <c r="J425" s="6">
        <v>0</v>
      </c>
      <c r="K425" s="6">
        <v>0</v>
      </c>
      <c r="L425" s="6">
        <v>-0.65</v>
      </c>
      <c r="M425" s="6">
        <v>-0.65</v>
      </c>
      <c r="N425" s="6">
        <v>-0.65</v>
      </c>
      <c r="O425" s="6">
        <v>-0.65</v>
      </c>
      <c r="P425" s="6">
        <v>0</v>
      </c>
      <c r="Q425" s="4" t="s">
        <v>26</v>
      </c>
      <c r="R425" s="4">
        <v>0</v>
      </c>
      <c r="S425" s="6">
        <v>0</v>
      </c>
      <c r="T425" s="6">
        <v>53</v>
      </c>
      <c r="U425" s="6">
        <v>9</v>
      </c>
      <c r="V425" s="6">
        <f>IF(ISERROR(VLOOKUP($S$425,'TAR FIN'!$A$1:$O$85,15,0)),0,VLOOKUP($S$425,'TAR FIN'!$A$1:$O$85,15,0))</f>
        <v>0</v>
      </c>
      <c r="W425" s="6">
        <f>IF(ISERROR(VLOOKUP($T$425,'TAR FIN'!$A$1:$O$85,15,0)),0,VLOOKUP($T$425,'TAR FIN'!$A$1:$O$85,15,0))</f>
        <v>440.1</v>
      </c>
      <c r="X425" s="6">
        <f>IF(ISERROR(VLOOKUP($U$425,'TAR FIN'!$A$1:$O$85,15,0)),0,VLOOKUP($U$425,'TAR FIN'!$A$1:$O$85,15,0))</f>
        <v>223.72</v>
      </c>
      <c r="Y425" s="6"/>
      <c r="Z425" s="6">
        <f ca="1">('TUSD BE'!$AM$20+'TUSD BF'!$AM$20+'TUSD CVA'!$AM$20)*1</f>
        <v>494.3921362494865</v>
      </c>
      <c r="AA425" s="6">
        <f>('TE BE'!$AA$10+'TE BF'!$AA$10+'TE CVA'!$AA$10)*1</f>
        <v>217.62939920622892</v>
      </c>
      <c r="AB425" s="6">
        <f>$K$425*$V$425</f>
        <v>0</v>
      </c>
      <c r="AC425" s="6">
        <f>$M$425*$W$425</f>
        <v>-286.065</v>
      </c>
      <c r="AD425" s="6">
        <f>$O$425*$X$425</f>
        <v>-145.41800000000001</v>
      </c>
      <c r="AE425" s="6">
        <f>$K$425*$Y$425</f>
        <v>0</v>
      </c>
      <c r="AF425" s="6">
        <f ca="1">$M$425*$Z$425</f>
        <v>-321.35488856216625</v>
      </c>
      <c r="AG425" s="6">
        <f>$O$425*$AA$425</f>
        <v>-141.45910948404881</v>
      </c>
    </row>
    <row r="426" spans="1:33" ht="11.25" customHeight="1" x14ac:dyDescent="0.25">
      <c r="A426" s="4" t="s">
        <v>28</v>
      </c>
      <c r="B426" s="4" t="s">
        <v>22</v>
      </c>
      <c r="C426" s="4" t="s">
        <v>23</v>
      </c>
      <c r="D426" s="4" t="s">
        <v>24</v>
      </c>
      <c r="E426" s="4" t="s">
        <v>24</v>
      </c>
      <c r="F426" s="4" t="s">
        <v>25</v>
      </c>
      <c r="G426" s="4" t="s">
        <v>25</v>
      </c>
      <c r="H426" s="4" t="s">
        <v>25</v>
      </c>
      <c r="I426" s="5">
        <v>44501</v>
      </c>
      <c r="J426" s="6">
        <v>0</v>
      </c>
      <c r="K426" s="6">
        <v>0</v>
      </c>
      <c r="L426" s="6">
        <v>21.847000000000001</v>
      </c>
      <c r="M426" s="6">
        <v>21.847000000000001</v>
      </c>
      <c r="N426" s="6">
        <v>21.847000000000001</v>
      </c>
      <c r="O426" s="6">
        <v>21.847000000000001</v>
      </c>
      <c r="P426" s="6">
        <v>107</v>
      </c>
      <c r="Q426" s="4" t="s">
        <v>26</v>
      </c>
      <c r="R426" s="4">
        <v>0</v>
      </c>
      <c r="S426" s="6">
        <v>0</v>
      </c>
      <c r="T426" s="6">
        <v>53</v>
      </c>
      <c r="U426" s="6">
        <v>9</v>
      </c>
      <c r="V426" s="6">
        <f>IF(ISERROR(VLOOKUP($S$426,'TAR FIN'!$A$1:$O$85,15,0)),0,VLOOKUP($S$426,'TAR FIN'!$A$1:$O$85,15,0))</f>
        <v>0</v>
      </c>
      <c r="W426" s="6">
        <f>IF(ISERROR(VLOOKUP($T$426,'TAR FIN'!$A$1:$O$85,15,0)),0,VLOOKUP($T$426,'TAR FIN'!$A$1:$O$85,15,0))</f>
        <v>440.1</v>
      </c>
      <c r="X426" s="6">
        <f>IF(ISERROR(VLOOKUP($U$426,'TAR FIN'!$A$1:$O$85,15,0)),0,VLOOKUP($U$426,'TAR FIN'!$A$1:$O$85,15,0))</f>
        <v>223.72</v>
      </c>
      <c r="Y426" s="6"/>
      <c r="Z426" s="6">
        <f ca="1">('TUSD BE'!$AM$20+'TUSD BF'!$AM$20+'TUSD CVA'!$AM$20)*1</f>
        <v>494.3921362494865</v>
      </c>
      <c r="AA426" s="6">
        <f>('TE BE'!$AA$10+'TE BF'!$AA$10+'TE CVA'!$AA$10)*1</f>
        <v>217.62939920622892</v>
      </c>
      <c r="AB426" s="6">
        <f>$K$426*$V$426</f>
        <v>0</v>
      </c>
      <c r="AC426" s="6">
        <f>$M$426*$W$426</f>
        <v>9614.8647000000019</v>
      </c>
      <c r="AD426" s="6">
        <f>$O$426*$X$426</f>
        <v>4887.6108400000003</v>
      </c>
      <c r="AE426" s="6">
        <f>$K$426*$Y$426</f>
        <v>0</v>
      </c>
      <c r="AF426" s="6">
        <f ca="1">$M$426*$Z$426</f>
        <v>10800.985000642531</v>
      </c>
      <c r="AG426" s="6">
        <f>$O$426*$AA$426</f>
        <v>4754.5494844584837</v>
      </c>
    </row>
    <row r="427" spans="1:33" ht="11.25" customHeight="1" x14ac:dyDescent="0.25">
      <c r="A427" s="4" t="s">
        <v>21</v>
      </c>
      <c r="B427" s="4" t="s">
        <v>22</v>
      </c>
      <c r="C427" s="4" t="s">
        <v>23</v>
      </c>
      <c r="D427" s="4" t="s">
        <v>24</v>
      </c>
      <c r="E427" s="4" t="s">
        <v>24</v>
      </c>
      <c r="F427" s="4" t="s">
        <v>25</v>
      </c>
      <c r="G427" s="4" t="s">
        <v>25</v>
      </c>
      <c r="H427" s="4" t="s">
        <v>25</v>
      </c>
      <c r="I427" s="5">
        <v>44531</v>
      </c>
      <c r="J427" s="6">
        <v>0</v>
      </c>
      <c r="K427" s="6">
        <v>0</v>
      </c>
      <c r="L427" s="6">
        <v>1846.473</v>
      </c>
      <c r="M427" s="6">
        <v>1846.473</v>
      </c>
      <c r="N427" s="6">
        <v>1846.473</v>
      </c>
      <c r="O427" s="6">
        <v>1846.473</v>
      </c>
      <c r="P427" s="6">
        <v>8994</v>
      </c>
      <c r="Q427" s="4" t="s">
        <v>26</v>
      </c>
      <c r="R427" s="4">
        <v>0</v>
      </c>
      <c r="S427" s="6">
        <v>0</v>
      </c>
      <c r="T427" s="6">
        <v>53</v>
      </c>
      <c r="U427" s="6">
        <v>9</v>
      </c>
      <c r="V427" s="6">
        <f>IF(ISERROR(VLOOKUP($S$427,'TAR FIN'!$A$1:$O$85,15,0)),0,VLOOKUP($S$427,'TAR FIN'!$A$1:$O$85,15,0))</f>
        <v>0</v>
      </c>
      <c r="W427" s="6">
        <f>IF(ISERROR(VLOOKUP($T$427,'TAR FIN'!$A$1:$O$85,15,0)),0,VLOOKUP($T$427,'TAR FIN'!$A$1:$O$85,15,0))</f>
        <v>440.1</v>
      </c>
      <c r="X427" s="6">
        <f>IF(ISERROR(VLOOKUP($U$427,'TAR FIN'!$A$1:$O$85,15,0)),0,VLOOKUP($U$427,'TAR FIN'!$A$1:$O$85,15,0))</f>
        <v>223.72</v>
      </c>
      <c r="Y427" s="6"/>
      <c r="Z427" s="6">
        <f ca="1">('TUSD BE'!$AM$20+'TUSD BF'!$AM$20+'TUSD CVA'!$AM$20)*1</f>
        <v>494.3921362494865</v>
      </c>
      <c r="AA427" s="6">
        <f>('TE BE'!$AA$10+'TE BF'!$AA$10+'TE CVA'!$AA$10)*1</f>
        <v>217.62939920622892</v>
      </c>
      <c r="AB427" s="6">
        <f>$K$427*$V$427</f>
        <v>0</v>
      </c>
      <c r="AC427" s="6">
        <f>$M$427*$W$427</f>
        <v>812632.76730000007</v>
      </c>
      <c r="AD427" s="6">
        <f>$O$427*$X$427</f>
        <v>413092.93955999997</v>
      </c>
      <c r="AE427" s="6">
        <f>$K$427*$Y$427</f>
        <v>0</v>
      </c>
      <c r="AF427" s="6">
        <f ca="1">$M$427*$Z$427</f>
        <v>912881.73099699803</v>
      </c>
      <c r="AG427" s="6">
        <f>$O$427*$AA$427</f>
        <v>401846.8096405231</v>
      </c>
    </row>
    <row r="428" spans="1:33" ht="11.25" customHeight="1" x14ac:dyDescent="0.25">
      <c r="A428" s="4" t="s">
        <v>27</v>
      </c>
      <c r="B428" s="4" t="s">
        <v>22</v>
      </c>
      <c r="C428" s="4" t="s">
        <v>23</v>
      </c>
      <c r="D428" s="4" t="s">
        <v>24</v>
      </c>
      <c r="E428" s="4" t="s">
        <v>24</v>
      </c>
      <c r="F428" s="4" t="s">
        <v>25</v>
      </c>
      <c r="G428" s="4" t="s">
        <v>25</v>
      </c>
      <c r="H428" s="4" t="s">
        <v>25</v>
      </c>
      <c r="I428" s="5">
        <v>44531</v>
      </c>
      <c r="J428" s="6">
        <v>0</v>
      </c>
      <c r="K428" s="6">
        <v>0</v>
      </c>
      <c r="L428" s="6">
        <v>-1.097</v>
      </c>
      <c r="M428" s="6">
        <v>-1.097</v>
      </c>
      <c r="N428" s="6">
        <v>-1.097</v>
      </c>
      <c r="O428" s="6">
        <v>-1.097</v>
      </c>
      <c r="P428" s="6">
        <v>0</v>
      </c>
      <c r="Q428" s="4" t="s">
        <v>26</v>
      </c>
      <c r="R428" s="4">
        <v>0</v>
      </c>
      <c r="S428" s="6">
        <v>0</v>
      </c>
      <c r="T428" s="6">
        <v>53</v>
      </c>
      <c r="U428" s="6">
        <v>9</v>
      </c>
      <c r="V428" s="6">
        <f>IF(ISERROR(VLOOKUP($S$428,'TAR FIN'!$A$1:$O$85,15,0)),0,VLOOKUP($S$428,'TAR FIN'!$A$1:$O$85,15,0))</f>
        <v>0</v>
      </c>
      <c r="W428" s="6">
        <f>IF(ISERROR(VLOOKUP($T$428,'TAR FIN'!$A$1:$O$85,15,0)),0,VLOOKUP($T$428,'TAR FIN'!$A$1:$O$85,15,0))</f>
        <v>440.1</v>
      </c>
      <c r="X428" s="6">
        <f>IF(ISERROR(VLOOKUP($U$428,'TAR FIN'!$A$1:$O$85,15,0)),0,VLOOKUP($U$428,'TAR FIN'!$A$1:$O$85,15,0))</f>
        <v>223.72</v>
      </c>
      <c r="Y428" s="6"/>
      <c r="Z428" s="6">
        <f ca="1">('TUSD BE'!$AM$20+'TUSD BF'!$AM$20+'TUSD CVA'!$AM$20)*1</f>
        <v>494.3921362494865</v>
      </c>
      <c r="AA428" s="6">
        <f>('TE BE'!$AA$10+'TE BF'!$AA$10+'TE CVA'!$AA$10)*1</f>
        <v>217.62939920622892</v>
      </c>
      <c r="AB428" s="6">
        <f>$K$428*$V$428</f>
        <v>0</v>
      </c>
      <c r="AC428" s="6">
        <f>$M$428*$W$428</f>
        <v>-482.78970000000004</v>
      </c>
      <c r="AD428" s="6">
        <f>$O$428*$X$428</f>
        <v>-245.42084</v>
      </c>
      <c r="AE428" s="6">
        <f>$K$428*$Y$428</f>
        <v>0</v>
      </c>
      <c r="AF428" s="6">
        <f ca="1">$M$428*$Z$428</f>
        <v>-542.34817346568673</v>
      </c>
      <c r="AG428" s="6">
        <f>$O$428*$AA$428</f>
        <v>-238.73945092923313</v>
      </c>
    </row>
    <row r="429" spans="1:33" ht="11.25" customHeight="1" x14ac:dyDescent="0.25">
      <c r="A429" s="4" t="s">
        <v>28</v>
      </c>
      <c r="B429" s="4" t="s">
        <v>22</v>
      </c>
      <c r="C429" s="4" t="s">
        <v>23</v>
      </c>
      <c r="D429" s="4" t="s">
        <v>24</v>
      </c>
      <c r="E429" s="4" t="s">
        <v>24</v>
      </c>
      <c r="F429" s="4" t="s">
        <v>25</v>
      </c>
      <c r="G429" s="4" t="s">
        <v>25</v>
      </c>
      <c r="H429" s="4" t="s">
        <v>25</v>
      </c>
      <c r="I429" s="5">
        <v>44531</v>
      </c>
      <c r="J429" s="6">
        <v>0</v>
      </c>
      <c r="K429" s="6">
        <v>0</v>
      </c>
      <c r="L429" s="6">
        <v>18.452000000000002</v>
      </c>
      <c r="M429" s="6">
        <v>18.452000000000002</v>
      </c>
      <c r="N429" s="6">
        <v>18.452000000000002</v>
      </c>
      <c r="O429" s="6">
        <v>18.452000000000002</v>
      </c>
      <c r="P429" s="6">
        <v>111</v>
      </c>
      <c r="Q429" s="4" t="s">
        <v>26</v>
      </c>
      <c r="R429" s="4">
        <v>0</v>
      </c>
      <c r="S429" s="6">
        <v>0</v>
      </c>
      <c r="T429" s="6">
        <v>53</v>
      </c>
      <c r="U429" s="6">
        <v>9</v>
      </c>
      <c r="V429" s="6">
        <f>IF(ISERROR(VLOOKUP($S$429,'TAR FIN'!$A$1:$O$85,15,0)),0,VLOOKUP($S$429,'TAR FIN'!$A$1:$O$85,15,0))</f>
        <v>0</v>
      </c>
      <c r="W429" s="6">
        <f>IF(ISERROR(VLOOKUP($T$429,'TAR FIN'!$A$1:$O$85,15,0)),0,VLOOKUP($T$429,'TAR FIN'!$A$1:$O$85,15,0))</f>
        <v>440.1</v>
      </c>
      <c r="X429" s="6">
        <f>IF(ISERROR(VLOOKUP($U$429,'TAR FIN'!$A$1:$O$85,15,0)),0,VLOOKUP($U$429,'TAR FIN'!$A$1:$O$85,15,0))</f>
        <v>223.72</v>
      </c>
      <c r="Y429" s="6"/>
      <c r="Z429" s="6">
        <f ca="1">('TUSD BE'!$AM$20+'TUSD BF'!$AM$20+'TUSD CVA'!$AM$20)*1</f>
        <v>494.3921362494865</v>
      </c>
      <c r="AA429" s="6">
        <f>('TE BE'!$AA$10+'TE BF'!$AA$10+'TE CVA'!$AA$10)*1</f>
        <v>217.62939920622892</v>
      </c>
      <c r="AB429" s="6">
        <f>$K$429*$V$429</f>
        <v>0</v>
      </c>
      <c r="AC429" s="6">
        <f>$M$429*$W$429</f>
        <v>8120.7252000000008</v>
      </c>
      <c r="AD429" s="6">
        <f>$O$429*$X$429</f>
        <v>4128.0814399999999</v>
      </c>
      <c r="AE429" s="6">
        <f>$K$429*$Y$429</f>
        <v>0</v>
      </c>
      <c r="AF429" s="6">
        <f ca="1">$M$429*$Z$429</f>
        <v>9122.5236980755253</v>
      </c>
      <c r="AG429" s="6">
        <f>$O$429*$AA$429</f>
        <v>4015.6976741533367</v>
      </c>
    </row>
    <row r="430" spans="1:33" ht="11.25" customHeight="1" x14ac:dyDescent="0.25">
      <c r="A430" s="4" t="s">
        <v>28</v>
      </c>
      <c r="B430" s="4" t="s">
        <v>22</v>
      </c>
      <c r="C430" s="4" t="s">
        <v>23</v>
      </c>
      <c r="D430" s="4" t="s">
        <v>24</v>
      </c>
      <c r="E430" s="4" t="s">
        <v>24</v>
      </c>
      <c r="F430" s="4" t="s">
        <v>25</v>
      </c>
      <c r="G430" s="4" t="s">
        <v>25</v>
      </c>
      <c r="H430" s="4" t="s">
        <v>25</v>
      </c>
      <c r="I430" s="5">
        <v>44531</v>
      </c>
      <c r="J430" s="6">
        <v>0</v>
      </c>
      <c r="K430" s="6">
        <v>0</v>
      </c>
      <c r="L430" s="6">
        <v>-3.0000000000000001E-3</v>
      </c>
      <c r="M430" s="6">
        <v>-3.0000000000000001E-3</v>
      </c>
      <c r="N430" s="6">
        <v>-3.0000000000000001E-3</v>
      </c>
      <c r="O430" s="6">
        <v>-3.0000000000000001E-3</v>
      </c>
      <c r="P430" s="6">
        <v>2</v>
      </c>
      <c r="Q430" s="4" t="s">
        <v>26</v>
      </c>
      <c r="R430" s="4">
        <v>0</v>
      </c>
      <c r="S430" s="6">
        <v>0</v>
      </c>
      <c r="T430" s="6">
        <v>53</v>
      </c>
      <c r="U430" s="6">
        <v>9</v>
      </c>
      <c r="V430" s="6">
        <f>IF(ISERROR(VLOOKUP($S$430,'TAR FIN'!$A$1:$O$85,15,0)),0,VLOOKUP($S$430,'TAR FIN'!$A$1:$O$85,15,0))</f>
        <v>0</v>
      </c>
      <c r="W430" s="6">
        <f>IF(ISERROR(VLOOKUP($T$430,'TAR FIN'!$A$1:$O$85,15,0)),0,VLOOKUP($T$430,'TAR FIN'!$A$1:$O$85,15,0))</f>
        <v>440.1</v>
      </c>
      <c r="X430" s="6">
        <f>IF(ISERROR(VLOOKUP($U$430,'TAR FIN'!$A$1:$O$85,15,0)),0,VLOOKUP($U$430,'TAR FIN'!$A$1:$O$85,15,0))</f>
        <v>223.72</v>
      </c>
      <c r="Y430" s="6"/>
      <c r="Z430" s="6">
        <f ca="1">('TUSD BE'!$AM$20+'TUSD BF'!$AM$20+'TUSD CVA'!$AM$20)*1</f>
        <v>494.3921362494865</v>
      </c>
      <c r="AA430" s="6">
        <f>('TE BE'!$AA$10+'TE BF'!$AA$10+'TE CVA'!$AA$10)*1</f>
        <v>217.62939920622892</v>
      </c>
      <c r="AB430" s="6">
        <f>$K$430*$V$430</f>
        <v>0</v>
      </c>
      <c r="AC430" s="6">
        <f>$M$430*$W$430</f>
        <v>-1.3203</v>
      </c>
      <c r="AD430" s="6">
        <f>$O$430*$X$430</f>
        <v>-0.67115999999999998</v>
      </c>
      <c r="AE430" s="6">
        <f>$K$430*$Y$430</f>
        <v>0</v>
      </c>
      <c r="AF430" s="6">
        <f ca="1">$M$430*$Z$430</f>
        <v>-1.4831764087484596</v>
      </c>
      <c r="AG430" s="6">
        <f>$O$430*$AA$430</f>
        <v>-0.65288819761868677</v>
      </c>
    </row>
    <row r="431" spans="1:33" ht="11.25" customHeight="1" x14ac:dyDescent="0.25">
      <c r="A431" s="4" t="s">
        <v>21</v>
      </c>
      <c r="B431" s="4" t="s">
        <v>22</v>
      </c>
      <c r="C431" s="4" t="s">
        <v>23</v>
      </c>
      <c r="D431" s="4" t="s">
        <v>24</v>
      </c>
      <c r="E431" s="4" t="s">
        <v>24</v>
      </c>
      <c r="F431" s="4" t="s">
        <v>25</v>
      </c>
      <c r="G431" s="4" t="s">
        <v>25</v>
      </c>
      <c r="H431" s="4" t="s">
        <v>25</v>
      </c>
      <c r="I431" s="5">
        <v>44562</v>
      </c>
      <c r="J431" s="6">
        <v>0</v>
      </c>
      <c r="K431" s="6">
        <v>0</v>
      </c>
      <c r="L431" s="6">
        <v>2384.5169999999998</v>
      </c>
      <c r="M431" s="6">
        <v>2384.5169999999998</v>
      </c>
      <c r="N431" s="6">
        <v>2384.5169999999998</v>
      </c>
      <c r="O431" s="6">
        <v>2384.5169999999998</v>
      </c>
      <c r="P431" s="6">
        <v>9026</v>
      </c>
      <c r="Q431" s="4" t="s">
        <v>26</v>
      </c>
      <c r="R431" s="4">
        <v>0</v>
      </c>
      <c r="S431" s="6">
        <v>0</v>
      </c>
      <c r="T431" s="6">
        <v>53</v>
      </c>
      <c r="U431" s="6">
        <v>9</v>
      </c>
      <c r="V431" s="6">
        <f>IF(ISERROR(VLOOKUP($S$431,'TAR FIN'!$A$1:$O$85,15,0)),0,VLOOKUP($S$431,'TAR FIN'!$A$1:$O$85,15,0))</f>
        <v>0</v>
      </c>
      <c r="W431" s="6">
        <f>IF(ISERROR(VLOOKUP($T$431,'TAR FIN'!$A$1:$O$85,15,0)),0,VLOOKUP($T$431,'TAR FIN'!$A$1:$O$85,15,0))</f>
        <v>440.1</v>
      </c>
      <c r="X431" s="6">
        <f>IF(ISERROR(VLOOKUP($U$431,'TAR FIN'!$A$1:$O$85,15,0)),0,VLOOKUP($U$431,'TAR FIN'!$A$1:$O$85,15,0))</f>
        <v>223.72</v>
      </c>
      <c r="Y431" s="6"/>
      <c r="Z431" s="6">
        <f ca="1">('TUSD BE'!$AM$20+'TUSD BF'!$AM$20+'TUSD CVA'!$AM$20)*1</f>
        <v>494.3921362494865</v>
      </c>
      <c r="AA431" s="6">
        <f>('TE BE'!$AA$10+'TE BF'!$AA$10+'TE CVA'!$AA$10)*1</f>
        <v>217.62939920622892</v>
      </c>
      <c r="AB431" s="6">
        <f>$K$431*$V$431</f>
        <v>0</v>
      </c>
      <c r="AC431" s="6">
        <f>$M$431*$W$431</f>
        <v>1049425.9317000001</v>
      </c>
      <c r="AD431" s="6">
        <f>$O$431*$X$431</f>
        <v>533464.14324</v>
      </c>
      <c r="AE431" s="6">
        <f>$K$431*$Y$431</f>
        <v>0</v>
      </c>
      <c r="AF431" s="6">
        <f ca="1">$M$431*$Z$431</f>
        <v>1178886.4535532168</v>
      </c>
      <c r="AG431" s="6">
        <f>$O$431*$AA$431</f>
        <v>518941.00210703933</v>
      </c>
    </row>
    <row r="432" spans="1:33" ht="11.25" customHeight="1" x14ac:dyDescent="0.25">
      <c r="A432" s="4" t="s">
        <v>27</v>
      </c>
      <c r="B432" s="4" t="s">
        <v>22</v>
      </c>
      <c r="C432" s="4" t="s">
        <v>23</v>
      </c>
      <c r="D432" s="4" t="s">
        <v>24</v>
      </c>
      <c r="E432" s="4" t="s">
        <v>24</v>
      </c>
      <c r="F432" s="4" t="s">
        <v>25</v>
      </c>
      <c r="G432" s="4" t="s">
        <v>25</v>
      </c>
      <c r="H432" s="4" t="s">
        <v>25</v>
      </c>
      <c r="I432" s="5">
        <v>44562</v>
      </c>
      <c r="J432" s="6">
        <v>0</v>
      </c>
      <c r="K432" s="6">
        <v>0</v>
      </c>
      <c r="L432" s="6">
        <v>-1.196</v>
      </c>
      <c r="M432" s="6">
        <v>-1.196</v>
      </c>
      <c r="N432" s="6">
        <v>-1.196</v>
      </c>
      <c r="O432" s="6">
        <v>-1.196</v>
      </c>
      <c r="P432" s="6">
        <v>0</v>
      </c>
      <c r="Q432" s="4" t="s">
        <v>26</v>
      </c>
      <c r="R432" s="4">
        <v>0</v>
      </c>
      <c r="S432" s="6">
        <v>0</v>
      </c>
      <c r="T432" s="6">
        <v>53</v>
      </c>
      <c r="U432" s="6">
        <v>9</v>
      </c>
      <c r="V432" s="6">
        <f>IF(ISERROR(VLOOKUP($S$432,'TAR FIN'!$A$1:$O$85,15,0)),0,VLOOKUP($S$432,'TAR FIN'!$A$1:$O$85,15,0))</f>
        <v>0</v>
      </c>
      <c r="W432" s="6">
        <f>IF(ISERROR(VLOOKUP($T$432,'TAR FIN'!$A$1:$O$85,15,0)),0,VLOOKUP($T$432,'TAR FIN'!$A$1:$O$85,15,0))</f>
        <v>440.1</v>
      </c>
      <c r="X432" s="6">
        <f>IF(ISERROR(VLOOKUP($U$432,'TAR FIN'!$A$1:$O$85,15,0)),0,VLOOKUP($U$432,'TAR FIN'!$A$1:$O$85,15,0))</f>
        <v>223.72</v>
      </c>
      <c r="Y432" s="6"/>
      <c r="Z432" s="6">
        <f ca="1">('TUSD BE'!$AM$20+'TUSD BF'!$AM$20+'TUSD CVA'!$AM$20)*1</f>
        <v>494.3921362494865</v>
      </c>
      <c r="AA432" s="6">
        <f>('TE BE'!$AA$10+'TE BF'!$AA$10+'TE CVA'!$AA$10)*1</f>
        <v>217.62939920622892</v>
      </c>
      <c r="AB432" s="6">
        <f>$K$432*$V$432</f>
        <v>0</v>
      </c>
      <c r="AC432" s="6">
        <f>$M$432*$W$432</f>
        <v>-526.3596</v>
      </c>
      <c r="AD432" s="6">
        <f>$O$432*$X$432</f>
        <v>-267.56912</v>
      </c>
      <c r="AE432" s="6">
        <f>$K$432*$Y$432</f>
        <v>0</v>
      </c>
      <c r="AF432" s="6">
        <f ca="1">$M$432*$Z$432</f>
        <v>-591.29299495438579</v>
      </c>
      <c r="AG432" s="6">
        <f>$O$432*$AA$432</f>
        <v>-260.2847614506498</v>
      </c>
    </row>
    <row r="433" spans="1:33" ht="11.25" customHeight="1" x14ac:dyDescent="0.25">
      <c r="A433" s="4" t="s">
        <v>28</v>
      </c>
      <c r="B433" s="4" t="s">
        <v>22</v>
      </c>
      <c r="C433" s="4" t="s">
        <v>23</v>
      </c>
      <c r="D433" s="4" t="s">
        <v>24</v>
      </c>
      <c r="E433" s="4" t="s">
        <v>24</v>
      </c>
      <c r="F433" s="4" t="s">
        <v>25</v>
      </c>
      <c r="G433" s="4" t="s">
        <v>25</v>
      </c>
      <c r="H433" s="4" t="s">
        <v>25</v>
      </c>
      <c r="I433" s="5">
        <v>44562</v>
      </c>
      <c r="J433" s="6">
        <v>0</v>
      </c>
      <c r="K433" s="6">
        <v>0</v>
      </c>
      <c r="L433" s="6">
        <v>34.837000000000003</v>
      </c>
      <c r="M433" s="6">
        <v>34.837000000000003</v>
      </c>
      <c r="N433" s="6">
        <v>34.837000000000003</v>
      </c>
      <c r="O433" s="6">
        <v>34.837000000000003</v>
      </c>
      <c r="P433" s="6">
        <v>119</v>
      </c>
      <c r="Q433" s="4" t="s">
        <v>26</v>
      </c>
      <c r="R433" s="4">
        <v>0</v>
      </c>
      <c r="S433" s="6">
        <v>0</v>
      </c>
      <c r="T433" s="6">
        <v>53</v>
      </c>
      <c r="U433" s="6">
        <v>9</v>
      </c>
      <c r="V433" s="6">
        <f>IF(ISERROR(VLOOKUP($S$433,'TAR FIN'!$A$1:$O$85,15,0)),0,VLOOKUP($S$433,'TAR FIN'!$A$1:$O$85,15,0))</f>
        <v>0</v>
      </c>
      <c r="W433" s="6">
        <f>IF(ISERROR(VLOOKUP($T$433,'TAR FIN'!$A$1:$O$85,15,0)),0,VLOOKUP($T$433,'TAR FIN'!$A$1:$O$85,15,0))</f>
        <v>440.1</v>
      </c>
      <c r="X433" s="6">
        <f>IF(ISERROR(VLOOKUP($U$433,'TAR FIN'!$A$1:$O$85,15,0)),0,VLOOKUP($U$433,'TAR FIN'!$A$1:$O$85,15,0))</f>
        <v>223.72</v>
      </c>
      <c r="Y433" s="6"/>
      <c r="Z433" s="6">
        <f ca="1">('TUSD BE'!$AM$20+'TUSD BF'!$AM$20+'TUSD CVA'!$AM$20)*1</f>
        <v>494.3921362494865</v>
      </c>
      <c r="AA433" s="6">
        <f>('TE BE'!$AA$10+'TE BF'!$AA$10+'TE CVA'!$AA$10)*1</f>
        <v>217.62939920622892</v>
      </c>
      <c r="AB433" s="6">
        <f>$K$433*$V$433</f>
        <v>0</v>
      </c>
      <c r="AC433" s="6">
        <f>$M$433*$W$433</f>
        <v>15331.763700000001</v>
      </c>
      <c r="AD433" s="6">
        <f>$O$433*$X$433</f>
        <v>7793.7336400000004</v>
      </c>
      <c r="AE433" s="6">
        <f>$K$433*$Y$433</f>
        <v>0</v>
      </c>
      <c r="AF433" s="6">
        <f ca="1">$M$433*$Z$433</f>
        <v>17223.138850523363</v>
      </c>
      <c r="AG433" s="6">
        <f>$O$433*$AA$433</f>
        <v>7581.555380147398</v>
      </c>
    </row>
    <row r="434" spans="1:33" ht="11.25" customHeight="1" x14ac:dyDescent="0.25">
      <c r="A434" s="4" t="s">
        <v>21</v>
      </c>
      <c r="B434" s="4" t="s">
        <v>22</v>
      </c>
      <c r="C434" s="4" t="s">
        <v>23</v>
      </c>
      <c r="D434" s="4" t="s">
        <v>24</v>
      </c>
      <c r="E434" s="4" t="s">
        <v>24</v>
      </c>
      <c r="F434" s="4" t="s">
        <v>25</v>
      </c>
      <c r="G434" s="4" t="s">
        <v>25</v>
      </c>
      <c r="H434" s="4" t="s">
        <v>25</v>
      </c>
      <c r="I434" s="5">
        <v>44593</v>
      </c>
      <c r="J434" s="6">
        <v>0</v>
      </c>
      <c r="K434" s="6">
        <v>0</v>
      </c>
      <c r="L434" s="6">
        <v>2147.5990000000002</v>
      </c>
      <c r="M434" s="6">
        <v>2147.5990000000002</v>
      </c>
      <c r="N434" s="6">
        <v>2147.5990000000002</v>
      </c>
      <c r="O434" s="6">
        <v>2147.5990000000002</v>
      </c>
      <c r="P434" s="6">
        <v>9086</v>
      </c>
      <c r="Q434" s="4" t="s">
        <v>26</v>
      </c>
      <c r="R434" s="4">
        <v>0</v>
      </c>
      <c r="S434" s="6">
        <v>0</v>
      </c>
      <c r="T434" s="6">
        <v>53</v>
      </c>
      <c r="U434" s="6">
        <v>9</v>
      </c>
      <c r="V434" s="6">
        <f>IF(ISERROR(VLOOKUP($S$434,'TAR FIN'!$A$1:$O$85,15,0)),0,VLOOKUP($S$434,'TAR FIN'!$A$1:$O$85,15,0))</f>
        <v>0</v>
      </c>
      <c r="W434" s="6">
        <f>IF(ISERROR(VLOOKUP($T$434,'TAR FIN'!$A$1:$O$85,15,0)),0,VLOOKUP($T$434,'TAR FIN'!$A$1:$O$85,15,0))</f>
        <v>440.1</v>
      </c>
      <c r="X434" s="6">
        <f>IF(ISERROR(VLOOKUP($U$434,'TAR FIN'!$A$1:$O$85,15,0)),0,VLOOKUP($U$434,'TAR FIN'!$A$1:$O$85,15,0))</f>
        <v>223.72</v>
      </c>
      <c r="Y434" s="6"/>
      <c r="Z434" s="6">
        <f ca="1">('TUSD BE'!$AM$20+'TUSD BF'!$AM$20+'TUSD CVA'!$AM$20)*1</f>
        <v>494.3921362494865</v>
      </c>
      <c r="AA434" s="6">
        <f>('TE BE'!$AA$10+'TE BF'!$AA$10+'TE CVA'!$AA$10)*1</f>
        <v>217.62939920622892</v>
      </c>
      <c r="AB434" s="6">
        <f>$K$434*$V$434</f>
        <v>0</v>
      </c>
      <c r="AC434" s="6">
        <f>$M$434*$W$434</f>
        <v>945158.31990000012</v>
      </c>
      <c r="AD434" s="6">
        <f>$O$434*$X$434</f>
        <v>480460.84828000003</v>
      </c>
      <c r="AE434" s="6">
        <f>$K$434*$Y$434</f>
        <v>0</v>
      </c>
      <c r="AF434" s="6">
        <f ca="1">$M$434*$Z$434</f>
        <v>1061756.0574172609</v>
      </c>
      <c r="AG434" s="6">
        <f>$O$434*$AA$434</f>
        <v>467380.68010589806</v>
      </c>
    </row>
    <row r="435" spans="1:33" ht="11.25" customHeight="1" x14ac:dyDescent="0.25">
      <c r="A435" s="4" t="s">
        <v>27</v>
      </c>
      <c r="B435" s="4" t="s">
        <v>22</v>
      </c>
      <c r="C435" s="4" t="s">
        <v>23</v>
      </c>
      <c r="D435" s="4" t="s">
        <v>24</v>
      </c>
      <c r="E435" s="4" t="s">
        <v>24</v>
      </c>
      <c r="F435" s="4" t="s">
        <v>25</v>
      </c>
      <c r="G435" s="4" t="s">
        <v>25</v>
      </c>
      <c r="H435" s="4" t="s">
        <v>25</v>
      </c>
      <c r="I435" s="5">
        <v>44593</v>
      </c>
      <c r="J435" s="6">
        <v>0</v>
      </c>
      <c r="K435" s="6">
        <v>0</v>
      </c>
      <c r="L435" s="6">
        <v>-30.757999999999999</v>
      </c>
      <c r="M435" s="6">
        <v>-30.757999999999999</v>
      </c>
      <c r="N435" s="6">
        <v>-30.757999999999999</v>
      </c>
      <c r="O435" s="6">
        <v>-30.757999999999999</v>
      </c>
      <c r="P435" s="6">
        <v>0</v>
      </c>
      <c r="Q435" s="4" t="s">
        <v>26</v>
      </c>
      <c r="R435" s="4">
        <v>0</v>
      </c>
      <c r="S435" s="6">
        <v>0</v>
      </c>
      <c r="T435" s="6">
        <v>53</v>
      </c>
      <c r="U435" s="6">
        <v>9</v>
      </c>
      <c r="V435" s="6">
        <f>IF(ISERROR(VLOOKUP($S$435,'TAR FIN'!$A$1:$O$85,15,0)),0,VLOOKUP($S$435,'TAR FIN'!$A$1:$O$85,15,0))</f>
        <v>0</v>
      </c>
      <c r="W435" s="6">
        <f>IF(ISERROR(VLOOKUP($T$435,'TAR FIN'!$A$1:$O$85,15,0)),0,VLOOKUP($T$435,'TAR FIN'!$A$1:$O$85,15,0))</f>
        <v>440.1</v>
      </c>
      <c r="X435" s="6">
        <f>IF(ISERROR(VLOOKUP($U$435,'TAR FIN'!$A$1:$O$85,15,0)),0,VLOOKUP($U$435,'TAR FIN'!$A$1:$O$85,15,0))</f>
        <v>223.72</v>
      </c>
      <c r="Y435" s="6"/>
      <c r="Z435" s="6">
        <f ca="1">('TUSD BE'!$AM$20+'TUSD BF'!$AM$20+'TUSD CVA'!$AM$20)*1</f>
        <v>494.3921362494865</v>
      </c>
      <c r="AA435" s="6">
        <f>('TE BE'!$AA$10+'TE BF'!$AA$10+'TE CVA'!$AA$10)*1</f>
        <v>217.62939920622892</v>
      </c>
      <c r="AB435" s="6">
        <f>$K$435*$V$435</f>
        <v>0</v>
      </c>
      <c r="AC435" s="6">
        <f>$M$435*$W$435</f>
        <v>-13536.595800000001</v>
      </c>
      <c r="AD435" s="6">
        <f>$O$435*$X$435</f>
        <v>-6881.17976</v>
      </c>
      <c r="AE435" s="6">
        <f>$K$435*$Y$435</f>
        <v>0</v>
      </c>
      <c r="AF435" s="6">
        <f ca="1">$M$435*$Z$435</f>
        <v>-15206.513326761706</v>
      </c>
      <c r="AG435" s="6">
        <f>$O$435*$AA$435</f>
        <v>-6693.8450607851892</v>
      </c>
    </row>
    <row r="436" spans="1:33" ht="11.25" customHeight="1" x14ac:dyDescent="0.25">
      <c r="A436" s="4" t="s">
        <v>28</v>
      </c>
      <c r="B436" s="4" t="s">
        <v>22</v>
      </c>
      <c r="C436" s="4" t="s">
        <v>23</v>
      </c>
      <c r="D436" s="4" t="s">
        <v>24</v>
      </c>
      <c r="E436" s="4" t="s">
        <v>24</v>
      </c>
      <c r="F436" s="4" t="s">
        <v>25</v>
      </c>
      <c r="G436" s="4" t="s">
        <v>25</v>
      </c>
      <c r="H436" s="4" t="s">
        <v>25</v>
      </c>
      <c r="I436" s="5">
        <v>44593</v>
      </c>
      <c r="J436" s="6">
        <v>0</v>
      </c>
      <c r="K436" s="6">
        <v>0</v>
      </c>
      <c r="L436" s="6">
        <v>24.695</v>
      </c>
      <c r="M436" s="6">
        <v>24.695</v>
      </c>
      <c r="N436" s="6">
        <v>24.695</v>
      </c>
      <c r="O436" s="6">
        <v>24.695</v>
      </c>
      <c r="P436" s="6">
        <v>128</v>
      </c>
      <c r="Q436" s="4" t="s">
        <v>26</v>
      </c>
      <c r="R436" s="4">
        <v>0</v>
      </c>
      <c r="S436" s="6">
        <v>0</v>
      </c>
      <c r="T436" s="6">
        <v>53</v>
      </c>
      <c r="U436" s="6">
        <v>9</v>
      </c>
      <c r="V436" s="6">
        <f>IF(ISERROR(VLOOKUP($S$436,'TAR FIN'!$A$1:$O$85,15,0)),0,VLOOKUP($S$436,'TAR FIN'!$A$1:$O$85,15,0))</f>
        <v>0</v>
      </c>
      <c r="W436" s="6">
        <f>IF(ISERROR(VLOOKUP($T$436,'TAR FIN'!$A$1:$O$85,15,0)),0,VLOOKUP($T$436,'TAR FIN'!$A$1:$O$85,15,0))</f>
        <v>440.1</v>
      </c>
      <c r="X436" s="6">
        <f>IF(ISERROR(VLOOKUP($U$436,'TAR FIN'!$A$1:$O$85,15,0)),0,VLOOKUP($U$436,'TAR FIN'!$A$1:$O$85,15,0))</f>
        <v>223.72</v>
      </c>
      <c r="Y436" s="6"/>
      <c r="Z436" s="6">
        <f ca="1">('TUSD BE'!$AM$20+'TUSD BF'!$AM$20+'TUSD CVA'!$AM$20)*1</f>
        <v>494.3921362494865</v>
      </c>
      <c r="AA436" s="6">
        <f>('TE BE'!$AA$10+'TE BF'!$AA$10+'TE CVA'!$AA$10)*1</f>
        <v>217.62939920622892</v>
      </c>
      <c r="AB436" s="6">
        <f>$K$436*$V$436</f>
        <v>0</v>
      </c>
      <c r="AC436" s="6">
        <f>$M$436*$W$436</f>
        <v>10868.2695</v>
      </c>
      <c r="AD436" s="6">
        <f>$O$436*$X$436</f>
        <v>5524.7654000000002</v>
      </c>
      <c r="AE436" s="6">
        <f>$K$436*$Y$436</f>
        <v>0</v>
      </c>
      <c r="AF436" s="6">
        <f ca="1">$M$436*$Z$436</f>
        <v>12209.01380468107</v>
      </c>
      <c r="AG436" s="6">
        <f>$O$436*$AA$436</f>
        <v>5374.358013397823</v>
      </c>
    </row>
    <row r="437" spans="1:33" ht="11.25" customHeight="1" x14ac:dyDescent="0.25">
      <c r="A437" s="4" t="s">
        <v>54</v>
      </c>
      <c r="B437" s="4" t="s">
        <v>22</v>
      </c>
      <c r="C437" s="4" t="s">
        <v>23</v>
      </c>
      <c r="D437" s="4" t="s">
        <v>24</v>
      </c>
      <c r="E437" s="4" t="s">
        <v>24</v>
      </c>
      <c r="F437" s="4" t="s">
        <v>25</v>
      </c>
      <c r="G437" s="4" t="s">
        <v>25</v>
      </c>
      <c r="H437" s="4" t="s">
        <v>25</v>
      </c>
      <c r="I437" s="5">
        <v>44621</v>
      </c>
      <c r="J437" s="6">
        <v>0</v>
      </c>
      <c r="K437" s="6">
        <v>0</v>
      </c>
      <c r="L437" s="6">
        <v>2147.5990000000002</v>
      </c>
      <c r="M437" s="6">
        <v>2147.5990000000002</v>
      </c>
      <c r="N437" s="6">
        <v>2147.5990000000002</v>
      </c>
      <c r="O437" s="6">
        <v>2147.5990000000002</v>
      </c>
      <c r="P437" s="6">
        <v>9086</v>
      </c>
      <c r="Q437" s="4" t="s">
        <v>26</v>
      </c>
      <c r="R437" s="4">
        <v>0</v>
      </c>
      <c r="S437" s="6">
        <v>0</v>
      </c>
      <c r="T437" s="6">
        <v>53</v>
      </c>
      <c r="U437" s="6">
        <v>9</v>
      </c>
      <c r="V437" s="6">
        <f>IF(ISERROR(VLOOKUP($S$437,'TAR FIN'!$A$1:$O$85,15,0)),0,VLOOKUP($S$437,'TAR FIN'!$A$1:$O$85,15,0))</f>
        <v>0</v>
      </c>
      <c r="W437" s="6">
        <f>IF(ISERROR(VLOOKUP($T$437,'TAR FIN'!$A$1:$O$85,15,0)),0,VLOOKUP($T$437,'TAR FIN'!$A$1:$O$85,15,0))</f>
        <v>440.1</v>
      </c>
      <c r="X437" s="6">
        <f>IF(ISERROR(VLOOKUP($U$437,'TAR FIN'!$A$1:$O$85,15,0)),0,VLOOKUP($U$437,'TAR FIN'!$A$1:$O$85,15,0))</f>
        <v>223.72</v>
      </c>
      <c r="Y437" s="6"/>
      <c r="Z437" s="6">
        <f ca="1">('TUSD BE'!$AM$20+'TUSD BF'!$AM$20+'TUSD CVA'!$AM$20)*1</f>
        <v>494.3921362494865</v>
      </c>
      <c r="AA437" s="6">
        <f>('TE BE'!$AA$10+'TE BF'!$AA$10+'TE CVA'!$AA$10)*1</f>
        <v>217.62939920622892</v>
      </c>
      <c r="AB437" s="6">
        <f>$K$437*$V$437</f>
        <v>0</v>
      </c>
      <c r="AC437" s="6">
        <f>$M$437*$W$437</f>
        <v>945158.31990000012</v>
      </c>
      <c r="AD437" s="6">
        <f>$O$437*$X$437</f>
        <v>480460.84828000003</v>
      </c>
      <c r="AE437" s="6">
        <f>$K$437*$Y$437</f>
        <v>0</v>
      </c>
      <c r="AF437" s="6">
        <f ca="1">$M$437*$Z$437</f>
        <v>1061756.0574172609</v>
      </c>
      <c r="AG437" s="6">
        <f>$O$437*$AA$437</f>
        <v>467380.68010589806</v>
      </c>
    </row>
    <row r="438" spans="1:33" ht="11.25" customHeight="1" x14ac:dyDescent="0.25">
      <c r="A438" s="4" t="s">
        <v>54</v>
      </c>
      <c r="B438" s="4" t="s">
        <v>22</v>
      </c>
      <c r="C438" s="4" t="s">
        <v>23</v>
      </c>
      <c r="D438" s="4" t="s">
        <v>24</v>
      </c>
      <c r="E438" s="4" t="s">
        <v>24</v>
      </c>
      <c r="F438" s="4" t="s">
        <v>25</v>
      </c>
      <c r="G438" s="4" t="s">
        <v>25</v>
      </c>
      <c r="H438" s="4" t="s">
        <v>25</v>
      </c>
      <c r="I438" s="5">
        <v>44621</v>
      </c>
      <c r="J438" s="6">
        <v>0</v>
      </c>
      <c r="K438" s="6">
        <v>0</v>
      </c>
      <c r="L438" s="6">
        <v>-30.757999999999999</v>
      </c>
      <c r="M438" s="6">
        <v>-30.757999999999999</v>
      </c>
      <c r="N438" s="6">
        <v>-30.757999999999999</v>
      </c>
      <c r="O438" s="6">
        <v>-30.757999999999999</v>
      </c>
      <c r="P438" s="6">
        <v>0</v>
      </c>
      <c r="Q438" s="4" t="s">
        <v>26</v>
      </c>
      <c r="R438" s="4">
        <v>0</v>
      </c>
      <c r="S438" s="6">
        <v>0</v>
      </c>
      <c r="T438" s="6">
        <v>53</v>
      </c>
      <c r="U438" s="6">
        <v>9</v>
      </c>
      <c r="V438" s="6">
        <f>IF(ISERROR(VLOOKUP($S$438,'TAR FIN'!$A$1:$O$85,15,0)),0,VLOOKUP($S$438,'TAR FIN'!$A$1:$O$85,15,0))</f>
        <v>0</v>
      </c>
      <c r="W438" s="6">
        <f>IF(ISERROR(VLOOKUP($T$438,'TAR FIN'!$A$1:$O$85,15,0)),0,VLOOKUP($T$438,'TAR FIN'!$A$1:$O$85,15,0))</f>
        <v>440.1</v>
      </c>
      <c r="X438" s="6">
        <f>IF(ISERROR(VLOOKUP($U$438,'TAR FIN'!$A$1:$O$85,15,0)),0,VLOOKUP($U$438,'TAR FIN'!$A$1:$O$85,15,0))</f>
        <v>223.72</v>
      </c>
      <c r="Y438" s="6"/>
      <c r="Z438" s="6">
        <f ca="1">('TUSD BE'!$AM$20+'TUSD BF'!$AM$20+'TUSD CVA'!$AM$20)*1</f>
        <v>494.3921362494865</v>
      </c>
      <c r="AA438" s="6">
        <f>('TE BE'!$AA$10+'TE BF'!$AA$10+'TE CVA'!$AA$10)*1</f>
        <v>217.62939920622892</v>
      </c>
      <c r="AB438" s="6">
        <f>$K$438*$V$438</f>
        <v>0</v>
      </c>
      <c r="AC438" s="6">
        <f>$M$438*$W$438</f>
        <v>-13536.595800000001</v>
      </c>
      <c r="AD438" s="6">
        <f>$O$438*$X$438</f>
        <v>-6881.17976</v>
      </c>
      <c r="AE438" s="6">
        <f>$K$438*$Y$438</f>
        <v>0</v>
      </c>
      <c r="AF438" s="6">
        <f ca="1">$M$438*$Z$438</f>
        <v>-15206.513326761706</v>
      </c>
      <c r="AG438" s="6">
        <f>$O$438*$AA$438</f>
        <v>-6693.8450607851892</v>
      </c>
    </row>
    <row r="439" spans="1:33" ht="11.25" customHeight="1" x14ac:dyDescent="0.25">
      <c r="A439" s="4" t="s">
        <v>54</v>
      </c>
      <c r="B439" s="4" t="s">
        <v>22</v>
      </c>
      <c r="C439" s="4" t="s">
        <v>23</v>
      </c>
      <c r="D439" s="4" t="s">
        <v>24</v>
      </c>
      <c r="E439" s="4" t="s">
        <v>24</v>
      </c>
      <c r="F439" s="4" t="s">
        <v>25</v>
      </c>
      <c r="G439" s="4" t="s">
        <v>25</v>
      </c>
      <c r="H439" s="4" t="s">
        <v>25</v>
      </c>
      <c r="I439" s="5">
        <v>44621</v>
      </c>
      <c r="J439" s="6">
        <v>0</v>
      </c>
      <c r="K439" s="6">
        <v>0</v>
      </c>
      <c r="L439" s="6">
        <v>24.695</v>
      </c>
      <c r="M439" s="6">
        <v>24.695</v>
      </c>
      <c r="N439" s="6">
        <v>24.695</v>
      </c>
      <c r="O439" s="6">
        <v>24.695</v>
      </c>
      <c r="P439" s="6">
        <v>128</v>
      </c>
      <c r="Q439" s="4" t="s">
        <v>26</v>
      </c>
      <c r="R439" s="4">
        <v>0</v>
      </c>
      <c r="S439" s="6">
        <v>0</v>
      </c>
      <c r="T439" s="6">
        <v>53</v>
      </c>
      <c r="U439" s="6">
        <v>9</v>
      </c>
      <c r="V439" s="6">
        <f>IF(ISERROR(VLOOKUP($S$439,'TAR FIN'!$A$1:$O$85,15,0)),0,VLOOKUP($S$439,'TAR FIN'!$A$1:$O$85,15,0))</f>
        <v>0</v>
      </c>
      <c r="W439" s="6">
        <f>IF(ISERROR(VLOOKUP($T$439,'TAR FIN'!$A$1:$O$85,15,0)),0,VLOOKUP($T$439,'TAR FIN'!$A$1:$O$85,15,0))</f>
        <v>440.1</v>
      </c>
      <c r="X439" s="6">
        <f>IF(ISERROR(VLOOKUP($U$439,'TAR FIN'!$A$1:$O$85,15,0)),0,VLOOKUP($U$439,'TAR FIN'!$A$1:$O$85,15,0))</f>
        <v>223.72</v>
      </c>
      <c r="Y439" s="6"/>
      <c r="Z439" s="6">
        <f ca="1">('TUSD BE'!$AM$20+'TUSD BF'!$AM$20+'TUSD CVA'!$AM$20)*1</f>
        <v>494.3921362494865</v>
      </c>
      <c r="AA439" s="6">
        <f>('TE BE'!$AA$10+'TE BF'!$AA$10+'TE CVA'!$AA$10)*1</f>
        <v>217.62939920622892</v>
      </c>
      <c r="AB439" s="6">
        <f>$K$439*$V$439</f>
        <v>0</v>
      </c>
      <c r="AC439" s="6">
        <f>$M$439*$W$439</f>
        <v>10868.2695</v>
      </c>
      <c r="AD439" s="6">
        <f>$O$439*$X$439</f>
        <v>5524.7654000000002</v>
      </c>
      <c r="AE439" s="6">
        <f>$K$439*$Y$439</f>
        <v>0</v>
      </c>
      <c r="AF439" s="6">
        <f ca="1">$M$439*$Z$439</f>
        <v>12209.01380468107</v>
      </c>
      <c r="AG439" s="6">
        <f>$O$439*$AA$439</f>
        <v>5374.358013397823</v>
      </c>
    </row>
    <row r="440" spans="1:33" ht="11.25" customHeight="1" x14ac:dyDescent="0.25">
      <c r="A440" s="4" t="s">
        <v>21</v>
      </c>
      <c r="B440" s="4" t="s">
        <v>22</v>
      </c>
      <c r="C440" s="4" t="s">
        <v>23</v>
      </c>
      <c r="D440" s="4" t="s">
        <v>24</v>
      </c>
      <c r="E440" s="4" t="s">
        <v>29</v>
      </c>
      <c r="F440" s="4" t="s">
        <v>25</v>
      </c>
      <c r="G440" s="4" t="s">
        <v>25</v>
      </c>
      <c r="H440" s="4" t="s">
        <v>25</v>
      </c>
      <c r="I440" s="5">
        <v>44287</v>
      </c>
      <c r="J440" s="6">
        <v>0</v>
      </c>
      <c r="K440" s="6">
        <v>0</v>
      </c>
      <c r="L440" s="6">
        <v>1.32</v>
      </c>
      <c r="M440" s="6">
        <v>1.32</v>
      </c>
      <c r="N440" s="6">
        <v>1.32</v>
      </c>
      <c r="O440" s="6">
        <v>1.32</v>
      </c>
      <c r="P440" s="6">
        <v>0</v>
      </c>
      <c r="Q440" s="4" t="s">
        <v>26</v>
      </c>
      <c r="R440" s="4">
        <v>0</v>
      </c>
      <c r="S440" s="6">
        <v>0</v>
      </c>
      <c r="T440" s="6">
        <v>69</v>
      </c>
      <c r="U440" s="6">
        <v>10</v>
      </c>
      <c r="V440" s="6">
        <f>IF(ISERROR(VLOOKUP($S$440,'TAR FIN'!$A$1:$O$85,15,0)),0,VLOOKUP($S$440,'TAR FIN'!$A$1:$O$85,15,0))</f>
        <v>0</v>
      </c>
      <c r="W440" s="6">
        <f>IF(ISERROR(VLOOKUP($T$440,'TAR FIN'!$A$1:$O$85,15,0)),0,VLOOKUP($T$440,'TAR FIN'!$A$1:$O$85,15,0))</f>
        <v>131.74</v>
      </c>
      <c r="X440" s="6">
        <f>IF(ISERROR(VLOOKUP($U$440,'TAR FIN'!$A$1:$O$85,15,0)),0,VLOOKUP($U$440,'TAR FIN'!$A$1:$O$85,15,0))</f>
        <v>78.3</v>
      </c>
      <c r="Y440" s="6"/>
      <c r="Z440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440" s="6">
        <f>('TE BE'!$AA$11+'TE BF'!$AA$11+'TE CVA'!$AA$11)*(1-CUSTOS!$M$34)</f>
        <v>76.170289722180115</v>
      </c>
      <c r="AB440" s="6">
        <f>$K$440*$V$440</f>
        <v>0</v>
      </c>
      <c r="AC440" s="6">
        <f>$M$440*$W$440</f>
        <v>173.89680000000001</v>
      </c>
      <c r="AD440" s="6">
        <f>$O$440*$X$440</f>
        <v>103.35599999999999</v>
      </c>
      <c r="AE440" s="6">
        <f>$K$440*$Y$440</f>
        <v>0</v>
      </c>
      <c r="AF440" s="6">
        <f ca="1">$M$440*$Z$440</f>
        <v>183.25785838376703</v>
      </c>
      <c r="AG440" s="6">
        <f>$O$440*$AA$440</f>
        <v>100.54478243327776</v>
      </c>
    </row>
    <row r="441" spans="1:33" ht="11.25" customHeight="1" x14ac:dyDescent="0.25">
      <c r="A441" s="4" t="s">
        <v>21</v>
      </c>
      <c r="B441" s="4" t="s">
        <v>22</v>
      </c>
      <c r="C441" s="4" t="s">
        <v>23</v>
      </c>
      <c r="D441" s="4" t="s">
        <v>24</v>
      </c>
      <c r="E441" s="4" t="s">
        <v>29</v>
      </c>
      <c r="F441" s="4" t="s">
        <v>25</v>
      </c>
      <c r="G441" s="4" t="s">
        <v>25</v>
      </c>
      <c r="H441" s="4" t="s">
        <v>25</v>
      </c>
      <c r="I441" s="5">
        <v>44317</v>
      </c>
      <c r="J441" s="6">
        <v>0</v>
      </c>
      <c r="K441" s="6">
        <v>0</v>
      </c>
      <c r="L441" s="6">
        <v>1.35</v>
      </c>
      <c r="M441" s="6">
        <v>1.35</v>
      </c>
      <c r="N441" s="6">
        <v>1.35</v>
      </c>
      <c r="O441" s="6">
        <v>1.35</v>
      </c>
      <c r="P441" s="6">
        <v>0</v>
      </c>
      <c r="Q441" s="4" t="s">
        <v>26</v>
      </c>
      <c r="R441" s="4">
        <v>0</v>
      </c>
      <c r="S441" s="6">
        <v>0</v>
      </c>
      <c r="T441" s="6">
        <v>69</v>
      </c>
      <c r="U441" s="6">
        <v>10</v>
      </c>
      <c r="V441" s="6">
        <f>IF(ISERROR(VLOOKUP($S$441,'TAR FIN'!$A$1:$O$85,15,0)),0,VLOOKUP($S$441,'TAR FIN'!$A$1:$O$85,15,0))</f>
        <v>0</v>
      </c>
      <c r="W441" s="6">
        <f>IF(ISERROR(VLOOKUP($T$441,'TAR FIN'!$A$1:$O$85,15,0)),0,VLOOKUP($T$441,'TAR FIN'!$A$1:$O$85,15,0))</f>
        <v>131.74</v>
      </c>
      <c r="X441" s="6">
        <f>IF(ISERROR(VLOOKUP($U$441,'TAR FIN'!$A$1:$O$85,15,0)),0,VLOOKUP($U$441,'TAR FIN'!$A$1:$O$85,15,0))</f>
        <v>78.3</v>
      </c>
      <c r="Y441" s="6"/>
      <c r="Z441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441" s="6">
        <f>('TE BE'!$AA$11+'TE BF'!$AA$11+'TE CVA'!$AA$11)*(1-CUSTOS!$M$34)</f>
        <v>76.170289722180115</v>
      </c>
      <c r="AB441" s="6">
        <f>$K$441*$V$441</f>
        <v>0</v>
      </c>
      <c r="AC441" s="6">
        <f>$M$441*$W$441</f>
        <v>177.84900000000002</v>
      </c>
      <c r="AD441" s="6">
        <f>$O$441*$X$441</f>
        <v>105.705</v>
      </c>
      <c r="AE441" s="6">
        <f>$K$441*$Y$441</f>
        <v>0</v>
      </c>
      <c r="AF441" s="6">
        <f ca="1">$M$441*$Z$441</f>
        <v>187.42280971067083</v>
      </c>
      <c r="AG441" s="6">
        <f>$O$441*$AA$441</f>
        <v>102.82989112494316</v>
      </c>
    </row>
    <row r="442" spans="1:33" ht="11.25" customHeight="1" x14ac:dyDescent="0.25">
      <c r="A442" s="4" t="s">
        <v>21</v>
      </c>
      <c r="B442" s="4" t="s">
        <v>22</v>
      </c>
      <c r="C442" s="4" t="s">
        <v>23</v>
      </c>
      <c r="D442" s="4" t="s">
        <v>24</v>
      </c>
      <c r="E442" s="4" t="s">
        <v>29</v>
      </c>
      <c r="F442" s="4" t="s">
        <v>25</v>
      </c>
      <c r="G442" s="4" t="s">
        <v>25</v>
      </c>
      <c r="H442" s="4" t="s">
        <v>25</v>
      </c>
      <c r="I442" s="5">
        <v>44348</v>
      </c>
      <c r="J442" s="6">
        <v>0</v>
      </c>
      <c r="K442" s="6">
        <v>0</v>
      </c>
      <c r="L442" s="6">
        <v>1.38</v>
      </c>
      <c r="M442" s="6">
        <v>1.38</v>
      </c>
      <c r="N442" s="6">
        <v>1.38</v>
      </c>
      <c r="O442" s="6">
        <v>1.38</v>
      </c>
      <c r="P442" s="6">
        <v>0</v>
      </c>
      <c r="Q442" s="4" t="s">
        <v>26</v>
      </c>
      <c r="R442" s="4">
        <v>0</v>
      </c>
      <c r="S442" s="6">
        <v>0</v>
      </c>
      <c r="T442" s="6">
        <v>69</v>
      </c>
      <c r="U442" s="6">
        <v>10</v>
      </c>
      <c r="V442" s="6">
        <f>IF(ISERROR(VLOOKUP($S$442,'TAR FIN'!$A$1:$O$85,15,0)),0,VLOOKUP($S$442,'TAR FIN'!$A$1:$O$85,15,0))</f>
        <v>0</v>
      </c>
      <c r="W442" s="6">
        <f>IF(ISERROR(VLOOKUP($T$442,'TAR FIN'!$A$1:$O$85,15,0)),0,VLOOKUP($T$442,'TAR FIN'!$A$1:$O$85,15,0))</f>
        <v>131.74</v>
      </c>
      <c r="X442" s="6">
        <f>IF(ISERROR(VLOOKUP($U$442,'TAR FIN'!$A$1:$O$85,15,0)),0,VLOOKUP($U$442,'TAR FIN'!$A$1:$O$85,15,0))</f>
        <v>78.3</v>
      </c>
      <c r="Y442" s="6"/>
      <c r="Z442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442" s="6">
        <f>('TE BE'!$AA$11+'TE BF'!$AA$11+'TE CVA'!$AA$11)*(1-CUSTOS!$M$34)</f>
        <v>76.170289722180115</v>
      </c>
      <c r="AB442" s="6">
        <f>$K$442*$V$442</f>
        <v>0</v>
      </c>
      <c r="AC442" s="6">
        <f>$M$442*$W$442</f>
        <v>181.80119999999999</v>
      </c>
      <c r="AD442" s="6">
        <f>$O$442*$X$442</f>
        <v>108.05399999999999</v>
      </c>
      <c r="AE442" s="6">
        <f>$K$442*$Y$442</f>
        <v>0</v>
      </c>
      <c r="AF442" s="6">
        <f ca="1">$M$442*$Z$442</f>
        <v>191.58776103757461</v>
      </c>
      <c r="AG442" s="6">
        <f>$O$442*$AA$442</f>
        <v>105.11499981660855</v>
      </c>
    </row>
    <row r="443" spans="1:33" ht="11.25" customHeight="1" x14ac:dyDescent="0.25">
      <c r="A443" s="4" t="s">
        <v>21</v>
      </c>
      <c r="B443" s="4" t="s">
        <v>22</v>
      </c>
      <c r="C443" s="4" t="s">
        <v>23</v>
      </c>
      <c r="D443" s="4" t="s">
        <v>24</v>
      </c>
      <c r="E443" s="4" t="s">
        <v>29</v>
      </c>
      <c r="F443" s="4" t="s">
        <v>25</v>
      </c>
      <c r="G443" s="4" t="s">
        <v>25</v>
      </c>
      <c r="H443" s="4" t="s">
        <v>25</v>
      </c>
      <c r="I443" s="5">
        <v>44378</v>
      </c>
      <c r="J443" s="6">
        <v>0</v>
      </c>
      <c r="K443" s="6">
        <v>0</v>
      </c>
      <c r="L443" s="6">
        <v>1.38</v>
      </c>
      <c r="M443" s="6">
        <v>1.38</v>
      </c>
      <c r="N443" s="6">
        <v>1.38</v>
      </c>
      <c r="O443" s="6">
        <v>1.38</v>
      </c>
      <c r="P443" s="6">
        <v>0</v>
      </c>
      <c r="Q443" s="4" t="s">
        <v>26</v>
      </c>
      <c r="R443" s="4">
        <v>0</v>
      </c>
      <c r="S443" s="6">
        <v>0</v>
      </c>
      <c r="T443" s="6">
        <v>69</v>
      </c>
      <c r="U443" s="6">
        <v>10</v>
      </c>
      <c r="V443" s="6">
        <f>IF(ISERROR(VLOOKUP($S$443,'TAR FIN'!$A$1:$O$85,15,0)),0,VLOOKUP($S$443,'TAR FIN'!$A$1:$O$85,15,0))</f>
        <v>0</v>
      </c>
      <c r="W443" s="6">
        <f>IF(ISERROR(VLOOKUP($T$443,'TAR FIN'!$A$1:$O$85,15,0)),0,VLOOKUP($T$443,'TAR FIN'!$A$1:$O$85,15,0))</f>
        <v>131.74</v>
      </c>
      <c r="X443" s="6">
        <f>IF(ISERROR(VLOOKUP($U$443,'TAR FIN'!$A$1:$O$85,15,0)),0,VLOOKUP($U$443,'TAR FIN'!$A$1:$O$85,15,0))</f>
        <v>78.3</v>
      </c>
      <c r="Y443" s="6"/>
      <c r="Z443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443" s="6">
        <f>('TE BE'!$AA$11+'TE BF'!$AA$11+'TE CVA'!$AA$11)*(1-CUSTOS!$M$34)</f>
        <v>76.170289722180115</v>
      </c>
      <c r="AB443" s="6">
        <f>$K$443*$V$443</f>
        <v>0</v>
      </c>
      <c r="AC443" s="6">
        <f>$M$443*$W$443</f>
        <v>181.80119999999999</v>
      </c>
      <c r="AD443" s="6">
        <f>$O$443*$X$443</f>
        <v>108.05399999999999</v>
      </c>
      <c r="AE443" s="6">
        <f>$K$443*$Y$443</f>
        <v>0</v>
      </c>
      <c r="AF443" s="6">
        <f ca="1">$M$443*$Z$443</f>
        <v>191.58776103757461</v>
      </c>
      <c r="AG443" s="6">
        <f>$O$443*$AA$443</f>
        <v>105.11499981660855</v>
      </c>
    </row>
    <row r="444" spans="1:33" ht="11.25" customHeight="1" x14ac:dyDescent="0.25">
      <c r="A444" s="4" t="s">
        <v>21</v>
      </c>
      <c r="B444" s="4" t="s">
        <v>22</v>
      </c>
      <c r="C444" s="4" t="s">
        <v>23</v>
      </c>
      <c r="D444" s="4" t="s">
        <v>24</v>
      </c>
      <c r="E444" s="4" t="s">
        <v>29</v>
      </c>
      <c r="F444" s="4" t="s">
        <v>25</v>
      </c>
      <c r="G444" s="4" t="s">
        <v>25</v>
      </c>
      <c r="H444" s="4" t="s">
        <v>25</v>
      </c>
      <c r="I444" s="5">
        <v>44409</v>
      </c>
      <c r="J444" s="6">
        <v>0</v>
      </c>
      <c r="K444" s="6">
        <v>0</v>
      </c>
      <c r="L444" s="6">
        <v>1.47</v>
      </c>
      <c r="M444" s="6">
        <v>1.47</v>
      </c>
      <c r="N444" s="6">
        <v>1.47</v>
      </c>
      <c r="O444" s="6">
        <v>1.47</v>
      </c>
      <c r="P444" s="6">
        <v>0</v>
      </c>
      <c r="Q444" s="4" t="s">
        <v>26</v>
      </c>
      <c r="R444" s="4">
        <v>0</v>
      </c>
      <c r="S444" s="6">
        <v>0</v>
      </c>
      <c r="T444" s="6">
        <v>69</v>
      </c>
      <c r="U444" s="6">
        <v>10</v>
      </c>
      <c r="V444" s="6">
        <f>IF(ISERROR(VLOOKUP($S$444,'TAR FIN'!$A$1:$O$85,15,0)),0,VLOOKUP($S$444,'TAR FIN'!$A$1:$O$85,15,0))</f>
        <v>0</v>
      </c>
      <c r="W444" s="6">
        <f>IF(ISERROR(VLOOKUP($T$444,'TAR FIN'!$A$1:$O$85,15,0)),0,VLOOKUP($T$444,'TAR FIN'!$A$1:$O$85,15,0))</f>
        <v>131.74</v>
      </c>
      <c r="X444" s="6">
        <f>IF(ISERROR(VLOOKUP($U$444,'TAR FIN'!$A$1:$O$85,15,0)),0,VLOOKUP($U$444,'TAR FIN'!$A$1:$O$85,15,0))</f>
        <v>78.3</v>
      </c>
      <c r="Y444" s="6"/>
      <c r="Z444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444" s="6">
        <f>('TE BE'!$AA$11+'TE BF'!$AA$11+'TE CVA'!$AA$11)*(1-CUSTOS!$M$34)</f>
        <v>76.170289722180115</v>
      </c>
      <c r="AB444" s="6">
        <f>$K$444*$V$444</f>
        <v>0</v>
      </c>
      <c r="AC444" s="6">
        <f>$M$444*$W$444</f>
        <v>193.65780000000001</v>
      </c>
      <c r="AD444" s="6">
        <f>$O$444*$X$444</f>
        <v>115.101</v>
      </c>
      <c r="AE444" s="6">
        <f>$K$444*$Y$444</f>
        <v>0</v>
      </c>
      <c r="AF444" s="6">
        <f ca="1">$M$444*$Z$444</f>
        <v>204.08261501828599</v>
      </c>
      <c r="AG444" s="6">
        <f>$O$444*$AA$444</f>
        <v>111.97032589160477</v>
      </c>
    </row>
    <row r="445" spans="1:33" ht="11.25" customHeight="1" x14ac:dyDescent="0.25">
      <c r="A445" s="4" t="s">
        <v>21</v>
      </c>
      <c r="B445" s="4" t="s">
        <v>22</v>
      </c>
      <c r="C445" s="4" t="s">
        <v>23</v>
      </c>
      <c r="D445" s="4" t="s">
        <v>24</v>
      </c>
      <c r="E445" s="4" t="s">
        <v>29</v>
      </c>
      <c r="F445" s="4" t="s">
        <v>25</v>
      </c>
      <c r="G445" s="4" t="s">
        <v>25</v>
      </c>
      <c r="H445" s="4" t="s">
        <v>25</v>
      </c>
      <c r="I445" s="5">
        <v>44440</v>
      </c>
      <c r="J445" s="6">
        <v>0</v>
      </c>
      <c r="K445" s="6">
        <v>0</v>
      </c>
      <c r="L445" s="6">
        <v>1.44</v>
      </c>
      <c r="M445" s="6">
        <v>1.44</v>
      </c>
      <c r="N445" s="6">
        <v>1.44</v>
      </c>
      <c r="O445" s="6">
        <v>1.44</v>
      </c>
      <c r="P445" s="6">
        <v>0</v>
      </c>
      <c r="Q445" s="4" t="s">
        <v>26</v>
      </c>
      <c r="R445" s="4">
        <v>0</v>
      </c>
      <c r="S445" s="6">
        <v>0</v>
      </c>
      <c r="T445" s="6">
        <v>69</v>
      </c>
      <c r="U445" s="6">
        <v>10</v>
      </c>
      <c r="V445" s="6">
        <f>IF(ISERROR(VLOOKUP($S$445,'TAR FIN'!$A$1:$O$85,15,0)),0,VLOOKUP($S$445,'TAR FIN'!$A$1:$O$85,15,0))</f>
        <v>0</v>
      </c>
      <c r="W445" s="6">
        <f>IF(ISERROR(VLOOKUP($T$445,'TAR FIN'!$A$1:$O$85,15,0)),0,VLOOKUP($T$445,'TAR FIN'!$A$1:$O$85,15,0))</f>
        <v>131.74</v>
      </c>
      <c r="X445" s="6">
        <f>IF(ISERROR(VLOOKUP($U$445,'TAR FIN'!$A$1:$O$85,15,0)),0,VLOOKUP($U$445,'TAR FIN'!$A$1:$O$85,15,0))</f>
        <v>78.3</v>
      </c>
      <c r="Y445" s="6"/>
      <c r="Z445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445" s="6">
        <f>('TE BE'!$AA$11+'TE BF'!$AA$11+'TE CVA'!$AA$11)*(1-CUSTOS!$M$34)</f>
        <v>76.170289722180115</v>
      </c>
      <c r="AB445" s="6">
        <f>$K$445*$V$445</f>
        <v>0</v>
      </c>
      <c r="AC445" s="6">
        <f>$M$445*$W$445</f>
        <v>189.7056</v>
      </c>
      <c r="AD445" s="6">
        <f>$O$445*$X$445</f>
        <v>112.752</v>
      </c>
      <c r="AE445" s="6">
        <f>$K$445*$Y$445</f>
        <v>0</v>
      </c>
      <c r="AF445" s="6">
        <f ca="1">$M$445*$Z$445</f>
        <v>199.91766369138219</v>
      </c>
      <c r="AG445" s="6">
        <f>$O$445*$AA$445</f>
        <v>109.68521719993936</v>
      </c>
    </row>
    <row r="446" spans="1:33" ht="11.25" customHeight="1" x14ac:dyDescent="0.25">
      <c r="A446" s="4" t="s">
        <v>21</v>
      </c>
      <c r="B446" s="4" t="s">
        <v>22</v>
      </c>
      <c r="C446" s="4" t="s">
        <v>23</v>
      </c>
      <c r="D446" s="4" t="s">
        <v>24</v>
      </c>
      <c r="E446" s="4" t="s">
        <v>29</v>
      </c>
      <c r="F446" s="4" t="s">
        <v>25</v>
      </c>
      <c r="G446" s="4" t="s">
        <v>25</v>
      </c>
      <c r="H446" s="4" t="s">
        <v>25</v>
      </c>
      <c r="I446" s="5">
        <v>44470</v>
      </c>
      <c r="J446" s="6">
        <v>0</v>
      </c>
      <c r="K446" s="6">
        <v>0</v>
      </c>
      <c r="L446" s="6">
        <v>1.44</v>
      </c>
      <c r="M446" s="6">
        <v>1.44</v>
      </c>
      <c r="N446" s="6">
        <v>1.44</v>
      </c>
      <c r="O446" s="6">
        <v>1.44</v>
      </c>
      <c r="P446" s="6">
        <v>0</v>
      </c>
      <c r="Q446" s="4" t="s">
        <v>26</v>
      </c>
      <c r="R446" s="4">
        <v>0</v>
      </c>
      <c r="S446" s="6">
        <v>0</v>
      </c>
      <c r="T446" s="6">
        <v>69</v>
      </c>
      <c r="U446" s="6">
        <v>10</v>
      </c>
      <c r="V446" s="6">
        <f>IF(ISERROR(VLOOKUP($S$446,'TAR FIN'!$A$1:$O$85,15,0)),0,VLOOKUP($S$446,'TAR FIN'!$A$1:$O$85,15,0))</f>
        <v>0</v>
      </c>
      <c r="W446" s="6">
        <f>IF(ISERROR(VLOOKUP($T$446,'TAR FIN'!$A$1:$O$85,15,0)),0,VLOOKUP($T$446,'TAR FIN'!$A$1:$O$85,15,0))</f>
        <v>131.74</v>
      </c>
      <c r="X446" s="6">
        <f>IF(ISERROR(VLOOKUP($U$446,'TAR FIN'!$A$1:$O$85,15,0)),0,VLOOKUP($U$446,'TAR FIN'!$A$1:$O$85,15,0))</f>
        <v>78.3</v>
      </c>
      <c r="Y446" s="6"/>
      <c r="Z446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446" s="6">
        <f>('TE BE'!$AA$11+'TE BF'!$AA$11+'TE CVA'!$AA$11)*(1-CUSTOS!$M$34)</f>
        <v>76.170289722180115</v>
      </c>
      <c r="AB446" s="6">
        <f>$K$446*$V$446</f>
        <v>0</v>
      </c>
      <c r="AC446" s="6">
        <f>$M$446*$W$446</f>
        <v>189.7056</v>
      </c>
      <c r="AD446" s="6">
        <f>$O$446*$X$446</f>
        <v>112.752</v>
      </c>
      <c r="AE446" s="6">
        <f>$K$446*$Y$446</f>
        <v>0</v>
      </c>
      <c r="AF446" s="6">
        <f ca="1">$M$446*$Z$446</f>
        <v>199.91766369138219</v>
      </c>
      <c r="AG446" s="6">
        <f>$O$446*$AA$446</f>
        <v>109.68521719993936</v>
      </c>
    </row>
    <row r="447" spans="1:33" ht="11.25" customHeight="1" x14ac:dyDescent="0.25">
      <c r="A447" s="4" t="s">
        <v>21</v>
      </c>
      <c r="B447" s="4" t="s">
        <v>22</v>
      </c>
      <c r="C447" s="4" t="s">
        <v>23</v>
      </c>
      <c r="D447" s="4" t="s">
        <v>24</v>
      </c>
      <c r="E447" s="4" t="s">
        <v>29</v>
      </c>
      <c r="F447" s="4" t="s">
        <v>25</v>
      </c>
      <c r="G447" s="4" t="s">
        <v>25</v>
      </c>
      <c r="H447" s="4" t="s">
        <v>25</v>
      </c>
      <c r="I447" s="5">
        <v>44501</v>
      </c>
      <c r="J447" s="6">
        <v>0</v>
      </c>
      <c r="K447" s="6">
        <v>0</v>
      </c>
      <c r="L447" s="6">
        <v>1.47</v>
      </c>
      <c r="M447" s="6">
        <v>1.47</v>
      </c>
      <c r="N447" s="6">
        <v>1.47</v>
      </c>
      <c r="O447" s="6">
        <v>1.47</v>
      </c>
      <c r="P447" s="6">
        <v>0</v>
      </c>
      <c r="Q447" s="4" t="s">
        <v>26</v>
      </c>
      <c r="R447" s="4">
        <v>0</v>
      </c>
      <c r="S447" s="6">
        <v>0</v>
      </c>
      <c r="T447" s="6">
        <v>69</v>
      </c>
      <c r="U447" s="6">
        <v>10</v>
      </c>
      <c r="V447" s="6">
        <f>IF(ISERROR(VLOOKUP($S$447,'TAR FIN'!$A$1:$O$85,15,0)),0,VLOOKUP($S$447,'TAR FIN'!$A$1:$O$85,15,0))</f>
        <v>0</v>
      </c>
      <c r="W447" s="6">
        <f>IF(ISERROR(VLOOKUP($T$447,'TAR FIN'!$A$1:$O$85,15,0)),0,VLOOKUP($T$447,'TAR FIN'!$A$1:$O$85,15,0))</f>
        <v>131.74</v>
      </c>
      <c r="X447" s="6">
        <f>IF(ISERROR(VLOOKUP($U$447,'TAR FIN'!$A$1:$O$85,15,0)),0,VLOOKUP($U$447,'TAR FIN'!$A$1:$O$85,15,0))</f>
        <v>78.3</v>
      </c>
      <c r="Y447" s="6"/>
      <c r="Z447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447" s="6">
        <f>('TE BE'!$AA$11+'TE BF'!$AA$11+'TE CVA'!$AA$11)*(1-CUSTOS!$M$34)</f>
        <v>76.170289722180115</v>
      </c>
      <c r="AB447" s="6">
        <f>$K$447*$V$447</f>
        <v>0</v>
      </c>
      <c r="AC447" s="6">
        <f>$M$447*$W$447</f>
        <v>193.65780000000001</v>
      </c>
      <c r="AD447" s="6">
        <f>$O$447*$X$447</f>
        <v>115.101</v>
      </c>
      <c r="AE447" s="6">
        <f>$K$447*$Y$447</f>
        <v>0</v>
      </c>
      <c r="AF447" s="6">
        <f ca="1">$M$447*$Z$447</f>
        <v>204.08261501828599</v>
      </c>
      <c r="AG447" s="6">
        <f>$O$447*$AA$447</f>
        <v>111.97032589160477</v>
      </c>
    </row>
    <row r="448" spans="1:33" ht="11.25" customHeight="1" x14ac:dyDescent="0.25">
      <c r="A448" s="4" t="s">
        <v>21</v>
      </c>
      <c r="B448" s="4" t="s">
        <v>22</v>
      </c>
      <c r="C448" s="4" t="s">
        <v>23</v>
      </c>
      <c r="D448" s="4" t="s">
        <v>24</v>
      </c>
      <c r="E448" s="4" t="s">
        <v>29</v>
      </c>
      <c r="F448" s="4" t="s">
        <v>25</v>
      </c>
      <c r="G448" s="4" t="s">
        <v>25</v>
      </c>
      <c r="H448" s="4" t="s">
        <v>25</v>
      </c>
      <c r="I448" s="5">
        <v>44531</v>
      </c>
      <c r="J448" s="6">
        <v>0</v>
      </c>
      <c r="K448" s="6">
        <v>0</v>
      </c>
      <c r="L448" s="6">
        <v>1.47</v>
      </c>
      <c r="M448" s="6">
        <v>1.47</v>
      </c>
      <c r="N448" s="6">
        <v>1.47</v>
      </c>
      <c r="O448" s="6">
        <v>1.47</v>
      </c>
      <c r="P448" s="6">
        <v>0</v>
      </c>
      <c r="Q448" s="4" t="s">
        <v>26</v>
      </c>
      <c r="R448" s="4">
        <v>0</v>
      </c>
      <c r="S448" s="6">
        <v>0</v>
      </c>
      <c r="T448" s="6">
        <v>69</v>
      </c>
      <c r="U448" s="6">
        <v>10</v>
      </c>
      <c r="V448" s="6">
        <f>IF(ISERROR(VLOOKUP($S$448,'TAR FIN'!$A$1:$O$85,15,0)),0,VLOOKUP($S$448,'TAR FIN'!$A$1:$O$85,15,0))</f>
        <v>0</v>
      </c>
      <c r="W448" s="6">
        <f>IF(ISERROR(VLOOKUP($T$448,'TAR FIN'!$A$1:$O$85,15,0)),0,VLOOKUP($T$448,'TAR FIN'!$A$1:$O$85,15,0))</f>
        <v>131.74</v>
      </c>
      <c r="X448" s="6">
        <f>IF(ISERROR(VLOOKUP($U$448,'TAR FIN'!$A$1:$O$85,15,0)),0,VLOOKUP($U$448,'TAR FIN'!$A$1:$O$85,15,0))</f>
        <v>78.3</v>
      </c>
      <c r="Y448" s="6"/>
      <c r="Z448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448" s="6">
        <f>('TE BE'!$AA$11+'TE BF'!$AA$11+'TE CVA'!$AA$11)*(1-CUSTOS!$M$34)</f>
        <v>76.170289722180115</v>
      </c>
      <c r="AB448" s="6">
        <f>$K$448*$V$448</f>
        <v>0</v>
      </c>
      <c r="AC448" s="6">
        <f>$M$448*$W$448</f>
        <v>193.65780000000001</v>
      </c>
      <c r="AD448" s="6">
        <f>$O$448*$X$448</f>
        <v>115.101</v>
      </c>
      <c r="AE448" s="6">
        <f>$K$448*$Y$448</f>
        <v>0</v>
      </c>
      <c r="AF448" s="6">
        <f ca="1">$M$448*$Z$448</f>
        <v>204.08261501828599</v>
      </c>
      <c r="AG448" s="6">
        <f>$O$448*$AA$448</f>
        <v>111.97032589160477</v>
      </c>
    </row>
    <row r="449" spans="1:33" ht="11.25" customHeight="1" x14ac:dyDescent="0.25">
      <c r="A449" s="4" t="s">
        <v>21</v>
      </c>
      <c r="B449" s="4" t="s">
        <v>22</v>
      </c>
      <c r="C449" s="4" t="s">
        <v>23</v>
      </c>
      <c r="D449" s="4" t="s">
        <v>24</v>
      </c>
      <c r="E449" s="4" t="s">
        <v>29</v>
      </c>
      <c r="F449" s="4" t="s">
        <v>25</v>
      </c>
      <c r="G449" s="4" t="s">
        <v>25</v>
      </c>
      <c r="H449" s="4" t="s">
        <v>25</v>
      </c>
      <c r="I449" s="5">
        <v>44562</v>
      </c>
      <c r="J449" s="6">
        <v>0</v>
      </c>
      <c r="K449" s="6">
        <v>0</v>
      </c>
      <c r="L449" s="6">
        <v>1.44</v>
      </c>
      <c r="M449" s="6">
        <v>1.44</v>
      </c>
      <c r="N449" s="6">
        <v>1.44</v>
      </c>
      <c r="O449" s="6">
        <v>1.44</v>
      </c>
      <c r="P449" s="6">
        <v>0</v>
      </c>
      <c r="Q449" s="4" t="s">
        <v>26</v>
      </c>
      <c r="R449" s="4">
        <v>0</v>
      </c>
      <c r="S449" s="6">
        <v>0</v>
      </c>
      <c r="T449" s="6">
        <v>69</v>
      </c>
      <c r="U449" s="6">
        <v>10</v>
      </c>
      <c r="V449" s="6">
        <f>IF(ISERROR(VLOOKUP($S$449,'TAR FIN'!$A$1:$O$85,15,0)),0,VLOOKUP($S$449,'TAR FIN'!$A$1:$O$85,15,0))</f>
        <v>0</v>
      </c>
      <c r="W449" s="6">
        <f>IF(ISERROR(VLOOKUP($T$449,'TAR FIN'!$A$1:$O$85,15,0)),0,VLOOKUP($T$449,'TAR FIN'!$A$1:$O$85,15,0))</f>
        <v>131.74</v>
      </c>
      <c r="X449" s="6">
        <f>IF(ISERROR(VLOOKUP($U$449,'TAR FIN'!$A$1:$O$85,15,0)),0,VLOOKUP($U$449,'TAR FIN'!$A$1:$O$85,15,0))</f>
        <v>78.3</v>
      </c>
      <c r="Y449" s="6"/>
      <c r="Z449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449" s="6">
        <f>('TE BE'!$AA$11+'TE BF'!$AA$11+'TE CVA'!$AA$11)*(1-CUSTOS!$M$34)</f>
        <v>76.170289722180115</v>
      </c>
      <c r="AB449" s="6">
        <f>$K$449*$V$449</f>
        <v>0</v>
      </c>
      <c r="AC449" s="6">
        <f>$M$449*$W$449</f>
        <v>189.7056</v>
      </c>
      <c r="AD449" s="6">
        <f>$O$449*$X$449</f>
        <v>112.752</v>
      </c>
      <c r="AE449" s="6">
        <f>$K$449*$Y$449</f>
        <v>0</v>
      </c>
      <c r="AF449" s="6">
        <f ca="1">$M$449*$Z$449</f>
        <v>199.91766369138219</v>
      </c>
      <c r="AG449" s="6">
        <f>$O$449*$AA$449</f>
        <v>109.68521719993936</v>
      </c>
    </row>
    <row r="450" spans="1:33" ht="11.25" customHeight="1" x14ac:dyDescent="0.25">
      <c r="A450" s="4" t="s">
        <v>21</v>
      </c>
      <c r="B450" s="4" t="s">
        <v>22</v>
      </c>
      <c r="C450" s="4" t="s">
        <v>23</v>
      </c>
      <c r="D450" s="4" t="s">
        <v>24</v>
      </c>
      <c r="E450" s="4" t="s">
        <v>29</v>
      </c>
      <c r="F450" s="4" t="s">
        <v>25</v>
      </c>
      <c r="G450" s="4" t="s">
        <v>25</v>
      </c>
      <c r="H450" s="4" t="s">
        <v>25</v>
      </c>
      <c r="I450" s="5">
        <v>44593</v>
      </c>
      <c r="J450" s="6">
        <v>0</v>
      </c>
      <c r="K450" s="6">
        <v>0</v>
      </c>
      <c r="L450" s="6">
        <v>1.44</v>
      </c>
      <c r="M450" s="6">
        <v>1.44</v>
      </c>
      <c r="N450" s="6">
        <v>1.44</v>
      </c>
      <c r="O450" s="6">
        <v>1.44</v>
      </c>
      <c r="P450" s="6">
        <v>0</v>
      </c>
      <c r="Q450" s="4" t="s">
        <v>26</v>
      </c>
      <c r="R450" s="4">
        <v>0</v>
      </c>
      <c r="S450" s="6">
        <v>0</v>
      </c>
      <c r="T450" s="6">
        <v>69</v>
      </c>
      <c r="U450" s="6">
        <v>10</v>
      </c>
      <c r="V450" s="6">
        <f>IF(ISERROR(VLOOKUP($S$450,'TAR FIN'!$A$1:$O$85,15,0)),0,VLOOKUP($S$450,'TAR FIN'!$A$1:$O$85,15,0))</f>
        <v>0</v>
      </c>
      <c r="W450" s="6">
        <f>IF(ISERROR(VLOOKUP($T$450,'TAR FIN'!$A$1:$O$85,15,0)),0,VLOOKUP($T$450,'TAR FIN'!$A$1:$O$85,15,0))</f>
        <v>131.74</v>
      </c>
      <c r="X450" s="6">
        <f>IF(ISERROR(VLOOKUP($U$450,'TAR FIN'!$A$1:$O$85,15,0)),0,VLOOKUP($U$450,'TAR FIN'!$A$1:$O$85,15,0))</f>
        <v>78.3</v>
      </c>
      <c r="Y450" s="6"/>
      <c r="Z450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450" s="6">
        <f>('TE BE'!$AA$11+'TE BF'!$AA$11+'TE CVA'!$AA$11)*(1-CUSTOS!$M$34)</f>
        <v>76.170289722180115</v>
      </c>
      <c r="AB450" s="6">
        <f>$K$450*$V$450</f>
        <v>0</v>
      </c>
      <c r="AC450" s="6">
        <f>$M$450*$W$450</f>
        <v>189.7056</v>
      </c>
      <c r="AD450" s="6">
        <f>$O$450*$X$450</f>
        <v>112.752</v>
      </c>
      <c r="AE450" s="6">
        <f>$K$450*$Y$450</f>
        <v>0</v>
      </c>
      <c r="AF450" s="6">
        <f ca="1">$M$450*$Z$450</f>
        <v>199.91766369138219</v>
      </c>
      <c r="AG450" s="6">
        <f>$O$450*$AA$450</f>
        <v>109.68521719993936</v>
      </c>
    </row>
    <row r="451" spans="1:33" ht="11.25" customHeight="1" x14ac:dyDescent="0.25">
      <c r="A451" s="4" t="s">
        <v>54</v>
      </c>
      <c r="B451" s="4" t="s">
        <v>22</v>
      </c>
      <c r="C451" s="4" t="s">
        <v>23</v>
      </c>
      <c r="D451" s="4" t="s">
        <v>24</v>
      </c>
      <c r="E451" s="4" t="s">
        <v>29</v>
      </c>
      <c r="F451" s="4" t="s">
        <v>25</v>
      </c>
      <c r="G451" s="4" t="s">
        <v>25</v>
      </c>
      <c r="H451" s="4" t="s">
        <v>25</v>
      </c>
      <c r="I451" s="5">
        <v>44621</v>
      </c>
      <c r="J451" s="6">
        <v>0</v>
      </c>
      <c r="K451" s="6">
        <v>0</v>
      </c>
      <c r="L451" s="6">
        <v>1.44</v>
      </c>
      <c r="M451" s="6">
        <v>1.44</v>
      </c>
      <c r="N451" s="6">
        <v>1.44</v>
      </c>
      <c r="O451" s="6">
        <v>1.44</v>
      </c>
      <c r="P451" s="6">
        <v>0</v>
      </c>
      <c r="Q451" s="4" t="s">
        <v>26</v>
      </c>
      <c r="R451" s="4">
        <v>0</v>
      </c>
      <c r="S451" s="6">
        <v>0</v>
      </c>
      <c r="T451" s="6">
        <v>69</v>
      </c>
      <c r="U451" s="6">
        <v>10</v>
      </c>
      <c r="V451" s="6">
        <f>IF(ISERROR(VLOOKUP($S$451,'TAR FIN'!$A$1:$O$85,15,0)),0,VLOOKUP($S$451,'TAR FIN'!$A$1:$O$85,15,0))</f>
        <v>0</v>
      </c>
      <c r="W451" s="6">
        <f>IF(ISERROR(VLOOKUP($T$451,'TAR FIN'!$A$1:$O$85,15,0)),0,VLOOKUP($T$451,'TAR FIN'!$A$1:$O$85,15,0))</f>
        <v>131.74</v>
      </c>
      <c r="X451" s="6">
        <f>IF(ISERROR(VLOOKUP($U$451,'TAR FIN'!$A$1:$O$85,15,0)),0,VLOOKUP($U$451,'TAR FIN'!$A$1:$O$85,15,0))</f>
        <v>78.3</v>
      </c>
      <c r="Y451" s="6"/>
      <c r="Z451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451" s="6">
        <f>('TE BE'!$AA$11+'TE BF'!$AA$11+'TE CVA'!$AA$11)*(1-CUSTOS!$M$34)</f>
        <v>76.170289722180115</v>
      </c>
      <c r="AB451" s="6">
        <f>$K$451*$V$451</f>
        <v>0</v>
      </c>
      <c r="AC451" s="6">
        <f>$M$451*$W$451</f>
        <v>189.7056</v>
      </c>
      <c r="AD451" s="6">
        <f>$O$451*$X$451</f>
        <v>112.752</v>
      </c>
      <c r="AE451" s="6">
        <f>$K$451*$Y$451</f>
        <v>0</v>
      </c>
      <c r="AF451" s="6">
        <f ca="1">$M$451*$Z$451</f>
        <v>199.91766369138219</v>
      </c>
      <c r="AG451" s="6">
        <f>$O$451*$AA$451</f>
        <v>109.68521719993936</v>
      </c>
    </row>
    <row r="452" spans="1:33" ht="11.25" customHeight="1" x14ac:dyDescent="0.25">
      <c r="A452" s="4" t="s">
        <v>21</v>
      </c>
      <c r="B452" s="4" t="s">
        <v>22</v>
      </c>
      <c r="C452" s="4" t="s">
        <v>23</v>
      </c>
      <c r="D452" s="4" t="s">
        <v>24</v>
      </c>
      <c r="E452" s="4" t="s">
        <v>30</v>
      </c>
      <c r="F452" s="4" t="s">
        <v>25</v>
      </c>
      <c r="G452" s="4" t="s">
        <v>25</v>
      </c>
      <c r="H452" s="4" t="s">
        <v>25</v>
      </c>
      <c r="I452" s="5">
        <v>44287</v>
      </c>
      <c r="J452" s="6">
        <v>0</v>
      </c>
      <c r="K452" s="6">
        <v>0</v>
      </c>
      <c r="L452" s="6">
        <v>2.7629999999999999</v>
      </c>
      <c r="M452" s="6">
        <v>2.7629999999999999</v>
      </c>
      <c r="N452" s="6">
        <v>2.7629999999999999</v>
      </c>
      <c r="O452" s="6">
        <v>2.7629999999999999</v>
      </c>
      <c r="P452" s="6">
        <v>12</v>
      </c>
      <c r="Q452" s="4" t="s">
        <v>26</v>
      </c>
      <c r="R452" s="4">
        <v>0</v>
      </c>
      <c r="S452" s="6">
        <v>0</v>
      </c>
      <c r="T452" s="6">
        <v>70</v>
      </c>
      <c r="U452" s="6">
        <v>29</v>
      </c>
      <c r="V452" s="6">
        <f>IF(ISERROR(VLOOKUP($S$452,'TAR FIN'!$A$1:$O$85,15,0)),0,VLOOKUP($S$452,'TAR FIN'!$A$1:$O$85,15,0))</f>
        <v>0</v>
      </c>
      <c r="W452" s="6">
        <f>IF(ISERROR(VLOOKUP($T$452,'TAR FIN'!$A$1:$O$85,15,0)),0,VLOOKUP($T$452,'TAR FIN'!$A$1:$O$85,15,0))</f>
        <v>225.84</v>
      </c>
      <c r="X452" s="6">
        <f>IF(ISERROR(VLOOKUP($U$452,'TAR FIN'!$A$1:$O$85,15,0)),0,VLOOKUP($U$452,'TAR FIN'!$A$1:$O$85,15,0))</f>
        <v>134.22999999999999</v>
      </c>
      <c r="Y452" s="6"/>
      <c r="Z452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452" s="6">
        <f>('TE BE'!$AA$12+'TE BF'!$AA$12+'TE CVA'!$AA$12)*(1-CUSTOS!$M$35)</f>
        <v>130.57763952373736</v>
      </c>
      <c r="AB452" s="6">
        <f>$K$452*$V$452</f>
        <v>0</v>
      </c>
      <c r="AC452" s="6">
        <f>$M$452*$W$452</f>
        <v>623.99591999999996</v>
      </c>
      <c r="AD452" s="6">
        <f>$O$452*$X$452</f>
        <v>370.87748999999997</v>
      </c>
      <c r="AE452" s="6">
        <f>$K$452*$Y$452</f>
        <v>0</v>
      </c>
      <c r="AF452" s="6">
        <f ca="1">$M$452*$Z$452</f>
        <v>657.58631521343932</v>
      </c>
      <c r="AG452" s="6">
        <f>$O$452*$AA$452</f>
        <v>360.78601800408632</v>
      </c>
    </row>
    <row r="453" spans="1:33" ht="11.25" customHeight="1" x14ac:dyDescent="0.25">
      <c r="A453" s="4" t="s">
        <v>21</v>
      </c>
      <c r="B453" s="4" t="s">
        <v>22</v>
      </c>
      <c r="C453" s="4" t="s">
        <v>23</v>
      </c>
      <c r="D453" s="4" t="s">
        <v>24</v>
      </c>
      <c r="E453" s="4" t="s">
        <v>30</v>
      </c>
      <c r="F453" s="4" t="s">
        <v>25</v>
      </c>
      <c r="G453" s="4" t="s">
        <v>25</v>
      </c>
      <c r="H453" s="4" t="s">
        <v>25</v>
      </c>
      <c r="I453" s="5">
        <v>44317</v>
      </c>
      <c r="J453" s="6">
        <v>0</v>
      </c>
      <c r="K453" s="6">
        <v>0</v>
      </c>
      <c r="L453" s="6">
        <v>2.8559999999999999</v>
      </c>
      <c r="M453" s="6">
        <v>2.8559999999999999</v>
      </c>
      <c r="N453" s="6">
        <v>2.8559999999999999</v>
      </c>
      <c r="O453" s="6">
        <v>2.8559999999999999</v>
      </c>
      <c r="P453" s="6">
        <v>12</v>
      </c>
      <c r="Q453" s="4" t="s">
        <v>26</v>
      </c>
      <c r="R453" s="4">
        <v>0</v>
      </c>
      <c r="S453" s="6">
        <v>0</v>
      </c>
      <c r="T453" s="6">
        <v>70</v>
      </c>
      <c r="U453" s="6">
        <v>29</v>
      </c>
      <c r="V453" s="6">
        <f>IF(ISERROR(VLOOKUP($S$453,'TAR FIN'!$A$1:$O$85,15,0)),0,VLOOKUP($S$453,'TAR FIN'!$A$1:$O$85,15,0))</f>
        <v>0</v>
      </c>
      <c r="W453" s="6">
        <f>IF(ISERROR(VLOOKUP($T$453,'TAR FIN'!$A$1:$O$85,15,0)),0,VLOOKUP($T$453,'TAR FIN'!$A$1:$O$85,15,0))</f>
        <v>225.84</v>
      </c>
      <c r="X453" s="6">
        <f>IF(ISERROR(VLOOKUP($U$453,'TAR FIN'!$A$1:$O$85,15,0)),0,VLOOKUP($U$453,'TAR FIN'!$A$1:$O$85,15,0))</f>
        <v>134.22999999999999</v>
      </c>
      <c r="Y453" s="6"/>
      <c r="Z453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453" s="6">
        <f>('TE BE'!$AA$12+'TE BF'!$AA$12+'TE CVA'!$AA$12)*(1-CUSTOS!$M$35)</f>
        <v>130.57763952373736</v>
      </c>
      <c r="AB453" s="6">
        <f>$K$453*$V$453</f>
        <v>0</v>
      </c>
      <c r="AC453" s="6">
        <f>$M$453*$W$453</f>
        <v>644.99904000000004</v>
      </c>
      <c r="AD453" s="6">
        <f>$O$453*$X$453</f>
        <v>383.36087999999995</v>
      </c>
      <c r="AE453" s="6">
        <f>$K$453*$Y$453</f>
        <v>0</v>
      </c>
      <c r="AF453" s="6">
        <f ca="1">$M$453*$Z$453</f>
        <v>679.7200565506995</v>
      </c>
      <c r="AG453" s="6">
        <f>$O$453*$AA$453</f>
        <v>372.92973847979391</v>
      </c>
    </row>
    <row r="454" spans="1:33" ht="11.25" customHeight="1" x14ac:dyDescent="0.25">
      <c r="A454" s="4" t="s">
        <v>21</v>
      </c>
      <c r="B454" s="4" t="s">
        <v>22</v>
      </c>
      <c r="C454" s="4" t="s">
        <v>23</v>
      </c>
      <c r="D454" s="4" t="s">
        <v>24</v>
      </c>
      <c r="E454" s="4" t="s">
        <v>30</v>
      </c>
      <c r="F454" s="4" t="s">
        <v>25</v>
      </c>
      <c r="G454" s="4" t="s">
        <v>25</v>
      </c>
      <c r="H454" s="4" t="s">
        <v>25</v>
      </c>
      <c r="I454" s="5">
        <v>44348</v>
      </c>
      <c r="J454" s="6">
        <v>0</v>
      </c>
      <c r="K454" s="6">
        <v>0</v>
      </c>
      <c r="L454" s="6">
        <v>2.8679999999999999</v>
      </c>
      <c r="M454" s="6">
        <v>2.8679999999999999</v>
      </c>
      <c r="N454" s="6">
        <v>2.8679999999999999</v>
      </c>
      <c r="O454" s="6">
        <v>2.8679999999999999</v>
      </c>
      <c r="P454" s="6">
        <v>10</v>
      </c>
      <c r="Q454" s="4" t="s">
        <v>26</v>
      </c>
      <c r="R454" s="4">
        <v>0</v>
      </c>
      <c r="S454" s="6">
        <v>0</v>
      </c>
      <c r="T454" s="6">
        <v>70</v>
      </c>
      <c r="U454" s="6">
        <v>29</v>
      </c>
      <c r="V454" s="6">
        <f>IF(ISERROR(VLOOKUP($S$454,'TAR FIN'!$A$1:$O$85,15,0)),0,VLOOKUP($S$454,'TAR FIN'!$A$1:$O$85,15,0))</f>
        <v>0</v>
      </c>
      <c r="W454" s="6">
        <f>IF(ISERROR(VLOOKUP($T$454,'TAR FIN'!$A$1:$O$85,15,0)),0,VLOOKUP($T$454,'TAR FIN'!$A$1:$O$85,15,0))</f>
        <v>225.84</v>
      </c>
      <c r="X454" s="6">
        <f>IF(ISERROR(VLOOKUP($U$454,'TAR FIN'!$A$1:$O$85,15,0)),0,VLOOKUP($U$454,'TAR FIN'!$A$1:$O$85,15,0))</f>
        <v>134.22999999999999</v>
      </c>
      <c r="Y454" s="6"/>
      <c r="Z454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454" s="6">
        <f>('TE BE'!$AA$12+'TE BF'!$AA$12+'TE CVA'!$AA$12)*(1-CUSTOS!$M$35)</f>
        <v>130.57763952373736</v>
      </c>
      <c r="AB454" s="6">
        <f>$K$454*$V$454</f>
        <v>0</v>
      </c>
      <c r="AC454" s="6">
        <f>$M$454*$W$454</f>
        <v>647.70911999999998</v>
      </c>
      <c r="AD454" s="6">
        <f>$O$454*$X$454</f>
        <v>384.97163999999998</v>
      </c>
      <c r="AE454" s="6">
        <f>$K$454*$Y$454</f>
        <v>0</v>
      </c>
      <c r="AF454" s="6">
        <f ca="1">$M$454*$Z$454</f>
        <v>682.57602317486214</v>
      </c>
      <c r="AG454" s="6">
        <f>$O$454*$AA$454</f>
        <v>374.49667015407874</v>
      </c>
    </row>
    <row r="455" spans="1:33" ht="11.25" customHeight="1" x14ac:dyDescent="0.25">
      <c r="A455" s="4" t="s">
        <v>21</v>
      </c>
      <c r="B455" s="4" t="s">
        <v>22</v>
      </c>
      <c r="C455" s="4" t="s">
        <v>23</v>
      </c>
      <c r="D455" s="4" t="s">
        <v>24</v>
      </c>
      <c r="E455" s="4" t="s">
        <v>30</v>
      </c>
      <c r="F455" s="4" t="s">
        <v>25</v>
      </c>
      <c r="G455" s="4" t="s">
        <v>25</v>
      </c>
      <c r="H455" s="4" t="s">
        <v>25</v>
      </c>
      <c r="I455" s="5">
        <v>44378</v>
      </c>
      <c r="J455" s="6">
        <v>0</v>
      </c>
      <c r="K455" s="6">
        <v>0</v>
      </c>
      <c r="L455" s="6">
        <v>2.835</v>
      </c>
      <c r="M455" s="6">
        <v>2.835</v>
      </c>
      <c r="N455" s="6">
        <v>2.835</v>
      </c>
      <c r="O455" s="6">
        <v>2.835</v>
      </c>
      <c r="P455" s="6">
        <v>14</v>
      </c>
      <c r="Q455" s="4" t="s">
        <v>26</v>
      </c>
      <c r="R455" s="4">
        <v>0</v>
      </c>
      <c r="S455" s="6">
        <v>0</v>
      </c>
      <c r="T455" s="6">
        <v>70</v>
      </c>
      <c r="U455" s="6">
        <v>29</v>
      </c>
      <c r="V455" s="6">
        <f>IF(ISERROR(VLOOKUP($S$455,'TAR FIN'!$A$1:$O$85,15,0)),0,VLOOKUP($S$455,'TAR FIN'!$A$1:$O$85,15,0))</f>
        <v>0</v>
      </c>
      <c r="W455" s="6">
        <f>IF(ISERROR(VLOOKUP($T$455,'TAR FIN'!$A$1:$O$85,15,0)),0,VLOOKUP($T$455,'TAR FIN'!$A$1:$O$85,15,0))</f>
        <v>225.84</v>
      </c>
      <c r="X455" s="6">
        <f>IF(ISERROR(VLOOKUP($U$455,'TAR FIN'!$A$1:$O$85,15,0)),0,VLOOKUP($U$455,'TAR FIN'!$A$1:$O$85,15,0))</f>
        <v>134.22999999999999</v>
      </c>
      <c r="Y455" s="6"/>
      <c r="Z455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455" s="6">
        <f>('TE BE'!$AA$12+'TE BF'!$AA$12+'TE CVA'!$AA$12)*(1-CUSTOS!$M$35)</f>
        <v>130.57763952373736</v>
      </c>
      <c r="AB455" s="6">
        <f>$K$455*$V$455</f>
        <v>0</v>
      </c>
      <c r="AC455" s="6">
        <f>$M$455*$W$455</f>
        <v>640.25639999999999</v>
      </c>
      <c r="AD455" s="6">
        <f>$O$455*$X$455</f>
        <v>380.54204999999996</v>
      </c>
      <c r="AE455" s="6">
        <f>$K$455*$Y$455</f>
        <v>0</v>
      </c>
      <c r="AF455" s="6">
        <f ca="1">$M$455*$Z$455</f>
        <v>674.72211495841498</v>
      </c>
      <c r="AG455" s="6">
        <f>$O$455*$AA$455</f>
        <v>370.18760804979541</v>
      </c>
    </row>
    <row r="456" spans="1:33" ht="11.25" customHeight="1" x14ac:dyDescent="0.25">
      <c r="A456" s="4" t="s">
        <v>21</v>
      </c>
      <c r="B456" s="4" t="s">
        <v>22</v>
      </c>
      <c r="C456" s="4" t="s">
        <v>23</v>
      </c>
      <c r="D456" s="4" t="s">
        <v>24</v>
      </c>
      <c r="E456" s="4" t="s">
        <v>30</v>
      </c>
      <c r="F456" s="4" t="s">
        <v>25</v>
      </c>
      <c r="G456" s="4" t="s">
        <v>25</v>
      </c>
      <c r="H456" s="4" t="s">
        <v>25</v>
      </c>
      <c r="I456" s="5">
        <v>44409</v>
      </c>
      <c r="J456" s="6">
        <v>0</v>
      </c>
      <c r="K456" s="6">
        <v>0</v>
      </c>
      <c r="L456" s="6">
        <v>3.1</v>
      </c>
      <c r="M456" s="6">
        <v>3.1</v>
      </c>
      <c r="N456" s="6">
        <v>3.1</v>
      </c>
      <c r="O456" s="6">
        <v>3.1</v>
      </c>
      <c r="P456" s="6">
        <v>11</v>
      </c>
      <c r="Q456" s="4" t="s">
        <v>26</v>
      </c>
      <c r="R456" s="4">
        <v>0</v>
      </c>
      <c r="S456" s="6">
        <v>0</v>
      </c>
      <c r="T456" s="6">
        <v>70</v>
      </c>
      <c r="U456" s="6">
        <v>29</v>
      </c>
      <c r="V456" s="6">
        <f>IF(ISERROR(VLOOKUP($S$456,'TAR FIN'!$A$1:$O$85,15,0)),0,VLOOKUP($S$456,'TAR FIN'!$A$1:$O$85,15,0))</f>
        <v>0</v>
      </c>
      <c r="W456" s="6">
        <f>IF(ISERROR(VLOOKUP($T$456,'TAR FIN'!$A$1:$O$85,15,0)),0,VLOOKUP($T$456,'TAR FIN'!$A$1:$O$85,15,0))</f>
        <v>225.84</v>
      </c>
      <c r="X456" s="6">
        <f>IF(ISERROR(VLOOKUP($U$456,'TAR FIN'!$A$1:$O$85,15,0)),0,VLOOKUP($U$456,'TAR FIN'!$A$1:$O$85,15,0))</f>
        <v>134.22999999999999</v>
      </c>
      <c r="Y456" s="6"/>
      <c r="Z456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456" s="6">
        <f>('TE BE'!$AA$12+'TE BF'!$AA$12+'TE CVA'!$AA$12)*(1-CUSTOS!$M$35)</f>
        <v>130.57763952373736</v>
      </c>
      <c r="AB456" s="6">
        <f>$K$456*$V$456</f>
        <v>0</v>
      </c>
      <c r="AC456" s="6">
        <f>$M$456*$W$456</f>
        <v>700.10400000000004</v>
      </c>
      <c r="AD456" s="6">
        <f>$O$456*$X$456</f>
        <v>416.113</v>
      </c>
      <c r="AE456" s="6">
        <f>$K$456*$Y$456</f>
        <v>0</v>
      </c>
      <c r="AF456" s="6">
        <f ca="1">$M$456*$Z$456</f>
        <v>737.79137790867242</v>
      </c>
      <c r="AG456" s="6">
        <f>$O$456*$AA$456</f>
        <v>404.79068252358582</v>
      </c>
    </row>
    <row r="457" spans="1:33" ht="11.25" customHeight="1" x14ac:dyDescent="0.25">
      <c r="A457" s="4" t="s">
        <v>21</v>
      </c>
      <c r="B457" s="4" t="s">
        <v>22</v>
      </c>
      <c r="C457" s="4" t="s">
        <v>23</v>
      </c>
      <c r="D457" s="4" t="s">
        <v>24</v>
      </c>
      <c r="E457" s="4" t="s">
        <v>30</v>
      </c>
      <c r="F457" s="4" t="s">
        <v>25</v>
      </c>
      <c r="G457" s="4" t="s">
        <v>25</v>
      </c>
      <c r="H457" s="4" t="s">
        <v>25</v>
      </c>
      <c r="I457" s="5">
        <v>44440</v>
      </c>
      <c r="J457" s="6">
        <v>0</v>
      </c>
      <c r="K457" s="6">
        <v>0</v>
      </c>
      <c r="L457" s="6">
        <v>3.0750000000000002</v>
      </c>
      <c r="M457" s="6">
        <v>3.0750000000000002</v>
      </c>
      <c r="N457" s="6">
        <v>3.0750000000000002</v>
      </c>
      <c r="O457" s="6">
        <v>3.0750000000000002</v>
      </c>
      <c r="P457" s="6">
        <v>12</v>
      </c>
      <c r="Q457" s="4" t="s">
        <v>26</v>
      </c>
      <c r="R457" s="4">
        <v>0</v>
      </c>
      <c r="S457" s="6">
        <v>0</v>
      </c>
      <c r="T457" s="6">
        <v>70</v>
      </c>
      <c r="U457" s="6">
        <v>29</v>
      </c>
      <c r="V457" s="6">
        <f>IF(ISERROR(VLOOKUP($S$457,'TAR FIN'!$A$1:$O$85,15,0)),0,VLOOKUP($S$457,'TAR FIN'!$A$1:$O$85,15,0))</f>
        <v>0</v>
      </c>
      <c r="W457" s="6">
        <f>IF(ISERROR(VLOOKUP($T$457,'TAR FIN'!$A$1:$O$85,15,0)),0,VLOOKUP($T$457,'TAR FIN'!$A$1:$O$85,15,0))</f>
        <v>225.84</v>
      </c>
      <c r="X457" s="6">
        <f>IF(ISERROR(VLOOKUP($U$457,'TAR FIN'!$A$1:$O$85,15,0)),0,VLOOKUP($U$457,'TAR FIN'!$A$1:$O$85,15,0))</f>
        <v>134.22999999999999</v>
      </c>
      <c r="Y457" s="6"/>
      <c r="Z457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457" s="6">
        <f>('TE BE'!$AA$12+'TE BF'!$AA$12+'TE CVA'!$AA$12)*(1-CUSTOS!$M$35)</f>
        <v>130.57763952373736</v>
      </c>
      <c r="AB457" s="6">
        <f>$K$457*$V$457</f>
        <v>0</v>
      </c>
      <c r="AC457" s="6">
        <f>$M$457*$W$457</f>
        <v>694.45800000000008</v>
      </c>
      <c r="AD457" s="6">
        <f>$O$457*$X$457</f>
        <v>412.75725</v>
      </c>
      <c r="AE457" s="6">
        <f>$K$457*$Y$457</f>
        <v>0</v>
      </c>
      <c r="AF457" s="6">
        <f ca="1">$M$457*$Z$457</f>
        <v>731.84144744166701</v>
      </c>
      <c r="AG457" s="6">
        <f>$O$457*$AA$457</f>
        <v>401.52624153549243</v>
      </c>
    </row>
    <row r="458" spans="1:33" ht="11.25" customHeight="1" x14ac:dyDescent="0.25">
      <c r="A458" s="4" t="s">
        <v>21</v>
      </c>
      <c r="B458" s="4" t="s">
        <v>22</v>
      </c>
      <c r="C458" s="4" t="s">
        <v>23</v>
      </c>
      <c r="D458" s="4" t="s">
        <v>24</v>
      </c>
      <c r="E458" s="4" t="s">
        <v>30</v>
      </c>
      <c r="F458" s="4" t="s">
        <v>25</v>
      </c>
      <c r="G458" s="4" t="s">
        <v>25</v>
      </c>
      <c r="H458" s="4" t="s">
        <v>25</v>
      </c>
      <c r="I458" s="5">
        <v>44470</v>
      </c>
      <c r="J458" s="6">
        <v>0</v>
      </c>
      <c r="K458" s="6">
        <v>0</v>
      </c>
      <c r="L458" s="6">
        <v>3.0350000000000001</v>
      </c>
      <c r="M458" s="6">
        <v>3.0350000000000001</v>
      </c>
      <c r="N458" s="6">
        <v>3.0350000000000001</v>
      </c>
      <c r="O458" s="6">
        <v>3.0350000000000001</v>
      </c>
      <c r="P458" s="6">
        <v>14</v>
      </c>
      <c r="Q458" s="4" t="s">
        <v>26</v>
      </c>
      <c r="R458" s="4">
        <v>0</v>
      </c>
      <c r="S458" s="6">
        <v>0</v>
      </c>
      <c r="T458" s="6">
        <v>70</v>
      </c>
      <c r="U458" s="6">
        <v>29</v>
      </c>
      <c r="V458" s="6">
        <f>IF(ISERROR(VLOOKUP($S$458,'TAR FIN'!$A$1:$O$85,15,0)),0,VLOOKUP($S$458,'TAR FIN'!$A$1:$O$85,15,0))</f>
        <v>0</v>
      </c>
      <c r="W458" s="6">
        <f>IF(ISERROR(VLOOKUP($T$458,'TAR FIN'!$A$1:$O$85,15,0)),0,VLOOKUP($T$458,'TAR FIN'!$A$1:$O$85,15,0))</f>
        <v>225.84</v>
      </c>
      <c r="X458" s="6">
        <f>IF(ISERROR(VLOOKUP($U$458,'TAR FIN'!$A$1:$O$85,15,0)),0,VLOOKUP($U$458,'TAR FIN'!$A$1:$O$85,15,0))</f>
        <v>134.22999999999999</v>
      </c>
      <c r="Y458" s="6"/>
      <c r="Z458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458" s="6">
        <f>('TE BE'!$AA$12+'TE BF'!$AA$12+'TE CVA'!$AA$12)*(1-CUSTOS!$M$35)</f>
        <v>130.57763952373736</v>
      </c>
      <c r="AB458" s="6">
        <f>$K$458*$V$458</f>
        <v>0</v>
      </c>
      <c r="AC458" s="6">
        <f>$M$458*$W$458</f>
        <v>685.42439999999999</v>
      </c>
      <c r="AD458" s="6">
        <f>$O$458*$X$458</f>
        <v>407.38804999999996</v>
      </c>
      <c r="AE458" s="6">
        <f>$K$458*$Y$458</f>
        <v>0</v>
      </c>
      <c r="AF458" s="6">
        <f ca="1">$M$458*$Z$458</f>
        <v>722.32155869445842</v>
      </c>
      <c r="AG458" s="6">
        <f>$O$458*$AA$458</f>
        <v>396.30313595454288</v>
      </c>
    </row>
    <row r="459" spans="1:33" ht="11.25" customHeight="1" x14ac:dyDescent="0.25">
      <c r="A459" s="4" t="s">
        <v>21</v>
      </c>
      <c r="B459" s="4" t="s">
        <v>22</v>
      </c>
      <c r="C459" s="4" t="s">
        <v>23</v>
      </c>
      <c r="D459" s="4" t="s">
        <v>24</v>
      </c>
      <c r="E459" s="4" t="s">
        <v>30</v>
      </c>
      <c r="F459" s="4" t="s">
        <v>25</v>
      </c>
      <c r="G459" s="4" t="s">
        <v>25</v>
      </c>
      <c r="H459" s="4" t="s">
        <v>25</v>
      </c>
      <c r="I459" s="5">
        <v>44501</v>
      </c>
      <c r="J459" s="6">
        <v>0</v>
      </c>
      <c r="K459" s="6">
        <v>0</v>
      </c>
      <c r="L459" s="6">
        <v>3.1309999999999998</v>
      </c>
      <c r="M459" s="6">
        <v>3.1309999999999998</v>
      </c>
      <c r="N459" s="6">
        <v>3.1309999999999998</v>
      </c>
      <c r="O459" s="6">
        <v>3.1309999999999998</v>
      </c>
      <c r="P459" s="6">
        <v>11</v>
      </c>
      <c r="Q459" s="4" t="s">
        <v>26</v>
      </c>
      <c r="R459" s="4">
        <v>0</v>
      </c>
      <c r="S459" s="6">
        <v>0</v>
      </c>
      <c r="T459" s="6">
        <v>70</v>
      </c>
      <c r="U459" s="6">
        <v>29</v>
      </c>
      <c r="V459" s="6">
        <f>IF(ISERROR(VLOOKUP($S$459,'TAR FIN'!$A$1:$O$85,15,0)),0,VLOOKUP($S$459,'TAR FIN'!$A$1:$O$85,15,0))</f>
        <v>0</v>
      </c>
      <c r="W459" s="6">
        <f>IF(ISERROR(VLOOKUP($T$459,'TAR FIN'!$A$1:$O$85,15,0)),0,VLOOKUP($T$459,'TAR FIN'!$A$1:$O$85,15,0))</f>
        <v>225.84</v>
      </c>
      <c r="X459" s="6">
        <f>IF(ISERROR(VLOOKUP($U$459,'TAR FIN'!$A$1:$O$85,15,0)),0,VLOOKUP($U$459,'TAR FIN'!$A$1:$O$85,15,0))</f>
        <v>134.22999999999999</v>
      </c>
      <c r="Y459" s="6"/>
      <c r="Z459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459" s="6">
        <f>('TE BE'!$AA$12+'TE BF'!$AA$12+'TE CVA'!$AA$12)*(1-CUSTOS!$M$35)</f>
        <v>130.57763952373736</v>
      </c>
      <c r="AB459" s="6">
        <f>$K$459*$V$459</f>
        <v>0</v>
      </c>
      <c r="AC459" s="6">
        <f>$M$459*$W$459</f>
        <v>707.10503999999992</v>
      </c>
      <c r="AD459" s="6">
        <f>$O$459*$X$459</f>
        <v>420.27412999999996</v>
      </c>
      <c r="AE459" s="6">
        <f>$K$459*$Y$459</f>
        <v>0</v>
      </c>
      <c r="AF459" s="6">
        <f ca="1">$M$459*$Z$459</f>
        <v>745.16929168775914</v>
      </c>
      <c r="AG459" s="6">
        <f>$O$459*$AA$459</f>
        <v>408.83858934882164</v>
      </c>
    </row>
    <row r="460" spans="1:33" ht="11.25" customHeight="1" x14ac:dyDescent="0.25">
      <c r="A460" s="4" t="s">
        <v>21</v>
      </c>
      <c r="B460" s="4" t="s">
        <v>22</v>
      </c>
      <c r="C460" s="4" t="s">
        <v>23</v>
      </c>
      <c r="D460" s="4" t="s">
        <v>24</v>
      </c>
      <c r="E460" s="4" t="s">
        <v>30</v>
      </c>
      <c r="F460" s="4" t="s">
        <v>25</v>
      </c>
      <c r="G460" s="4" t="s">
        <v>25</v>
      </c>
      <c r="H460" s="4" t="s">
        <v>25</v>
      </c>
      <c r="I460" s="5">
        <v>44531</v>
      </c>
      <c r="J460" s="6">
        <v>0</v>
      </c>
      <c r="K460" s="6">
        <v>0</v>
      </c>
      <c r="L460" s="6">
        <v>3.0840000000000001</v>
      </c>
      <c r="M460" s="6">
        <v>3.0840000000000001</v>
      </c>
      <c r="N460" s="6">
        <v>3.0840000000000001</v>
      </c>
      <c r="O460" s="6">
        <v>3.0840000000000001</v>
      </c>
      <c r="P460" s="6">
        <v>14</v>
      </c>
      <c r="Q460" s="4" t="s">
        <v>26</v>
      </c>
      <c r="R460" s="4">
        <v>0</v>
      </c>
      <c r="S460" s="6">
        <v>0</v>
      </c>
      <c r="T460" s="6">
        <v>70</v>
      </c>
      <c r="U460" s="6">
        <v>29</v>
      </c>
      <c r="V460" s="6">
        <f>IF(ISERROR(VLOOKUP($S$460,'TAR FIN'!$A$1:$O$85,15,0)),0,VLOOKUP($S$460,'TAR FIN'!$A$1:$O$85,15,0))</f>
        <v>0</v>
      </c>
      <c r="W460" s="6">
        <f>IF(ISERROR(VLOOKUP($T$460,'TAR FIN'!$A$1:$O$85,15,0)),0,VLOOKUP($T$460,'TAR FIN'!$A$1:$O$85,15,0))</f>
        <v>225.84</v>
      </c>
      <c r="X460" s="6">
        <f>IF(ISERROR(VLOOKUP($U$460,'TAR FIN'!$A$1:$O$85,15,0)),0,VLOOKUP($U$460,'TAR FIN'!$A$1:$O$85,15,0))</f>
        <v>134.22999999999999</v>
      </c>
      <c r="Y460" s="6"/>
      <c r="Z460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460" s="6">
        <f>('TE BE'!$AA$12+'TE BF'!$AA$12+'TE CVA'!$AA$12)*(1-CUSTOS!$M$35)</f>
        <v>130.57763952373736</v>
      </c>
      <c r="AB460" s="6">
        <f>$K$460*$V$460</f>
        <v>0</v>
      </c>
      <c r="AC460" s="6">
        <f>$M$460*$W$460</f>
        <v>696.49056000000007</v>
      </c>
      <c r="AD460" s="6">
        <f>$O$460*$X$460</f>
        <v>413.96531999999996</v>
      </c>
      <c r="AE460" s="6">
        <f>$K$460*$Y$460</f>
        <v>0</v>
      </c>
      <c r="AF460" s="6">
        <f ca="1">$M$460*$Z$460</f>
        <v>733.983422409789</v>
      </c>
      <c r="AG460" s="6">
        <f>$O$460*$AA$460</f>
        <v>402.70144029120604</v>
      </c>
    </row>
    <row r="461" spans="1:33" ht="11.25" customHeight="1" x14ac:dyDescent="0.25">
      <c r="A461" s="4" t="s">
        <v>21</v>
      </c>
      <c r="B461" s="4" t="s">
        <v>22</v>
      </c>
      <c r="C461" s="4" t="s">
        <v>23</v>
      </c>
      <c r="D461" s="4" t="s">
        <v>24</v>
      </c>
      <c r="E461" s="4" t="s">
        <v>30</v>
      </c>
      <c r="F461" s="4" t="s">
        <v>25</v>
      </c>
      <c r="G461" s="4" t="s">
        <v>25</v>
      </c>
      <c r="H461" s="4" t="s">
        <v>25</v>
      </c>
      <c r="I461" s="5">
        <v>44562</v>
      </c>
      <c r="J461" s="6">
        <v>0</v>
      </c>
      <c r="K461" s="6">
        <v>0</v>
      </c>
      <c r="L461" s="6">
        <v>3.0219999999999998</v>
      </c>
      <c r="M461" s="6">
        <v>3.0219999999999998</v>
      </c>
      <c r="N461" s="6">
        <v>3.0219999999999998</v>
      </c>
      <c r="O461" s="6">
        <v>3.0219999999999998</v>
      </c>
      <c r="P461" s="6">
        <v>12</v>
      </c>
      <c r="Q461" s="4" t="s">
        <v>26</v>
      </c>
      <c r="R461" s="4">
        <v>0</v>
      </c>
      <c r="S461" s="6">
        <v>0</v>
      </c>
      <c r="T461" s="6">
        <v>70</v>
      </c>
      <c r="U461" s="6">
        <v>29</v>
      </c>
      <c r="V461" s="6">
        <f>IF(ISERROR(VLOOKUP($S$461,'TAR FIN'!$A$1:$O$85,15,0)),0,VLOOKUP($S$461,'TAR FIN'!$A$1:$O$85,15,0))</f>
        <v>0</v>
      </c>
      <c r="W461" s="6">
        <f>IF(ISERROR(VLOOKUP($T$461,'TAR FIN'!$A$1:$O$85,15,0)),0,VLOOKUP($T$461,'TAR FIN'!$A$1:$O$85,15,0))</f>
        <v>225.84</v>
      </c>
      <c r="X461" s="6">
        <f>IF(ISERROR(VLOOKUP($U$461,'TAR FIN'!$A$1:$O$85,15,0)),0,VLOOKUP($U$461,'TAR FIN'!$A$1:$O$85,15,0))</f>
        <v>134.22999999999999</v>
      </c>
      <c r="Y461" s="6"/>
      <c r="Z461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461" s="6">
        <f>('TE BE'!$AA$12+'TE BF'!$AA$12+'TE CVA'!$AA$12)*(1-CUSTOS!$M$35)</f>
        <v>130.57763952373736</v>
      </c>
      <c r="AB461" s="6">
        <f>$K$461*$V$461</f>
        <v>0</v>
      </c>
      <c r="AC461" s="6">
        <f>$M$461*$W$461</f>
        <v>682.48847999999998</v>
      </c>
      <c r="AD461" s="6">
        <f>$O$461*$X$461</f>
        <v>405.64305999999993</v>
      </c>
      <c r="AE461" s="6">
        <f>$K$461*$Y$461</f>
        <v>0</v>
      </c>
      <c r="AF461" s="6">
        <f ca="1">$M$461*$Z$461</f>
        <v>719.22759485161544</v>
      </c>
      <c r="AG461" s="6">
        <f>$O$461*$AA$461</f>
        <v>394.60562664073427</v>
      </c>
    </row>
    <row r="462" spans="1:33" ht="11.25" customHeight="1" x14ac:dyDescent="0.25">
      <c r="A462" s="4" t="s">
        <v>21</v>
      </c>
      <c r="B462" s="4" t="s">
        <v>22</v>
      </c>
      <c r="C462" s="4" t="s">
        <v>23</v>
      </c>
      <c r="D462" s="4" t="s">
        <v>24</v>
      </c>
      <c r="E462" s="4" t="s">
        <v>30</v>
      </c>
      <c r="F462" s="4" t="s">
        <v>25</v>
      </c>
      <c r="G462" s="4" t="s">
        <v>25</v>
      </c>
      <c r="H462" s="4" t="s">
        <v>25</v>
      </c>
      <c r="I462" s="5">
        <v>44593</v>
      </c>
      <c r="J462" s="6">
        <v>0</v>
      </c>
      <c r="K462" s="6">
        <v>0</v>
      </c>
      <c r="L462" s="6">
        <v>3.14</v>
      </c>
      <c r="M462" s="6">
        <v>3.14</v>
      </c>
      <c r="N462" s="6">
        <v>3.14</v>
      </c>
      <c r="O462" s="6">
        <v>3.14</v>
      </c>
      <c r="P462" s="6">
        <v>9</v>
      </c>
      <c r="Q462" s="4" t="s">
        <v>26</v>
      </c>
      <c r="R462" s="4">
        <v>0</v>
      </c>
      <c r="S462" s="6">
        <v>0</v>
      </c>
      <c r="T462" s="6">
        <v>70</v>
      </c>
      <c r="U462" s="6">
        <v>29</v>
      </c>
      <c r="V462" s="6">
        <f>IF(ISERROR(VLOOKUP($S$462,'TAR FIN'!$A$1:$O$85,15,0)),0,VLOOKUP($S$462,'TAR FIN'!$A$1:$O$85,15,0))</f>
        <v>0</v>
      </c>
      <c r="W462" s="6">
        <f>IF(ISERROR(VLOOKUP($T$462,'TAR FIN'!$A$1:$O$85,15,0)),0,VLOOKUP($T$462,'TAR FIN'!$A$1:$O$85,15,0))</f>
        <v>225.84</v>
      </c>
      <c r="X462" s="6">
        <f>IF(ISERROR(VLOOKUP($U$462,'TAR FIN'!$A$1:$O$85,15,0)),0,VLOOKUP($U$462,'TAR FIN'!$A$1:$O$85,15,0))</f>
        <v>134.22999999999999</v>
      </c>
      <c r="Y462" s="6"/>
      <c r="Z462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462" s="6">
        <f>('TE BE'!$AA$12+'TE BF'!$AA$12+'TE CVA'!$AA$12)*(1-CUSTOS!$M$35)</f>
        <v>130.57763952373736</v>
      </c>
      <c r="AB462" s="6">
        <f>$K$462*$V$462</f>
        <v>0</v>
      </c>
      <c r="AC462" s="6">
        <f>$M$462*$W$462</f>
        <v>709.13760000000002</v>
      </c>
      <c r="AD462" s="6">
        <f>$O$462*$X$462</f>
        <v>421.48219999999998</v>
      </c>
      <c r="AE462" s="6">
        <f>$K$462*$Y$462</f>
        <v>0</v>
      </c>
      <c r="AF462" s="6">
        <f ca="1">$M$462*$Z$462</f>
        <v>747.31126665588113</v>
      </c>
      <c r="AG462" s="6">
        <f>$O$462*$AA$462</f>
        <v>410.01378810453531</v>
      </c>
    </row>
    <row r="463" spans="1:33" ht="11.25" customHeight="1" x14ac:dyDescent="0.25">
      <c r="A463" s="4" t="s">
        <v>54</v>
      </c>
      <c r="B463" s="4" t="s">
        <v>22</v>
      </c>
      <c r="C463" s="4" t="s">
        <v>23</v>
      </c>
      <c r="D463" s="4" t="s">
        <v>24</v>
      </c>
      <c r="E463" s="4" t="s">
        <v>30</v>
      </c>
      <c r="F463" s="4" t="s">
        <v>25</v>
      </c>
      <c r="G463" s="4" t="s">
        <v>25</v>
      </c>
      <c r="H463" s="4" t="s">
        <v>25</v>
      </c>
      <c r="I463" s="5">
        <v>44621</v>
      </c>
      <c r="J463" s="6">
        <v>0</v>
      </c>
      <c r="K463" s="6">
        <v>0</v>
      </c>
      <c r="L463" s="6">
        <v>3.14</v>
      </c>
      <c r="M463" s="6">
        <v>3.14</v>
      </c>
      <c r="N463" s="6">
        <v>3.14</v>
      </c>
      <c r="O463" s="6">
        <v>3.14</v>
      </c>
      <c r="P463" s="6">
        <v>9</v>
      </c>
      <c r="Q463" s="4" t="s">
        <v>26</v>
      </c>
      <c r="R463" s="4">
        <v>0</v>
      </c>
      <c r="S463" s="6">
        <v>0</v>
      </c>
      <c r="T463" s="6">
        <v>70</v>
      </c>
      <c r="U463" s="6">
        <v>29</v>
      </c>
      <c r="V463" s="6">
        <f>IF(ISERROR(VLOOKUP($S$463,'TAR FIN'!$A$1:$O$85,15,0)),0,VLOOKUP($S$463,'TAR FIN'!$A$1:$O$85,15,0))</f>
        <v>0</v>
      </c>
      <c r="W463" s="6">
        <f>IF(ISERROR(VLOOKUP($T$463,'TAR FIN'!$A$1:$O$85,15,0)),0,VLOOKUP($T$463,'TAR FIN'!$A$1:$O$85,15,0))</f>
        <v>225.84</v>
      </c>
      <c r="X463" s="6">
        <f>IF(ISERROR(VLOOKUP($U$463,'TAR FIN'!$A$1:$O$85,15,0)),0,VLOOKUP($U$463,'TAR FIN'!$A$1:$O$85,15,0))</f>
        <v>134.22999999999999</v>
      </c>
      <c r="Y463" s="6"/>
      <c r="Z463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463" s="6">
        <f>('TE BE'!$AA$12+'TE BF'!$AA$12+'TE CVA'!$AA$12)*(1-CUSTOS!$M$35)</f>
        <v>130.57763952373736</v>
      </c>
      <c r="AB463" s="6">
        <f>$K$463*$V$463</f>
        <v>0</v>
      </c>
      <c r="AC463" s="6">
        <f>$M$463*$W$463</f>
        <v>709.13760000000002</v>
      </c>
      <c r="AD463" s="6">
        <f>$O$463*$X$463</f>
        <v>421.48219999999998</v>
      </c>
      <c r="AE463" s="6">
        <f>$K$463*$Y$463</f>
        <v>0</v>
      </c>
      <c r="AF463" s="6">
        <f ca="1">$M$463*$Z$463</f>
        <v>747.31126665588113</v>
      </c>
      <c r="AG463" s="6">
        <f>$O$463*$AA$463</f>
        <v>410.01378810453531</v>
      </c>
    </row>
    <row r="464" spans="1:33" ht="11.25" customHeight="1" x14ac:dyDescent="0.25">
      <c r="A464" s="4" t="s">
        <v>21</v>
      </c>
      <c r="B464" s="4" t="s">
        <v>22</v>
      </c>
      <c r="C464" s="4" t="s">
        <v>23</v>
      </c>
      <c r="D464" s="4" t="s">
        <v>24</v>
      </c>
      <c r="E464" s="4" t="s">
        <v>31</v>
      </c>
      <c r="F464" s="4" t="s">
        <v>25</v>
      </c>
      <c r="G464" s="4" t="s">
        <v>25</v>
      </c>
      <c r="H464" s="4" t="s">
        <v>25</v>
      </c>
      <c r="I464" s="5">
        <v>44287</v>
      </c>
      <c r="J464" s="6">
        <v>0</v>
      </c>
      <c r="K464" s="6">
        <v>0</v>
      </c>
      <c r="L464" s="6">
        <v>2.3380000000000001</v>
      </c>
      <c r="M464" s="6">
        <v>2.3380000000000001</v>
      </c>
      <c r="N464" s="6">
        <v>2.3380000000000001</v>
      </c>
      <c r="O464" s="6">
        <v>2.3380000000000001</v>
      </c>
      <c r="P464" s="6">
        <v>22</v>
      </c>
      <c r="Q464" s="4" t="s">
        <v>26</v>
      </c>
      <c r="R464" s="4">
        <v>0</v>
      </c>
      <c r="S464" s="6">
        <v>0</v>
      </c>
      <c r="T464" s="6">
        <v>54</v>
      </c>
      <c r="U464" s="6">
        <v>30</v>
      </c>
      <c r="V464" s="6">
        <f>IF(ISERROR(VLOOKUP($S$464,'TAR FIN'!$A$1:$O$85,15,0)),0,VLOOKUP($S$464,'TAR FIN'!$A$1:$O$85,15,0))</f>
        <v>0</v>
      </c>
      <c r="W464" s="6">
        <f>IF(ISERROR(VLOOKUP($T$464,'TAR FIN'!$A$1:$O$85,15,0)),0,VLOOKUP($T$464,'TAR FIN'!$A$1:$O$85,15,0))</f>
        <v>338.77</v>
      </c>
      <c r="X464" s="6">
        <f>IF(ISERROR(VLOOKUP($U$464,'TAR FIN'!$A$1:$O$85,15,0)),0,VLOOKUP($U$464,'TAR FIN'!$A$1:$O$85,15,0))</f>
        <v>201.35</v>
      </c>
      <c r="Y464" s="6"/>
      <c r="Z464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464" s="6">
        <f>('TE BE'!$AA$13+'TE BF'!$AA$13+'TE CVA'!$AA$13)*(1-CUSTOS!$M$36)</f>
        <v>195.86645928560603</v>
      </c>
      <c r="AB464" s="6">
        <f>$K$464*$V$464</f>
        <v>0</v>
      </c>
      <c r="AC464" s="6">
        <f>$M$464*$W$464</f>
        <v>792.04426000000001</v>
      </c>
      <c r="AD464" s="6">
        <f>$O$464*$X$464</f>
        <v>470.75630000000001</v>
      </c>
      <c r="AE464" s="6">
        <f>$K$464*$Y$464</f>
        <v>0</v>
      </c>
      <c r="AF464" s="6">
        <f ca="1">$M$464*$Z$464</f>
        <v>834.65624591152084</v>
      </c>
      <c r="AG464" s="6">
        <f>$O$464*$AA$464</f>
        <v>457.93578180974691</v>
      </c>
    </row>
    <row r="465" spans="1:33" ht="11.25" customHeight="1" x14ac:dyDescent="0.25">
      <c r="A465" s="4" t="s">
        <v>21</v>
      </c>
      <c r="B465" s="4" t="s">
        <v>22</v>
      </c>
      <c r="C465" s="4" t="s">
        <v>23</v>
      </c>
      <c r="D465" s="4" t="s">
        <v>24</v>
      </c>
      <c r="E465" s="4" t="s">
        <v>31</v>
      </c>
      <c r="F465" s="4" t="s">
        <v>25</v>
      </c>
      <c r="G465" s="4" t="s">
        <v>25</v>
      </c>
      <c r="H465" s="4" t="s">
        <v>25</v>
      </c>
      <c r="I465" s="5">
        <v>44317</v>
      </c>
      <c r="J465" s="6">
        <v>0</v>
      </c>
      <c r="K465" s="6">
        <v>0</v>
      </c>
      <c r="L465" s="6">
        <v>2.4510000000000001</v>
      </c>
      <c r="M465" s="6">
        <v>2.4510000000000001</v>
      </c>
      <c r="N465" s="6">
        <v>2.4510000000000001</v>
      </c>
      <c r="O465" s="6">
        <v>2.4510000000000001</v>
      </c>
      <c r="P465" s="6">
        <v>24</v>
      </c>
      <c r="Q465" s="4" t="s">
        <v>26</v>
      </c>
      <c r="R465" s="4">
        <v>0</v>
      </c>
      <c r="S465" s="6">
        <v>0</v>
      </c>
      <c r="T465" s="6">
        <v>54</v>
      </c>
      <c r="U465" s="6">
        <v>30</v>
      </c>
      <c r="V465" s="6">
        <f>IF(ISERROR(VLOOKUP($S$465,'TAR FIN'!$A$1:$O$85,15,0)),0,VLOOKUP($S$465,'TAR FIN'!$A$1:$O$85,15,0))</f>
        <v>0</v>
      </c>
      <c r="W465" s="6">
        <f>IF(ISERROR(VLOOKUP($T$465,'TAR FIN'!$A$1:$O$85,15,0)),0,VLOOKUP($T$465,'TAR FIN'!$A$1:$O$85,15,0))</f>
        <v>338.77</v>
      </c>
      <c r="X465" s="6">
        <f>IF(ISERROR(VLOOKUP($U$465,'TAR FIN'!$A$1:$O$85,15,0)),0,VLOOKUP($U$465,'TAR FIN'!$A$1:$O$85,15,0))</f>
        <v>201.35</v>
      </c>
      <c r="Y465" s="6"/>
      <c r="Z465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465" s="6">
        <f>('TE BE'!$AA$13+'TE BF'!$AA$13+'TE CVA'!$AA$13)*(1-CUSTOS!$M$36)</f>
        <v>195.86645928560603</v>
      </c>
      <c r="AB465" s="6">
        <f>$K$465*$V$465</f>
        <v>0</v>
      </c>
      <c r="AC465" s="6">
        <f>$M$465*$W$465</f>
        <v>830.32526999999993</v>
      </c>
      <c r="AD465" s="6">
        <f>$O$465*$X$465</f>
        <v>493.50885</v>
      </c>
      <c r="AE465" s="6">
        <f>$K$465*$Y$465</f>
        <v>0</v>
      </c>
      <c r="AF465" s="6">
        <f ca="1">$M$465*$Z$465</f>
        <v>874.99677447781755</v>
      </c>
      <c r="AG465" s="6">
        <f>$O$465*$AA$465</f>
        <v>480.06869170902036</v>
      </c>
    </row>
    <row r="466" spans="1:33" ht="11.25" customHeight="1" x14ac:dyDescent="0.25">
      <c r="A466" s="4" t="s">
        <v>21</v>
      </c>
      <c r="B466" s="4" t="s">
        <v>22</v>
      </c>
      <c r="C466" s="4" t="s">
        <v>23</v>
      </c>
      <c r="D466" s="4" t="s">
        <v>24</v>
      </c>
      <c r="E466" s="4" t="s">
        <v>31</v>
      </c>
      <c r="F466" s="4" t="s">
        <v>25</v>
      </c>
      <c r="G466" s="4" t="s">
        <v>25</v>
      </c>
      <c r="H466" s="4" t="s">
        <v>25</v>
      </c>
      <c r="I466" s="5">
        <v>44348</v>
      </c>
      <c r="J466" s="6">
        <v>0</v>
      </c>
      <c r="K466" s="6">
        <v>0</v>
      </c>
      <c r="L466" s="6">
        <v>2.5870000000000002</v>
      </c>
      <c r="M466" s="6">
        <v>2.5870000000000002</v>
      </c>
      <c r="N466" s="6">
        <v>2.5870000000000002</v>
      </c>
      <c r="O466" s="6">
        <v>2.5870000000000002</v>
      </c>
      <c r="P466" s="6">
        <v>26</v>
      </c>
      <c r="Q466" s="4" t="s">
        <v>26</v>
      </c>
      <c r="R466" s="4">
        <v>0</v>
      </c>
      <c r="S466" s="6">
        <v>0</v>
      </c>
      <c r="T466" s="6">
        <v>54</v>
      </c>
      <c r="U466" s="6">
        <v>30</v>
      </c>
      <c r="V466" s="6">
        <f>IF(ISERROR(VLOOKUP($S$466,'TAR FIN'!$A$1:$O$85,15,0)),0,VLOOKUP($S$466,'TAR FIN'!$A$1:$O$85,15,0))</f>
        <v>0</v>
      </c>
      <c r="W466" s="6">
        <f>IF(ISERROR(VLOOKUP($T$466,'TAR FIN'!$A$1:$O$85,15,0)),0,VLOOKUP($T$466,'TAR FIN'!$A$1:$O$85,15,0))</f>
        <v>338.77</v>
      </c>
      <c r="X466" s="6">
        <f>IF(ISERROR(VLOOKUP($U$466,'TAR FIN'!$A$1:$O$85,15,0)),0,VLOOKUP($U$466,'TAR FIN'!$A$1:$O$85,15,0))</f>
        <v>201.35</v>
      </c>
      <c r="Y466" s="6"/>
      <c r="Z466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466" s="6">
        <f>('TE BE'!$AA$13+'TE BF'!$AA$13+'TE CVA'!$AA$13)*(1-CUSTOS!$M$36)</f>
        <v>195.86645928560603</v>
      </c>
      <c r="AB466" s="6">
        <f>$K$466*$V$466</f>
        <v>0</v>
      </c>
      <c r="AC466" s="6">
        <f>$M$466*$W$466</f>
        <v>876.39799000000005</v>
      </c>
      <c r="AD466" s="6">
        <f>$O$466*$X$466</f>
        <v>520.89245000000005</v>
      </c>
      <c r="AE466" s="6">
        <f>$K$466*$Y$466</f>
        <v>0</v>
      </c>
      <c r="AF466" s="6">
        <f ca="1">$M$466*$Z$466</f>
        <v>923.54820708858188</v>
      </c>
      <c r="AG466" s="6">
        <f>$O$466*$AA$466</f>
        <v>506.70653017186282</v>
      </c>
    </row>
    <row r="467" spans="1:33" ht="11.25" customHeight="1" x14ac:dyDescent="0.25">
      <c r="A467" s="4" t="s">
        <v>21</v>
      </c>
      <c r="B467" s="4" t="s">
        <v>22</v>
      </c>
      <c r="C467" s="4" t="s">
        <v>23</v>
      </c>
      <c r="D467" s="4" t="s">
        <v>24</v>
      </c>
      <c r="E467" s="4" t="s">
        <v>31</v>
      </c>
      <c r="F467" s="4" t="s">
        <v>25</v>
      </c>
      <c r="G467" s="4" t="s">
        <v>25</v>
      </c>
      <c r="H467" s="4" t="s">
        <v>25</v>
      </c>
      <c r="I467" s="5">
        <v>44378</v>
      </c>
      <c r="J467" s="6">
        <v>0</v>
      </c>
      <c r="K467" s="6">
        <v>0</v>
      </c>
      <c r="L467" s="6">
        <v>2.5099999999999998</v>
      </c>
      <c r="M467" s="6">
        <v>2.5099999999999998</v>
      </c>
      <c r="N467" s="6">
        <v>2.5099999999999998</v>
      </c>
      <c r="O467" s="6">
        <v>2.5099999999999998</v>
      </c>
      <c r="P467" s="6">
        <v>23</v>
      </c>
      <c r="Q467" s="4" t="s">
        <v>26</v>
      </c>
      <c r="R467" s="4">
        <v>0</v>
      </c>
      <c r="S467" s="6">
        <v>0</v>
      </c>
      <c r="T467" s="6">
        <v>54</v>
      </c>
      <c r="U467" s="6">
        <v>30</v>
      </c>
      <c r="V467" s="6">
        <f>IF(ISERROR(VLOOKUP($S$467,'TAR FIN'!$A$1:$O$85,15,0)),0,VLOOKUP($S$467,'TAR FIN'!$A$1:$O$85,15,0))</f>
        <v>0</v>
      </c>
      <c r="W467" s="6">
        <f>IF(ISERROR(VLOOKUP($T$467,'TAR FIN'!$A$1:$O$85,15,0)),0,VLOOKUP($T$467,'TAR FIN'!$A$1:$O$85,15,0))</f>
        <v>338.77</v>
      </c>
      <c r="X467" s="6">
        <f>IF(ISERROR(VLOOKUP($U$467,'TAR FIN'!$A$1:$O$85,15,0)),0,VLOOKUP($U$467,'TAR FIN'!$A$1:$O$85,15,0))</f>
        <v>201.35</v>
      </c>
      <c r="Y467" s="6"/>
      <c r="Z467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467" s="6">
        <f>('TE BE'!$AA$13+'TE BF'!$AA$13+'TE CVA'!$AA$13)*(1-CUSTOS!$M$36)</f>
        <v>195.86645928560603</v>
      </c>
      <c r="AB467" s="6">
        <f>$K$467*$V$467</f>
        <v>0</v>
      </c>
      <c r="AC467" s="6">
        <f>$M$467*$W$467</f>
        <v>850.31269999999984</v>
      </c>
      <c r="AD467" s="6">
        <f>$O$467*$X$467</f>
        <v>505.38849999999996</v>
      </c>
      <c r="AE467" s="6">
        <f>$K$467*$Y$467</f>
        <v>0</v>
      </c>
      <c r="AF467" s="6">
        <f ca="1">$M$467*$Z$467</f>
        <v>896.05952833101674</v>
      </c>
      <c r="AG467" s="6">
        <f>$O$467*$AA$467</f>
        <v>491.62481280687109</v>
      </c>
    </row>
    <row r="468" spans="1:33" ht="11.25" customHeight="1" x14ac:dyDescent="0.25">
      <c r="A468" s="4" t="s">
        <v>27</v>
      </c>
      <c r="B468" s="4" t="s">
        <v>22</v>
      </c>
      <c r="C468" s="4" t="s">
        <v>23</v>
      </c>
      <c r="D468" s="4" t="s">
        <v>24</v>
      </c>
      <c r="E468" s="4" t="s">
        <v>31</v>
      </c>
      <c r="F468" s="4" t="s">
        <v>25</v>
      </c>
      <c r="G468" s="4" t="s">
        <v>25</v>
      </c>
      <c r="H468" s="4" t="s">
        <v>25</v>
      </c>
      <c r="I468" s="5">
        <v>44378</v>
      </c>
      <c r="J468" s="6">
        <v>0</v>
      </c>
      <c r="K468" s="6">
        <v>0</v>
      </c>
      <c r="L468" s="6">
        <v>-1.0999999999999999E-2</v>
      </c>
      <c r="M468" s="6">
        <v>-1.0999999999999999E-2</v>
      </c>
      <c r="N468" s="6">
        <v>-1.0999999999999999E-2</v>
      </c>
      <c r="O468" s="6">
        <v>-1.0999999999999999E-2</v>
      </c>
      <c r="P468" s="6">
        <v>0</v>
      </c>
      <c r="Q468" s="4" t="s">
        <v>26</v>
      </c>
      <c r="R468" s="4">
        <v>0</v>
      </c>
      <c r="S468" s="6">
        <v>0</v>
      </c>
      <c r="T468" s="6">
        <v>54</v>
      </c>
      <c r="U468" s="6">
        <v>30</v>
      </c>
      <c r="V468" s="6">
        <f>IF(ISERROR(VLOOKUP($S$468,'TAR FIN'!$A$1:$O$85,15,0)),0,VLOOKUP($S$468,'TAR FIN'!$A$1:$O$85,15,0))</f>
        <v>0</v>
      </c>
      <c r="W468" s="6">
        <f>IF(ISERROR(VLOOKUP($T$468,'TAR FIN'!$A$1:$O$85,15,0)),0,VLOOKUP($T$468,'TAR FIN'!$A$1:$O$85,15,0))</f>
        <v>338.77</v>
      </c>
      <c r="X468" s="6">
        <f>IF(ISERROR(VLOOKUP($U$468,'TAR FIN'!$A$1:$O$85,15,0)),0,VLOOKUP($U$468,'TAR FIN'!$A$1:$O$85,15,0))</f>
        <v>201.35</v>
      </c>
      <c r="Y468" s="6"/>
      <c r="Z468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468" s="6">
        <f>('TE BE'!$AA$13+'TE BF'!$AA$13+'TE CVA'!$AA$13)*(1-CUSTOS!$M$36)</f>
        <v>195.86645928560603</v>
      </c>
      <c r="AB468" s="6">
        <f>$K$468*$V$468</f>
        <v>0</v>
      </c>
      <c r="AC468" s="6">
        <f>$M$468*$W$468</f>
        <v>-3.7264699999999995</v>
      </c>
      <c r="AD468" s="6">
        <f>$O$468*$X$468</f>
        <v>-2.2148499999999998</v>
      </c>
      <c r="AE468" s="6">
        <f>$K$468*$Y$468</f>
        <v>0</v>
      </c>
      <c r="AF468" s="6">
        <f ca="1">$M$468*$Z$468</f>
        <v>-3.9269541082235793</v>
      </c>
      <c r="AG468" s="6">
        <f>$O$468*$AA$468</f>
        <v>-2.1545310521416661</v>
      </c>
    </row>
    <row r="469" spans="1:33" ht="11.25" customHeight="1" x14ac:dyDescent="0.25">
      <c r="A469" s="4" t="s">
        <v>21</v>
      </c>
      <c r="B469" s="4" t="s">
        <v>22</v>
      </c>
      <c r="C469" s="4" t="s">
        <v>23</v>
      </c>
      <c r="D469" s="4" t="s">
        <v>24</v>
      </c>
      <c r="E469" s="4" t="s">
        <v>31</v>
      </c>
      <c r="F469" s="4" t="s">
        <v>25</v>
      </c>
      <c r="G469" s="4" t="s">
        <v>25</v>
      </c>
      <c r="H469" s="4" t="s">
        <v>25</v>
      </c>
      <c r="I469" s="5">
        <v>44409</v>
      </c>
      <c r="J469" s="6">
        <v>0</v>
      </c>
      <c r="K469" s="6">
        <v>0</v>
      </c>
      <c r="L469" s="6">
        <v>2.9670000000000001</v>
      </c>
      <c r="M469" s="6">
        <v>2.9670000000000001</v>
      </c>
      <c r="N469" s="6">
        <v>2.9670000000000001</v>
      </c>
      <c r="O469" s="6">
        <v>2.9670000000000001</v>
      </c>
      <c r="P469" s="6">
        <v>27</v>
      </c>
      <c r="Q469" s="4" t="s">
        <v>26</v>
      </c>
      <c r="R469" s="4">
        <v>0</v>
      </c>
      <c r="S469" s="6">
        <v>0</v>
      </c>
      <c r="T469" s="6">
        <v>54</v>
      </c>
      <c r="U469" s="6">
        <v>30</v>
      </c>
      <c r="V469" s="6">
        <f>IF(ISERROR(VLOOKUP($S$469,'TAR FIN'!$A$1:$O$85,15,0)),0,VLOOKUP($S$469,'TAR FIN'!$A$1:$O$85,15,0))</f>
        <v>0</v>
      </c>
      <c r="W469" s="6">
        <f>IF(ISERROR(VLOOKUP($T$469,'TAR FIN'!$A$1:$O$85,15,0)),0,VLOOKUP($T$469,'TAR FIN'!$A$1:$O$85,15,0))</f>
        <v>338.77</v>
      </c>
      <c r="X469" s="6">
        <f>IF(ISERROR(VLOOKUP($U$469,'TAR FIN'!$A$1:$O$85,15,0)),0,VLOOKUP($U$469,'TAR FIN'!$A$1:$O$85,15,0))</f>
        <v>201.35</v>
      </c>
      <c r="Y469" s="6"/>
      <c r="Z469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469" s="6">
        <f>('TE BE'!$AA$13+'TE BF'!$AA$13+'TE CVA'!$AA$13)*(1-CUSTOS!$M$36)</f>
        <v>195.86645928560603</v>
      </c>
      <c r="AB469" s="6">
        <f>$K$469*$V$469</f>
        <v>0</v>
      </c>
      <c r="AC469" s="6">
        <f>$M$469*$W$469</f>
        <v>1005.13059</v>
      </c>
      <c r="AD469" s="6">
        <f>$O$469*$X$469</f>
        <v>597.40544999999997</v>
      </c>
      <c r="AE469" s="6">
        <f>$K$469*$Y$469</f>
        <v>0</v>
      </c>
      <c r="AF469" s="6">
        <f ca="1">$M$469*$Z$469</f>
        <v>1059.2066217363056</v>
      </c>
      <c r="AG469" s="6">
        <f>$O$469*$AA$469</f>
        <v>581.13578470039306</v>
      </c>
    </row>
    <row r="470" spans="1:33" ht="11.25" customHeight="1" x14ac:dyDescent="0.25">
      <c r="A470" s="4" t="s">
        <v>21</v>
      </c>
      <c r="B470" s="4" t="s">
        <v>22</v>
      </c>
      <c r="C470" s="4" t="s">
        <v>23</v>
      </c>
      <c r="D470" s="4" t="s">
        <v>24</v>
      </c>
      <c r="E470" s="4" t="s">
        <v>31</v>
      </c>
      <c r="F470" s="4" t="s">
        <v>25</v>
      </c>
      <c r="G470" s="4" t="s">
        <v>25</v>
      </c>
      <c r="H470" s="4" t="s">
        <v>25</v>
      </c>
      <c r="I470" s="5">
        <v>44440</v>
      </c>
      <c r="J470" s="6">
        <v>0</v>
      </c>
      <c r="K470" s="6">
        <v>0</v>
      </c>
      <c r="L470" s="6">
        <v>2.8450000000000002</v>
      </c>
      <c r="M470" s="6">
        <v>2.8450000000000002</v>
      </c>
      <c r="N470" s="6">
        <v>2.8450000000000002</v>
      </c>
      <c r="O470" s="6">
        <v>2.8450000000000002</v>
      </c>
      <c r="P470" s="6">
        <v>23</v>
      </c>
      <c r="Q470" s="4" t="s">
        <v>26</v>
      </c>
      <c r="R470" s="4">
        <v>0</v>
      </c>
      <c r="S470" s="6">
        <v>0</v>
      </c>
      <c r="T470" s="6">
        <v>54</v>
      </c>
      <c r="U470" s="6">
        <v>30</v>
      </c>
      <c r="V470" s="6">
        <f>IF(ISERROR(VLOOKUP($S$470,'TAR FIN'!$A$1:$O$85,15,0)),0,VLOOKUP($S$470,'TAR FIN'!$A$1:$O$85,15,0))</f>
        <v>0</v>
      </c>
      <c r="W470" s="6">
        <f>IF(ISERROR(VLOOKUP($T$470,'TAR FIN'!$A$1:$O$85,15,0)),0,VLOOKUP($T$470,'TAR FIN'!$A$1:$O$85,15,0))</f>
        <v>338.77</v>
      </c>
      <c r="X470" s="6">
        <f>IF(ISERROR(VLOOKUP($U$470,'TAR FIN'!$A$1:$O$85,15,0)),0,VLOOKUP($U$470,'TAR FIN'!$A$1:$O$85,15,0))</f>
        <v>201.35</v>
      </c>
      <c r="Y470" s="6"/>
      <c r="Z470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470" s="6">
        <f>('TE BE'!$AA$13+'TE BF'!$AA$13+'TE CVA'!$AA$13)*(1-CUSTOS!$M$36)</f>
        <v>195.86645928560603</v>
      </c>
      <c r="AB470" s="6">
        <f>$K$470*$V$470</f>
        <v>0</v>
      </c>
      <c r="AC470" s="6">
        <f>$M$470*$W$470</f>
        <v>963.80065000000002</v>
      </c>
      <c r="AD470" s="6">
        <f>$O$470*$X$470</f>
        <v>572.84075000000007</v>
      </c>
      <c r="AE470" s="6">
        <f>$K$470*$Y$470</f>
        <v>0</v>
      </c>
      <c r="AF470" s="6">
        <f ca="1">$M$470*$Z$470</f>
        <v>1015.6531307178259</v>
      </c>
      <c r="AG470" s="6">
        <f>$O$470*$AA$470</f>
        <v>557.24007666754915</v>
      </c>
    </row>
    <row r="471" spans="1:33" ht="11.25" customHeight="1" x14ac:dyDescent="0.25">
      <c r="A471" s="4" t="s">
        <v>21</v>
      </c>
      <c r="B471" s="4" t="s">
        <v>22</v>
      </c>
      <c r="C471" s="4" t="s">
        <v>23</v>
      </c>
      <c r="D471" s="4" t="s">
        <v>24</v>
      </c>
      <c r="E471" s="4" t="s">
        <v>31</v>
      </c>
      <c r="F471" s="4" t="s">
        <v>25</v>
      </c>
      <c r="G471" s="4" t="s">
        <v>25</v>
      </c>
      <c r="H471" s="4" t="s">
        <v>25</v>
      </c>
      <c r="I471" s="5">
        <v>44470</v>
      </c>
      <c r="J471" s="6">
        <v>0</v>
      </c>
      <c r="K471" s="6">
        <v>0</v>
      </c>
      <c r="L471" s="6">
        <v>2.8010000000000002</v>
      </c>
      <c r="M471" s="6">
        <v>2.8010000000000002</v>
      </c>
      <c r="N471" s="6">
        <v>2.8010000000000002</v>
      </c>
      <c r="O471" s="6">
        <v>2.8010000000000002</v>
      </c>
      <c r="P471" s="6">
        <v>26</v>
      </c>
      <c r="Q471" s="4" t="s">
        <v>26</v>
      </c>
      <c r="R471" s="4">
        <v>0</v>
      </c>
      <c r="S471" s="6">
        <v>0</v>
      </c>
      <c r="T471" s="6">
        <v>54</v>
      </c>
      <c r="U471" s="6">
        <v>30</v>
      </c>
      <c r="V471" s="6">
        <f>IF(ISERROR(VLOOKUP($S$471,'TAR FIN'!$A$1:$O$85,15,0)),0,VLOOKUP($S$471,'TAR FIN'!$A$1:$O$85,15,0))</f>
        <v>0</v>
      </c>
      <c r="W471" s="6">
        <f>IF(ISERROR(VLOOKUP($T$471,'TAR FIN'!$A$1:$O$85,15,0)),0,VLOOKUP($T$471,'TAR FIN'!$A$1:$O$85,15,0))</f>
        <v>338.77</v>
      </c>
      <c r="X471" s="6">
        <f>IF(ISERROR(VLOOKUP($U$471,'TAR FIN'!$A$1:$O$85,15,0)),0,VLOOKUP($U$471,'TAR FIN'!$A$1:$O$85,15,0))</f>
        <v>201.35</v>
      </c>
      <c r="Y471" s="6"/>
      <c r="Z471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471" s="6">
        <f>('TE BE'!$AA$13+'TE BF'!$AA$13+'TE CVA'!$AA$13)*(1-CUSTOS!$M$36)</f>
        <v>195.86645928560603</v>
      </c>
      <c r="AB471" s="6">
        <f>$K$471*$V$471</f>
        <v>0</v>
      </c>
      <c r="AC471" s="6">
        <f>$M$471*$W$471</f>
        <v>948.89476999999999</v>
      </c>
      <c r="AD471" s="6">
        <f>$O$471*$X$471</f>
        <v>563.98135000000002</v>
      </c>
      <c r="AE471" s="6">
        <f>$K$471*$Y$471</f>
        <v>0</v>
      </c>
      <c r="AF471" s="6">
        <f ca="1">$M$471*$Z$471</f>
        <v>999.94531428493156</v>
      </c>
      <c r="AG471" s="6">
        <f>$O$471*$AA$471</f>
        <v>548.62195245898249</v>
      </c>
    </row>
    <row r="472" spans="1:33" ht="11.25" customHeight="1" x14ac:dyDescent="0.25">
      <c r="A472" s="4" t="s">
        <v>21</v>
      </c>
      <c r="B472" s="4" t="s">
        <v>22</v>
      </c>
      <c r="C472" s="4" t="s">
        <v>23</v>
      </c>
      <c r="D472" s="4" t="s">
        <v>24</v>
      </c>
      <c r="E472" s="4" t="s">
        <v>31</v>
      </c>
      <c r="F472" s="4" t="s">
        <v>25</v>
      </c>
      <c r="G472" s="4" t="s">
        <v>25</v>
      </c>
      <c r="H472" s="4" t="s">
        <v>25</v>
      </c>
      <c r="I472" s="5">
        <v>44501</v>
      </c>
      <c r="J472" s="6">
        <v>0</v>
      </c>
      <c r="K472" s="6">
        <v>0</v>
      </c>
      <c r="L472" s="6">
        <v>2.819</v>
      </c>
      <c r="M472" s="6">
        <v>2.819</v>
      </c>
      <c r="N472" s="6">
        <v>2.819</v>
      </c>
      <c r="O472" s="6">
        <v>2.819</v>
      </c>
      <c r="P472" s="6">
        <v>24</v>
      </c>
      <c r="Q472" s="4" t="s">
        <v>26</v>
      </c>
      <c r="R472" s="4">
        <v>0</v>
      </c>
      <c r="S472" s="6">
        <v>0</v>
      </c>
      <c r="T472" s="6">
        <v>54</v>
      </c>
      <c r="U472" s="6">
        <v>30</v>
      </c>
      <c r="V472" s="6">
        <f>IF(ISERROR(VLOOKUP($S$472,'TAR FIN'!$A$1:$O$85,15,0)),0,VLOOKUP($S$472,'TAR FIN'!$A$1:$O$85,15,0))</f>
        <v>0</v>
      </c>
      <c r="W472" s="6">
        <f>IF(ISERROR(VLOOKUP($T$472,'TAR FIN'!$A$1:$O$85,15,0)),0,VLOOKUP($T$472,'TAR FIN'!$A$1:$O$85,15,0))</f>
        <v>338.77</v>
      </c>
      <c r="X472" s="6">
        <f>IF(ISERROR(VLOOKUP($U$472,'TAR FIN'!$A$1:$O$85,15,0)),0,VLOOKUP($U$472,'TAR FIN'!$A$1:$O$85,15,0))</f>
        <v>201.35</v>
      </c>
      <c r="Y472" s="6"/>
      <c r="Z472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472" s="6">
        <f>('TE BE'!$AA$13+'TE BF'!$AA$13+'TE CVA'!$AA$13)*(1-CUSTOS!$M$36)</f>
        <v>195.86645928560603</v>
      </c>
      <c r="AB472" s="6">
        <f>$K$472*$V$472</f>
        <v>0</v>
      </c>
      <c r="AC472" s="6">
        <f>$M$472*$W$472</f>
        <v>954.99262999999996</v>
      </c>
      <c r="AD472" s="6">
        <f>$O$472*$X$472</f>
        <v>567.60564999999997</v>
      </c>
      <c r="AE472" s="6">
        <f>$K$472*$Y$472</f>
        <v>0</v>
      </c>
      <c r="AF472" s="6">
        <f ca="1">$M$472*$Z$472</f>
        <v>1006.3712391892973</v>
      </c>
      <c r="AG472" s="6">
        <f>$O$472*$AA$472</f>
        <v>552.14754872612343</v>
      </c>
    </row>
    <row r="473" spans="1:33" ht="11.25" customHeight="1" x14ac:dyDescent="0.25">
      <c r="A473" s="4" t="s">
        <v>21</v>
      </c>
      <c r="B473" s="4" t="s">
        <v>22</v>
      </c>
      <c r="C473" s="4" t="s">
        <v>23</v>
      </c>
      <c r="D473" s="4" t="s">
        <v>24</v>
      </c>
      <c r="E473" s="4" t="s">
        <v>31</v>
      </c>
      <c r="F473" s="4" t="s">
        <v>25</v>
      </c>
      <c r="G473" s="4" t="s">
        <v>25</v>
      </c>
      <c r="H473" s="4" t="s">
        <v>25</v>
      </c>
      <c r="I473" s="5">
        <v>44531</v>
      </c>
      <c r="J473" s="6">
        <v>0</v>
      </c>
      <c r="K473" s="6">
        <v>0</v>
      </c>
      <c r="L473" s="6">
        <v>2.585</v>
      </c>
      <c r="M473" s="6">
        <v>2.585</v>
      </c>
      <c r="N473" s="6">
        <v>2.585</v>
      </c>
      <c r="O473" s="6">
        <v>2.585</v>
      </c>
      <c r="P473" s="6">
        <v>25</v>
      </c>
      <c r="Q473" s="4" t="s">
        <v>26</v>
      </c>
      <c r="R473" s="4">
        <v>0</v>
      </c>
      <c r="S473" s="6">
        <v>0</v>
      </c>
      <c r="T473" s="6">
        <v>54</v>
      </c>
      <c r="U473" s="6">
        <v>30</v>
      </c>
      <c r="V473" s="6">
        <f>IF(ISERROR(VLOOKUP($S$473,'TAR FIN'!$A$1:$O$85,15,0)),0,VLOOKUP($S$473,'TAR FIN'!$A$1:$O$85,15,0))</f>
        <v>0</v>
      </c>
      <c r="W473" s="6">
        <f>IF(ISERROR(VLOOKUP($T$473,'TAR FIN'!$A$1:$O$85,15,0)),0,VLOOKUP($T$473,'TAR FIN'!$A$1:$O$85,15,0))</f>
        <v>338.77</v>
      </c>
      <c r="X473" s="6">
        <f>IF(ISERROR(VLOOKUP($U$473,'TAR FIN'!$A$1:$O$85,15,0)),0,VLOOKUP($U$473,'TAR FIN'!$A$1:$O$85,15,0))</f>
        <v>201.35</v>
      </c>
      <c r="Y473" s="6"/>
      <c r="Z473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473" s="6">
        <f>('TE BE'!$AA$13+'TE BF'!$AA$13+'TE CVA'!$AA$13)*(1-CUSTOS!$M$36)</f>
        <v>195.86645928560603</v>
      </c>
      <c r="AB473" s="6">
        <f>$K$473*$V$473</f>
        <v>0</v>
      </c>
      <c r="AC473" s="6">
        <f>$M$473*$W$473</f>
        <v>875.72044999999991</v>
      </c>
      <c r="AD473" s="6">
        <f>$O$473*$X$473</f>
        <v>520.48974999999996</v>
      </c>
      <c r="AE473" s="6">
        <f>$K$473*$Y$473</f>
        <v>0</v>
      </c>
      <c r="AF473" s="6">
        <f ca="1">$M$473*$Z$473</f>
        <v>922.83421543254121</v>
      </c>
      <c r="AG473" s="6">
        <f>$O$473*$AA$473</f>
        <v>506.31479725329154</v>
      </c>
    </row>
    <row r="474" spans="1:33" ht="11.25" customHeight="1" x14ac:dyDescent="0.25">
      <c r="A474" s="4" t="s">
        <v>21</v>
      </c>
      <c r="B474" s="4" t="s">
        <v>22</v>
      </c>
      <c r="C474" s="4" t="s">
        <v>23</v>
      </c>
      <c r="D474" s="4" t="s">
        <v>24</v>
      </c>
      <c r="E474" s="4" t="s">
        <v>31</v>
      </c>
      <c r="F474" s="4" t="s">
        <v>25</v>
      </c>
      <c r="G474" s="4" t="s">
        <v>25</v>
      </c>
      <c r="H474" s="4" t="s">
        <v>25</v>
      </c>
      <c r="I474" s="5">
        <v>44562</v>
      </c>
      <c r="J474" s="6">
        <v>0</v>
      </c>
      <c r="K474" s="6">
        <v>0</v>
      </c>
      <c r="L474" s="6">
        <v>2.6150000000000002</v>
      </c>
      <c r="M474" s="6">
        <v>2.6150000000000002</v>
      </c>
      <c r="N474" s="6">
        <v>2.6150000000000002</v>
      </c>
      <c r="O474" s="6">
        <v>2.6150000000000002</v>
      </c>
      <c r="P474" s="6">
        <v>27</v>
      </c>
      <c r="Q474" s="4" t="s">
        <v>26</v>
      </c>
      <c r="R474" s="4">
        <v>0</v>
      </c>
      <c r="S474" s="6">
        <v>0</v>
      </c>
      <c r="T474" s="6">
        <v>54</v>
      </c>
      <c r="U474" s="6">
        <v>30</v>
      </c>
      <c r="V474" s="6">
        <f>IF(ISERROR(VLOOKUP($S$474,'TAR FIN'!$A$1:$O$85,15,0)),0,VLOOKUP($S$474,'TAR FIN'!$A$1:$O$85,15,0))</f>
        <v>0</v>
      </c>
      <c r="W474" s="6">
        <f>IF(ISERROR(VLOOKUP($T$474,'TAR FIN'!$A$1:$O$85,15,0)),0,VLOOKUP($T$474,'TAR FIN'!$A$1:$O$85,15,0))</f>
        <v>338.77</v>
      </c>
      <c r="X474" s="6">
        <f>IF(ISERROR(VLOOKUP($U$474,'TAR FIN'!$A$1:$O$85,15,0)),0,VLOOKUP($U$474,'TAR FIN'!$A$1:$O$85,15,0))</f>
        <v>201.35</v>
      </c>
      <c r="Y474" s="6"/>
      <c r="Z474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474" s="6">
        <f>('TE BE'!$AA$13+'TE BF'!$AA$13+'TE CVA'!$AA$13)*(1-CUSTOS!$M$36)</f>
        <v>195.86645928560603</v>
      </c>
      <c r="AB474" s="6">
        <f>$K$474*$V$474</f>
        <v>0</v>
      </c>
      <c r="AC474" s="6">
        <f>$M$474*$W$474</f>
        <v>885.88355000000001</v>
      </c>
      <c r="AD474" s="6">
        <f>$O$474*$X$474</f>
        <v>526.53025000000002</v>
      </c>
      <c r="AE474" s="6">
        <f>$K$474*$Y$474</f>
        <v>0</v>
      </c>
      <c r="AF474" s="6">
        <f ca="1">$M$474*$Z$474</f>
        <v>933.54409027315103</v>
      </c>
      <c r="AG474" s="6">
        <f>$O$474*$AA$474</f>
        <v>512.19079103185982</v>
      </c>
    </row>
    <row r="475" spans="1:33" ht="11.25" customHeight="1" x14ac:dyDescent="0.25">
      <c r="A475" s="4" t="s">
        <v>21</v>
      </c>
      <c r="B475" s="4" t="s">
        <v>22</v>
      </c>
      <c r="C475" s="4" t="s">
        <v>23</v>
      </c>
      <c r="D475" s="4" t="s">
        <v>24</v>
      </c>
      <c r="E475" s="4" t="s">
        <v>31</v>
      </c>
      <c r="F475" s="4" t="s">
        <v>25</v>
      </c>
      <c r="G475" s="4" t="s">
        <v>25</v>
      </c>
      <c r="H475" s="4" t="s">
        <v>25</v>
      </c>
      <c r="I475" s="5">
        <v>44593</v>
      </c>
      <c r="J475" s="6">
        <v>0</v>
      </c>
      <c r="K475" s="6">
        <v>0</v>
      </c>
      <c r="L475" s="6">
        <v>3.1640000000000001</v>
      </c>
      <c r="M475" s="6">
        <v>3.1640000000000001</v>
      </c>
      <c r="N475" s="6">
        <v>3.1640000000000001</v>
      </c>
      <c r="O475" s="6">
        <v>3.1640000000000001</v>
      </c>
      <c r="P475" s="6">
        <v>23</v>
      </c>
      <c r="Q475" s="4" t="s">
        <v>26</v>
      </c>
      <c r="R475" s="4">
        <v>0</v>
      </c>
      <c r="S475" s="6">
        <v>0</v>
      </c>
      <c r="T475" s="6">
        <v>54</v>
      </c>
      <c r="U475" s="6">
        <v>30</v>
      </c>
      <c r="V475" s="6">
        <f>IF(ISERROR(VLOOKUP($S$475,'TAR FIN'!$A$1:$O$85,15,0)),0,VLOOKUP($S$475,'TAR FIN'!$A$1:$O$85,15,0))</f>
        <v>0</v>
      </c>
      <c r="W475" s="6">
        <f>IF(ISERROR(VLOOKUP($T$475,'TAR FIN'!$A$1:$O$85,15,0)),0,VLOOKUP($T$475,'TAR FIN'!$A$1:$O$85,15,0))</f>
        <v>338.77</v>
      </c>
      <c r="X475" s="6">
        <f>IF(ISERROR(VLOOKUP($U$475,'TAR FIN'!$A$1:$O$85,15,0)),0,VLOOKUP($U$475,'TAR FIN'!$A$1:$O$85,15,0))</f>
        <v>201.35</v>
      </c>
      <c r="Y475" s="6"/>
      <c r="Z475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475" s="6">
        <f>('TE BE'!$AA$13+'TE BF'!$AA$13+'TE CVA'!$AA$13)*(1-CUSTOS!$M$36)</f>
        <v>195.86645928560603</v>
      </c>
      <c r="AB475" s="6">
        <f>$K$475*$V$475</f>
        <v>0</v>
      </c>
      <c r="AC475" s="6">
        <f>$M$475*$W$475</f>
        <v>1071.8682799999999</v>
      </c>
      <c r="AD475" s="6">
        <f>$O$475*$X$475</f>
        <v>637.07140000000004</v>
      </c>
      <c r="AE475" s="6">
        <f>$K$475*$Y$475</f>
        <v>0</v>
      </c>
      <c r="AF475" s="6">
        <f ca="1">$M$475*$Z$475</f>
        <v>1129.5347998563097</v>
      </c>
      <c r="AG475" s="6">
        <f>$O$475*$AA$475</f>
        <v>619.72147717965754</v>
      </c>
    </row>
    <row r="476" spans="1:33" ht="11.25" customHeight="1" x14ac:dyDescent="0.25">
      <c r="A476" s="4" t="s">
        <v>54</v>
      </c>
      <c r="B476" s="4" t="s">
        <v>22</v>
      </c>
      <c r="C476" s="4" t="s">
        <v>23</v>
      </c>
      <c r="D476" s="4" t="s">
        <v>24</v>
      </c>
      <c r="E476" s="4" t="s">
        <v>31</v>
      </c>
      <c r="F476" s="4" t="s">
        <v>25</v>
      </c>
      <c r="G476" s="4" t="s">
        <v>25</v>
      </c>
      <c r="H476" s="4" t="s">
        <v>25</v>
      </c>
      <c r="I476" s="5">
        <v>44621</v>
      </c>
      <c r="J476" s="6">
        <v>0</v>
      </c>
      <c r="K476" s="6">
        <v>0</v>
      </c>
      <c r="L476" s="6">
        <v>3.1640000000000001</v>
      </c>
      <c r="M476" s="6">
        <v>3.1640000000000001</v>
      </c>
      <c r="N476" s="6">
        <v>3.1640000000000001</v>
      </c>
      <c r="O476" s="6">
        <v>3.1640000000000001</v>
      </c>
      <c r="P476" s="6">
        <v>23</v>
      </c>
      <c r="Q476" s="4" t="s">
        <v>26</v>
      </c>
      <c r="R476" s="4">
        <v>0</v>
      </c>
      <c r="S476" s="6">
        <v>0</v>
      </c>
      <c r="T476" s="6">
        <v>54</v>
      </c>
      <c r="U476" s="6">
        <v>30</v>
      </c>
      <c r="V476" s="6">
        <f>IF(ISERROR(VLOOKUP($S$476,'TAR FIN'!$A$1:$O$85,15,0)),0,VLOOKUP($S$476,'TAR FIN'!$A$1:$O$85,15,0))</f>
        <v>0</v>
      </c>
      <c r="W476" s="6">
        <f>IF(ISERROR(VLOOKUP($T$476,'TAR FIN'!$A$1:$O$85,15,0)),0,VLOOKUP($T$476,'TAR FIN'!$A$1:$O$85,15,0))</f>
        <v>338.77</v>
      </c>
      <c r="X476" s="6">
        <f>IF(ISERROR(VLOOKUP($U$476,'TAR FIN'!$A$1:$O$85,15,0)),0,VLOOKUP($U$476,'TAR FIN'!$A$1:$O$85,15,0))</f>
        <v>201.35</v>
      </c>
      <c r="Y476" s="6"/>
      <c r="Z476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476" s="6">
        <f>('TE BE'!$AA$13+'TE BF'!$AA$13+'TE CVA'!$AA$13)*(1-CUSTOS!$M$36)</f>
        <v>195.86645928560603</v>
      </c>
      <c r="AB476" s="6">
        <f>$K$476*$V$476</f>
        <v>0</v>
      </c>
      <c r="AC476" s="6">
        <f>$M$476*$W$476</f>
        <v>1071.8682799999999</v>
      </c>
      <c r="AD476" s="6">
        <f>$O$476*$X$476</f>
        <v>637.07140000000004</v>
      </c>
      <c r="AE476" s="6">
        <f>$K$476*$Y$476</f>
        <v>0</v>
      </c>
      <c r="AF476" s="6">
        <f ca="1">$M$476*$Z$476</f>
        <v>1129.5347998563097</v>
      </c>
      <c r="AG476" s="6">
        <f>$O$476*$AA$476</f>
        <v>619.72147717965754</v>
      </c>
    </row>
    <row r="477" spans="1:33" ht="11.25" customHeight="1" x14ac:dyDescent="0.25">
      <c r="A477" s="4" t="s">
        <v>21</v>
      </c>
      <c r="B477" s="4" t="s">
        <v>22</v>
      </c>
      <c r="C477" s="4" t="s">
        <v>23</v>
      </c>
      <c r="D477" s="4" t="s">
        <v>24</v>
      </c>
      <c r="E477" s="4" t="s">
        <v>32</v>
      </c>
      <c r="F477" s="4" t="s">
        <v>25</v>
      </c>
      <c r="G477" s="4" t="s">
        <v>25</v>
      </c>
      <c r="H477" s="4" t="s">
        <v>25</v>
      </c>
      <c r="I477" s="5">
        <v>44287</v>
      </c>
      <c r="J477" s="6">
        <v>0</v>
      </c>
      <c r="K477" s="6">
        <v>0</v>
      </c>
      <c r="L477" s="6">
        <v>0.67500000000000004</v>
      </c>
      <c r="M477" s="6">
        <v>0.67500000000000004</v>
      </c>
      <c r="N477" s="6">
        <v>0.67500000000000004</v>
      </c>
      <c r="O477" s="6">
        <v>0.67500000000000004</v>
      </c>
      <c r="P477" s="6">
        <v>10</v>
      </c>
      <c r="Q477" s="4" t="s">
        <v>26</v>
      </c>
      <c r="R477" s="4">
        <v>0</v>
      </c>
      <c r="S477" s="6">
        <v>0</v>
      </c>
      <c r="T477" s="6">
        <v>55</v>
      </c>
      <c r="U477" s="6">
        <v>31</v>
      </c>
      <c r="V477" s="6">
        <f>IF(ISERROR(VLOOKUP($S$477,'TAR FIN'!$A$1:$O$85,15,0)),0,VLOOKUP($S$477,'TAR FIN'!$A$1:$O$85,15,0))</f>
        <v>0</v>
      </c>
      <c r="W477" s="6">
        <f>IF(ISERROR(VLOOKUP($T$477,'TAR FIN'!$A$1:$O$85,15,0)),0,VLOOKUP($T$477,'TAR FIN'!$A$1:$O$85,15,0))</f>
        <v>376.41</v>
      </c>
      <c r="X477" s="6">
        <f>IF(ISERROR(VLOOKUP($U$477,'TAR FIN'!$A$1:$O$85,15,0)),0,VLOOKUP($U$477,'TAR FIN'!$A$1:$O$85,15,0))</f>
        <v>223.72</v>
      </c>
      <c r="Y477" s="6"/>
      <c r="Z477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477" s="6">
        <f>('TE BE'!$AA$14+'TE BF'!$AA$14+'TE CVA'!$AA$14)*(1-CUSTOS!$M$37)</f>
        <v>217.62939920622892</v>
      </c>
      <c r="AB477" s="6">
        <f>$K$477*$V$477</f>
        <v>0</v>
      </c>
      <c r="AC477" s="6">
        <f>$M$477*$W$477</f>
        <v>254.07675000000003</v>
      </c>
      <c r="AD477" s="6">
        <f>$O$477*$X$477</f>
        <v>151.011</v>
      </c>
      <c r="AE477" s="6">
        <f>$K$477*$Y$477</f>
        <v>0</v>
      </c>
      <c r="AF477" s="6">
        <f ca="1">$M$477*$Z$477</f>
        <v>267.74687101524404</v>
      </c>
      <c r="AG477" s="6">
        <f>$O$477*$AA$477</f>
        <v>146.89984446420453</v>
      </c>
    </row>
    <row r="478" spans="1:33" ht="11.25" customHeight="1" x14ac:dyDescent="0.25">
      <c r="A478" s="4" t="s">
        <v>21</v>
      </c>
      <c r="B478" s="4" t="s">
        <v>22</v>
      </c>
      <c r="C478" s="4" t="s">
        <v>23</v>
      </c>
      <c r="D478" s="4" t="s">
        <v>24</v>
      </c>
      <c r="E478" s="4" t="s">
        <v>32</v>
      </c>
      <c r="F478" s="4" t="s">
        <v>25</v>
      </c>
      <c r="G478" s="4" t="s">
        <v>25</v>
      </c>
      <c r="H478" s="4" t="s">
        <v>25</v>
      </c>
      <c r="I478" s="5">
        <v>44317</v>
      </c>
      <c r="J478" s="6">
        <v>0</v>
      </c>
      <c r="K478" s="6">
        <v>0</v>
      </c>
      <c r="L478" s="6">
        <v>0.72299999999999998</v>
      </c>
      <c r="M478" s="6">
        <v>0.72299999999999998</v>
      </c>
      <c r="N478" s="6">
        <v>0.72299999999999998</v>
      </c>
      <c r="O478" s="6">
        <v>0.72299999999999998</v>
      </c>
      <c r="P478" s="6">
        <v>9</v>
      </c>
      <c r="Q478" s="4" t="s">
        <v>26</v>
      </c>
      <c r="R478" s="4">
        <v>0</v>
      </c>
      <c r="S478" s="6">
        <v>0</v>
      </c>
      <c r="T478" s="6">
        <v>55</v>
      </c>
      <c r="U478" s="6">
        <v>31</v>
      </c>
      <c r="V478" s="6">
        <f>IF(ISERROR(VLOOKUP($S$478,'TAR FIN'!$A$1:$O$85,15,0)),0,VLOOKUP($S$478,'TAR FIN'!$A$1:$O$85,15,0))</f>
        <v>0</v>
      </c>
      <c r="W478" s="6">
        <f>IF(ISERROR(VLOOKUP($T$478,'TAR FIN'!$A$1:$O$85,15,0)),0,VLOOKUP($T$478,'TAR FIN'!$A$1:$O$85,15,0))</f>
        <v>376.41</v>
      </c>
      <c r="X478" s="6">
        <f>IF(ISERROR(VLOOKUP($U$478,'TAR FIN'!$A$1:$O$85,15,0)),0,VLOOKUP($U$478,'TAR FIN'!$A$1:$O$85,15,0))</f>
        <v>223.72</v>
      </c>
      <c r="Y478" s="6"/>
      <c r="Z478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478" s="6">
        <f>('TE BE'!$AA$14+'TE BF'!$AA$14+'TE CVA'!$AA$14)*(1-CUSTOS!$M$37)</f>
        <v>217.62939920622892</v>
      </c>
      <c r="AB478" s="6">
        <f>$K$478*$V$478</f>
        <v>0</v>
      </c>
      <c r="AC478" s="6">
        <f>$M$478*$W$478</f>
        <v>272.14443</v>
      </c>
      <c r="AD478" s="6">
        <f>$O$478*$X$478</f>
        <v>161.74956</v>
      </c>
      <c r="AE478" s="6">
        <f>$K$478*$Y$478</f>
        <v>0</v>
      </c>
      <c r="AF478" s="6">
        <f ca="1">$M$478*$Z$478</f>
        <v>286.7866485096614</v>
      </c>
      <c r="AG478" s="6">
        <f>$O$478*$AA$478</f>
        <v>157.34605562610352</v>
      </c>
    </row>
    <row r="479" spans="1:33" ht="11.25" customHeight="1" x14ac:dyDescent="0.25">
      <c r="A479" s="4" t="s">
        <v>21</v>
      </c>
      <c r="B479" s="4" t="s">
        <v>22</v>
      </c>
      <c r="C479" s="4" t="s">
        <v>23</v>
      </c>
      <c r="D479" s="4" t="s">
        <v>24</v>
      </c>
      <c r="E479" s="4" t="s">
        <v>32</v>
      </c>
      <c r="F479" s="4" t="s">
        <v>25</v>
      </c>
      <c r="G479" s="4" t="s">
        <v>25</v>
      </c>
      <c r="H479" s="4" t="s">
        <v>25</v>
      </c>
      <c r="I479" s="5">
        <v>44348</v>
      </c>
      <c r="J479" s="6">
        <v>0</v>
      </c>
      <c r="K479" s="6">
        <v>0</v>
      </c>
      <c r="L479" s="6">
        <v>1.0489999999999999</v>
      </c>
      <c r="M479" s="6">
        <v>1.0489999999999999</v>
      </c>
      <c r="N479" s="6">
        <v>1.0489999999999999</v>
      </c>
      <c r="O479" s="6">
        <v>1.0489999999999999</v>
      </c>
      <c r="P479" s="6">
        <v>10</v>
      </c>
      <c r="Q479" s="4" t="s">
        <v>26</v>
      </c>
      <c r="R479" s="4">
        <v>0</v>
      </c>
      <c r="S479" s="6">
        <v>0</v>
      </c>
      <c r="T479" s="6">
        <v>55</v>
      </c>
      <c r="U479" s="6">
        <v>31</v>
      </c>
      <c r="V479" s="6">
        <f>IF(ISERROR(VLOOKUP($S$479,'TAR FIN'!$A$1:$O$85,15,0)),0,VLOOKUP($S$479,'TAR FIN'!$A$1:$O$85,15,0))</f>
        <v>0</v>
      </c>
      <c r="W479" s="6">
        <f>IF(ISERROR(VLOOKUP($T$479,'TAR FIN'!$A$1:$O$85,15,0)),0,VLOOKUP($T$479,'TAR FIN'!$A$1:$O$85,15,0))</f>
        <v>376.41</v>
      </c>
      <c r="X479" s="6">
        <f>IF(ISERROR(VLOOKUP($U$479,'TAR FIN'!$A$1:$O$85,15,0)),0,VLOOKUP($U$479,'TAR FIN'!$A$1:$O$85,15,0))</f>
        <v>223.72</v>
      </c>
      <c r="Y479" s="6"/>
      <c r="Z479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479" s="6">
        <f>('TE BE'!$AA$14+'TE BF'!$AA$14+'TE CVA'!$AA$14)*(1-CUSTOS!$M$37)</f>
        <v>217.62939920622892</v>
      </c>
      <c r="AB479" s="6">
        <f>$K$479*$V$479</f>
        <v>0</v>
      </c>
      <c r="AC479" s="6">
        <f>$M$479*$W$479</f>
        <v>394.85408999999999</v>
      </c>
      <c r="AD479" s="6">
        <f>$O$479*$X$479</f>
        <v>234.68227999999999</v>
      </c>
      <c r="AE479" s="6">
        <f>$K$479*$Y$479</f>
        <v>0</v>
      </c>
      <c r="AF479" s="6">
        <f ca="1">$M$479*$Z$479</f>
        <v>416.09847065924589</v>
      </c>
      <c r="AG479" s="6">
        <f>$O$479*$AA$479</f>
        <v>228.29323976733411</v>
      </c>
    </row>
    <row r="480" spans="1:33" ht="11.25" customHeight="1" x14ac:dyDescent="0.25">
      <c r="A480" s="4" t="s">
        <v>21</v>
      </c>
      <c r="B480" s="4" t="s">
        <v>22</v>
      </c>
      <c r="C480" s="4" t="s">
        <v>23</v>
      </c>
      <c r="D480" s="4" t="s">
        <v>24</v>
      </c>
      <c r="E480" s="4" t="s">
        <v>32</v>
      </c>
      <c r="F480" s="4" t="s">
        <v>25</v>
      </c>
      <c r="G480" s="4" t="s">
        <v>25</v>
      </c>
      <c r="H480" s="4" t="s">
        <v>25</v>
      </c>
      <c r="I480" s="5">
        <v>44378</v>
      </c>
      <c r="J480" s="6">
        <v>0</v>
      </c>
      <c r="K480" s="6">
        <v>0</v>
      </c>
      <c r="L480" s="6">
        <v>0.41299999999999998</v>
      </c>
      <c r="M480" s="6">
        <v>0.41299999999999998</v>
      </c>
      <c r="N480" s="6">
        <v>0.41299999999999998</v>
      </c>
      <c r="O480" s="6">
        <v>0.41299999999999998</v>
      </c>
      <c r="P480" s="6">
        <v>9</v>
      </c>
      <c r="Q480" s="4" t="s">
        <v>26</v>
      </c>
      <c r="R480" s="4">
        <v>0</v>
      </c>
      <c r="S480" s="6">
        <v>0</v>
      </c>
      <c r="T480" s="6">
        <v>55</v>
      </c>
      <c r="U480" s="6">
        <v>31</v>
      </c>
      <c r="V480" s="6">
        <f>IF(ISERROR(VLOOKUP($S$480,'TAR FIN'!$A$1:$O$85,15,0)),0,VLOOKUP($S$480,'TAR FIN'!$A$1:$O$85,15,0))</f>
        <v>0</v>
      </c>
      <c r="W480" s="6">
        <f>IF(ISERROR(VLOOKUP($T$480,'TAR FIN'!$A$1:$O$85,15,0)),0,VLOOKUP($T$480,'TAR FIN'!$A$1:$O$85,15,0))</f>
        <v>376.41</v>
      </c>
      <c r="X480" s="6">
        <f>IF(ISERROR(VLOOKUP($U$480,'TAR FIN'!$A$1:$O$85,15,0)),0,VLOOKUP($U$480,'TAR FIN'!$A$1:$O$85,15,0))</f>
        <v>223.72</v>
      </c>
      <c r="Y480" s="6"/>
      <c r="Z480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480" s="6">
        <f>('TE BE'!$AA$14+'TE BF'!$AA$14+'TE CVA'!$AA$14)*(1-CUSTOS!$M$37)</f>
        <v>217.62939920622892</v>
      </c>
      <c r="AB480" s="6">
        <f>$K$480*$V$480</f>
        <v>0</v>
      </c>
      <c r="AC480" s="6">
        <f>$M$480*$W$480</f>
        <v>155.45733000000001</v>
      </c>
      <c r="AD480" s="6">
        <f>$O$480*$X$480</f>
        <v>92.396360000000001</v>
      </c>
      <c r="AE480" s="6">
        <f>$K$480*$Y$480</f>
        <v>0</v>
      </c>
      <c r="AF480" s="6">
        <f ca="1">$M$480*$Z$480</f>
        <v>163.82141885821596</v>
      </c>
      <c r="AG480" s="6">
        <f>$O$480*$AA$480</f>
        <v>89.880941872172542</v>
      </c>
    </row>
    <row r="481" spans="1:33" ht="11.25" customHeight="1" x14ac:dyDescent="0.25">
      <c r="A481" s="4" t="s">
        <v>27</v>
      </c>
      <c r="B481" s="4" t="s">
        <v>22</v>
      </c>
      <c r="C481" s="4" t="s">
        <v>23</v>
      </c>
      <c r="D481" s="4" t="s">
        <v>24</v>
      </c>
      <c r="E481" s="4" t="s">
        <v>32</v>
      </c>
      <c r="F481" s="4" t="s">
        <v>25</v>
      </c>
      <c r="G481" s="4" t="s">
        <v>25</v>
      </c>
      <c r="H481" s="4" t="s">
        <v>25</v>
      </c>
      <c r="I481" s="5">
        <v>44378</v>
      </c>
      <c r="J481" s="6">
        <v>0</v>
      </c>
      <c r="K481" s="6">
        <v>0</v>
      </c>
      <c r="L481" s="6">
        <v>-0.29499999999999998</v>
      </c>
      <c r="M481" s="6">
        <v>-0.29499999999999998</v>
      </c>
      <c r="N481" s="6">
        <v>-0.29499999999999998</v>
      </c>
      <c r="O481" s="6">
        <v>-0.29499999999999998</v>
      </c>
      <c r="P481" s="6">
        <v>0</v>
      </c>
      <c r="Q481" s="4" t="s">
        <v>26</v>
      </c>
      <c r="R481" s="4">
        <v>0</v>
      </c>
      <c r="S481" s="6">
        <v>0</v>
      </c>
      <c r="T481" s="6">
        <v>55</v>
      </c>
      <c r="U481" s="6">
        <v>31</v>
      </c>
      <c r="V481" s="6">
        <f>IF(ISERROR(VLOOKUP($S$481,'TAR FIN'!$A$1:$O$85,15,0)),0,VLOOKUP($S$481,'TAR FIN'!$A$1:$O$85,15,0))</f>
        <v>0</v>
      </c>
      <c r="W481" s="6">
        <f>IF(ISERROR(VLOOKUP($T$481,'TAR FIN'!$A$1:$O$85,15,0)),0,VLOOKUP($T$481,'TAR FIN'!$A$1:$O$85,15,0))</f>
        <v>376.41</v>
      </c>
      <c r="X481" s="6">
        <f>IF(ISERROR(VLOOKUP($U$481,'TAR FIN'!$A$1:$O$85,15,0)),0,VLOOKUP($U$481,'TAR FIN'!$A$1:$O$85,15,0))</f>
        <v>223.72</v>
      </c>
      <c r="Y481" s="6"/>
      <c r="Z481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481" s="6">
        <f>('TE BE'!$AA$14+'TE BF'!$AA$14+'TE CVA'!$AA$14)*(1-CUSTOS!$M$37)</f>
        <v>217.62939920622892</v>
      </c>
      <c r="AB481" s="6">
        <f>$K$481*$V$481</f>
        <v>0</v>
      </c>
      <c r="AC481" s="6">
        <f>$M$481*$W$481</f>
        <v>-111.04095</v>
      </c>
      <c r="AD481" s="6">
        <f>$O$481*$X$481</f>
        <v>-65.997399999999999</v>
      </c>
      <c r="AE481" s="6">
        <f>$K$481*$Y$481</f>
        <v>0</v>
      </c>
      <c r="AF481" s="6">
        <f ca="1">$M$481*$Z$481</f>
        <v>-117.01529918443998</v>
      </c>
      <c r="AG481" s="6">
        <f>$O$481*$AA$481</f>
        <v>-64.200672765837524</v>
      </c>
    </row>
    <row r="482" spans="1:33" ht="11.25" customHeight="1" x14ac:dyDescent="0.25">
      <c r="A482" s="4" t="s">
        <v>21</v>
      </c>
      <c r="B482" s="4" t="s">
        <v>22</v>
      </c>
      <c r="C482" s="4" t="s">
        <v>23</v>
      </c>
      <c r="D482" s="4" t="s">
        <v>24</v>
      </c>
      <c r="E482" s="4" t="s">
        <v>32</v>
      </c>
      <c r="F482" s="4" t="s">
        <v>25</v>
      </c>
      <c r="G482" s="4" t="s">
        <v>25</v>
      </c>
      <c r="H482" s="4" t="s">
        <v>25</v>
      </c>
      <c r="I482" s="5">
        <v>44409</v>
      </c>
      <c r="J482" s="6">
        <v>0</v>
      </c>
      <c r="K482" s="6">
        <v>0</v>
      </c>
      <c r="L482" s="6">
        <v>0.92400000000000004</v>
      </c>
      <c r="M482" s="6">
        <v>0.92400000000000004</v>
      </c>
      <c r="N482" s="6">
        <v>0.92400000000000004</v>
      </c>
      <c r="O482" s="6">
        <v>0.92400000000000004</v>
      </c>
      <c r="P482" s="6">
        <v>11</v>
      </c>
      <c r="Q482" s="4" t="s">
        <v>26</v>
      </c>
      <c r="R482" s="4">
        <v>0</v>
      </c>
      <c r="S482" s="6">
        <v>0</v>
      </c>
      <c r="T482" s="6">
        <v>55</v>
      </c>
      <c r="U482" s="6">
        <v>31</v>
      </c>
      <c r="V482" s="6">
        <f>IF(ISERROR(VLOOKUP($S$482,'TAR FIN'!$A$1:$O$85,15,0)),0,VLOOKUP($S$482,'TAR FIN'!$A$1:$O$85,15,0))</f>
        <v>0</v>
      </c>
      <c r="W482" s="6">
        <f>IF(ISERROR(VLOOKUP($T$482,'TAR FIN'!$A$1:$O$85,15,0)),0,VLOOKUP($T$482,'TAR FIN'!$A$1:$O$85,15,0))</f>
        <v>376.41</v>
      </c>
      <c r="X482" s="6">
        <f>IF(ISERROR(VLOOKUP($U$482,'TAR FIN'!$A$1:$O$85,15,0)),0,VLOOKUP($U$482,'TAR FIN'!$A$1:$O$85,15,0))</f>
        <v>223.72</v>
      </c>
      <c r="Y482" s="6"/>
      <c r="Z482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482" s="6">
        <f>('TE BE'!$AA$14+'TE BF'!$AA$14+'TE CVA'!$AA$14)*(1-CUSTOS!$M$37)</f>
        <v>217.62939920622892</v>
      </c>
      <c r="AB482" s="6">
        <f>$K$482*$V$482</f>
        <v>0</v>
      </c>
      <c r="AC482" s="6">
        <f>$M$482*$W$482</f>
        <v>347.80284000000006</v>
      </c>
      <c r="AD482" s="6">
        <f>$O$482*$X$482</f>
        <v>206.71728000000002</v>
      </c>
      <c r="AE482" s="6">
        <f>$K$482*$Y$482</f>
        <v>0</v>
      </c>
      <c r="AF482" s="6">
        <f ca="1">$M$482*$Z$482</f>
        <v>366.51571676753412</v>
      </c>
      <c r="AG482" s="6">
        <f>$O$482*$AA$482</f>
        <v>201.08956486655555</v>
      </c>
    </row>
    <row r="483" spans="1:33" ht="11.25" customHeight="1" x14ac:dyDescent="0.25">
      <c r="A483" s="4" t="s">
        <v>21</v>
      </c>
      <c r="B483" s="4" t="s">
        <v>22</v>
      </c>
      <c r="C483" s="4" t="s">
        <v>23</v>
      </c>
      <c r="D483" s="4" t="s">
        <v>24</v>
      </c>
      <c r="E483" s="4" t="s">
        <v>32</v>
      </c>
      <c r="F483" s="4" t="s">
        <v>25</v>
      </c>
      <c r="G483" s="4" t="s">
        <v>25</v>
      </c>
      <c r="H483" s="4" t="s">
        <v>25</v>
      </c>
      <c r="I483" s="5">
        <v>44440</v>
      </c>
      <c r="J483" s="6">
        <v>0</v>
      </c>
      <c r="K483" s="6">
        <v>0</v>
      </c>
      <c r="L483" s="6">
        <v>0.90300000000000002</v>
      </c>
      <c r="M483" s="6">
        <v>0.90300000000000002</v>
      </c>
      <c r="N483" s="6">
        <v>0.90300000000000002</v>
      </c>
      <c r="O483" s="6">
        <v>0.90300000000000002</v>
      </c>
      <c r="P483" s="6">
        <v>13</v>
      </c>
      <c r="Q483" s="4" t="s">
        <v>26</v>
      </c>
      <c r="R483" s="4">
        <v>0</v>
      </c>
      <c r="S483" s="6">
        <v>0</v>
      </c>
      <c r="T483" s="6">
        <v>55</v>
      </c>
      <c r="U483" s="6">
        <v>31</v>
      </c>
      <c r="V483" s="6">
        <f>IF(ISERROR(VLOOKUP($S$483,'TAR FIN'!$A$1:$O$85,15,0)),0,VLOOKUP($S$483,'TAR FIN'!$A$1:$O$85,15,0))</f>
        <v>0</v>
      </c>
      <c r="W483" s="6">
        <f>IF(ISERROR(VLOOKUP($T$483,'TAR FIN'!$A$1:$O$85,15,0)),0,VLOOKUP($T$483,'TAR FIN'!$A$1:$O$85,15,0))</f>
        <v>376.41</v>
      </c>
      <c r="X483" s="6">
        <f>IF(ISERROR(VLOOKUP($U$483,'TAR FIN'!$A$1:$O$85,15,0)),0,VLOOKUP($U$483,'TAR FIN'!$A$1:$O$85,15,0))</f>
        <v>223.72</v>
      </c>
      <c r="Y483" s="6"/>
      <c r="Z483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483" s="6">
        <f>('TE BE'!$AA$14+'TE BF'!$AA$14+'TE CVA'!$AA$14)*(1-CUSTOS!$M$37)</f>
        <v>217.62939920622892</v>
      </c>
      <c r="AB483" s="6">
        <f>$K$483*$V$483</f>
        <v>0</v>
      </c>
      <c r="AC483" s="6">
        <f>$M$483*$W$483</f>
        <v>339.89823000000001</v>
      </c>
      <c r="AD483" s="6">
        <f>$O$483*$X$483</f>
        <v>202.01916</v>
      </c>
      <c r="AE483" s="6">
        <f>$K$483*$Y$483</f>
        <v>0</v>
      </c>
      <c r="AF483" s="6">
        <f ca="1">$M$483*$Z$483</f>
        <v>358.18581411372651</v>
      </c>
      <c r="AG483" s="6">
        <f>$O$483*$AA$483</f>
        <v>196.51934748322472</v>
      </c>
    </row>
    <row r="484" spans="1:33" ht="11.25" customHeight="1" x14ac:dyDescent="0.25">
      <c r="A484" s="4" t="s">
        <v>21</v>
      </c>
      <c r="B484" s="4" t="s">
        <v>22</v>
      </c>
      <c r="C484" s="4" t="s">
        <v>23</v>
      </c>
      <c r="D484" s="4" t="s">
        <v>24</v>
      </c>
      <c r="E484" s="4" t="s">
        <v>32</v>
      </c>
      <c r="F484" s="4" t="s">
        <v>25</v>
      </c>
      <c r="G484" s="4" t="s">
        <v>25</v>
      </c>
      <c r="H484" s="4" t="s">
        <v>25</v>
      </c>
      <c r="I484" s="5">
        <v>44470</v>
      </c>
      <c r="J484" s="6">
        <v>0</v>
      </c>
      <c r="K484" s="6">
        <v>0</v>
      </c>
      <c r="L484" s="6">
        <v>0.79</v>
      </c>
      <c r="M484" s="6">
        <v>0.79</v>
      </c>
      <c r="N484" s="6">
        <v>0.79</v>
      </c>
      <c r="O484" s="6">
        <v>0.79</v>
      </c>
      <c r="P484" s="6">
        <v>8</v>
      </c>
      <c r="Q484" s="4" t="s">
        <v>26</v>
      </c>
      <c r="R484" s="4">
        <v>0</v>
      </c>
      <c r="S484" s="6">
        <v>0</v>
      </c>
      <c r="T484" s="6">
        <v>55</v>
      </c>
      <c r="U484" s="6">
        <v>31</v>
      </c>
      <c r="V484" s="6">
        <f>IF(ISERROR(VLOOKUP($S$484,'TAR FIN'!$A$1:$O$85,15,0)),0,VLOOKUP($S$484,'TAR FIN'!$A$1:$O$85,15,0))</f>
        <v>0</v>
      </c>
      <c r="W484" s="6">
        <f>IF(ISERROR(VLOOKUP($T$484,'TAR FIN'!$A$1:$O$85,15,0)),0,VLOOKUP($T$484,'TAR FIN'!$A$1:$O$85,15,0))</f>
        <v>376.41</v>
      </c>
      <c r="X484" s="6">
        <f>IF(ISERROR(VLOOKUP($U$484,'TAR FIN'!$A$1:$O$85,15,0)),0,VLOOKUP($U$484,'TAR FIN'!$A$1:$O$85,15,0))</f>
        <v>223.72</v>
      </c>
      <c r="Y484" s="6"/>
      <c r="Z484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484" s="6">
        <f>('TE BE'!$AA$14+'TE BF'!$AA$14+'TE CVA'!$AA$14)*(1-CUSTOS!$M$37)</f>
        <v>217.62939920622892</v>
      </c>
      <c r="AB484" s="6">
        <f>$K$484*$V$484</f>
        <v>0</v>
      </c>
      <c r="AC484" s="6">
        <f>$M$484*$W$484</f>
        <v>297.36390000000006</v>
      </c>
      <c r="AD484" s="6">
        <f>$O$484*$X$484</f>
        <v>176.7388</v>
      </c>
      <c r="AE484" s="6">
        <f>$K$484*$Y$484</f>
        <v>0</v>
      </c>
      <c r="AF484" s="6">
        <f ca="1">$M$484*$Z$484</f>
        <v>313.36300459561897</v>
      </c>
      <c r="AG484" s="6">
        <f>$O$484*$AA$484</f>
        <v>171.92722537292084</v>
      </c>
    </row>
    <row r="485" spans="1:33" ht="11.25" customHeight="1" x14ac:dyDescent="0.25">
      <c r="A485" s="4" t="s">
        <v>21</v>
      </c>
      <c r="B485" s="4" t="s">
        <v>22</v>
      </c>
      <c r="C485" s="4" t="s">
        <v>23</v>
      </c>
      <c r="D485" s="4" t="s">
        <v>24</v>
      </c>
      <c r="E485" s="4" t="s">
        <v>32</v>
      </c>
      <c r="F485" s="4" t="s">
        <v>25</v>
      </c>
      <c r="G485" s="4" t="s">
        <v>25</v>
      </c>
      <c r="H485" s="4" t="s">
        <v>25</v>
      </c>
      <c r="I485" s="5">
        <v>44501</v>
      </c>
      <c r="J485" s="6">
        <v>0</v>
      </c>
      <c r="K485" s="6">
        <v>0</v>
      </c>
      <c r="L485" s="6">
        <v>1.0900000000000001</v>
      </c>
      <c r="M485" s="6">
        <v>1.0900000000000001</v>
      </c>
      <c r="N485" s="6">
        <v>1.0900000000000001</v>
      </c>
      <c r="O485" s="6">
        <v>1.0900000000000001</v>
      </c>
      <c r="P485" s="6">
        <v>14</v>
      </c>
      <c r="Q485" s="4" t="s">
        <v>26</v>
      </c>
      <c r="R485" s="4">
        <v>0</v>
      </c>
      <c r="S485" s="6">
        <v>0</v>
      </c>
      <c r="T485" s="6">
        <v>55</v>
      </c>
      <c r="U485" s="6">
        <v>31</v>
      </c>
      <c r="V485" s="6">
        <f>IF(ISERROR(VLOOKUP($S$485,'TAR FIN'!$A$1:$O$85,15,0)),0,VLOOKUP($S$485,'TAR FIN'!$A$1:$O$85,15,0))</f>
        <v>0</v>
      </c>
      <c r="W485" s="6">
        <f>IF(ISERROR(VLOOKUP($T$485,'TAR FIN'!$A$1:$O$85,15,0)),0,VLOOKUP($T$485,'TAR FIN'!$A$1:$O$85,15,0))</f>
        <v>376.41</v>
      </c>
      <c r="X485" s="6">
        <f>IF(ISERROR(VLOOKUP($U$485,'TAR FIN'!$A$1:$O$85,15,0)),0,VLOOKUP($U$485,'TAR FIN'!$A$1:$O$85,15,0))</f>
        <v>223.72</v>
      </c>
      <c r="Y485" s="6"/>
      <c r="Z485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485" s="6">
        <f>('TE BE'!$AA$14+'TE BF'!$AA$14+'TE CVA'!$AA$14)*(1-CUSTOS!$M$37)</f>
        <v>217.62939920622892</v>
      </c>
      <c r="AB485" s="6">
        <f>$K$485*$V$485</f>
        <v>0</v>
      </c>
      <c r="AC485" s="6">
        <f>$M$485*$W$485</f>
        <v>410.28690000000006</v>
      </c>
      <c r="AD485" s="6">
        <f>$O$485*$X$485</f>
        <v>243.85480000000001</v>
      </c>
      <c r="AE485" s="6">
        <f>$K$485*$Y$485</f>
        <v>0</v>
      </c>
      <c r="AF485" s="6">
        <f ca="1">$M$485*$Z$485</f>
        <v>432.36161393572746</v>
      </c>
      <c r="AG485" s="6">
        <f>$O$485*$AA$485</f>
        <v>237.21604513478954</v>
      </c>
    </row>
    <row r="486" spans="1:33" ht="11.25" customHeight="1" x14ac:dyDescent="0.25">
      <c r="A486" s="4" t="s">
        <v>21</v>
      </c>
      <c r="B486" s="4" t="s">
        <v>22</v>
      </c>
      <c r="C486" s="4" t="s">
        <v>23</v>
      </c>
      <c r="D486" s="4" t="s">
        <v>24</v>
      </c>
      <c r="E486" s="4" t="s">
        <v>32</v>
      </c>
      <c r="F486" s="4" t="s">
        <v>25</v>
      </c>
      <c r="G486" s="4" t="s">
        <v>25</v>
      </c>
      <c r="H486" s="4" t="s">
        <v>25</v>
      </c>
      <c r="I486" s="5">
        <v>44531</v>
      </c>
      <c r="J486" s="6">
        <v>0</v>
      </c>
      <c r="K486" s="6">
        <v>0</v>
      </c>
      <c r="L486" s="6">
        <v>0.83899999999999997</v>
      </c>
      <c r="M486" s="6">
        <v>0.83899999999999997</v>
      </c>
      <c r="N486" s="6">
        <v>0.83899999999999997</v>
      </c>
      <c r="O486" s="6">
        <v>0.83899999999999997</v>
      </c>
      <c r="P486" s="6">
        <v>10</v>
      </c>
      <c r="Q486" s="4" t="s">
        <v>26</v>
      </c>
      <c r="R486" s="4">
        <v>0</v>
      </c>
      <c r="S486" s="6">
        <v>0</v>
      </c>
      <c r="T486" s="6">
        <v>55</v>
      </c>
      <c r="U486" s="6">
        <v>31</v>
      </c>
      <c r="V486" s="6">
        <f>IF(ISERROR(VLOOKUP($S$486,'TAR FIN'!$A$1:$O$85,15,0)),0,VLOOKUP($S$486,'TAR FIN'!$A$1:$O$85,15,0))</f>
        <v>0</v>
      </c>
      <c r="W486" s="6">
        <f>IF(ISERROR(VLOOKUP($T$486,'TAR FIN'!$A$1:$O$85,15,0)),0,VLOOKUP($T$486,'TAR FIN'!$A$1:$O$85,15,0))</f>
        <v>376.41</v>
      </c>
      <c r="X486" s="6">
        <f>IF(ISERROR(VLOOKUP($U$486,'TAR FIN'!$A$1:$O$85,15,0)),0,VLOOKUP($U$486,'TAR FIN'!$A$1:$O$85,15,0))</f>
        <v>223.72</v>
      </c>
      <c r="Y486" s="6"/>
      <c r="Z486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486" s="6">
        <f>('TE BE'!$AA$14+'TE BF'!$AA$14+'TE CVA'!$AA$14)*(1-CUSTOS!$M$37)</f>
        <v>217.62939920622892</v>
      </c>
      <c r="AB486" s="6">
        <f>$K$486*$V$486</f>
        <v>0</v>
      </c>
      <c r="AC486" s="6">
        <f>$M$486*$W$486</f>
        <v>315.80799000000002</v>
      </c>
      <c r="AD486" s="6">
        <f>$O$486*$X$486</f>
        <v>187.70107999999999</v>
      </c>
      <c r="AE486" s="6">
        <f>$K$486*$Y$486</f>
        <v>0</v>
      </c>
      <c r="AF486" s="6">
        <f ca="1">$M$486*$Z$486</f>
        <v>332.79944412116998</v>
      </c>
      <c r="AG486" s="6">
        <f>$O$486*$AA$486</f>
        <v>182.59106593402606</v>
      </c>
    </row>
    <row r="487" spans="1:33" ht="11.25" customHeight="1" x14ac:dyDescent="0.25">
      <c r="A487" s="4" t="s">
        <v>21</v>
      </c>
      <c r="B487" s="4" t="s">
        <v>22</v>
      </c>
      <c r="C487" s="4" t="s">
        <v>23</v>
      </c>
      <c r="D487" s="4" t="s">
        <v>24</v>
      </c>
      <c r="E487" s="4" t="s">
        <v>32</v>
      </c>
      <c r="F487" s="4" t="s">
        <v>25</v>
      </c>
      <c r="G487" s="4" t="s">
        <v>25</v>
      </c>
      <c r="H487" s="4" t="s">
        <v>25</v>
      </c>
      <c r="I487" s="5">
        <v>44562</v>
      </c>
      <c r="J487" s="6">
        <v>0</v>
      </c>
      <c r="K487" s="6">
        <v>0</v>
      </c>
      <c r="L487" s="6">
        <v>0.78500000000000003</v>
      </c>
      <c r="M487" s="6">
        <v>0.78500000000000003</v>
      </c>
      <c r="N487" s="6">
        <v>0.78500000000000003</v>
      </c>
      <c r="O487" s="6">
        <v>0.78500000000000003</v>
      </c>
      <c r="P487" s="6">
        <v>9</v>
      </c>
      <c r="Q487" s="4" t="s">
        <v>26</v>
      </c>
      <c r="R487" s="4">
        <v>0</v>
      </c>
      <c r="S487" s="6">
        <v>0</v>
      </c>
      <c r="T487" s="6">
        <v>55</v>
      </c>
      <c r="U487" s="6">
        <v>31</v>
      </c>
      <c r="V487" s="6">
        <f>IF(ISERROR(VLOOKUP($S$487,'TAR FIN'!$A$1:$O$85,15,0)),0,VLOOKUP($S$487,'TAR FIN'!$A$1:$O$85,15,0))</f>
        <v>0</v>
      </c>
      <c r="W487" s="6">
        <f>IF(ISERROR(VLOOKUP($T$487,'TAR FIN'!$A$1:$O$85,15,0)),0,VLOOKUP($T$487,'TAR FIN'!$A$1:$O$85,15,0))</f>
        <v>376.41</v>
      </c>
      <c r="X487" s="6">
        <f>IF(ISERROR(VLOOKUP($U$487,'TAR FIN'!$A$1:$O$85,15,0)),0,VLOOKUP($U$487,'TAR FIN'!$A$1:$O$85,15,0))</f>
        <v>223.72</v>
      </c>
      <c r="Y487" s="6"/>
      <c r="Z487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487" s="6">
        <f>('TE BE'!$AA$14+'TE BF'!$AA$14+'TE CVA'!$AA$14)*(1-CUSTOS!$M$37)</f>
        <v>217.62939920622892</v>
      </c>
      <c r="AB487" s="6">
        <f>$K$487*$V$487</f>
        <v>0</v>
      </c>
      <c r="AC487" s="6">
        <f>$M$487*$W$487</f>
        <v>295.48185000000001</v>
      </c>
      <c r="AD487" s="6">
        <f>$O$487*$X$487</f>
        <v>175.62020000000001</v>
      </c>
      <c r="AE487" s="6">
        <f>$K$487*$Y$487</f>
        <v>0</v>
      </c>
      <c r="AF487" s="6">
        <f ca="1">$M$487*$Z$487</f>
        <v>311.37969443995047</v>
      </c>
      <c r="AG487" s="6">
        <f>$O$487*$AA$487</f>
        <v>170.83907837688972</v>
      </c>
    </row>
    <row r="488" spans="1:33" ht="11.25" customHeight="1" x14ac:dyDescent="0.25">
      <c r="A488" s="4" t="s">
        <v>21</v>
      </c>
      <c r="B488" s="4" t="s">
        <v>22</v>
      </c>
      <c r="C488" s="4" t="s">
        <v>23</v>
      </c>
      <c r="D488" s="4" t="s">
        <v>24</v>
      </c>
      <c r="E488" s="4" t="s">
        <v>32</v>
      </c>
      <c r="F488" s="4" t="s">
        <v>25</v>
      </c>
      <c r="G488" s="4" t="s">
        <v>25</v>
      </c>
      <c r="H488" s="4" t="s">
        <v>25</v>
      </c>
      <c r="I488" s="5">
        <v>44593</v>
      </c>
      <c r="J488" s="6">
        <v>0</v>
      </c>
      <c r="K488" s="6">
        <v>0</v>
      </c>
      <c r="L488" s="6">
        <v>1.3360000000000001</v>
      </c>
      <c r="M488" s="6">
        <v>1.3360000000000001</v>
      </c>
      <c r="N488" s="6">
        <v>1.3360000000000001</v>
      </c>
      <c r="O488" s="6">
        <v>1.3360000000000001</v>
      </c>
      <c r="P488" s="6">
        <v>16</v>
      </c>
      <c r="Q488" s="4" t="s">
        <v>26</v>
      </c>
      <c r="R488" s="4">
        <v>0</v>
      </c>
      <c r="S488" s="6">
        <v>0</v>
      </c>
      <c r="T488" s="6">
        <v>55</v>
      </c>
      <c r="U488" s="6">
        <v>31</v>
      </c>
      <c r="V488" s="6">
        <f>IF(ISERROR(VLOOKUP($S$488,'TAR FIN'!$A$1:$O$85,15,0)),0,VLOOKUP($S$488,'TAR FIN'!$A$1:$O$85,15,0))</f>
        <v>0</v>
      </c>
      <c r="W488" s="6">
        <f>IF(ISERROR(VLOOKUP($T$488,'TAR FIN'!$A$1:$O$85,15,0)),0,VLOOKUP($T$488,'TAR FIN'!$A$1:$O$85,15,0))</f>
        <v>376.41</v>
      </c>
      <c r="X488" s="6">
        <f>IF(ISERROR(VLOOKUP($U$488,'TAR FIN'!$A$1:$O$85,15,0)),0,VLOOKUP($U$488,'TAR FIN'!$A$1:$O$85,15,0))</f>
        <v>223.72</v>
      </c>
      <c r="Y488" s="6"/>
      <c r="Z488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488" s="6">
        <f>('TE BE'!$AA$14+'TE BF'!$AA$14+'TE CVA'!$AA$14)*(1-CUSTOS!$M$37)</f>
        <v>217.62939920622892</v>
      </c>
      <c r="AB488" s="6">
        <f>$K$488*$V$488</f>
        <v>0</v>
      </c>
      <c r="AC488" s="6">
        <f>$M$488*$W$488</f>
        <v>502.88376000000005</v>
      </c>
      <c r="AD488" s="6">
        <f>$O$488*$X$488</f>
        <v>298.88992000000002</v>
      </c>
      <c r="AE488" s="6">
        <f>$K$488*$Y$488</f>
        <v>0</v>
      </c>
      <c r="AF488" s="6">
        <f ca="1">$M$488*$Z$488</f>
        <v>529.94047359461638</v>
      </c>
      <c r="AG488" s="6">
        <f>$O$488*$AA$488</f>
        <v>290.75287733952189</v>
      </c>
    </row>
    <row r="489" spans="1:33" ht="11.25" customHeight="1" x14ac:dyDescent="0.25">
      <c r="A489" s="4" t="s">
        <v>54</v>
      </c>
      <c r="B489" s="4" t="s">
        <v>22</v>
      </c>
      <c r="C489" s="4" t="s">
        <v>23</v>
      </c>
      <c r="D489" s="4" t="s">
        <v>24</v>
      </c>
      <c r="E489" s="4" t="s">
        <v>32</v>
      </c>
      <c r="F489" s="4" t="s">
        <v>25</v>
      </c>
      <c r="G489" s="4" t="s">
        <v>25</v>
      </c>
      <c r="H489" s="4" t="s">
        <v>25</v>
      </c>
      <c r="I489" s="5">
        <v>44621</v>
      </c>
      <c r="J489" s="6">
        <v>0</v>
      </c>
      <c r="K489" s="6">
        <v>0</v>
      </c>
      <c r="L489" s="6">
        <v>1.3360000000000001</v>
      </c>
      <c r="M489" s="6">
        <v>1.3360000000000001</v>
      </c>
      <c r="N489" s="6">
        <v>1.3360000000000001</v>
      </c>
      <c r="O489" s="6">
        <v>1.3360000000000001</v>
      </c>
      <c r="P489" s="6">
        <v>16</v>
      </c>
      <c r="Q489" s="4" t="s">
        <v>26</v>
      </c>
      <c r="R489" s="4">
        <v>0</v>
      </c>
      <c r="S489" s="6">
        <v>0</v>
      </c>
      <c r="T489" s="6">
        <v>55</v>
      </c>
      <c r="U489" s="6">
        <v>31</v>
      </c>
      <c r="V489" s="6">
        <f>IF(ISERROR(VLOOKUP($S$489,'TAR FIN'!$A$1:$O$85,15,0)),0,VLOOKUP($S$489,'TAR FIN'!$A$1:$O$85,15,0))</f>
        <v>0</v>
      </c>
      <c r="W489" s="6">
        <f>IF(ISERROR(VLOOKUP($T$489,'TAR FIN'!$A$1:$O$85,15,0)),0,VLOOKUP($T$489,'TAR FIN'!$A$1:$O$85,15,0))</f>
        <v>376.41</v>
      </c>
      <c r="X489" s="6">
        <f>IF(ISERROR(VLOOKUP($U$489,'TAR FIN'!$A$1:$O$85,15,0)),0,VLOOKUP($U$489,'TAR FIN'!$A$1:$O$85,15,0))</f>
        <v>223.72</v>
      </c>
      <c r="Y489" s="6"/>
      <c r="Z489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489" s="6">
        <f>('TE BE'!$AA$14+'TE BF'!$AA$14+'TE CVA'!$AA$14)*(1-CUSTOS!$M$37)</f>
        <v>217.62939920622892</v>
      </c>
      <c r="AB489" s="6">
        <f>$K$489*$V$489</f>
        <v>0</v>
      </c>
      <c r="AC489" s="6">
        <f>$M$489*$W$489</f>
        <v>502.88376000000005</v>
      </c>
      <c r="AD489" s="6">
        <f>$O$489*$X$489</f>
        <v>298.88992000000002</v>
      </c>
      <c r="AE489" s="6">
        <f>$K$489*$Y$489</f>
        <v>0</v>
      </c>
      <c r="AF489" s="6">
        <f ca="1">$M$489*$Z$489</f>
        <v>529.94047359461638</v>
      </c>
      <c r="AG489" s="6">
        <f>$O$489*$AA$489</f>
        <v>290.75287733952189</v>
      </c>
    </row>
    <row r="490" spans="1:33" ht="11.25" customHeight="1" x14ac:dyDescent="0.25">
      <c r="A490" s="4" t="s">
        <v>21</v>
      </c>
      <c r="B490" s="4" t="s">
        <v>40</v>
      </c>
      <c r="C490" s="4" t="s">
        <v>23</v>
      </c>
      <c r="D490" s="4" t="s">
        <v>41</v>
      </c>
      <c r="E490" s="4" t="s">
        <v>50</v>
      </c>
      <c r="F490" s="4" t="s">
        <v>51</v>
      </c>
      <c r="G490" s="4" t="s">
        <v>25</v>
      </c>
      <c r="H490" s="4" t="s">
        <v>25</v>
      </c>
      <c r="I490" s="5">
        <v>44287</v>
      </c>
      <c r="J490" s="6">
        <v>0</v>
      </c>
      <c r="K490" s="6">
        <v>0</v>
      </c>
      <c r="L490" s="6">
        <v>1925.53</v>
      </c>
      <c r="M490" s="6">
        <v>1925.53</v>
      </c>
      <c r="N490" s="6">
        <v>1925.53</v>
      </c>
      <c r="O490" s="6">
        <v>1925.53</v>
      </c>
      <c r="P490" s="6">
        <v>0</v>
      </c>
      <c r="Q490" s="4" t="s">
        <v>26</v>
      </c>
      <c r="R490" s="4">
        <v>0</v>
      </c>
      <c r="S490" s="6">
        <v>0</v>
      </c>
      <c r="T490" s="6">
        <v>60</v>
      </c>
      <c r="U490" s="6">
        <v>16</v>
      </c>
      <c r="V490" s="6">
        <f>IF(ISERROR(VLOOKUP($S$490,'TAR FIN'!$A$1:$O$85,15,0)),0,VLOOKUP($S$490,'TAR FIN'!$A$1:$O$85,15,0))</f>
        <v>0</v>
      </c>
      <c r="W490" s="6">
        <f>IF(ISERROR(VLOOKUP($T$490,'TAR FIN'!$A$1:$O$85,15,0)),0,VLOOKUP($T$490,'TAR FIN'!$A$1:$O$85,15,0))</f>
        <v>387.29</v>
      </c>
      <c r="X490" s="6">
        <f>IF(ISERROR(VLOOKUP($U$490,'TAR FIN'!$A$1:$O$85,15,0)),0,VLOOKUP($U$490,'TAR FIN'!$A$1:$O$85,15,0))</f>
        <v>196.87</v>
      </c>
      <c r="Y490" s="6"/>
      <c r="Z490" s="6">
        <f ca="1">('TUSD BE'!$AM$33+'TUSD BF'!$AM$33+'TUSD CVA'!$AM$33)*(1-CUSTOS!$M$38)</f>
        <v>464.7286080745173</v>
      </c>
      <c r="AA490" s="6">
        <f>('TE BE'!$AA$23+'TE BF'!$AA$23+'TE CVA'!$AA$23)*(1-CUSTOS!$M$38)</f>
        <v>204.57163525385519</v>
      </c>
      <c r="AB490" s="6">
        <f>$K$490*$V$490</f>
        <v>0</v>
      </c>
      <c r="AC490" s="6">
        <f>$M$490*$W$490</f>
        <v>745738.51370000001</v>
      </c>
      <c r="AD490" s="6">
        <f>$O$490*$X$490</f>
        <v>379079.09110000002</v>
      </c>
      <c r="AE490" s="6">
        <f>$K$490*$Y$490</f>
        <v>0</v>
      </c>
      <c r="AF490" s="6">
        <f ca="1">$M$490*$Z$490</f>
        <v>894848.87670572533</v>
      </c>
      <c r="AG490" s="6">
        <f>$O$490*$AA$490</f>
        <v>393908.82083035581</v>
      </c>
    </row>
    <row r="491" spans="1:33" ht="11.25" customHeight="1" x14ac:dyDescent="0.25">
      <c r="A491" s="4" t="s">
        <v>28</v>
      </c>
      <c r="B491" s="4" t="s">
        <v>40</v>
      </c>
      <c r="C491" s="4" t="s">
        <v>23</v>
      </c>
      <c r="D491" s="4" t="s">
        <v>41</v>
      </c>
      <c r="E491" s="4" t="s">
        <v>50</v>
      </c>
      <c r="F491" s="4" t="s">
        <v>51</v>
      </c>
      <c r="G491" s="4" t="s">
        <v>25</v>
      </c>
      <c r="H491" s="4" t="s">
        <v>25</v>
      </c>
      <c r="I491" s="5">
        <v>44287</v>
      </c>
      <c r="J491" s="6">
        <v>0</v>
      </c>
      <c r="K491" s="6">
        <v>0</v>
      </c>
      <c r="L491" s="6">
        <v>0.1</v>
      </c>
      <c r="M491" s="6">
        <v>0.1</v>
      </c>
      <c r="N491" s="6">
        <v>0.1</v>
      </c>
      <c r="O491" s="6">
        <v>0.1</v>
      </c>
      <c r="P491" s="6">
        <v>0</v>
      </c>
      <c r="Q491" s="4" t="s">
        <v>26</v>
      </c>
      <c r="R491" s="4">
        <v>0</v>
      </c>
      <c r="S491" s="6">
        <v>0</v>
      </c>
      <c r="T491" s="6">
        <v>60</v>
      </c>
      <c r="U491" s="6">
        <v>16</v>
      </c>
      <c r="V491" s="6">
        <f>IF(ISERROR(VLOOKUP($S$491,'TAR FIN'!$A$1:$O$85,15,0)),0,VLOOKUP($S$491,'TAR FIN'!$A$1:$O$85,15,0))</f>
        <v>0</v>
      </c>
      <c r="W491" s="6">
        <f>IF(ISERROR(VLOOKUP($T$491,'TAR FIN'!$A$1:$O$85,15,0)),0,VLOOKUP($T$491,'TAR FIN'!$A$1:$O$85,15,0))</f>
        <v>387.29</v>
      </c>
      <c r="X491" s="6">
        <f>IF(ISERROR(VLOOKUP($U$491,'TAR FIN'!$A$1:$O$85,15,0)),0,VLOOKUP($U$491,'TAR FIN'!$A$1:$O$85,15,0))</f>
        <v>196.87</v>
      </c>
      <c r="Y491" s="6"/>
      <c r="Z491" s="6">
        <f ca="1">('TUSD BE'!$AM$33+'TUSD BF'!$AM$33+'TUSD CVA'!$AM$33)*(1-CUSTOS!$M$38)</f>
        <v>464.7286080745173</v>
      </c>
      <c r="AA491" s="6">
        <f>('TE BE'!$AA$23+'TE BF'!$AA$23+'TE CVA'!$AA$23)*(1-CUSTOS!$M$38)</f>
        <v>204.57163525385519</v>
      </c>
      <c r="AB491" s="6">
        <f>$K$491*$V$491</f>
        <v>0</v>
      </c>
      <c r="AC491" s="6">
        <f>$M$491*$W$491</f>
        <v>38.729000000000006</v>
      </c>
      <c r="AD491" s="6">
        <f>$O$491*$X$491</f>
        <v>19.687000000000001</v>
      </c>
      <c r="AE491" s="6">
        <f>$K$491*$Y$491</f>
        <v>0</v>
      </c>
      <c r="AF491" s="6">
        <f ca="1">$M$491*$Z$491</f>
        <v>46.472860807451731</v>
      </c>
      <c r="AG491" s="6">
        <f>$O$491*$AA$491</f>
        <v>20.457163525385521</v>
      </c>
    </row>
    <row r="492" spans="1:33" ht="11.25" customHeight="1" x14ac:dyDescent="0.25">
      <c r="A492" s="4" t="s">
        <v>21</v>
      </c>
      <c r="B492" s="4" t="s">
        <v>40</v>
      </c>
      <c r="C492" s="4" t="s">
        <v>23</v>
      </c>
      <c r="D492" s="4" t="s">
        <v>41</v>
      </c>
      <c r="E492" s="4" t="s">
        <v>50</v>
      </c>
      <c r="F492" s="4" t="s">
        <v>51</v>
      </c>
      <c r="G492" s="4" t="s">
        <v>25</v>
      </c>
      <c r="H492" s="4" t="s">
        <v>25</v>
      </c>
      <c r="I492" s="5">
        <v>44317</v>
      </c>
      <c r="J492" s="6">
        <v>0</v>
      </c>
      <c r="K492" s="6">
        <v>0</v>
      </c>
      <c r="L492" s="6">
        <v>2103.8020000000001</v>
      </c>
      <c r="M492" s="6">
        <v>2103.8020000000001</v>
      </c>
      <c r="N492" s="6">
        <v>2103.8020000000001</v>
      </c>
      <c r="O492" s="6">
        <v>2103.8020000000001</v>
      </c>
      <c r="P492" s="6">
        <v>0</v>
      </c>
      <c r="Q492" s="4" t="s">
        <v>26</v>
      </c>
      <c r="R492" s="4">
        <v>0</v>
      </c>
      <c r="S492" s="6">
        <v>0</v>
      </c>
      <c r="T492" s="6">
        <v>60</v>
      </c>
      <c r="U492" s="6">
        <v>16</v>
      </c>
      <c r="V492" s="6">
        <f>IF(ISERROR(VLOOKUP($S$492,'TAR FIN'!$A$1:$O$85,15,0)),0,VLOOKUP($S$492,'TAR FIN'!$A$1:$O$85,15,0))</f>
        <v>0</v>
      </c>
      <c r="W492" s="6">
        <f>IF(ISERROR(VLOOKUP($T$492,'TAR FIN'!$A$1:$O$85,15,0)),0,VLOOKUP($T$492,'TAR FIN'!$A$1:$O$85,15,0))</f>
        <v>387.29</v>
      </c>
      <c r="X492" s="6">
        <f>IF(ISERROR(VLOOKUP($U$492,'TAR FIN'!$A$1:$O$85,15,0)),0,VLOOKUP($U$492,'TAR FIN'!$A$1:$O$85,15,0))</f>
        <v>196.87</v>
      </c>
      <c r="Y492" s="6"/>
      <c r="Z492" s="6">
        <f ca="1">('TUSD BE'!$AM$33+'TUSD BF'!$AM$33+'TUSD CVA'!$AM$33)*(1-CUSTOS!$M$38)</f>
        <v>464.7286080745173</v>
      </c>
      <c r="AA492" s="6">
        <f>('TE BE'!$AA$23+'TE BF'!$AA$23+'TE CVA'!$AA$23)*(1-CUSTOS!$M$38)</f>
        <v>204.57163525385519</v>
      </c>
      <c r="AB492" s="6">
        <f>$K$492*$V$492</f>
        <v>0</v>
      </c>
      <c r="AC492" s="6">
        <f>$M$492*$W$492</f>
        <v>814781.47658000013</v>
      </c>
      <c r="AD492" s="6">
        <f>$O$492*$X$492</f>
        <v>414175.49974000006</v>
      </c>
      <c r="AE492" s="6">
        <f>$K$492*$Y$492</f>
        <v>0</v>
      </c>
      <c r="AF492" s="6">
        <f ca="1">$M$492*$Z$492</f>
        <v>977696.97512438567</v>
      </c>
      <c r="AG492" s="6">
        <f>$O$492*$AA$492</f>
        <v>430378.21539033111</v>
      </c>
    </row>
    <row r="493" spans="1:33" ht="11.25" customHeight="1" x14ac:dyDescent="0.25">
      <c r="A493" s="4" t="s">
        <v>28</v>
      </c>
      <c r="B493" s="4" t="s">
        <v>40</v>
      </c>
      <c r="C493" s="4" t="s">
        <v>23</v>
      </c>
      <c r="D493" s="4" t="s">
        <v>41</v>
      </c>
      <c r="E493" s="4" t="s">
        <v>50</v>
      </c>
      <c r="F493" s="4" t="s">
        <v>51</v>
      </c>
      <c r="G493" s="4" t="s">
        <v>25</v>
      </c>
      <c r="H493" s="4" t="s">
        <v>25</v>
      </c>
      <c r="I493" s="5">
        <v>44317</v>
      </c>
      <c r="J493" s="6">
        <v>0</v>
      </c>
      <c r="K493" s="6">
        <v>0</v>
      </c>
      <c r="L493" s="6">
        <v>18.318000000000001</v>
      </c>
      <c r="M493" s="6">
        <v>18.318000000000001</v>
      </c>
      <c r="N493" s="6">
        <v>18.318000000000001</v>
      </c>
      <c r="O493" s="6">
        <v>18.318000000000001</v>
      </c>
      <c r="P493" s="6">
        <v>0</v>
      </c>
      <c r="Q493" s="4" t="s">
        <v>26</v>
      </c>
      <c r="R493" s="4">
        <v>0</v>
      </c>
      <c r="S493" s="6">
        <v>0</v>
      </c>
      <c r="T493" s="6">
        <v>60</v>
      </c>
      <c r="U493" s="6">
        <v>16</v>
      </c>
      <c r="V493" s="6">
        <f>IF(ISERROR(VLOOKUP($S$493,'TAR FIN'!$A$1:$O$85,15,0)),0,VLOOKUP($S$493,'TAR FIN'!$A$1:$O$85,15,0))</f>
        <v>0</v>
      </c>
      <c r="W493" s="6">
        <f>IF(ISERROR(VLOOKUP($T$493,'TAR FIN'!$A$1:$O$85,15,0)),0,VLOOKUP($T$493,'TAR FIN'!$A$1:$O$85,15,0))</f>
        <v>387.29</v>
      </c>
      <c r="X493" s="6">
        <f>IF(ISERROR(VLOOKUP($U$493,'TAR FIN'!$A$1:$O$85,15,0)),0,VLOOKUP($U$493,'TAR FIN'!$A$1:$O$85,15,0))</f>
        <v>196.87</v>
      </c>
      <c r="Y493" s="6"/>
      <c r="Z493" s="6">
        <f ca="1">('TUSD BE'!$AM$33+'TUSD BF'!$AM$33+'TUSD CVA'!$AM$33)*(1-CUSTOS!$M$38)</f>
        <v>464.7286080745173</v>
      </c>
      <c r="AA493" s="6">
        <f>('TE BE'!$AA$23+'TE BF'!$AA$23+'TE CVA'!$AA$23)*(1-CUSTOS!$M$38)</f>
        <v>204.57163525385519</v>
      </c>
      <c r="AB493" s="6">
        <f>$K$493*$V$493</f>
        <v>0</v>
      </c>
      <c r="AC493" s="6">
        <f>$M$493*$W$493</f>
        <v>7094.3782200000005</v>
      </c>
      <c r="AD493" s="6">
        <f>$O$493*$X$493</f>
        <v>3606.2646600000003</v>
      </c>
      <c r="AE493" s="6">
        <f>$K$493*$Y$493</f>
        <v>0</v>
      </c>
      <c r="AF493" s="6">
        <f ca="1">$M$493*$Z$493</f>
        <v>8512.8986427090076</v>
      </c>
      <c r="AG493" s="6">
        <f>$O$493*$AA$493</f>
        <v>3747.3432145801198</v>
      </c>
    </row>
    <row r="494" spans="1:33" ht="11.25" customHeight="1" x14ac:dyDescent="0.25">
      <c r="A494" s="4" t="s">
        <v>21</v>
      </c>
      <c r="B494" s="4" t="s">
        <v>40</v>
      </c>
      <c r="C494" s="4" t="s">
        <v>23</v>
      </c>
      <c r="D494" s="4" t="s">
        <v>41</v>
      </c>
      <c r="E494" s="4" t="s">
        <v>50</v>
      </c>
      <c r="F494" s="4" t="s">
        <v>51</v>
      </c>
      <c r="G494" s="4" t="s">
        <v>25</v>
      </c>
      <c r="H494" s="4" t="s">
        <v>25</v>
      </c>
      <c r="I494" s="5">
        <v>44348</v>
      </c>
      <c r="J494" s="6">
        <v>0</v>
      </c>
      <c r="K494" s="6">
        <v>0</v>
      </c>
      <c r="L494" s="6">
        <v>712.08299999999997</v>
      </c>
      <c r="M494" s="6">
        <v>712.08299999999997</v>
      </c>
      <c r="N494" s="6">
        <v>712.08299999999997</v>
      </c>
      <c r="O494" s="6">
        <v>712.08299999999997</v>
      </c>
      <c r="P494" s="6">
        <v>0</v>
      </c>
      <c r="Q494" s="4" t="s">
        <v>26</v>
      </c>
      <c r="R494" s="4">
        <v>0</v>
      </c>
      <c r="S494" s="6">
        <v>0</v>
      </c>
      <c r="T494" s="6">
        <v>60</v>
      </c>
      <c r="U494" s="6">
        <v>16</v>
      </c>
      <c r="V494" s="6">
        <f>IF(ISERROR(VLOOKUP($S$494,'TAR FIN'!$A$1:$O$85,15,0)),0,VLOOKUP($S$494,'TAR FIN'!$A$1:$O$85,15,0))</f>
        <v>0</v>
      </c>
      <c r="W494" s="6">
        <f>IF(ISERROR(VLOOKUP($T$494,'TAR FIN'!$A$1:$O$85,15,0)),0,VLOOKUP($T$494,'TAR FIN'!$A$1:$O$85,15,0))</f>
        <v>387.29</v>
      </c>
      <c r="X494" s="6">
        <f>IF(ISERROR(VLOOKUP($U$494,'TAR FIN'!$A$1:$O$85,15,0)),0,VLOOKUP($U$494,'TAR FIN'!$A$1:$O$85,15,0))</f>
        <v>196.87</v>
      </c>
      <c r="Y494" s="6"/>
      <c r="Z494" s="6">
        <f ca="1">('TUSD BE'!$AM$33+'TUSD BF'!$AM$33+'TUSD CVA'!$AM$33)*(1-CUSTOS!$M$38)</f>
        <v>464.7286080745173</v>
      </c>
      <c r="AA494" s="6">
        <f>('TE BE'!$AA$23+'TE BF'!$AA$23+'TE CVA'!$AA$23)*(1-CUSTOS!$M$38)</f>
        <v>204.57163525385519</v>
      </c>
      <c r="AB494" s="6">
        <f>$K$494*$V$494</f>
        <v>0</v>
      </c>
      <c r="AC494" s="6">
        <f>$M$494*$W$494</f>
        <v>275782.62507000001</v>
      </c>
      <c r="AD494" s="6">
        <f>$O$494*$X$494</f>
        <v>140187.78021</v>
      </c>
      <c r="AE494" s="6">
        <f>$K$494*$Y$494</f>
        <v>0</v>
      </c>
      <c r="AF494" s="6">
        <f ca="1">$M$494*$Z$494</f>
        <v>330925.34142352646</v>
      </c>
      <c r="AG494" s="6">
        <f>$O$494*$AA$494</f>
        <v>145671.98374647097</v>
      </c>
    </row>
    <row r="495" spans="1:33" ht="11.25" customHeight="1" x14ac:dyDescent="0.25">
      <c r="A495" s="4" t="s">
        <v>28</v>
      </c>
      <c r="B495" s="4" t="s">
        <v>40</v>
      </c>
      <c r="C495" s="4" t="s">
        <v>23</v>
      </c>
      <c r="D495" s="4" t="s">
        <v>41</v>
      </c>
      <c r="E495" s="4" t="s">
        <v>50</v>
      </c>
      <c r="F495" s="4" t="s">
        <v>51</v>
      </c>
      <c r="G495" s="4" t="s">
        <v>25</v>
      </c>
      <c r="H495" s="4" t="s">
        <v>25</v>
      </c>
      <c r="I495" s="5">
        <v>44348</v>
      </c>
      <c r="J495" s="6">
        <v>0</v>
      </c>
      <c r="K495" s="6">
        <v>0</v>
      </c>
      <c r="L495" s="6">
        <v>0.1</v>
      </c>
      <c r="M495" s="6">
        <v>0.1</v>
      </c>
      <c r="N495" s="6">
        <v>0.1</v>
      </c>
      <c r="O495" s="6">
        <v>0.1</v>
      </c>
      <c r="P495" s="6">
        <v>0</v>
      </c>
      <c r="Q495" s="4" t="s">
        <v>26</v>
      </c>
      <c r="R495" s="4">
        <v>0</v>
      </c>
      <c r="S495" s="6">
        <v>0</v>
      </c>
      <c r="T495" s="6">
        <v>60</v>
      </c>
      <c r="U495" s="6">
        <v>16</v>
      </c>
      <c r="V495" s="6">
        <f>IF(ISERROR(VLOOKUP($S$495,'TAR FIN'!$A$1:$O$85,15,0)),0,VLOOKUP($S$495,'TAR FIN'!$A$1:$O$85,15,0))</f>
        <v>0</v>
      </c>
      <c r="W495" s="6">
        <f>IF(ISERROR(VLOOKUP($T$495,'TAR FIN'!$A$1:$O$85,15,0)),0,VLOOKUP($T$495,'TAR FIN'!$A$1:$O$85,15,0))</f>
        <v>387.29</v>
      </c>
      <c r="X495" s="6">
        <f>IF(ISERROR(VLOOKUP($U$495,'TAR FIN'!$A$1:$O$85,15,0)),0,VLOOKUP($U$495,'TAR FIN'!$A$1:$O$85,15,0))</f>
        <v>196.87</v>
      </c>
      <c r="Y495" s="6"/>
      <c r="Z495" s="6">
        <f ca="1">('TUSD BE'!$AM$33+'TUSD BF'!$AM$33+'TUSD CVA'!$AM$33)*(1-CUSTOS!$M$38)</f>
        <v>464.7286080745173</v>
      </c>
      <c r="AA495" s="6">
        <f>('TE BE'!$AA$23+'TE BF'!$AA$23+'TE CVA'!$AA$23)*(1-CUSTOS!$M$38)</f>
        <v>204.57163525385519</v>
      </c>
      <c r="AB495" s="6">
        <f>$K$495*$V$495</f>
        <v>0</v>
      </c>
      <c r="AC495" s="6">
        <f>$M$495*$W$495</f>
        <v>38.729000000000006</v>
      </c>
      <c r="AD495" s="6">
        <f>$O$495*$X$495</f>
        <v>19.687000000000001</v>
      </c>
      <c r="AE495" s="6">
        <f>$K$495*$Y$495</f>
        <v>0</v>
      </c>
      <c r="AF495" s="6">
        <f ca="1">$M$495*$Z$495</f>
        <v>46.472860807451731</v>
      </c>
      <c r="AG495" s="6">
        <f>$O$495*$AA$495</f>
        <v>20.457163525385521</v>
      </c>
    </row>
    <row r="496" spans="1:33" ht="11.25" customHeight="1" x14ac:dyDescent="0.25">
      <c r="A496" s="4" t="s">
        <v>21</v>
      </c>
      <c r="B496" s="4" t="s">
        <v>40</v>
      </c>
      <c r="C496" s="4" t="s">
        <v>23</v>
      </c>
      <c r="D496" s="4" t="s">
        <v>41</v>
      </c>
      <c r="E496" s="4" t="s">
        <v>50</v>
      </c>
      <c r="F496" s="4" t="s">
        <v>51</v>
      </c>
      <c r="G496" s="4" t="s">
        <v>25</v>
      </c>
      <c r="H496" s="4" t="s">
        <v>25</v>
      </c>
      <c r="I496" s="5">
        <v>44378</v>
      </c>
      <c r="J496" s="6">
        <v>0</v>
      </c>
      <c r="K496" s="6">
        <v>0</v>
      </c>
      <c r="L496" s="6">
        <v>5156.4939999999997</v>
      </c>
      <c r="M496" s="6">
        <v>5156.4939999999997</v>
      </c>
      <c r="N496" s="6">
        <v>5156.4939999999997</v>
      </c>
      <c r="O496" s="6">
        <v>5156.4939999999997</v>
      </c>
      <c r="P496" s="6">
        <v>0</v>
      </c>
      <c r="Q496" s="4" t="s">
        <v>26</v>
      </c>
      <c r="R496" s="4">
        <v>0</v>
      </c>
      <c r="S496" s="6">
        <v>0</v>
      </c>
      <c r="T496" s="6">
        <v>60</v>
      </c>
      <c r="U496" s="6">
        <v>16</v>
      </c>
      <c r="V496" s="6">
        <f>IF(ISERROR(VLOOKUP($S$496,'TAR FIN'!$A$1:$O$85,15,0)),0,VLOOKUP($S$496,'TAR FIN'!$A$1:$O$85,15,0))</f>
        <v>0</v>
      </c>
      <c r="W496" s="6">
        <f>IF(ISERROR(VLOOKUP($T$496,'TAR FIN'!$A$1:$O$85,15,0)),0,VLOOKUP($T$496,'TAR FIN'!$A$1:$O$85,15,0))</f>
        <v>387.29</v>
      </c>
      <c r="X496" s="6">
        <f>IF(ISERROR(VLOOKUP($U$496,'TAR FIN'!$A$1:$O$85,15,0)),0,VLOOKUP($U$496,'TAR FIN'!$A$1:$O$85,15,0))</f>
        <v>196.87</v>
      </c>
      <c r="Y496" s="6"/>
      <c r="Z496" s="6">
        <f ca="1">('TUSD BE'!$AM$33+'TUSD BF'!$AM$33+'TUSD CVA'!$AM$33)*(1-CUSTOS!$M$38)</f>
        <v>464.7286080745173</v>
      </c>
      <c r="AA496" s="6">
        <f>('TE BE'!$AA$23+'TE BF'!$AA$23+'TE CVA'!$AA$23)*(1-CUSTOS!$M$38)</f>
        <v>204.57163525385519</v>
      </c>
      <c r="AB496" s="6">
        <f>$K$496*$V$496</f>
        <v>0</v>
      </c>
      <c r="AC496" s="6">
        <f>$M$496*$W$496</f>
        <v>1997058.5612599999</v>
      </c>
      <c r="AD496" s="6">
        <f>$O$496*$X$496</f>
        <v>1015158.97378</v>
      </c>
      <c r="AE496" s="6">
        <f>$K$496*$Y$496</f>
        <v>0</v>
      </c>
      <c r="AF496" s="6">
        <f ca="1">$M$496*$Z$496</f>
        <v>2396370.2791645997</v>
      </c>
      <c r="AG496" s="6">
        <f>$O$496*$AA$496</f>
        <v>1054872.4097566928</v>
      </c>
    </row>
    <row r="497" spans="1:33" ht="11.25" customHeight="1" x14ac:dyDescent="0.25">
      <c r="A497" s="4" t="s">
        <v>27</v>
      </c>
      <c r="B497" s="4" t="s">
        <v>40</v>
      </c>
      <c r="C497" s="4" t="s">
        <v>23</v>
      </c>
      <c r="D497" s="4" t="s">
        <v>41</v>
      </c>
      <c r="E497" s="4" t="s">
        <v>50</v>
      </c>
      <c r="F497" s="4" t="s">
        <v>51</v>
      </c>
      <c r="G497" s="4" t="s">
        <v>25</v>
      </c>
      <c r="H497" s="4" t="s">
        <v>25</v>
      </c>
      <c r="I497" s="5">
        <v>44378</v>
      </c>
      <c r="J497" s="6">
        <v>0</v>
      </c>
      <c r="K497" s="6">
        <v>0</v>
      </c>
      <c r="L497" s="6">
        <v>-3.8</v>
      </c>
      <c r="M497" s="6">
        <v>-3.8</v>
      </c>
      <c r="N497" s="6">
        <v>-3.8</v>
      </c>
      <c r="O497" s="6">
        <v>-3.8</v>
      </c>
      <c r="P497" s="6">
        <v>0</v>
      </c>
      <c r="Q497" s="4" t="s">
        <v>26</v>
      </c>
      <c r="R497" s="4">
        <v>0</v>
      </c>
      <c r="S497" s="6">
        <v>0</v>
      </c>
      <c r="T497" s="6">
        <v>60</v>
      </c>
      <c r="U497" s="6">
        <v>16</v>
      </c>
      <c r="V497" s="6">
        <f>IF(ISERROR(VLOOKUP($S$497,'TAR FIN'!$A$1:$O$85,15,0)),0,VLOOKUP($S$497,'TAR FIN'!$A$1:$O$85,15,0))</f>
        <v>0</v>
      </c>
      <c r="W497" s="6">
        <f>IF(ISERROR(VLOOKUP($T$497,'TAR FIN'!$A$1:$O$85,15,0)),0,VLOOKUP($T$497,'TAR FIN'!$A$1:$O$85,15,0))</f>
        <v>387.29</v>
      </c>
      <c r="X497" s="6">
        <f>IF(ISERROR(VLOOKUP($U$497,'TAR FIN'!$A$1:$O$85,15,0)),0,VLOOKUP($U$497,'TAR FIN'!$A$1:$O$85,15,0))</f>
        <v>196.87</v>
      </c>
      <c r="Y497" s="6"/>
      <c r="Z497" s="6">
        <f ca="1">('TUSD BE'!$AM$33+'TUSD BF'!$AM$33+'TUSD CVA'!$AM$33)*(1-CUSTOS!$M$38)</f>
        <v>464.7286080745173</v>
      </c>
      <c r="AA497" s="6">
        <f>('TE BE'!$AA$23+'TE BF'!$AA$23+'TE CVA'!$AA$23)*(1-CUSTOS!$M$38)</f>
        <v>204.57163525385519</v>
      </c>
      <c r="AB497" s="6">
        <f>$K$497*$V$497</f>
        <v>0</v>
      </c>
      <c r="AC497" s="6">
        <f>$M$497*$W$497</f>
        <v>-1471.702</v>
      </c>
      <c r="AD497" s="6">
        <f>$O$497*$X$497</f>
        <v>-748.10599999999999</v>
      </c>
      <c r="AE497" s="6">
        <f>$K$497*$Y$497</f>
        <v>0</v>
      </c>
      <c r="AF497" s="6">
        <f ca="1">$M$497*$Z$497</f>
        <v>-1765.9687106831657</v>
      </c>
      <c r="AG497" s="6">
        <f>$O$497*$AA$497</f>
        <v>-777.37221396464975</v>
      </c>
    </row>
    <row r="498" spans="1:33" ht="11.25" customHeight="1" x14ac:dyDescent="0.25">
      <c r="A498" s="4" t="s">
        <v>28</v>
      </c>
      <c r="B498" s="4" t="s">
        <v>40</v>
      </c>
      <c r="C498" s="4" t="s">
        <v>23</v>
      </c>
      <c r="D498" s="4" t="s">
        <v>41</v>
      </c>
      <c r="E498" s="4" t="s">
        <v>50</v>
      </c>
      <c r="F498" s="4" t="s">
        <v>51</v>
      </c>
      <c r="G498" s="4" t="s">
        <v>25</v>
      </c>
      <c r="H498" s="4" t="s">
        <v>25</v>
      </c>
      <c r="I498" s="5">
        <v>44378</v>
      </c>
      <c r="J498" s="6">
        <v>0</v>
      </c>
      <c r="K498" s="6">
        <v>0</v>
      </c>
      <c r="L498" s="6">
        <v>0.2</v>
      </c>
      <c r="M498" s="6">
        <v>0.2</v>
      </c>
      <c r="N498" s="6">
        <v>0.2</v>
      </c>
      <c r="O498" s="6">
        <v>0.2</v>
      </c>
      <c r="P498" s="6">
        <v>0</v>
      </c>
      <c r="Q498" s="4" t="s">
        <v>26</v>
      </c>
      <c r="R498" s="4">
        <v>0</v>
      </c>
      <c r="S498" s="6">
        <v>0</v>
      </c>
      <c r="T498" s="6">
        <v>60</v>
      </c>
      <c r="U498" s="6">
        <v>16</v>
      </c>
      <c r="V498" s="6">
        <f>IF(ISERROR(VLOOKUP($S$498,'TAR FIN'!$A$1:$O$85,15,0)),0,VLOOKUP($S$498,'TAR FIN'!$A$1:$O$85,15,0))</f>
        <v>0</v>
      </c>
      <c r="W498" s="6">
        <f>IF(ISERROR(VLOOKUP($T$498,'TAR FIN'!$A$1:$O$85,15,0)),0,VLOOKUP($T$498,'TAR FIN'!$A$1:$O$85,15,0))</f>
        <v>387.29</v>
      </c>
      <c r="X498" s="6">
        <f>IF(ISERROR(VLOOKUP($U$498,'TAR FIN'!$A$1:$O$85,15,0)),0,VLOOKUP($U$498,'TAR FIN'!$A$1:$O$85,15,0))</f>
        <v>196.87</v>
      </c>
      <c r="Y498" s="6"/>
      <c r="Z498" s="6">
        <f ca="1">('TUSD BE'!$AM$33+'TUSD BF'!$AM$33+'TUSD CVA'!$AM$33)*(1-CUSTOS!$M$38)</f>
        <v>464.7286080745173</v>
      </c>
      <c r="AA498" s="6">
        <f>('TE BE'!$AA$23+'TE BF'!$AA$23+'TE CVA'!$AA$23)*(1-CUSTOS!$M$38)</f>
        <v>204.57163525385519</v>
      </c>
      <c r="AB498" s="6">
        <f>$K$498*$V$498</f>
        <v>0</v>
      </c>
      <c r="AC498" s="6">
        <f>$M$498*$W$498</f>
        <v>77.458000000000013</v>
      </c>
      <c r="AD498" s="6">
        <f>$O$498*$X$498</f>
        <v>39.374000000000002</v>
      </c>
      <c r="AE498" s="6">
        <f>$K$498*$Y$498</f>
        <v>0</v>
      </c>
      <c r="AF498" s="6">
        <f ca="1">$M$498*$Z$498</f>
        <v>92.945721614903462</v>
      </c>
      <c r="AG498" s="6">
        <f>$O$498*$AA$498</f>
        <v>40.914327050771043</v>
      </c>
    </row>
    <row r="499" spans="1:33" ht="11.25" customHeight="1" x14ac:dyDescent="0.25">
      <c r="A499" s="4" t="s">
        <v>21</v>
      </c>
      <c r="B499" s="4" t="s">
        <v>40</v>
      </c>
      <c r="C499" s="4" t="s">
        <v>23</v>
      </c>
      <c r="D499" s="4" t="s">
        <v>41</v>
      </c>
      <c r="E499" s="4" t="s">
        <v>50</v>
      </c>
      <c r="F499" s="4" t="s">
        <v>51</v>
      </c>
      <c r="G499" s="4" t="s">
        <v>25</v>
      </c>
      <c r="H499" s="4" t="s">
        <v>25</v>
      </c>
      <c r="I499" s="5">
        <v>44409</v>
      </c>
      <c r="J499" s="6">
        <v>0</v>
      </c>
      <c r="K499" s="6">
        <v>0</v>
      </c>
      <c r="L499" s="6">
        <v>1334.6210000000001</v>
      </c>
      <c r="M499" s="6">
        <v>1334.6210000000001</v>
      </c>
      <c r="N499" s="6">
        <v>1334.6210000000001</v>
      </c>
      <c r="O499" s="6">
        <v>1334.6210000000001</v>
      </c>
      <c r="P499" s="6">
        <v>0</v>
      </c>
      <c r="Q499" s="4" t="s">
        <v>26</v>
      </c>
      <c r="R499" s="4">
        <v>0</v>
      </c>
      <c r="S499" s="6">
        <v>0</v>
      </c>
      <c r="T499" s="6">
        <v>60</v>
      </c>
      <c r="U499" s="6">
        <v>16</v>
      </c>
      <c r="V499" s="6">
        <f>IF(ISERROR(VLOOKUP($S$499,'TAR FIN'!$A$1:$O$85,15,0)),0,VLOOKUP($S$499,'TAR FIN'!$A$1:$O$85,15,0))</f>
        <v>0</v>
      </c>
      <c r="W499" s="6">
        <f>IF(ISERROR(VLOOKUP($T$499,'TAR FIN'!$A$1:$O$85,15,0)),0,VLOOKUP($T$499,'TAR FIN'!$A$1:$O$85,15,0))</f>
        <v>387.29</v>
      </c>
      <c r="X499" s="6">
        <f>IF(ISERROR(VLOOKUP($U$499,'TAR FIN'!$A$1:$O$85,15,0)),0,VLOOKUP($U$499,'TAR FIN'!$A$1:$O$85,15,0))</f>
        <v>196.87</v>
      </c>
      <c r="Y499" s="6"/>
      <c r="Z499" s="6">
        <f ca="1">('TUSD BE'!$AM$33+'TUSD BF'!$AM$33+'TUSD CVA'!$AM$33)*(1-CUSTOS!$M$38)</f>
        <v>464.7286080745173</v>
      </c>
      <c r="AA499" s="6">
        <f>('TE BE'!$AA$23+'TE BF'!$AA$23+'TE CVA'!$AA$23)*(1-CUSTOS!$M$38)</f>
        <v>204.57163525385519</v>
      </c>
      <c r="AB499" s="6">
        <f>$K$499*$V$499</f>
        <v>0</v>
      </c>
      <c r="AC499" s="6">
        <f>$M$499*$W$499</f>
        <v>516885.36709000007</v>
      </c>
      <c r="AD499" s="6">
        <f>$O$499*$X$499</f>
        <v>262746.83627000003</v>
      </c>
      <c r="AE499" s="6">
        <f>$K$499*$Y$499</f>
        <v>0</v>
      </c>
      <c r="AF499" s="6">
        <f ca="1">$M$499*$Z$499</f>
        <v>620236.55963702034</v>
      </c>
      <c r="AG499" s="6">
        <f>$O$499*$AA$499</f>
        <v>273025.60041413549</v>
      </c>
    </row>
    <row r="500" spans="1:33" ht="11.25" customHeight="1" x14ac:dyDescent="0.25">
      <c r="A500" s="4" t="s">
        <v>27</v>
      </c>
      <c r="B500" s="4" t="s">
        <v>40</v>
      </c>
      <c r="C500" s="4" t="s">
        <v>23</v>
      </c>
      <c r="D500" s="4" t="s">
        <v>41</v>
      </c>
      <c r="E500" s="4" t="s">
        <v>50</v>
      </c>
      <c r="F500" s="4" t="s">
        <v>51</v>
      </c>
      <c r="G500" s="4" t="s">
        <v>25</v>
      </c>
      <c r="H500" s="4" t="s">
        <v>25</v>
      </c>
      <c r="I500" s="5">
        <v>44409</v>
      </c>
      <c r="J500" s="6">
        <v>0</v>
      </c>
      <c r="K500" s="6">
        <v>0</v>
      </c>
      <c r="L500" s="6">
        <v>-4000.4</v>
      </c>
      <c r="M500" s="6">
        <v>-4000.4</v>
      </c>
      <c r="N500" s="6">
        <v>-4000.4</v>
      </c>
      <c r="O500" s="6">
        <v>-4000.4</v>
      </c>
      <c r="P500" s="6">
        <v>0</v>
      </c>
      <c r="Q500" s="4" t="s">
        <v>26</v>
      </c>
      <c r="R500" s="4">
        <v>0</v>
      </c>
      <c r="S500" s="6">
        <v>0</v>
      </c>
      <c r="T500" s="6">
        <v>60</v>
      </c>
      <c r="U500" s="6">
        <v>16</v>
      </c>
      <c r="V500" s="6">
        <f>IF(ISERROR(VLOOKUP($S$500,'TAR FIN'!$A$1:$O$85,15,0)),0,VLOOKUP($S$500,'TAR FIN'!$A$1:$O$85,15,0))</f>
        <v>0</v>
      </c>
      <c r="W500" s="6">
        <f>IF(ISERROR(VLOOKUP($T$500,'TAR FIN'!$A$1:$O$85,15,0)),0,VLOOKUP($T$500,'TAR FIN'!$A$1:$O$85,15,0))</f>
        <v>387.29</v>
      </c>
      <c r="X500" s="6">
        <f>IF(ISERROR(VLOOKUP($U$500,'TAR FIN'!$A$1:$O$85,15,0)),0,VLOOKUP($U$500,'TAR FIN'!$A$1:$O$85,15,0))</f>
        <v>196.87</v>
      </c>
      <c r="Y500" s="6"/>
      <c r="Z500" s="6">
        <f ca="1">('TUSD BE'!$AM$33+'TUSD BF'!$AM$33+'TUSD CVA'!$AM$33)*(1-CUSTOS!$M$38)</f>
        <v>464.7286080745173</v>
      </c>
      <c r="AA500" s="6">
        <f>('TE BE'!$AA$23+'TE BF'!$AA$23+'TE CVA'!$AA$23)*(1-CUSTOS!$M$38)</f>
        <v>204.57163525385519</v>
      </c>
      <c r="AB500" s="6">
        <f>$K$500*$V$500</f>
        <v>0</v>
      </c>
      <c r="AC500" s="6">
        <f>$M$500*$W$500</f>
        <v>-1549314.9160000002</v>
      </c>
      <c r="AD500" s="6">
        <f>$O$500*$X$500</f>
        <v>-787558.74800000002</v>
      </c>
      <c r="AE500" s="6">
        <f>$K$500*$Y$500</f>
        <v>0</v>
      </c>
      <c r="AF500" s="6">
        <f ca="1">$M$500*$Z$500</f>
        <v>-1859100.3237412991</v>
      </c>
      <c r="AG500" s="6">
        <f>$O$500*$AA$500</f>
        <v>-818368.36966952228</v>
      </c>
    </row>
    <row r="501" spans="1:33" ht="11.25" customHeight="1" x14ac:dyDescent="0.25">
      <c r="A501" s="4" t="s">
        <v>28</v>
      </c>
      <c r="B501" s="4" t="s">
        <v>40</v>
      </c>
      <c r="C501" s="4" t="s">
        <v>23</v>
      </c>
      <c r="D501" s="4" t="s">
        <v>41</v>
      </c>
      <c r="E501" s="4" t="s">
        <v>50</v>
      </c>
      <c r="F501" s="4" t="s">
        <v>51</v>
      </c>
      <c r="G501" s="4" t="s">
        <v>25</v>
      </c>
      <c r="H501" s="4" t="s">
        <v>25</v>
      </c>
      <c r="I501" s="5">
        <v>44409</v>
      </c>
      <c r="J501" s="6">
        <v>0</v>
      </c>
      <c r="K501" s="6">
        <v>0</v>
      </c>
      <c r="L501" s="6">
        <v>1.9319999999999999</v>
      </c>
      <c r="M501" s="6">
        <v>1.9319999999999999</v>
      </c>
      <c r="N501" s="6">
        <v>1.9319999999999999</v>
      </c>
      <c r="O501" s="6">
        <v>1.9319999999999999</v>
      </c>
      <c r="P501" s="6">
        <v>0</v>
      </c>
      <c r="Q501" s="4" t="s">
        <v>26</v>
      </c>
      <c r="R501" s="4">
        <v>0</v>
      </c>
      <c r="S501" s="6">
        <v>0</v>
      </c>
      <c r="T501" s="6">
        <v>60</v>
      </c>
      <c r="U501" s="6">
        <v>16</v>
      </c>
      <c r="V501" s="6">
        <f>IF(ISERROR(VLOOKUP($S$501,'TAR FIN'!$A$1:$O$85,15,0)),0,VLOOKUP($S$501,'TAR FIN'!$A$1:$O$85,15,0))</f>
        <v>0</v>
      </c>
      <c r="W501" s="6">
        <f>IF(ISERROR(VLOOKUP($T$501,'TAR FIN'!$A$1:$O$85,15,0)),0,VLOOKUP($T$501,'TAR FIN'!$A$1:$O$85,15,0))</f>
        <v>387.29</v>
      </c>
      <c r="X501" s="6">
        <f>IF(ISERROR(VLOOKUP($U$501,'TAR FIN'!$A$1:$O$85,15,0)),0,VLOOKUP($U$501,'TAR FIN'!$A$1:$O$85,15,0))</f>
        <v>196.87</v>
      </c>
      <c r="Y501" s="6"/>
      <c r="Z501" s="6">
        <f ca="1">('TUSD BE'!$AM$33+'TUSD BF'!$AM$33+'TUSD CVA'!$AM$33)*(1-CUSTOS!$M$38)</f>
        <v>464.7286080745173</v>
      </c>
      <c r="AA501" s="6">
        <f>('TE BE'!$AA$23+'TE BF'!$AA$23+'TE CVA'!$AA$23)*(1-CUSTOS!$M$38)</f>
        <v>204.57163525385519</v>
      </c>
      <c r="AB501" s="6">
        <f>$K$501*$V$501</f>
        <v>0</v>
      </c>
      <c r="AC501" s="6">
        <f>$M$501*$W$501</f>
        <v>748.24428</v>
      </c>
      <c r="AD501" s="6">
        <f>$O$501*$X$501</f>
        <v>380.35284000000001</v>
      </c>
      <c r="AE501" s="6">
        <f>$K$501*$Y$501</f>
        <v>0</v>
      </c>
      <c r="AF501" s="6">
        <f ca="1">$M$501*$Z$501</f>
        <v>897.85567079996736</v>
      </c>
      <c r="AG501" s="6">
        <f>$O$501*$AA$501</f>
        <v>395.23239931044822</v>
      </c>
    </row>
    <row r="502" spans="1:33" ht="11.25" customHeight="1" x14ac:dyDescent="0.25">
      <c r="A502" s="4" t="s">
        <v>21</v>
      </c>
      <c r="B502" s="4" t="s">
        <v>40</v>
      </c>
      <c r="C502" s="4" t="s">
        <v>23</v>
      </c>
      <c r="D502" s="4" t="s">
        <v>41</v>
      </c>
      <c r="E502" s="4" t="s">
        <v>50</v>
      </c>
      <c r="F502" s="4" t="s">
        <v>51</v>
      </c>
      <c r="G502" s="4" t="s">
        <v>25</v>
      </c>
      <c r="H502" s="4" t="s">
        <v>25</v>
      </c>
      <c r="I502" s="5">
        <v>44440</v>
      </c>
      <c r="J502" s="6">
        <v>0</v>
      </c>
      <c r="K502" s="6">
        <v>0</v>
      </c>
      <c r="L502" s="6">
        <v>1521.9469999999999</v>
      </c>
      <c r="M502" s="6">
        <v>1521.9469999999999</v>
      </c>
      <c r="N502" s="6">
        <v>1521.9469999999999</v>
      </c>
      <c r="O502" s="6">
        <v>1521.9469999999999</v>
      </c>
      <c r="P502" s="6">
        <v>0</v>
      </c>
      <c r="Q502" s="4" t="s">
        <v>26</v>
      </c>
      <c r="R502" s="4">
        <v>0</v>
      </c>
      <c r="S502" s="6">
        <v>0</v>
      </c>
      <c r="T502" s="6">
        <v>60</v>
      </c>
      <c r="U502" s="6">
        <v>16</v>
      </c>
      <c r="V502" s="6">
        <f>IF(ISERROR(VLOOKUP($S$502,'TAR FIN'!$A$1:$O$85,15,0)),0,VLOOKUP($S$502,'TAR FIN'!$A$1:$O$85,15,0))</f>
        <v>0</v>
      </c>
      <c r="W502" s="6">
        <f>IF(ISERROR(VLOOKUP($T$502,'TAR FIN'!$A$1:$O$85,15,0)),0,VLOOKUP($T$502,'TAR FIN'!$A$1:$O$85,15,0))</f>
        <v>387.29</v>
      </c>
      <c r="X502" s="6">
        <f>IF(ISERROR(VLOOKUP($U$502,'TAR FIN'!$A$1:$O$85,15,0)),0,VLOOKUP($U$502,'TAR FIN'!$A$1:$O$85,15,0))</f>
        <v>196.87</v>
      </c>
      <c r="Y502" s="6"/>
      <c r="Z502" s="6">
        <f ca="1">('TUSD BE'!$AM$33+'TUSD BF'!$AM$33+'TUSD CVA'!$AM$33)*(1-CUSTOS!$M$38)</f>
        <v>464.7286080745173</v>
      </c>
      <c r="AA502" s="6">
        <f>('TE BE'!$AA$23+'TE BF'!$AA$23+'TE CVA'!$AA$23)*(1-CUSTOS!$M$38)</f>
        <v>204.57163525385519</v>
      </c>
      <c r="AB502" s="6">
        <f>$K$502*$V$502</f>
        <v>0</v>
      </c>
      <c r="AC502" s="6">
        <f>$M$502*$W$502</f>
        <v>589434.85363000003</v>
      </c>
      <c r="AD502" s="6">
        <f>$O$502*$X$502</f>
        <v>299625.70588999998</v>
      </c>
      <c r="AE502" s="6">
        <f>$K$502*$Y$502</f>
        <v>0</v>
      </c>
      <c r="AF502" s="6">
        <f ca="1">$M$502*$Z$502</f>
        <v>707292.31087318738</v>
      </c>
      <c r="AG502" s="6">
        <f>$O$502*$AA$502</f>
        <v>311347.18655969913</v>
      </c>
    </row>
    <row r="503" spans="1:33" ht="11.25" customHeight="1" x14ac:dyDescent="0.25">
      <c r="A503" s="4" t="s">
        <v>28</v>
      </c>
      <c r="B503" s="4" t="s">
        <v>40</v>
      </c>
      <c r="C503" s="4" t="s">
        <v>23</v>
      </c>
      <c r="D503" s="4" t="s">
        <v>41</v>
      </c>
      <c r="E503" s="4" t="s">
        <v>50</v>
      </c>
      <c r="F503" s="4" t="s">
        <v>51</v>
      </c>
      <c r="G503" s="4" t="s">
        <v>25</v>
      </c>
      <c r="H503" s="4" t="s">
        <v>25</v>
      </c>
      <c r="I503" s="5">
        <v>44440</v>
      </c>
      <c r="J503" s="6">
        <v>0</v>
      </c>
      <c r="K503" s="6">
        <v>0</v>
      </c>
      <c r="L503" s="6">
        <v>0.1</v>
      </c>
      <c r="M503" s="6">
        <v>0.1</v>
      </c>
      <c r="N503" s="6">
        <v>0.1</v>
      </c>
      <c r="O503" s="6">
        <v>0.1</v>
      </c>
      <c r="P503" s="6">
        <v>0</v>
      </c>
      <c r="Q503" s="4" t="s">
        <v>26</v>
      </c>
      <c r="R503" s="4">
        <v>0</v>
      </c>
      <c r="S503" s="6">
        <v>0</v>
      </c>
      <c r="T503" s="6">
        <v>60</v>
      </c>
      <c r="U503" s="6">
        <v>16</v>
      </c>
      <c r="V503" s="6">
        <f>IF(ISERROR(VLOOKUP($S$503,'TAR FIN'!$A$1:$O$85,15,0)),0,VLOOKUP($S$503,'TAR FIN'!$A$1:$O$85,15,0))</f>
        <v>0</v>
      </c>
      <c r="W503" s="6">
        <f>IF(ISERROR(VLOOKUP($T$503,'TAR FIN'!$A$1:$O$85,15,0)),0,VLOOKUP($T$503,'TAR FIN'!$A$1:$O$85,15,0))</f>
        <v>387.29</v>
      </c>
      <c r="X503" s="6">
        <f>IF(ISERROR(VLOOKUP($U$503,'TAR FIN'!$A$1:$O$85,15,0)),0,VLOOKUP($U$503,'TAR FIN'!$A$1:$O$85,15,0))</f>
        <v>196.87</v>
      </c>
      <c r="Y503" s="6"/>
      <c r="Z503" s="6">
        <f ca="1">('TUSD BE'!$AM$33+'TUSD BF'!$AM$33+'TUSD CVA'!$AM$33)*(1-CUSTOS!$M$38)</f>
        <v>464.7286080745173</v>
      </c>
      <c r="AA503" s="6">
        <f>('TE BE'!$AA$23+'TE BF'!$AA$23+'TE CVA'!$AA$23)*(1-CUSTOS!$M$38)</f>
        <v>204.57163525385519</v>
      </c>
      <c r="AB503" s="6">
        <f>$K$503*$V$503</f>
        <v>0</v>
      </c>
      <c r="AC503" s="6">
        <f>$M$503*$W$503</f>
        <v>38.729000000000006</v>
      </c>
      <c r="AD503" s="6">
        <f>$O$503*$X$503</f>
        <v>19.687000000000001</v>
      </c>
      <c r="AE503" s="6">
        <f>$K$503*$Y$503</f>
        <v>0</v>
      </c>
      <c r="AF503" s="6">
        <f ca="1">$M$503*$Z$503</f>
        <v>46.472860807451731</v>
      </c>
      <c r="AG503" s="6">
        <f>$O$503*$AA$503</f>
        <v>20.457163525385521</v>
      </c>
    </row>
    <row r="504" spans="1:33" ht="11.25" customHeight="1" x14ac:dyDescent="0.25">
      <c r="A504" s="4" t="s">
        <v>21</v>
      </c>
      <c r="B504" s="4" t="s">
        <v>40</v>
      </c>
      <c r="C504" s="4" t="s">
        <v>23</v>
      </c>
      <c r="D504" s="4" t="s">
        <v>41</v>
      </c>
      <c r="E504" s="4" t="s">
        <v>50</v>
      </c>
      <c r="F504" s="4" t="s">
        <v>51</v>
      </c>
      <c r="G504" s="4" t="s">
        <v>25</v>
      </c>
      <c r="H504" s="4" t="s">
        <v>25</v>
      </c>
      <c r="I504" s="5">
        <v>44470</v>
      </c>
      <c r="J504" s="6">
        <v>0</v>
      </c>
      <c r="K504" s="6">
        <v>0</v>
      </c>
      <c r="L504" s="6">
        <v>1443.8409999999999</v>
      </c>
      <c r="M504" s="6">
        <v>1443.8409999999999</v>
      </c>
      <c r="N504" s="6">
        <v>1443.8409999999999</v>
      </c>
      <c r="O504" s="6">
        <v>1443.8409999999999</v>
      </c>
      <c r="P504" s="6">
        <v>0</v>
      </c>
      <c r="Q504" s="4" t="s">
        <v>26</v>
      </c>
      <c r="R504" s="4">
        <v>0</v>
      </c>
      <c r="S504" s="6">
        <v>0</v>
      </c>
      <c r="T504" s="6">
        <v>60</v>
      </c>
      <c r="U504" s="6">
        <v>16</v>
      </c>
      <c r="V504" s="6">
        <f>IF(ISERROR(VLOOKUP($S$504,'TAR FIN'!$A$1:$O$85,15,0)),0,VLOOKUP($S$504,'TAR FIN'!$A$1:$O$85,15,0))</f>
        <v>0</v>
      </c>
      <c r="W504" s="6">
        <f>IF(ISERROR(VLOOKUP($T$504,'TAR FIN'!$A$1:$O$85,15,0)),0,VLOOKUP($T$504,'TAR FIN'!$A$1:$O$85,15,0))</f>
        <v>387.29</v>
      </c>
      <c r="X504" s="6">
        <f>IF(ISERROR(VLOOKUP($U$504,'TAR FIN'!$A$1:$O$85,15,0)),0,VLOOKUP($U$504,'TAR FIN'!$A$1:$O$85,15,0))</f>
        <v>196.87</v>
      </c>
      <c r="Y504" s="6"/>
      <c r="Z504" s="6">
        <f ca="1">('TUSD BE'!$AM$33+'TUSD BF'!$AM$33+'TUSD CVA'!$AM$33)*(1-CUSTOS!$M$38)</f>
        <v>464.7286080745173</v>
      </c>
      <c r="AA504" s="6">
        <f>('TE BE'!$AA$23+'TE BF'!$AA$23+'TE CVA'!$AA$23)*(1-CUSTOS!$M$38)</f>
        <v>204.57163525385519</v>
      </c>
      <c r="AB504" s="6">
        <f>$K$504*$V$504</f>
        <v>0</v>
      </c>
      <c r="AC504" s="6">
        <f>$M$504*$W$504</f>
        <v>559185.18088999996</v>
      </c>
      <c r="AD504" s="6">
        <f>$O$504*$X$504</f>
        <v>284248.97766999999</v>
      </c>
      <c r="AE504" s="6">
        <f>$K$504*$Y$504</f>
        <v>0</v>
      </c>
      <c r="AF504" s="6">
        <f ca="1">$M$504*$Z$504</f>
        <v>670994.21821091906</v>
      </c>
      <c r="AG504" s="6">
        <f>$O$504*$AA$504</f>
        <v>295368.91441656149</v>
      </c>
    </row>
    <row r="505" spans="1:33" ht="11.25" customHeight="1" x14ac:dyDescent="0.25">
      <c r="A505" s="4" t="s">
        <v>28</v>
      </c>
      <c r="B505" s="4" t="s">
        <v>40</v>
      </c>
      <c r="C505" s="4" t="s">
        <v>23</v>
      </c>
      <c r="D505" s="4" t="s">
        <v>41</v>
      </c>
      <c r="E505" s="4" t="s">
        <v>50</v>
      </c>
      <c r="F505" s="4" t="s">
        <v>51</v>
      </c>
      <c r="G505" s="4" t="s">
        <v>25</v>
      </c>
      <c r="H505" s="4" t="s">
        <v>25</v>
      </c>
      <c r="I505" s="5">
        <v>44470</v>
      </c>
      <c r="J505" s="6">
        <v>0</v>
      </c>
      <c r="K505" s="6">
        <v>0</v>
      </c>
      <c r="L505" s="6">
        <v>7.3</v>
      </c>
      <c r="M505" s="6">
        <v>7.3</v>
      </c>
      <c r="N505" s="6">
        <v>7.3</v>
      </c>
      <c r="O505" s="6">
        <v>7.3</v>
      </c>
      <c r="P505" s="6">
        <v>0</v>
      </c>
      <c r="Q505" s="4" t="s">
        <v>26</v>
      </c>
      <c r="R505" s="4">
        <v>0</v>
      </c>
      <c r="S505" s="6">
        <v>0</v>
      </c>
      <c r="T505" s="6">
        <v>60</v>
      </c>
      <c r="U505" s="6">
        <v>16</v>
      </c>
      <c r="V505" s="6">
        <f>IF(ISERROR(VLOOKUP($S$505,'TAR FIN'!$A$1:$O$85,15,0)),0,VLOOKUP($S$505,'TAR FIN'!$A$1:$O$85,15,0))</f>
        <v>0</v>
      </c>
      <c r="W505" s="6">
        <f>IF(ISERROR(VLOOKUP($T$505,'TAR FIN'!$A$1:$O$85,15,0)),0,VLOOKUP($T$505,'TAR FIN'!$A$1:$O$85,15,0))</f>
        <v>387.29</v>
      </c>
      <c r="X505" s="6">
        <f>IF(ISERROR(VLOOKUP($U$505,'TAR FIN'!$A$1:$O$85,15,0)),0,VLOOKUP($U$505,'TAR FIN'!$A$1:$O$85,15,0))</f>
        <v>196.87</v>
      </c>
      <c r="Y505" s="6"/>
      <c r="Z505" s="6">
        <f ca="1">('TUSD BE'!$AM$33+'TUSD BF'!$AM$33+'TUSD CVA'!$AM$33)*(1-CUSTOS!$M$38)</f>
        <v>464.7286080745173</v>
      </c>
      <c r="AA505" s="6">
        <f>('TE BE'!$AA$23+'TE BF'!$AA$23+'TE CVA'!$AA$23)*(1-CUSTOS!$M$38)</f>
        <v>204.57163525385519</v>
      </c>
      <c r="AB505" s="6">
        <f>$K$505*$V$505</f>
        <v>0</v>
      </c>
      <c r="AC505" s="6">
        <f>$M$505*$W$505</f>
        <v>2827.2170000000001</v>
      </c>
      <c r="AD505" s="6">
        <f>$O$505*$X$505</f>
        <v>1437.1510000000001</v>
      </c>
      <c r="AE505" s="6">
        <f>$K$505*$Y$505</f>
        <v>0</v>
      </c>
      <c r="AF505" s="6">
        <f ca="1">$M$505*$Z$505</f>
        <v>3392.5188389439763</v>
      </c>
      <c r="AG505" s="6">
        <f>$O$505*$AA$505</f>
        <v>1493.3729373531428</v>
      </c>
    </row>
    <row r="506" spans="1:33" ht="11.25" customHeight="1" x14ac:dyDescent="0.25">
      <c r="A506" s="4" t="s">
        <v>21</v>
      </c>
      <c r="B506" s="4" t="s">
        <v>40</v>
      </c>
      <c r="C506" s="4" t="s">
        <v>23</v>
      </c>
      <c r="D506" s="4" t="s">
        <v>41</v>
      </c>
      <c r="E506" s="4" t="s">
        <v>50</v>
      </c>
      <c r="F506" s="4" t="s">
        <v>51</v>
      </c>
      <c r="G506" s="4" t="s">
        <v>25</v>
      </c>
      <c r="H506" s="4" t="s">
        <v>25</v>
      </c>
      <c r="I506" s="5">
        <v>44501</v>
      </c>
      <c r="J506" s="6">
        <v>0</v>
      </c>
      <c r="K506" s="6">
        <v>0</v>
      </c>
      <c r="L506" s="6">
        <v>1907.675</v>
      </c>
      <c r="M506" s="6">
        <v>1907.675</v>
      </c>
      <c r="N506" s="6">
        <v>1907.675</v>
      </c>
      <c r="O506" s="6">
        <v>1907.675</v>
      </c>
      <c r="P506" s="6">
        <v>0</v>
      </c>
      <c r="Q506" s="4" t="s">
        <v>26</v>
      </c>
      <c r="R506" s="4">
        <v>0</v>
      </c>
      <c r="S506" s="6">
        <v>0</v>
      </c>
      <c r="T506" s="6">
        <v>60</v>
      </c>
      <c r="U506" s="6">
        <v>16</v>
      </c>
      <c r="V506" s="6">
        <f>IF(ISERROR(VLOOKUP($S$506,'TAR FIN'!$A$1:$O$85,15,0)),0,VLOOKUP($S$506,'TAR FIN'!$A$1:$O$85,15,0))</f>
        <v>0</v>
      </c>
      <c r="W506" s="6">
        <f>IF(ISERROR(VLOOKUP($T$506,'TAR FIN'!$A$1:$O$85,15,0)),0,VLOOKUP($T$506,'TAR FIN'!$A$1:$O$85,15,0))</f>
        <v>387.29</v>
      </c>
      <c r="X506" s="6">
        <f>IF(ISERROR(VLOOKUP($U$506,'TAR FIN'!$A$1:$O$85,15,0)),0,VLOOKUP($U$506,'TAR FIN'!$A$1:$O$85,15,0))</f>
        <v>196.87</v>
      </c>
      <c r="Y506" s="6"/>
      <c r="Z506" s="6">
        <f ca="1">('TUSD BE'!$AM$33+'TUSD BF'!$AM$33+'TUSD CVA'!$AM$33)*(1-CUSTOS!$M$38)</f>
        <v>464.7286080745173</v>
      </c>
      <c r="AA506" s="6">
        <f>('TE BE'!$AA$23+'TE BF'!$AA$23+'TE CVA'!$AA$23)*(1-CUSTOS!$M$38)</f>
        <v>204.57163525385519</v>
      </c>
      <c r="AB506" s="6">
        <f>$K$506*$V$506</f>
        <v>0</v>
      </c>
      <c r="AC506" s="6">
        <f>$M$506*$W$506</f>
        <v>738823.45075000008</v>
      </c>
      <c r="AD506" s="6">
        <f>$O$506*$X$506</f>
        <v>375563.97725</v>
      </c>
      <c r="AE506" s="6">
        <f>$K$506*$Y$506</f>
        <v>0</v>
      </c>
      <c r="AF506" s="6">
        <f ca="1">$M$506*$Z$506</f>
        <v>886551.1474085548</v>
      </c>
      <c r="AG506" s="6">
        <f>$O$506*$AA$506</f>
        <v>390256.19428289821</v>
      </c>
    </row>
    <row r="507" spans="1:33" ht="11.25" customHeight="1" x14ac:dyDescent="0.25">
      <c r="A507" s="4" t="s">
        <v>28</v>
      </c>
      <c r="B507" s="4" t="s">
        <v>40</v>
      </c>
      <c r="C507" s="4" t="s">
        <v>23</v>
      </c>
      <c r="D507" s="4" t="s">
        <v>41</v>
      </c>
      <c r="E507" s="4" t="s">
        <v>50</v>
      </c>
      <c r="F507" s="4" t="s">
        <v>51</v>
      </c>
      <c r="G507" s="4" t="s">
        <v>25</v>
      </c>
      <c r="H507" s="4" t="s">
        <v>25</v>
      </c>
      <c r="I507" s="5">
        <v>44501</v>
      </c>
      <c r="J507" s="6">
        <v>0</v>
      </c>
      <c r="K507" s="6">
        <v>0</v>
      </c>
      <c r="L507" s="6">
        <v>25.234000000000002</v>
      </c>
      <c r="M507" s="6">
        <v>25.234000000000002</v>
      </c>
      <c r="N507" s="6">
        <v>25.234000000000002</v>
      </c>
      <c r="O507" s="6">
        <v>25.234000000000002</v>
      </c>
      <c r="P507" s="6">
        <v>0</v>
      </c>
      <c r="Q507" s="4" t="s">
        <v>26</v>
      </c>
      <c r="R507" s="4">
        <v>0</v>
      </c>
      <c r="S507" s="6">
        <v>0</v>
      </c>
      <c r="T507" s="6">
        <v>60</v>
      </c>
      <c r="U507" s="6">
        <v>16</v>
      </c>
      <c r="V507" s="6">
        <f>IF(ISERROR(VLOOKUP($S$507,'TAR FIN'!$A$1:$O$85,15,0)),0,VLOOKUP($S$507,'TAR FIN'!$A$1:$O$85,15,0))</f>
        <v>0</v>
      </c>
      <c r="W507" s="6">
        <f>IF(ISERROR(VLOOKUP($T$507,'TAR FIN'!$A$1:$O$85,15,0)),0,VLOOKUP($T$507,'TAR FIN'!$A$1:$O$85,15,0))</f>
        <v>387.29</v>
      </c>
      <c r="X507" s="6">
        <f>IF(ISERROR(VLOOKUP($U$507,'TAR FIN'!$A$1:$O$85,15,0)),0,VLOOKUP($U$507,'TAR FIN'!$A$1:$O$85,15,0))</f>
        <v>196.87</v>
      </c>
      <c r="Y507" s="6"/>
      <c r="Z507" s="6">
        <f ca="1">('TUSD BE'!$AM$33+'TUSD BF'!$AM$33+'TUSD CVA'!$AM$33)*(1-CUSTOS!$M$38)</f>
        <v>464.7286080745173</v>
      </c>
      <c r="AA507" s="6">
        <f>('TE BE'!$AA$23+'TE BF'!$AA$23+'TE CVA'!$AA$23)*(1-CUSTOS!$M$38)</f>
        <v>204.57163525385519</v>
      </c>
      <c r="AB507" s="6">
        <f>$K$507*$V$507</f>
        <v>0</v>
      </c>
      <c r="AC507" s="6">
        <f>$M$507*$W$507</f>
        <v>9772.8758600000019</v>
      </c>
      <c r="AD507" s="6">
        <f>$O$507*$X$507</f>
        <v>4967.8175800000008</v>
      </c>
      <c r="AE507" s="6">
        <f>$K$507*$Y$507</f>
        <v>0</v>
      </c>
      <c r="AF507" s="6">
        <f ca="1">$M$507*$Z$507</f>
        <v>11726.96169615237</v>
      </c>
      <c r="AG507" s="6">
        <f>$O$507*$AA$507</f>
        <v>5162.1606439957823</v>
      </c>
    </row>
    <row r="508" spans="1:33" ht="11.25" customHeight="1" x14ac:dyDescent="0.25">
      <c r="A508" s="4" t="s">
        <v>21</v>
      </c>
      <c r="B508" s="4" t="s">
        <v>40</v>
      </c>
      <c r="C508" s="4" t="s">
        <v>23</v>
      </c>
      <c r="D508" s="4" t="s">
        <v>41</v>
      </c>
      <c r="E508" s="4" t="s">
        <v>50</v>
      </c>
      <c r="F508" s="4" t="s">
        <v>51</v>
      </c>
      <c r="G508" s="4" t="s">
        <v>25</v>
      </c>
      <c r="H508" s="4" t="s">
        <v>25</v>
      </c>
      <c r="I508" s="5">
        <v>44531</v>
      </c>
      <c r="J508" s="6">
        <v>0</v>
      </c>
      <c r="K508" s="6">
        <v>0</v>
      </c>
      <c r="L508" s="6">
        <v>1652.027</v>
      </c>
      <c r="M508" s="6">
        <v>1652.027</v>
      </c>
      <c r="N508" s="6">
        <v>1652.027</v>
      </c>
      <c r="O508" s="6">
        <v>1652.027</v>
      </c>
      <c r="P508" s="6">
        <v>0</v>
      </c>
      <c r="Q508" s="4" t="s">
        <v>26</v>
      </c>
      <c r="R508" s="4">
        <v>0</v>
      </c>
      <c r="S508" s="6">
        <v>0</v>
      </c>
      <c r="T508" s="6">
        <v>60</v>
      </c>
      <c r="U508" s="6">
        <v>16</v>
      </c>
      <c r="V508" s="6">
        <f>IF(ISERROR(VLOOKUP($S$508,'TAR FIN'!$A$1:$O$85,15,0)),0,VLOOKUP($S$508,'TAR FIN'!$A$1:$O$85,15,0))</f>
        <v>0</v>
      </c>
      <c r="W508" s="6">
        <f>IF(ISERROR(VLOOKUP($T$508,'TAR FIN'!$A$1:$O$85,15,0)),0,VLOOKUP($T$508,'TAR FIN'!$A$1:$O$85,15,0))</f>
        <v>387.29</v>
      </c>
      <c r="X508" s="6">
        <f>IF(ISERROR(VLOOKUP($U$508,'TAR FIN'!$A$1:$O$85,15,0)),0,VLOOKUP($U$508,'TAR FIN'!$A$1:$O$85,15,0))</f>
        <v>196.87</v>
      </c>
      <c r="Y508" s="6"/>
      <c r="Z508" s="6">
        <f ca="1">('TUSD BE'!$AM$33+'TUSD BF'!$AM$33+'TUSD CVA'!$AM$33)*(1-CUSTOS!$M$38)</f>
        <v>464.7286080745173</v>
      </c>
      <c r="AA508" s="6">
        <f>('TE BE'!$AA$23+'TE BF'!$AA$23+'TE CVA'!$AA$23)*(1-CUSTOS!$M$38)</f>
        <v>204.57163525385519</v>
      </c>
      <c r="AB508" s="6">
        <f>$K$508*$V$508</f>
        <v>0</v>
      </c>
      <c r="AC508" s="6">
        <f>$M$508*$W$508</f>
        <v>639813.53683</v>
      </c>
      <c r="AD508" s="6">
        <f>$O$508*$X$508</f>
        <v>325234.55549</v>
      </c>
      <c r="AE508" s="6">
        <f>$K$508*$Y$508</f>
        <v>0</v>
      </c>
      <c r="AF508" s="6">
        <f ca="1">$M$508*$Z$508</f>
        <v>767744.20821152057</v>
      </c>
      <c r="AG508" s="6">
        <f>$O$508*$AA$508</f>
        <v>337957.86487352062</v>
      </c>
    </row>
    <row r="509" spans="1:33" ht="11.25" customHeight="1" x14ac:dyDescent="0.25">
      <c r="A509" s="4" t="s">
        <v>27</v>
      </c>
      <c r="B509" s="4" t="s">
        <v>40</v>
      </c>
      <c r="C509" s="4" t="s">
        <v>23</v>
      </c>
      <c r="D509" s="4" t="s">
        <v>41</v>
      </c>
      <c r="E509" s="4" t="s">
        <v>50</v>
      </c>
      <c r="F509" s="4" t="s">
        <v>51</v>
      </c>
      <c r="G509" s="4" t="s">
        <v>25</v>
      </c>
      <c r="H509" s="4" t="s">
        <v>25</v>
      </c>
      <c r="I509" s="5">
        <v>44531</v>
      </c>
      <c r="J509" s="6">
        <v>0</v>
      </c>
      <c r="K509" s="6">
        <v>0</v>
      </c>
      <c r="L509" s="6">
        <v>120.685</v>
      </c>
      <c r="M509" s="6">
        <v>120.685</v>
      </c>
      <c r="N509" s="6">
        <v>120.685</v>
      </c>
      <c r="O509" s="6">
        <v>120.685</v>
      </c>
      <c r="P509" s="6">
        <v>0</v>
      </c>
      <c r="Q509" s="4" t="s">
        <v>26</v>
      </c>
      <c r="R509" s="4">
        <v>0</v>
      </c>
      <c r="S509" s="6">
        <v>0</v>
      </c>
      <c r="T509" s="6">
        <v>60</v>
      </c>
      <c r="U509" s="6">
        <v>16</v>
      </c>
      <c r="V509" s="6">
        <f>IF(ISERROR(VLOOKUP($S$509,'TAR FIN'!$A$1:$O$85,15,0)),0,VLOOKUP($S$509,'TAR FIN'!$A$1:$O$85,15,0))</f>
        <v>0</v>
      </c>
      <c r="W509" s="6">
        <f>IF(ISERROR(VLOOKUP($T$509,'TAR FIN'!$A$1:$O$85,15,0)),0,VLOOKUP($T$509,'TAR FIN'!$A$1:$O$85,15,0))</f>
        <v>387.29</v>
      </c>
      <c r="X509" s="6">
        <f>IF(ISERROR(VLOOKUP($U$509,'TAR FIN'!$A$1:$O$85,15,0)),0,VLOOKUP($U$509,'TAR FIN'!$A$1:$O$85,15,0))</f>
        <v>196.87</v>
      </c>
      <c r="Y509" s="6"/>
      <c r="Z509" s="6">
        <f ca="1">('TUSD BE'!$AM$33+'TUSD BF'!$AM$33+'TUSD CVA'!$AM$33)*(1-CUSTOS!$M$38)</f>
        <v>464.7286080745173</v>
      </c>
      <c r="AA509" s="6">
        <f>('TE BE'!$AA$23+'TE BF'!$AA$23+'TE CVA'!$AA$23)*(1-CUSTOS!$M$38)</f>
        <v>204.57163525385519</v>
      </c>
      <c r="AB509" s="6">
        <f>$K$509*$V$509</f>
        <v>0</v>
      </c>
      <c r="AC509" s="6">
        <f>$M$509*$W$509</f>
        <v>46740.093650000003</v>
      </c>
      <c r="AD509" s="6">
        <f>$O$509*$X$509</f>
        <v>23759.255950000002</v>
      </c>
      <c r="AE509" s="6">
        <f>$K$509*$Y$509</f>
        <v>0</v>
      </c>
      <c r="AF509" s="6">
        <f ca="1">$M$509*$Z$509</f>
        <v>56085.772065473124</v>
      </c>
      <c r="AG509" s="6">
        <f>$O$509*$AA$509</f>
        <v>24688.727800611516</v>
      </c>
    </row>
    <row r="510" spans="1:33" ht="11.25" customHeight="1" x14ac:dyDescent="0.25">
      <c r="A510" s="4" t="s">
        <v>28</v>
      </c>
      <c r="B510" s="4" t="s">
        <v>40</v>
      </c>
      <c r="C510" s="4" t="s">
        <v>23</v>
      </c>
      <c r="D510" s="4" t="s">
        <v>41</v>
      </c>
      <c r="E510" s="4" t="s">
        <v>50</v>
      </c>
      <c r="F510" s="4" t="s">
        <v>51</v>
      </c>
      <c r="G510" s="4" t="s">
        <v>25</v>
      </c>
      <c r="H510" s="4" t="s">
        <v>25</v>
      </c>
      <c r="I510" s="5">
        <v>44531</v>
      </c>
      <c r="J510" s="6">
        <v>0</v>
      </c>
      <c r="K510" s="6">
        <v>0</v>
      </c>
      <c r="L510" s="6">
        <v>24.227</v>
      </c>
      <c r="M510" s="6">
        <v>24.227</v>
      </c>
      <c r="N510" s="6">
        <v>24.227</v>
      </c>
      <c r="O510" s="6">
        <v>24.227</v>
      </c>
      <c r="P510" s="6">
        <v>0</v>
      </c>
      <c r="Q510" s="4" t="s">
        <v>26</v>
      </c>
      <c r="R510" s="4">
        <v>0</v>
      </c>
      <c r="S510" s="6">
        <v>0</v>
      </c>
      <c r="T510" s="6">
        <v>60</v>
      </c>
      <c r="U510" s="6">
        <v>16</v>
      </c>
      <c r="V510" s="6">
        <f>IF(ISERROR(VLOOKUP($S$510,'TAR FIN'!$A$1:$O$85,15,0)),0,VLOOKUP($S$510,'TAR FIN'!$A$1:$O$85,15,0))</f>
        <v>0</v>
      </c>
      <c r="W510" s="6">
        <f>IF(ISERROR(VLOOKUP($T$510,'TAR FIN'!$A$1:$O$85,15,0)),0,VLOOKUP($T$510,'TAR FIN'!$A$1:$O$85,15,0))</f>
        <v>387.29</v>
      </c>
      <c r="X510" s="6">
        <f>IF(ISERROR(VLOOKUP($U$510,'TAR FIN'!$A$1:$O$85,15,0)),0,VLOOKUP($U$510,'TAR FIN'!$A$1:$O$85,15,0))</f>
        <v>196.87</v>
      </c>
      <c r="Y510" s="6"/>
      <c r="Z510" s="6">
        <f ca="1">('TUSD BE'!$AM$33+'TUSD BF'!$AM$33+'TUSD CVA'!$AM$33)*(1-CUSTOS!$M$38)</f>
        <v>464.7286080745173</v>
      </c>
      <c r="AA510" s="6">
        <f>('TE BE'!$AA$23+'TE BF'!$AA$23+'TE CVA'!$AA$23)*(1-CUSTOS!$M$38)</f>
        <v>204.57163525385519</v>
      </c>
      <c r="AB510" s="6">
        <f>$K$510*$V$510</f>
        <v>0</v>
      </c>
      <c r="AC510" s="6">
        <f>$M$510*$W$510</f>
        <v>9382.8748300000007</v>
      </c>
      <c r="AD510" s="6">
        <f>$O$510*$X$510</f>
        <v>4769.5694899999999</v>
      </c>
      <c r="AE510" s="6">
        <f>$K$510*$Y$510</f>
        <v>0</v>
      </c>
      <c r="AF510" s="6">
        <f ca="1">$M$510*$Z$510</f>
        <v>11258.979987821331</v>
      </c>
      <c r="AG510" s="6">
        <f>$O$510*$AA$510</f>
        <v>4956.1570072951499</v>
      </c>
    </row>
    <row r="511" spans="1:33" ht="11.25" customHeight="1" x14ac:dyDescent="0.25">
      <c r="A511" s="4" t="s">
        <v>21</v>
      </c>
      <c r="B511" s="4" t="s">
        <v>40</v>
      </c>
      <c r="C511" s="4" t="s">
        <v>23</v>
      </c>
      <c r="D511" s="4" t="s">
        <v>41</v>
      </c>
      <c r="E511" s="4" t="s">
        <v>50</v>
      </c>
      <c r="F511" s="4" t="s">
        <v>51</v>
      </c>
      <c r="G511" s="4" t="s">
        <v>25</v>
      </c>
      <c r="H511" s="4" t="s">
        <v>25</v>
      </c>
      <c r="I511" s="5">
        <v>44562</v>
      </c>
      <c r="J511" s="6">
        <v>0</v>
      </c>
      <c r="K511" s="6">
        <v>0</v>
      </c>
      <c r="L511" s="6">
        <v>1415.28</v>
      </c>
      <c r="M511" s="6">
        <v>1415.28</v>
      </c>
      <c r="N511" s="6">
        <v>1415.28</v>
      </c>
      <c r="O511" s="6">
        <v>1415.28</v>
      </c>
      <c r="P511" s="6">
        <v>0</v>
      </c>
      <c r="Q511" s="4" t="s">
        <v>26</v>
      </c>
      <c r="R511" s="4">
        <v>0</v>
      </c>
      <c r="S511" s="6">
        <v>0</v>
      </c>
      <c r="T511" s="6">
        <v>60</v>
      </c>
      <c r="U511" s="6">
        <v>16</v>
      </c>
      <c r="V511" s="6">
        <f>IF(ISERROR(VLOOKUP($S$511,'TAR FIN'!$A$1:$O$85,15,0)),0,VLOOKUP($S$511,'TAR FIN'!$A$1:$O$85,15,0))</f>
        <v>0</v>
      </c>
      <c r="W511" s="6">
        <f>IF(ISERROR(VLOOKUP($T$511,'TAR FIN'!$A$1:$O$85,15,0)),0,VLOOKUP($T$511,'TAR FIN'!$A$1:$O$85,15,0))</f>
        <v>387.29</v>
      </c>
      <c r="X511" s="6">
        <f>IF(ISERROR(VLOOKUP($U$511,'TAR FIN'!$A$1:$O$85,15,0)),0,VLOOKUP($U$511,'TAR FIN'!$A$1:$O$85,15,0))</f>
        <v>196.87</v>
      </c>
      <c r="Y511" s="6"/>
      <c r="Z511" s="6">
        <f ca="1">('TUSD BE'!$AM$33+'TUSD BF'!$AM$33+'TUSD CVA'!$AM$33)*(1-CUSTOS!$M$38)</f>
        <v>464.7286080745173</v>
      </c>
      <c r="AA511" s="6">
        <f>('TE BE'!$AA$23+'TE BF'!$AA$23+'TE CVA'!$AA$23)*(1-CUSTOS!$M$38)</f>
        <v>204.57163525385519</v>
      </c>
      <c r="AB511" s="6">
        <f>$K$511*$V$511</f>
        <v>0</v>
      </c>
      <c r="AC511" s="6">
        <f>$M$511*$W$511</f>
        <v>548123.79119999998</v>
      </c>
      <c r="AD511" s="6">
        <f>$O$511*$X$511</f>
        <v>278626.17359999998</v>
      </c>
      <c r="AE511" s="6">
        <f>$K$511*$Y$511</f>
        <v>0</v>
      </c>
      <c r="AF511" s="6">
        <f ca="1">$M$511*$Z$511</f>
        <v>657721.10443570279</v>
      </c>
      <c r="AG511" s="6">
        <f>$O$511*$AA$511</f>
        <v>289526.14394207619</v>
      </c>
    </row>
    <row r="512" spans="1:33" ht="11.25" customHeight="1" x14ac:dyDescent="0.25">
      <c r="A512" s="4" t="s">
        <v>28</v>
      </c>
      <c r="B512" s="4" t="s">
        <v>40</v>
      </c>
      <c r="C512" s="4" t="s">
        <v>23</v>
      </c>
      <c r="D512" s="4" t="s">
        <v>41</v>
      </c>
      <c r="E512" s="4" t="s">
        <v>50</v>
      </c>
      <c r="F512" s="4" t="s">
        <v>51</v>
      </c>
      <c r="G512" s="4" t="s">
        <v>25</v>
      </c>
      <c r="H512" s="4" t="s">
        <v>25</v>
      </c>
      <c r="I512" s="5">
        <v>44562</v>
      </c>
      <c r="J512" s="6">
        <v>0</v>
      </c>
      <c r="K512" s="6">
        <v>0</v>
      </c>
      <c r="L512" s="6">
        <v>10.531000000000001</v>
      </c>
      <c r="M512" s="6">
        <v>10.531000000000001</v>
      </c>
      <c r="N512" s="6">
        <v>10.531000000000001</v>
      </c>
      <c r="O512" s="6">
        <v>10.531000000000001</v>
      </c>
      <c r="P512" s="6">
        <v>0</v>
      </c>
      <c r="Q512" s="4" t="s">
        <v>26</v>
      </c>
      <c r="R512" s="4">
        <v>0</v>
      </c>
      <c r="S512" s="6">
        <v>0</v>
      </c>
      <c r="T512" s="6">
        <v>60</v>
      </c>
      <c r="U512" s="6">
        <v>16</v>
      </c>
      <c r="V512" s="6">
        <f>IF(ISERROR(VLOOKUP($S$512,'TAR FIN'!$A$1:$O$85,15,0)),0,VLOOKUP($S$512,'TAR FIN'!$A$1:$O$85,15,0))</f>
        <v>0</v>
      </c>
      <c r="W512" s="6">
        <f>IF(ISERROR(VLOOKUP($T$512,'TAR FIN'!$A$1:$O$85,15,0)),0,VLOOKUP($T$512,'TAR FIN'!$A$1:$O$85,15,0))</f>
        <v>387.29</v>
      </c>
      <c r="X512" s="6">
        <f>IF(ISERROR(VLOOKUP($U$512,'TAR FIN'!$A$1:$O$85,15,0)),0,VLOOKUP($U$512,'TAR FIN'!$A$1:$O$85,15,0))</f>
        <v>196.87</v>
      </c>
      <c r="Y512" s="6"/>
      <c r="Z512" s="6">
        <f ca="1">('TUSD BE'!$AM$33+'TUSD BF'!$AM$33+'TUSD CVA'!$AM$33)*(1-CUSTOS!$M$38)</f>
        <v>464.7286080745173</v>
      </c>
      <c r="AA512" s="6">
        <f>('TE BE'!$AA$23+'TE BF'!$AA$23+'TE CVA'!$AA$23)*(1-CUSTOS!$M$38)</f>
        <v>204.57163525385519</v>
      </c>
      <c r="AB512" s="6">
        <f>$K$512*$V$512</f>
        <v>0</v>
      </c>
      <c r="AC512" s="6">
        <f>$M$512*$W$512</f>
        <v>4078.5509900000006</v>
      </c>
      <c r="AD512" s="6">
        <f>$O$512*$X$512</f>
        <v>2073.2379700000001</v>
      </c>
      <c r="AE512" s="6">
        <f>$K$512*$Y$512</f>
        <v>0</v>
      </c>
      <c r="AF512" s="6">
        <f ca="1">$M$512*$Z$512</f>
        <v>4894.0569716327418</v>
      </c>
      <c r="AG512" s="6">
        <f>$O$512*$AA$512</f>
        <v>2154.3438908583494</v>
      </c>
    </row>
    <row r="513" spans="1:33" ht="11.25" customHeight="1" x14ac:dyDescent="0.25">
      <c r="A513" s="4" t="s">
        <v>21</v>
      </c>
      <c r="B513" s="4" t="s">
        <v>40</v>
      </c>
      <c r="C513" s="4" t="s">
        <v>23</v>
      </c>
      <c r="D513" s="4" t="s">
        <v>41</v>
      </c>
      <c r="E513" s="4" t="s">
        <v>50</v>
      </c>
      <c r="F513" s="4" t="s">
        <v>51</v>
      </c>
      <c r="G513" s="4" t="s">
        <v>25</v>
      </c>
      <c r="H513" s="4" t="s">
        <v>25</v>
      </c>
      <c r="I513" s="5">
        <v>44593</v>
      </c>
      <c r="J513" s="6">
        <v>0</v>
      </c>
      <c r="K513" s="6">
        <v>0</v>
      </c>
      <c r="L513" s="6">
        <v>1298.3779999999999</v>
      </c>
      <c r="M513" s="6">
        <v>1298.3779999999999</v>
      </c>
      <c r="N513" s="6">
        <v>1298.3779999999999</v>
      </c>
      <c r="O513" s="6">
        <v>1298.3779999999999</v>
      </c>
      <c r="P513" s="6">
        <v>0</v>
      </c>
      <c r="Q513" s="4" t="s">
        <v>26</v>
      </c>
      <c r="R513" s="4">
        <v>0</v>
      </c>
      <c r="S513" s="6">
        <v>0</v>
      </c>
      <c r="T513" s="6">
        <v>60</v>
      </c>
      <c r="U513" s="6">
        <v>16</v>
      </c>
      <c r="V513" s="6">
        <f>IF(ISERROR(VLOOKUP($S$513,'TAR FIN'!$A$1:$O$85,15,0)),0,VLOOKUP($S$513,'TAR FIN'!$A$1:$O$85,15,0))</f>
        <v>0</v>
      </c>
      <c r="W513" s="6">
        <f>IF(ISERROR(VLOOKUP($T$513,'TAR FIN'!$A$1:$O$85,15,0)),0,VLOOKUP($T$513,'TAR FIN'!$A$1:$O$85,15,0))</f>
        <v>387.29</v>
      </c>
      <c r="X513" s="6">
        <f>IF(ISERROR(VLOOKUP($U$513,'TAR FIN'!$A$1:$O$85,15,0)),0,VLOOKUP($U$513,'TAR FIN'!$A$1:$O$85,15,0))</f>
        <v>196.87</v>
      </c>
      <c r="Y513" s="6"/>
      <c r="Z513" s="6">
        <f ca="1">('TUSD BE'!$AM$33+'TUSD BF'!$AM$33+'TUSD CVA'!$AM$33)*(1-CUSTOS!$M$38)</f>
        <v>464.7286080745173</v>
      </c>
      <c r="AA513" s="6">
        <f>('TE BE'!$AA$23+'TE BF'!$AA$23+'TE CVA'!$AA$23)*(1-CUSTOS!$M$38)</f>
        <v>204.57163525385519</v>
      </c>
      <c r="AB513" s="6">
        <f>$K$513*$V$513</f>
        <v>0</v>
      </c>
      <c r="AC513" s="6">
        <f>$M$513*$W$513</f>
        <v>502848.81562000001</v>
      </c>
      <c r="AD513" s="6">
        <f>$O$513*$X$513</f>
        <v>255611.67685999998</v>
      </c>
      <c r="AE513" s="6">
        <f>$K$513*$Y$513</f>
        <v>0</v>
      </c>
      <c r="AF513" s="6">
        <f ca="1">$M$513*$Z$513</f>
        <v>603393.40069457563</v>
      </c>
      <c r="AG513" s="6">
        <f>$O$513*$AA$513</f>
        <v>265611.31063763</v>
      </c>
    </row>
    <row r="514" spans="1:33" ht="11.25" customHeight="1" x14ac:dyDescent="0.25">
      <c r="A514" s="4" t="s">
        <v>28</v>
      </c>
      <c r="B514" s="4" t="s">
        <v>40</v>
      </c>
      <c r="C514" s="4" t="s">
        <v>23</v>
      </c>
      <c r="D514" s="4" t="s">
        <v>41</v>
      </c>
      <c r="E514" s="4" t="s">
        <v>50</v>
      </c>
      <c r="F514" s="4" t="s">
        <v>51</v>
      </c>
      <c r="G514" s="4" t="s">
        <v>25</v>
      </c>
      <c r="H514" s="4" t="s">
        <v>25</v>
      </c>
      <c r="I514" s="5">
        <v>44593</v>
      </c>
      <c r="J514" s="6">
        <v>0</v>
      </c>
      <c r="K514" s="6">
        <v>0</v>
      </c>
      <c r="L514" s="6">
        <v>17.302</v>
      </c>
      <c r="M514" s="6">
        <v>17.302</v>
      </c>
      <c r="N514" s="6">
        <v>17.302</v>
      </c>
      <c r="O514" s="6">
        <v>17.302</v>
      </c>
      <c r="P514" s="6">
        <v>0</v>
      </c>
      <c r="Q514" s="4" t="s">
        <v>26</v>
      </c>
      <c r="R514" s="4">
        <v>0</v>
      </c>
      <c r="S514" s="6">
        <v>0</v>
      </c>
      <c r="T514" s="6">
        <v>60</v>
      </c>
      <c r="U514" s="6">
        <v>16</v>
      </c>
      <c r="V514" s="6">
        <f>IF(ISERROR(VLOOKUP($S$514,'TAR FIN'!$A$1:$O$85,15,0)),0,VLOOKUP($S$514,'TAR FIN'!$A$1:$O$85,15,0))</f>
        <v>0</v>
      </c>
      <c r="W514" s="6">
        <f>IF(ISERROR(VLOOKUP($T$514,'TAR FIN'!$A$1:$O$85,15,0)),0,VLOOKUP($T$514,'TAR FIN'!$A$1:$O$85,15,0))</f>
        <v>387.29</v>
      </c>
      <c r="X514" s="6">
        <f>IF(ISERROR(VLOOKUP($U$514,'TAR FIN'!$A$1:$O$85,15,0)),0,VLOOKUP($U$514,'TAR FIN'!$A$1:$O$85,15,0))</f>
        <v>196.87</v>
      </c>
      <c r="Y514" s="6"/>
      <c r="Z514" s="6">
        <f ca="1">('TUSD BE'!$AM$33+'TUSD BF'!$AM$33+'TUSD CVA'!$AM$33)*(1-CUSTOS!$M$38)</f>
        <v>464.7286080745173</v>
      </c>
      <c r="AA514" s="6">
        <f>('TE BE'!$AA$23+'TE BF'!$AA$23+'TE CVA'!$AA$23)*(1-CUSTOS!$M$38)</f>
        <v>204.57163525385519</v>
      </c>
      <c r="AB514" s="6">
        <f>$K$514*$V$514</f>
        <v>0</v>
      </c>
      <c r="AC514" s="6">
        <f>$M$514*$W$514</f>
        <v>6700.8915800000004</v>
      </c>
      <c r="AD514" s="6">
        <f>$O$514*$X$514</f>
        <v>3406.2447400000001</v>
      </c>
      <c r="AE514" s="6">
        <f>$K$514*$Y$514</f>
        <v>0</v>
      </c>
      <c r="AF514" s="6">
        <f ca="1">$M$514*$Z$514</f>
        <v>8040.7343769052977</v>
      </c>
      <c r="AG514" s="6">
        <f>$O$514*$AA$514</f>
        <v>3539.4984331622022</v>
      </c>
    </row>
    <row r="515" spans="1:33" ht="11.25" customHeight="1" x14ac:dyDescent="0.25">
      <c r="A515" s="4" t="s">
        <v>54</v>
      </c>
      <c r="B515" s="4" t="s">
        <v>40</v>
      </c>
      <c r="C515" s="4" t="s">
        <v>23</v>
      </c>
      <c r="D515" s="4" t="s">
        <v>41</v>
      </c>
      <c r="E515" s="4" t="s">
        <v>50</v>
      </c>
      <c r="F515" s="4" t="s">
        <v>51</v>
      </c>
      <c r="G515" s="4" t="s">
        <v>25</v>
      </c>
      <c r="H515" s="4" t="s">
        <v>25</v>
      </c>
      <c r="I515" s="5">
        <v>44621</v>
      </c>
      <c r="J515" s="6">
        <v>0</v>
      </c>
      <c r="K515" s="6">
        <v>0</v>
      </c>
      <c r="L515" s="6">
        <v>1298.3779999999999</v>
      </c>
      <c r="M515" s="6">
        <v>1298.3779999999999</v>
      </c>
      <c r="N515" s="6">
        <v>1298.3779999999999</v>
      </c>
      <c r="O515" s="6">
        <v>1298.3779999999999</v>
      </c>
      <c r="P515" s="6">
        <v>0</v>
      </c>
      <c r="Q515" s="4" t="s">
        <v>26</v>
      </c>
      <c r="R515" s="4">
        <v>0</v>
      </c>
      <c r="S515" s="6">
        <v>0</v>
      </c>
      <c r="T515" s="6">
        <v>60</v>
      </c>
      <c r="U515" s="6">
        <v>16</v>
      </c>
      <c r="V515" s="6">
        <f>IF(ISERROR(VLOOKUP($S$515,'TAR FIN'!$A$1:$O$85,15,0)),0,VLOOKUP($S$515,'TAR FIN'!$A$1:$O$85,15,0))</f>
        <v>0</v>
      </c>
      <c r="W515" s="6">
        <f>IF(ISERROR(VLOOKUP($T$515,'TAR FIN'!$A$1:$O$85,15,0)),0,VLOOKUP($T$515,'TAR FIN'!$A$1:$O$85,15,0))</f>
        <v>387.29</v>
      </c>
      <c r="X515" s="6">
        <f>IF(ISERROR(VLOOKUP($U$515,'TAR FIN'!$A$1:$O$85,15,0)),0,VLOOKUP($U$515,'TAR FIN'!$A$1:$O$85,15,0))</f>
        <v>196.87</v>
      </c>
      <c r="Y515" s="6"/>
      <c r="Z515" s="6">
        <f ca="1">('TUSD BE'!$AM$33+'TUSD BF'!$AM$33+'TUSD CVA'!$AM$33)*(1-CUSTOS!$M$38)</f>
        <v>464.7286080745173</v>
      </c>
      <c r="AA515" s="6">
        <f>('TE BE'!$AA$23+'TE BF'!$AA$23+'TE CVA'!$AA$23)*(1-CUSTOS!$M$38)</f>
        <v>204.57163525385519</v>
      </c>
      <c r="AB515" s="6">
        <f>$K$515*$V$515</f>
        <v>0</v>
      </c>
      <c r="AC515" s="6">
        <f>$M$515*$W$515</f>
        <v>502848.81562000001</v>
      </c>
      <c r="AD515" s="6">
        <f>$O$515*$X$515</f>
        <v>255611.67685999998</v>
      </c>
      <c r="AE515" s="6">
        <f>$K$515*$Y$515</f>
        <v>0</v>
      </c>
      <c r="AF515" s="6">
        <f ca="1">$M$515*$Z$515</f>
        <v>603393.40069457563</v>
      </c>
      <c r="AG515" s="6">
        <f>$O$515*$AA$515</f>
        <v>265611.31063763</v>
      </c>
    </row>
    <row r="516" spans="1:33" ht="11.25" customHeight="1" x14ac:dyDescent="0.25">
      <c r="A516" s="4" t="s">
        <v>54</v>
      </c>
      <c r="B516" s="4" t="s">
        <v>40</v>
      </c>
      <c r="C516" s="4" t="s">
        <v>23</v>
      </c>
      <c r="D516" s="4" t="s">
        <v>41</v>
      </c>
      <c r="E516" s="4" t="s">
        <v>50</v>
      </c>
      <c r="F516" s="4" t="s">
        <v>51</v>
      </c>
      <c r="G516" s="4" t="s">
        <v>25</v>
      </c>
      <c r="H516" s="4" t="s">
        <v>25</v>
      </c>
      <c r="I516" s="5">
        <v>44621</v>
      </c>
      <c r="J516" s="6">
        <v>0</v>
      </c>
      <c r="K516" s="6">
        <v>0</v>
      </c>
      <c r="L516" s="6">
        <v>17.302</v>
      </c>
      <c r="M516" s="6">
        <v>17.302</v>
      </c>
      <c r="N516" s="6">
        <v>17.302</v>
      </c>
      <c r="O516" s="6">
        <v>17.302</v>
      </c>
      <c r="P516" s="6">
        <v>0</v>
      </c>
      <c r="Q516" s="4" t="s">
        <v>26</v>
      </c>
      <c r="R516" s="4">
        <v>0</v>
      </c>
      <c r="S516" s="6">
        <v>0</v>
      </c>
      <c r="T516" s="6">
        <v>60</v>
      </c>
      <c r="U516" s="6">
        <v>16</v>
      </c>
      <c r="V516" s="6">
        <f>IF(ISERROR(VLOOKUP($S$516,'TAR FIN'!$A$1:$O$85,15,0)),0,VLOOKUP($S$516,'TAR FIN'!$A$1:$O$85,15,0))</f>
        <v>0</v>
      </c>
      <c r="W516" s="6">
        <f>IF(ISERROR(VLOOKUP($T$516,'TAR FIN'!$A$1:$O$85,15,0)),0,VLOOKUP($T$516,'TAR FIN'!$A$1:$O$85,15,0))</f>
        <v>387.29</v>
      </c>
      <c r="X516" s="6">
        <f>IF(ISERROR(VLOOKUP($U$516,'TAR FIN'!$A$1:$O$85,15,0)),0,VLOOKUP($U$516,'TAR FIN'!$A$1:$O$85,15,0))</f>
        <v>196.87</v>
      </c>
      <c r="Y516" s="6"/>
      <c r="Z516" s="6">
        <f ca="1">('TUSD BE'!$AM$33+'TUSD BF'!$AM$33+'TUSD CVA'!$AM$33)*(1-CUSTOS!$M$38)</f>
        <v>464.7286080745173</v>
      </c>
      <c r="AA516" s="6">
        <f>('TE BE'!$AA$23+'TE BF'!$AA$23+'TE CVA'!$AA$23)*(1-CUSTOS!$M$38)</f>
        <v>204.57163525385519</v>
      </c>
      <c r="AB516" s="6">
        <f>$K$516*$V$516</f>
        <v>0</v>
      </c>
      <c r="AC516" s="6">
        <f>$M$516*$W$516</f>
        <v>6700.8915800000004</v>
      </c>
      <c r="AD516" s="6">
        <f>$O$516*$X$516</f>
        <v>3406.2447400000001</v>
      </c>
      <c r="AE516" s="6">
        <f>$K$516*$Y$516</f>
        <v>0</v>
      </c>
      <c r="AF516" s="6">
        <f ca="1">$M$516*$Z$516</f>
        <v>8040.7343769052977</v>
      </c>
      <c r="AG516" s="6">
        <f>$O$516*$AA$516</f>
        <v>3539.4984331622022</v>
      </c>
    </row>
    <row r="517" spans="1:33" ht="11.25" customHeight="1" x14ac:dyDescent="0.25">
      <c r="A517" s="4" t="s">
        <v>21</v>
      </c>
      <c r="B517" s="4" t="s">
        <v>40</v>
      </c>
      <c r="C517" s="4" t="s">
        <v>23</v>
      </c>
      <c r="D517" s="4" t="s">
        <v>41</v>
      </c>
      <c r="E517" s="4" t="s">
        <v>50</v>
      </c>
      <c r="F517" s="4" t="s">
        <v>52</v>
      </c>
      <c r="G517" s="4" t="s">
        <v>25</v>
      </c>
      <c r="H517" s="4" t="s">
        <v>25</v>
      </c>
      <c r="I517" s="5">
        <v>44287</v>
      </c>
      <c r="J517" s="6">
        <v>0</v>
      </c>
      <c r="K517" s="6">
        <v>0</v>
      </c>
      <c r="L517" s="6">
        <v>1064.1079999999999</v>
      </c>
      <c r="M517" s="6">
        <v>425.64319999999998</v>
      </c>
      <c r="N517" s="6">
        <v>1064.1079999999999</v>
      </c>
      <c r="O517" s="6">
        <v>425.64319999999998</v>
      </c>
      <c r="P517" s="6">
        <v>0</v>
      </c>
      <c r="Q517" s="4" t="s">
        <v>26</v>
      </c>
      <c r="R517" s="4">
        <v>0</v>
      </c>
      <c r="S517" s="6">
        <v>0</v>
      </c>
      <c r="T517" s="6">
        <v>60</v>
      </c>
      <c r="U517" s="6">
        <v>16</v>
      </c>
      <c r="V517" s="6">
        <f>IF(ISERROR(VLOOKUP($S$517,'TAR FIN'!$A$1:$O$85,15,0)),0,VLOOKUP($S$517,'TAR FIN'!$A$1:$O$85,15,0))</f>
        <v>0</v>
      </c>
      <c r="W517" s="6">
        <f>IF(ISERROR(VLOOKUP($T$517,'TAR FIN'!$A$1:$O$85,15,0)),0,VLOOKUP($T$517,'TAR FIN'!$A$1:$O$85,15,0))</f>
        <v>387.29</v>
      </c>
      <c r="X517" s="6">
        <f>IF(ISERROR(VLOOKUP($U$517,'TAR FIN'!$A$1:$O$85,15,0)),0,VLOOKUP($U$517,'TAR FIN'!$A$1:$O$85,15,0))</f>
        <v>196.87</v>
      </c>
      <c r="Y517" s="6"/>
      <c r="Z517" s="6">
        <f ca="1">('TUSD BE'!$AM$33+'TUSD BF'!$AM$33+'TUSD CVA'!$AM$33)*(1-CUSTOS!$M$38)</f>
        <v>464.7286080745173</v>
      </c>
      <c r="AA517" s="6">
        <f>('TE BE'!$AA$23+'TE BF'!$AA$23+'TE CVA'!$AA$23)*(1-CUSTOS!$M$38)</f>
        <v>204.57163525385519</v>
      </c>
      <c r="AB517" s="6">
        <f>$K$517*$V$517</f>
        <v>0</v>
      </c>
      <c r="AC517" s="6">
        <f>$M$517*$W$517</f>
        <v>164847.35492799999</v>
      </c>
      <c r="AD517" s="6">
        <f>$O$517*$X$517</f>
        <v>83796.376783999993</v>
      </c>
      <c r="AE517" s="6">
        <f>$K$517*$Y$517</f>
        <v>0</v>
      </c>
      <c r="AF517" s="6">
        <f ca="1">$M$517*$Z$517</f>
        <v>197808.57187238339</v>
      </c>
      <c r="AG517" s="6">
        <f>$O$517*$AA$517</f>
        <v>87074.525458683725</v>
      </c>
    </row>
    <row r="518" spans="1:33" ht="11.25" customHeight="1" x14ac:dyDescent="0.25">
      <c r="A518" s="4" t="s">
        <v>21</v>
      </c>
      <c r="B518" s="4" t="s">
        <v>40</v>
      </c>
      <c r="C518" s="4" t="s">
        <v>23</v>
      </c>
      <c r="D518" s="4" t="s">
        <v>41</v>
      </c>
      <c r="E518" s="4" t="s">
        <v>50</v>
      </c>
      <c r="F518" s="4" t="s">
        <v>52</v>
      </c>
      <c r="G518" s="4" t="s">
        <v>25</v>
      </c>
      <c r="H518" s="4" t="s">
        <v>25</v>
      </c>
      <c r="I518" s="5">
        <v>44317</v>
      </c>
      <c r="J518" s="6">
        <v>0</v>
      </c>
      <c r="K518" s="6">
        <v>0</v>
      </c>
      <c r="L518" s="6">
        <v>1083.645</v>
      </c>
      <c r="M518" s="6">
        <v>433.45800000000003</v>
      </c>
      <c r="N518" s="6">
        <v>1083.645</v>
      </c>
      <c r="O518" s="6">
        <v>433.45800000000003</v>
      </c>
      <c r="P518" s="6">
        <v>0</v>
      </c>
      <c r="Q518" s="4" t="s">
        <v>26</v>
      </c>
      <c r="R518" s="4">
        <v>0</v>
      </c>
      <c r="S518" s="6">
        <v>0</v>
      </c>
      <c r="T518" s="6">
        <v>60</v>
      </c>
      <c r="U518" s="6">
        <v>16</v>
      </c>
      <c r="V518" s="6">
        <f>IF(ISERROR(VLOOKUP($S$518,'TAR FIN'!$A$1:$O$85,15,0)),0,VLOOKUP($S$518,'TAR FIN'!$A$1:$O$85,15,0))</f>
        <v>0</v>
      </c>
      <c r="W518" s="6">
        <f>IF(ISERROR(VLOOKUP($T$518,'TAR FIN'!$A$1:$O$85,15,0)),0,VLOOKUP($T$518,'TAR FIN'!$A$1:$O$85,15,0))</f>
        <v>387.29</v>
      </c>
      <c r="X518" s="6">
        <f>IF(ISERROR(VLOOKUP($U$518,'TAR FIN'!$A$1:$O$85,15,0)),0,VLOOKUP($U$518,'TAR FIN'!$A$1:$O$85,15,0))</f>
        <v>196.87</v>
      </c>
      <c r="Y518" s="6"/>
      <c r="Z518" s="6">
        <f ca="1">('TUSD BE'!$AM$33+'TUSD BF'!$AM$33+'TUSD CVA'!$AM$33)*(1-CUSTOS!$M$38)</f>
        <v>464.7286080745173</v>
      </c>
      <c r="AA518" s="6">
        <f>('TE BE'!$AA$23+'TE BF'!$AA$23+'TE CVA'!$AA$23)*(1-CUSTOS!$M$38)</f>
        <v>204.57163525385519</v>
      </c>
      <c r="AB518" s="6">
        <f>$K$518*$V$518</f>
        <v>0</v>
      </c>
      <c r="AC518" s="6">
        <f>$M$518*$W$518</f>
        <v>167873.94882000002</v>
      </c>
      <c r="AD518" s="6">
        <f>$O$518*$X$518</f>
        <v>85334.876460000014</v>
      </c>
      <c r="AE518" s="6">
        <f>$K$518*$Y$518</f>
        <v>0</v>
      </c>
      <c r="AF518" s="6">
        <f ca="1">$M$518*$Z$518</f>
        <v>201440.33299876412</v>
      </c>
      <c r="AG518" s="6">
        <f>$O$518*$AA$518</f>
        <v>88673.21187386557</v>
      </c>
    </row>
    <row r="519" spans="1:33" ht="11.25" customHeight="1" x14ac:dyDescent="0.25">
      <c r="A519" s="4" t="s">
        <v>28</v>
      </c>
      <c r="B519" s="4" t="s">
        <v>40</v>
      </c>
      <c r="C519" s="4" t="s">
        <v>23</v>
      </c>
      <c r="D519" s="4" t="s">
        <v>41</v>
      </c>
      <c r="E519" s="4" t="s">
        <v>50</v>
      </c>
      <c r="F519" s="4" t="s">
        <v>52</v>
      </c>
      <c r="G519" s="4" t="s">
        <v>25</v>
      </c>
      <c r="H519" s="4" t="s">
        <v>25</v>
      </c>
      <c r="I519" s="5">
        <v>44317</v>
      </c>
      <c r="J519" s="6">
        <v>0</v>
      </c>
      <c r="K519" s="6">
        <v>0</v>
      </c>
      <c r="L519" s="6">
        <v>10.56</v>
      </c>
      <c r="M519" s="6">
        <v>10.56</v>
      </c>
      <c r="N519" s="6">
        <v>10.56</v>
      </c>
      <c r="O519" s="6">
        <v>10.56</v>
      </c>
      <c r="P519" s="6">
        <v>0</v>
      </c>
      <c r="Q519" s="4" t="s">
        <v>26</v>
      </c>
      <c r="R519" s="4">
        <v>0</v>
      </c>
      <c r="S519" s="6">
        <v>0</v>
      </c>
      <c r="T519" s="6">
        <v>60</v>
      </c>
      <c r="U519" s="6">
        <v>16</v>
      </c>
      <c r="V519" s="6">
        <f>IF(ISERROR(VLOOKUP($S$519,'TAR FIN'!$A$1:$O$85,15,0)),0,VLOOKUP($S$519,'TAR FIN'!$A$1:$O$85,15,0))</f>
        <v>0</v>
      </c>
      <c r="W519" s="6">
        <f>IF(ISERROR(VLOOKUP($T$519,'TAR FIN'!$A$1:$O$85,15,0)),0,VLOOKUP($T$519,'TAR FIN'!$A$1:$O$85,15,0))</f>
        <v>387.29</v>
      </c>
      <c r="X519" s="6">
        <f>IF(ISERROR(VLOOKUP($U$519,'TAR FIN'!$A$1:$O$85,15,0)),0,VLOOKUP($U$519,'TAR FIN'!$A$1:$O$85,15,0))</f>
        <v>196.87</v>
      </c>
      <c r="Y519" s="6"/>
      <c r="Z519" s="6">
        <f ca="1">('TUSD BE'!$AM$33+'TUSD BF'!$AM$33+'TUSD CVA'!$AM$33)*(1-CUSTOS!$M$38)</f>
        <v>464.7286080745173</v>
      </c>
      <c r="AA519" s="6">
        <f>('TE BE'!$AA$23+'TE BF'!$AA$23+'TE CVA'!$AA$23)*(1-CUSTOS!$M$38)</f>
        <v>204.57163525385519</v>
      </c>
      <c r="AB519" s="6">
        <f>$K$519*$V$519</f>
        <v>0</v>
      </c>
      <c r="AC519" s="6">
        <f>$M$519*$W$519</f>
        <v>4089.7824000000005</v>
      </c>
      <c r="AD519" s="6">
        <f>$O$519*$X$519</f>
        <v>2078.9472000000001</v>
      </c>
      <c r="AE519" s="6">
        <f>$K$519*$Y$519</f>
        <v>0</v>
      </c>
      <c r="AF519" s="6">
        <f ca="1">$M$519*$Z$519</f>
        <v>4907.5341012669032</v>
      </c>
      <c r="AG519" s="6">
        <f>$O$519*$AA$519</f>
        <v>2160.276468280711</v>
      </c>
    </row>
    <row r="520" spans="1:33" ht="11.25" customHeight="1" x14ac:dyDescent="0.25">
      <c r="A520" s="4" t="s">
        <v>21</v>
      </c>
      <c r="B520" s="4" t="s">
        <v>40</v>
      </c>
      <c r="C520" s="4" t="s">
        <v>23</v>
      </c>
      <c r="D520" s="4" t="s">
        <v>41</v>
      </c>
      <c r="E520" s="4" t="s">
        <v>50</v>
      </c>
      <c r="F520" s="4" t="s">
        <v>52</v>
      </c>
      <c r="G520" s="4" t="s">
        <v>25</v>
      </c>
      <c r="H520" s="4" t="s">
        <v>25</v>
      </c>
      <c r="I520" s="5">
        <v>44348</v>
      </c>
      <c r="J520" s="6">
        <v>0</v>
      </c>
      <c r="K520" s="6">
        <v>0</v>
      </c>
      <c r="L520" s="6">
        <v>398.53300000000002</v>
      </c>
      <c r="M520" s="6">
        <v>159.41319999999999</v>
      </c>
      <c r="N520" s="6">
        <v>398.53300000000002</v>
      </c>
      <c r="O520" s="6">
        <v>159.41319999999999</v>
      </c>
      <c r="P520" s="6">
        <v>0</v>
      </c>
      <c r="Q520" s="4" t="s">
        <v>26</v>
      </c>
      <c r="R520" s="4">
        <v>0</v>
      </c>
      <c r="S520" s="6">
        <v>0</v>
      </c>
      <c r="T520" s="6">
        <v>60</v>
      </c>
      <c r="U520" s="6">
        <v>16</v>
      </c>
      <c r="V520" s="6">
        <f>IF(ISERROR(VLOOKUP($S$520,'TAR FIN'!$A$1:$O$85,15,0)),0,VLOOKUP($S$520,'TAR FIN'!$A$1:$O$85,15,0))</f>
        <v>0</v>
      </c>
      <c r="W520" s="6">
        <f>IF(ISERROR(VLOOKUP($T$520,'TAR FIN'!$A$1:$O$85,15,0)),0,VLOOKUP($T$520,'TAR FIN'!$A$1:$O$85,15,0))</f>
        <v>387.29</v>
      </c>
      <c r="X520" s="6">
        <f>IF(ISERROR(VLOOKUP($U$520,'TAR FIN'!$A$1:$O$85,15,0)),0,VLOOKUP($U$520,'TAR FIN'!$A$1:$O$85,15,0))</f>
        <v>196.87</v>
      </c>
      <c r="Y520" s="6"/>
      <c r="Z520" s="6">
        <f ca="1">('TUSD BE'!$AM$33+'TUSD BF'!$AM$33+'TUSD CVA'!$AM$33)*(1-CUSTOS!$M$38)</f>
        <v>464.7286080745173</v>
      </c>
      <c r="AA520" s="6">
        <f>('TE BE'!$AA$23+'TE BF'!$AA$23+'TE CVA'!$AA$23)*(1-CUSTOS!$M$38)</f>
        <v>204.57163525385519</v>
      </c>
      <c r="AB520" s="6">
        <f>$K$520*$V$520</f>
        <v>0</v>
      </c>
      <c r="AC520" s="6">
        <f>$M$520*$W$520</f>
        <v>61739.138227999996</v>
      </c>
      <c r="AD520" s="6">
        <f>$O$520*$X$520</f>
        <v>31383.676683999998</v>
      </c>
      <c r="AE520" s="6">
        <f>$K$520*$Y$520</f>
        <v>0</v>
      </c>
      <c r="AF520" s="6">
        <f ca="1">$M$520*$Z$520</f>
        <v>74083.874544704639</v>
      </c>
      <c r="AG520" s="6">
        <f>$O$520*$AA$520</f>
        <v>32611.419005049866</v>
      </c>
    </row>
    <row r="521" spans="1:33" ht="11.25" customHeight="1" x14ac:dyDescent="0.25">
      <c r="A521" s="4" t="s">
        <v>21</v>
      </c>
      <c r="B521" s="4" t="s">
        <v>40</v>
      </c>
      <c r="C521" s="4" t="s">
        <v>23</v>
      </c>
      <c r="D521" s="4" t="s">
        <v>41</v>
      </c>
      <c r="E521" s="4" t="s">
        <v>50</v>
      </c>
      <c r="F521" s="4" t="s">
        <v>52</v>
      </c>
      <c r="G521" s="4" t="s">
        <v>25</v>
      </c>
      <c r="H521" s="4" t="s">
        <v>25</v>
      </c>
      <c r="I521" s="5">
        <v>44378</v>
      </c>
      <c r="J521" s="6">
        <v>0</v>
      </c>
      <c r="K521" s="6">
        <v>0</v>
      </c>
      <c r="L521" s="6">
        <v>710.33799999999997</v>
      </c>
      <c r="M521" s="6">
        <v>284.1352</v>
      </c>
      <c r="N521" s="6">
        <v>710.33799999999997</v>
      </c>
      <c r="O521" s="6">
        <v>284.1352</v>
      </c>
      <c r="P521" s="6">
        <v>0</v>
      </c>
      <c r="Q521" s="4" t="s">
        <v>26</v>
      </c>
      <c r="R521" s="4">
        <v>0</v>
      </c>
      <c r="S521" s="6">
        <v>0</v>
      </c>
      <c r="T521" s="6">
        <v>60</v>
      </c>
      <c r="U521" s="6">
        <v>16</v>
      </c>
      <c r="V521" s="6">
        <f>IF(ISERROR(VLOOKUP($S$521,'TAR FIN'!$A$1:$O$85,15,0)),0,VLOOKUP($S$521,'TAR FIN'!$A$1:$O$85,15,0))</f>
        <v>0</v>
      </c>
      <c r="W521" s="6">
        <f>IF(ISERROR(VLOOKUP($T$521,'TAR FIN'!$A$1:$O$85,15,0)),0,VLOOKUP($T$521,'TAR FIN'!$A$1:$O$85,15,0))</f>
        <v>387.29</v>
      </c>
      <c r="X521" s="6">
        <f>IF(ISERROR(VLOOKUP($U$521,'TAR FIN'!$A$1:$O$85,15,0)),0,VLOOKUP($U$521,'TAR FIN'!$A$1:$O$85,15,0))</f>
        <v>196.87</v>
      </c>
      <c r="Y521" s="6"/>
      <c r="Z521" s="6">
        <f ca="1">('TUSD BE'!$AM$33+'TUSD BF'!$AM$33+'TUSD CVA'!$AM$33)*(1-CUSTOS!$M$38)</f>
        <v>464.7286080745173</v>
      </c>
      <c r="AA521" s="6">
        <f>('TE BE'!$AA$23+'TE BF'!$AA$23+'TE CVA'!$AA$23)*(1-CUSTOS!$M$38)</f>
        <v>204.57163525385519</v>
      </c>
      <c r="AB521" s="6">
        <f>$K$521*$V$521</f>
        <v>0</v>
      </c>
      <c r="AC521" s="6">
        <f>$M$521*$W$521</f>
        <v>110042.72160800001</v>
      </c>
      <c r="AD521" s="6">
        <f>$O$521*$X$521</f>
        <v>55937.696823999999</v>
      </c>
      <c r="AE521" s="6">
        <f>$K$521*$Y$521</f>
        <v>0</v>
      </c>
      <c r="AF521" s="6">
        <f ca="1">$M$521*$Z$521</f>
        <v>132045.75600097459</v>
      </c>
      <c r="AG521" s="6">
        <f>$O$521*$AA$521</f>
        <v>58126.002497181194</v>
      </c>
    </row>
    <row r="522" spans="1:33" ht="11.25" customHeight="1" x14ac:dyDescent="0.25">
      <c r="A522" s="4" t="s">
        <v>27</v>
      </c>
      <c r="B522" s="4" t="s">
        <v>40</v>
      </c>
      <c r="C522" s="4" t="s">
        <v>23</v>
      </c>
      <c r="D522" s="4" t="s">
        <v>41</v>
      </c>
      <c r="E522" s="4" t="s">
        <v>50</v>
      </c>
      <c r="F522" s="4" t="s">
        <v>52</v>
      </c>
      <c r="G522" s="4" t="s">
        <v>25</v>
      </c>
      <c r="H522" s="4" t="s">
        <v>25</v>
      </c>
      <c r="I522" s="5">
        <v>44378</v>
      </c>
      <c r="J522" s="6">
        <v>0</v>
      </c>
      <c r="K522" s="6">
        <v>0</v>
      </c>
      <c r="L522" s="6">
        <v>-1.8</v>
      </c>
      <c r="M522" s="6">
        <v>-0.72</v>
      </c>
      <c r="N522" s="6">
        <v>-1.8</v>
      </c>
      <c r="O522" s="6">
        <v>-0.72</v>
      </c>
      <c r="P522" s="6">
        <v>0</v>
      </c>
      <c r="Q522" s="4" t="s">
        <v>26</v>
      </c>
      <c r="R522" s="4">
        <v>0</v>
      </c>
      <c r="S522" s="6">
        <v>0</v>
      </c>
      <c r="T522" s="6">
        <v>60</v>
      </c>
      <c r="U522" s="6">
        <v>16</v>
      </c>
      <c r="V522" s="6">
        <f>IF(ISERROR(VLOOKUP($S$522,'TAR FIN'!$A$1:$O$85,15,0)),0,VLOOKUP($S$522,'TAR FIN'!$A$1:$O$85,15,0))</f>
        <v>0</v>
      </c>
      <c r="W522" s="6">
        <f>IF(ISERROR(VLOOKUP($T$522,'TAR FIN'!$A$1:$O$85,15,0)),0,VLOOKUP($T$522,'TAR FIN'!$A$1:$O$85,15,0))</f>
        <v>387.29</v>
      </c>
      <c r="X522" s="6">
        <f>IF(ISERROR(VLOOKUP($U$522,'TAR FIN'!$A$1:$O$85,15,0)),0,VLOOKUP($U$522,'TAR FIN'!$A$1:$O$85,15,0))</f>
        <v>196.87</v>
      </c>
      <c r="Y522" s="6"/>
      <c r="Z522" s="6">
        <f ca="1">('TUSD BE'!$AM$33+'TUSD BF'!$AM$33+'TUSD CVA'!$AM$33)*(1-CUSTOS!$M$38)</f>
        <v>464.7286080745173</v>
      </c>
      <c r="AA522" s="6">
        <f>('TE BE'!$AA$23+'TE BF'!$AA$23+'TE CVA'!$AA$23)*(1-CUSTOS!$M$38)</f>
        <v>204.57163525385519</v>
      </c>
      <c r="AB522" s="6">
        <f>$K$522*$V$522</f>
        <v>0</v>
      </c>
      <c r="AC522" s="6">
        <f>$M$522*$W$522</f>
        <v>-278.84879999999998</v>
      </c>
      <c r="AD522" s="6">
        <f>$O$522*$X$522</f>
        <v>-141.74639999999999</v>
      </c>
      <c r="AE522" s="6">
        <f>$K$522*$Y$522</f>
        <v>0</v>
      </c>
      <c r="AF522" s="6">
        <f ca="1">$M$522*$Z$522</f>
        <v>-334.60459781365245</v>
      </c>
      <c r="AG522" s="6">
        <f>$O$522*$AA$522</f>
        <v>-147.29157738277573</v>
      </c>
    </row>
    <row r="523" spans="1:33" ht="11.25" customHeight="1" x14ac:dyDescent="0.25">
      <c r="A523" s="4" t="s">
        <v>21</v>
      </c>
      <c r="B523" s="4" t="s">
        <v>40</v>
      </c>
      <c r="C523" s="4" t="s">
        <v>23</v>
      </c>
      <c r="D523" s="4" t="s">
        <v>41</v>
      </c>
      <c r="E523" s="4" t="s">
        <v>50</v>
      </c>
      <c r="F523" s="4" t="s">
        <v>52</v>
      </c>
      <c r="G523" s="4" t="s">
        <v>25</v>
      </c>
      <c r="H523" s="4" t="s">
        <v>25</v>
      </c>
      <c r="I523" s="5">
        <v>44409</v>
      </c>
      <c r="J523" s="6">
        <v>0</v>
      </c>
      <c r="K523" s="6">
        <v>0</v>
      </c>
      <c r="L523" s="6">
        <v>788.05499999999995</v>
      </c>
      <c r="M523" s="6">
        <v>315.22199999999998</v>
      </c>
      <c r="N523" s="6">
        <v>788.05499999999995</v>
      </c>
      <c r="O523" s="6">
        <v>315.22199999999998</v>
      </c>
      <c r="P523" s="6">
        <v>0</v>
      </c>
      <c r="Q523" s="4" t="s">
        <v>26</v>
      </c>
      <c r="R523" s="4">
        <v>0</v>
      </c>
      <c r="S523" s="6">
        <v>0</v>
      </c>
      <c r="T523" s="6">
        <v>60</v>
      </c>
      <c r="U523" s="6">
        <v>16</v>
      </c>
      <c r="V523" s="6">
        <f>IF(ISERROR(VLOOKUP($S$523,'TAR FIN'!$A$1:$O$85,15,0)),0,VLOOKUP($S$523,'TAR FIN'!$A$1:$O$85,15,0))</f>
        <v>0</v>
      </c>
      <c r="W523" s="6">
        <f>IF(ISERROR(VLOOKUP($T$523,'TAR FIN'!$A$1:$O$85,15,0)),0,VLOOKUP($T$523,'TAR FIN'!$A$1:$O$85,15,0))</f>
        <v>387.29</v>
      </c>
      <c r="X523" s="6">
        <f>IF(ISERROR(VLOOKUP($U$523,'TAR FIN'!$A$1:$O$85,15,0)),0,VLOOKUP($U$523,'TAR FIN'!$A$1:$O$85,15,0))</f>
        <v>196.87</v>
      </c>
      <c r="Y523" s="6"/>
      <c r="Z523" s="6">
        <f ca="1">('TUSD BE'!$AM$33+'TUSD BF'!$AM$33+'TUSD CVA'!$AM$33)*(1-CUSTOS!$M$38)</f>
        <v>464.7286080745173</v>
      </c>
      <c r="AA523" s="6">
        <f>('TE BE'!$AA$23+'TE BF'!$AA$23+'TE CVA'!$AA$23)*(1-CUSTOS!$M$38)</f>
        <v>204.57163525385519</v>
      </c>
      <c r="AB523" s="6">
        <f>$K$523*$V$523</f>
        <v>0</v>
      </c>
      <c r="AC523" s="6">
        <f>$M$523*$W$523</f>
        <v>122082.32837999999</v>
      </c>
      <c r="AD523" s="6">
        <f>$O$523*$X$523</f>
        <v>62057.755140000001</v>
      </c>
      <c r="AE523" s="6">
        <f>$K$523*$Y$523</f>
        <v>0</v>
      </c>
      <c r="AF523" s="6">
        <f ca="1">$M$523*$Z$523</f>
        <v>146492.6812944655</v>
      </c>
      <c r="AG523" s="6">
        <f>$O$523*$AA$523</f>
        <v>64485.480007990736</v>
      </c>
    </row>
    <row r="524" spans="1:33" ht="11.25" customHeight="1" x14ac:dyDescent="0.25">
      <c r="A524" s="4" t="s">
        <v>28</v>
      </c>
      <c r="B524" s="4" t="s">
        <v>40</v>
      </c>
      <c r="C524" s="4" t="s">
        <v>23</v>
      </c>
      <c r="D524" s="4" t="s">
        <v>41</v>
      </c>
      <c r="E524" s="4" t="s">
        <v>50</v>
      </c>
      <c r="F524" s="4" t="s">
        <v>52</v>
      </c>
      <c r="G524" s="4" t="s">
        <v>25</v>
      </c>
      <c r="H524" s="4" t="s">
        <v>25</v>
      </c>
      <c r="I524" s="5">
        <v>44409</v>
      </c>
      <c r="J524" s="6">
        <v>0</v>
      </c>
      <c r="K524" s="6">
        <v>0</v>
      </c>
      <c r="L524" s="6">
        <v>4.92</v>
      </c>
      <c r="M524" s="6">
        <v>4.92</v>
      </c>
      <c r="N524" s="6">
        <v>4.92</v>
      </c>
      <c r="O524" s="6">
        <v>4.92</v>
      </c>
      <c r="P524" s="6">
        <v>0</v>
      </c>
      <c r="Q524" s="4" t="s">
        <v>26</v>
      </c>
      <c r="R524" s="4">
        <v>0</v>
      </c>
      <c r="S524" s="6">
        <v>0</v>
      </c>
      <c r="T524" s="6">
        <v>60</v>
      </c>
      <c r="U524" s="6">
        <v>16</v>
      </c>
      <c r="V524" s="6">
        <f>IF(ISERROR(VLOOKUP($S$524,'TAR FIN'!$A$1:$O$85,15,0)),0,VLOOKUP($S$524,'TAR FIN'!$A$1:$O$85,15,0))</f>
        <v>0</v>
      </c>
      <c r="W524" s="6">
        <f>IF(ISERROR(VLOOKUP($T$524,'TAR FIN'!$A$1:$O$85,15,0)),0,VLOOKUP($T$524,'TAR FIN'!$A$1:$O$85,15,0))</f>
        <v>387.29</v>
      </c>
      <c r="X524" s="6">
        <f>IF(ISERROR(VLOOKUP($U$524,'TAR FIN'!$A$1:$O$85,15,0)),0,VLOOKUP($U$524,'TAR FIN'!$A$1:$O$85,15,0))</f>
        <v>196.87</v>
      </c>
      <c r="Y524" s="6"/>
      <c r="Z524" s="6">
        <f ca="1">('TUSD BE'!$AM$33+'TUSD BF'!$AM$33+'TUSD CVA'!$AM$33)*(1-CUSTOS!$M$38)</f>
        <v>464.7286080745173</v>
      </c>
      <c r="AA524" s="6">
        <f>('TE BE'!$AA$23+'TE BF'!$AA$23+'TE CVA'!$AA$23)*(1-CUSTOS!$M$38)</f>
        <v>204.57163525385519</v>
      </c>
      <c r="AB524" s="6">
        <f>$K$524*$V$524</f>
        <v>0</v>
      </c>
      <c r="AC524" s="6">
        <f>$M$524*$W$524</f>
        <v>1905.4668000000001</v>
      </c>
      <c r="AD524" s="6">
        <f>$O$524*$X$524</f>
        <v>968.60040000000004</v>
      </c>
      <c r="AE524" s="6">
        <f>$K$524*$Y$524</f>
        <v>0</v>
      </c>
      <c r="AF524" s="6">
        <f ca="1">$M$524*$Z$524</f>
        <v>2286.4647517266249</v>
      </c>
      <c r="AG524" s="6">
        <f>$O$524*$AA$524</f>
        <v>1006.4924454489675</v>
      </c>
    </row>
    <row r="525" spans="1:33" ht="11.25" customHeight="1" x14ac:dyDescent="0.25">
      <c r="A525" s="4" t="s">
        <v>21</v>
      </c>
      <c r="B525" s="4" t="s">
        <v>40</v>
      </c>
      <c r="C525" s="4" t="s">
        <v>23</v>
      </c>
      <c r="D525" s="4" t="s">
        <v>41</v>
      </c>
      <c r="E525" s="4" t="s">
        <v>50</v>
      </c>
      <c r="F525" s="4" t="s">
        <v>52</v>
      </c>
      <c r="G525" s="4" t="s">
        <v>25</v>
      </c>
      <c r="H525" s="4" t="s">
        <v>25</v>
      </c>
      <c r="I525" s="5">
        <v>44440</v>
      </c>
      <c r="J525" s="6">
        <v>0</v>
      </c>
      <c r="K525" s="6">
        <v>0</v>
      </c>
      <c r="L525" s="6">
        <v>785.18899999999996</v>
      </c>
      <c r="M525" s="6">
        <v>314.07560000000001</v>
      </c>
      <c r="N525" s="6">
        <v>785.18899999999996</v>
      </c>
      <c r="O525" s="6">
        <v>314.07560000000001</v>
      </c>
      <c r="P525" s="6">
        <v>0</v>
      </c>
      <c r="Q525" s="4" t="s">
        <v>26</v>
      </c>
      <c r="R525" s="4">
        <v>0</v>
      </c>
      <c r="S525" s="6">
        <v>0</v>
      </c>
      <c r="T525" s="6">
        <v>60</v>
      </c>
      <c r="U525" s="6">
        <v>16</v>
      </c>
      <c r="V525" s="6">
        <f>IF(ISERROR(VLOOKUP($S$525,'TAR FIN'!$A$1:$O$85,15,0)),0,VLOOKUP($S$525,'TAR FIN'!$A$1:$O$85,15,0))</f>
        <v>0</v>
      </c>
      <c r="W525" s="6">
        <f>IF(ISERROR(VLOOKUP($T$525,'TAR FIN'!$A$1:$O$85,15,0)),0,VLOOKUP($T$525,'TAR FIN'!$A$1:$O$85,15,0))</f>
        <v>387.29</v>
      </c>
      <c r="X525" s="6">
        <f>IF(ISERROR(VLOOKUP($U$525,'TAR FIN'!$A$1:$O$85,15,0)),0,VLOOKUP($U$525,'TAR FIN'!$A$1:$O$85,15,0))</f>
        <v>196.87</v>
      </c>
      <c r="Y525" s="6"/>
      <c r="Z525" s="6">
        <f ca="1">('TUSD BE'!$AM$33+'TUSD BF'!$AM$33+'TUSD CVA'!$AM$33)*(1-CUSTOS!$M$38)</f>
        <v>464.7286080745173</v>
      </c>
      <c r="AA525" s="6">
        <f>('TE BE'!$AA$23+'TE BF'!$AA$23+'TE CVA'!$AA$23)*(1-CUSTOS!$M$38)</f>
        <v>204.57163525385519</v>
      </c>
      <c r="AB525" s="6">
        <f>$K$525*$V$525</f>
        <v>0</v>
      </c>
      <c r="AC525" s="6">
        <f>$M$525*$W$525</f>
        <v>121638.33912400001</v>
      </c>
      <c r="AD525" s="6">
        <f>$O$525*$X$525</f>
        <v>61832.063372000004</v>
      </c>
      <c r="AE525" s="6">
        <f>$K$525*$Y$525</f>
        <v>0</v>
      </c>
      <c r="AF525" s="6">
        <f ca="1">$M$525*$Z$525</f>
        <v>145959.91641816887</v>
      </c>
      <c r="AG525" s="6">
        <f>$O$525*$AA$525</f>
        <v>64250.959085335722</v>
      </c>
    </row>
    <row r="526" spans="1:33" ht="11.25" customHeight="1" x14ac:dyDescent="0.25">
      <c r="A526" s="4" t="s">
        <v>28</v>
      </c>
      <c r="B526" s="4" t="s">
        <v>40</v>
      </c>
      <c r="C526" s="4" t="s">
        <v>23</v>
      </c>
      <c r="D526" s="4" t="s">
        <v>41</v>
      </c>
      <c r="E526" s="4" t="s">
        <v>50</v>
      </c>
      <c r="F526" s="4" t="s">
        <v>52</v>
      </c>
      <c r="G526" s="4" t="s">
        <v>25</v>
      </c>
      <c r="H526" s="4" t="s">
        <v>25</v>
      </c>
      <c r="I526" s="5">
        <v>44440</v>
      </c>
      <c r="J526" s="6">
        <v>0</v>
      </c>
      <c r="K526" s="6">
        <v>0</v>
      </c>
      <c r="L526" s="6">
        <v>4.2850000000000001</v>
      </c>
      <c r="M526" s="6">
        <v>4.2850000000000001</v>
      </c>
      <c r="N526" s="6">
        <v>4.2850000000000001</v>
      </c>
      <c r="O526" s="6">
        <v>4.2850000000000001</v>
      </c>
      <c r="P526" s="6">
        <v>0</v>
      </c>
      <c r="Q526" s="4" t="s">
        <v>26</v>
      </c>
      <c r="R526" s="4">
        <v>0</v>
      </c>
      <c r="S526" s="6">
        <v>0</v>
      </c>
      <c r="T526" s="6">
        <v>60</v>
      </c>
      <c r="U526" s="6">
        <v>16</v>
      </c>
      <c r="V526" s="6">
        <f>IF(ISERROR(VLOOKUP($S$526,'TAR FIN'!$A$1:$O$85,15,0)),0,VLOOKUP($S$526,'TAR FIN'!$A$1:$O$85,15,0))</f>
        <v>0</v>
      </c>
      <c r="W526" s="6">
        <f>IF(ISERROR(VLOOKUP($T$526,'TAR FIN'!$A$1:$O$85,15,0)),0,VLOOKUP($T$526,'TAR FIN'!$A$1:$O$85,15,0))</f>
        <v>387.29</v>
      </c>
      <c r="X526" s="6">
        <f>IF(ISERROR(VLOOKUP($U$526,'TAR FIN'!$A$1:$O$85,15,0)),0,VLOOKUP($U$526,'TAR FIN'!$A$1:$O$85,15,0))</f>
        <v>196.87</v>
      </c>
      <c r="Y526" s="6"/>
      <c r="Z526" s="6">
        <f ca="1">('TUSD BE'!$AM$33+'TUSD BF'!$AM$33+'TUSD CVA'!$AM$33)*(1-CUSTOS!$M$38)</f>
        <v>464.7286080745173</v>
      </c>
      <c r="AA526" s="6">
        <f>('TE BE'!$AA$23+'TE BF'!$AA$23+'TE CVA'!$AA$23)*(1-CUSTOS!$M$38)</f>
        <v>204.57163525385519</v>
      </c>
      <c r="AB526" s="6">
        <f>$K$526*$V$526</f>
        <v>0</v>
      </c>
      <c r="AC526" s="6">
        <f>$M$526*$W$526</f>
        <v>1659.5376500000002</v>
      </c>
      <c r="AD526" s="6">
        <f>$O$526*$X$526</f>
        <v>843.58795000000009</v>
      </c>
      <c r="AE526" s="6">
        <f>$K$526*$Y$526</f>
        <v>0</v>
      </c>
      <c r="AF526" s="6">
        <f ca="1">$M$526*$Z$526</f>
        <v>1991.3620855993067</v>
      </c>
      <c r="AG526" s="6">
        <f>$O$526*$AA$526</f>
        <v>876.5894570627695</v>
      </c>
    </row>
    <row r="527" spans="1:33" ht="11.25" customHeight="1" x14ac:dyDescent="0.25">
      <c r="A527" s="4" t="s">
        <v>21</v>
      </c>
      <c r="B527" s="4" t="s">
        <v>40</v>
      </c>
      <c r="C527" s="4" t="s">
        <v>23</v>
      </c>
      <c r="D527" s="4" t="s">
        <v>41</v>
      </c>
      <c r="E527" s="4" t="s">
        <v>50</v>
      </c>
      <c r="F527" s="4" t="s">
        <v>52</v>
      </c>
      <c r="G527" s="4" t="s">
        <v>25</v>
      </c>
      <c r="H527" s="4" t="s">
        <v>25</v>
      </c>
      <c r="I527" s="5">
        <v>44470</v>
      </c>
      <c r="J527" s="6">
        <v>0</v>
      </c>
      <c r="K527" s="6">
        <v>0</v>
      </c>
      <c r="L527" s="6">
        <v>760.04100000000005</v>
      </c>
      <c r="M527" s="6">
        <v>304.01639999999998</v>
      </c>
      <c r="N527" s="6">
        <v>760.04100000000005</v>
      </c>
      <c r="O527" s="6">
        <v>304.01639999999998</v>
      </c>
      <c r="P527" s="6">
        <v>0</v>
      </c>
      <c r="Q527" s="4" t="s">
        <v>26</v>
      </c>
      <c r="R527" s="4">
        <v>0</v>
      </c>
      <c r="S527" s="6">
        <v>0</v>
      </c>
      <c r="T527" s="6">
        <v>60</v>
      </c>
      <c r="U527" s="6">
        <v>16</v>
      </c>
      <c r="V527" s="6">
        <f>IF(ISERROR(VLOOKUP($S$527,'TAR FIN'!$A$1:$O$85,15,0)),0,VLOOKUP($S$527,'TAR FIN'!$A$1:$O$85,15,0))</f>
        <v>0</v>
      </c>
      <c r="W527" s="6">
        <f>IF(ISERROR(VLOOKUP($T$527,'TAR FIN'!$A$1:$O$85,15,0)),0,VLOOKUP($T$527,'TAR FIN'!$A$1:$O$85,15,0))</f>
        <v>387.29</v>
      </c>
      <c r="X527" s="6">
        <f>IF(ISERROR(VLOOKUP($U$527,'TAR FIN'!$A$1:$O$85,15,0)),0,VLOOKUP($U$527,'TAR FIN'!$A$1:$O$85,15,0))</f>
        <v>196.87</v>
      </c>
      <c r="Y527" s="6"/>
      <c r="Z527" s="6">
        <f ca="1">('TUSD BE'!$AM$33+'TUSD BF'!$AM$33+'TUSD CVA'!$AM$33)*(1-CUSTOS!$M$38)</f>
        <v>464.7286080745173</v>
      </c>
      <c r="AA527" s="6">
        <f>('TE BE'!$AA$23+'TE BF'!$AA$23+'TE CVA'!$AA$23)*(1-CUSTOS!$M$38)</f>
        <v>204.57163525385519</v>
      </c>
      <c r="AB527" s="6">
        <f>$K$527*$V$527</f>
        <v>0</v>
      </c>
      <c r="AC527" s="6">
        <f>$M$527*$W$527</f>
        <v>117742.511556</v>
      </c>
      <c r="AD527" s="6">
        <f>$O$527*$X$527</f>
        <v>59851.708667999999</v>
      </c>
      <c r="AE527" s="6">
        <f>$K$527*$Y$527</f>
        <v>0</v>
      </c>
      <c r="AF527" s="6">
        <f ca="1">$M$527*$Z$527</f>
        <v>141285.11840382568</v>
      </c>
      <c r="AG527" s="6">
        <f>$O$527*$AA$527</f>
        <v>62193.132091990134</v>
      </c>
    </row>
    <row r="528" spans="1:33" ht="11.25" customHeight="1" x14ac:dyDescent="0.25">
      <c r="A528" s="4" t="s">
        <v>28</v>
      </c>
      <c r="B528" s="4" t="s">
        <v>40</v>
      </c>
      <c r="C528" s="4" t="s">
        <v>23</v>
      </c>
      <c r="D528" s="4" t="s">
        <v>41</v>
      </c>
      <c r="E528" s="4" t="s">
        <v>50</v>
      </c>
      <c r="F528" s="4" t="s">
        <v>52</v>
      </c>
      <c r="G528" s="4" t="s">
        <v>25</v>
      </c>
      <c r="H528" s="4" t="s">
        <v>25</v>
      </c>
      <c r="I528" s="5">
        <v>44470</v>
      </c>
      <c r="J528" s="6">
        <v>0</v>
      </c>
      <c r="K528" s="6">
        <v>0</v>
      </c>
      <c r="L528" s="6">
        <v>3.92</v>
      </c>
      <c r="M528" s="6">
        <v>3.92</v>
      </c>
      <c r="N528" s="6">
        <v>3.92</v>
      </c>
      <c r="O528" s="6">
        <v>3.92</v>
      </c>
      <c r="P528" s="6">
        <v>0</v>
      </c>
      <c r="Q528" s="4" t="s">
        <v>26</v>
      </c>
      <c r="R528" s="4">
        <v>0</v>
      </c>
      <c r="S528" s="6">
        <v>0</v>
      </c>
      <c r="T528" s="6">
        <v>60</v>
      </c>
      <c r="U528" s="6">
        <v>16</v>
      </c>
      <c r="V528" s="6">
        <f>IF(ISERROR(VLOOKUP($S$528,'TAR FIN'!$A$1:$O$85,15,0)),0,VLOOKUP($S$528,'TAR FIN'!$A$1:$O$85,15,0))</f>
        <v>0</v>
      </c>
      <c r="W528" s="6">
        <f>IF(ISERROR(VLOOKUP($T$528,'TAR FIN'!$A$1:$O$85,15,0)),0,VLOOKUP($T$528,'TAR FIN'!$A$1:$O$85,15,0))</f>
        <v>387.29</v>
      </c>
      <c r="X528" s="6">
        <f>IF(ISERROR(VLOOKUP($U$528,'TAR FIN'!$A$1:$O$85,15,0)),0,VLOOKUP($U$528,'TAR FIN'!$A$1:$O$85,15,0))</f>
        <v>196.87</v>
      </c>
      <c r="Y528" s="6"/>
      <c r="Z528" s="6">
        <f ca="1">('TUSD BE'!$AM$33+'TUSD BF'!$AM$33+'TUSD CVA'!$AM$33)*(1-CUSTOS!$M$38)</f>
        <v>464.7286080745173</v>
      </c>
      <c r="AA528" s="6">
        <f>('TE BE'!$AA$23+'TE BF'!$AA$23+'TE CVA'!$AA$23)*(1-CUSTOS!$M$38)</f>
        <v>204.57163525385519</v>
      </c>
      <c r="AB528" s="6">
        <f>$K$528*$V$528</f>
        <v>0</v>
      </c>
      <c r="AC528" s="6">
        <f>$M$528*$W$528</f>
        <v>1518.1768</v>
      </c>
      <c r="AD528" s="6">
        <f>$O$528*$X$528</f>
        <v>771.73040000000003</v>
      </c>
      <c r="AE528" s="6">
        <f>$K$528*$Y$528</f>
        <v>0</v>
      </c>
      <c r="AF528" s="6">
        <f ca="1">$M$528*$Z$528</f>
        <v>1821.7361436521078</v>
      </c>
      <c r="AG528" s="6">
        <f>$O$528*$AA$528</f>
        <v>801.92081019511238</v>
      </c>
    </row>
    <row r="529" spans="1:33" ht="11.25" customHeight="1" x14ac:dyDescent="0.25">
      <c r="A529" s="4" t="s">
        <v>21</v>
      </c>
      <c r="B529" s="4" t="s">
        <v>40</v>
      </c>
      <c r="C529" s="4" t="s">
        <v>23</v>
      </c>
      <c r="D529" s="4" t="s">
        <v>41</v>
      </c>
      <c r="E529" s="4" t="s">
        <v>50</v>
      </c>
      <c r="F529" s="4" t="s">
        <v>52</v>
      </c>
      <c r="G529" s="4" t="s">
        <v>25</v>
      </c>
      <c r="H529" s="4" t="s">
        <v>25</v>
      </c>
      <c r="I529" s="5">
        <v>44501</v>
      </c>
      <c r="J529" s="6">
        <v>0</v>
      </c>
      <c r="K529" s="6">
        <v>0</v>
      </c>
      <c r="L529" s="6">
        <v>1215.9490000000001</v>
      </c>
      <c r="M529" s="6">
        <v>486.37959999999998</v>
      </c>
      <c r="N529" s="6">
        <v>1215.9490000000001</v>
      </c>
      <c r="O529" s="6">
        <v>486.37959999999998</v>
      </c>
      <c r="P529" s="6">
        <v>0</v>
      </c>
      <c r="Q529" s="4" t="s">
        <v>26</v>
      </c>
      <c r="R529" s="4">
        <v>0</v>
      </c>
      <c r="S529" s="6">
        <v>0</v>
      </c>
      <c r="T529" s="6">
        <v>60</v>
      </c>
      <c r="U529" s="6">
        <v>16</v>
      </c>
      <c r="V529" s="6">
        <f>IF(ISERROR(VLOOKUP($S$529,'TAR FIN'!$A$1:$O$85,15,0)),0,VLOOKUP($S$529,'TAR FIN'!$A$1:$O$85,15,0))</f>
        <v>0</v>
      </c>
      <c r="W529" s="6">
        <f>IF(ISERROR(VLOOKUP($T$529,'TAR FIN'!$A$1:$O$85,15,0)),0,VLOOKUP($T$529,'TAR FIN'!$A$1:$O$85,15,0))</f>
        <v>387.29</v>
      </c>
      <c r="X529" s="6">
        <f>IF(ISERROR(VLOOKUP($U$529,'TAR FIN'!$A$1:$O$85,15,0)),0,VLOOKUP($U$529,'TAR FIN'!$A$1:$O$85,15,0))</f>
        <v>196.87</v>
      </c>
      <c r="Y529" s="6"/>
      <c r="Z529" s="6">
        <f ca="1">('TUSD BE'!$AM$33+'TUSD BF'!$AM$33+'TUSD CVA'!$AM$33)*(1-CUSTOS!$M$38)</f>
        <v>464.7286080745173</v>
      </c>
      <c r="AA529" s="6">
        <f>('TE BE'!$AA$23+'TE BF'!$AA$23+'TE CVA'!$AA$23)*(1-CUSTOS!$M$38)</f>
        <v>204.57163525385519</v>
      </c>
      <c r="AB529" s="6">
        <f>$K$529*$V$529</f>
        <v>0</v>
      </c>
      <c r="AC529" s="6">
        <f>$M$529*$W$529</f>
        <v>188369.955284</v>
      </c>
      <c r="AD529" s="6">
        <f>$O$529*$X$529</f>
        <v>95753.551852000004</v>
      </c>
      <c r="AE529" s="6">
        <f>$K$529*$Y$529</f>
        <v>0</v>
      </c>
      <c r="AF529" s="6">
        <f ca="1">$M$529*$Z$529</f>
        <v>226034.51450384047</v>
      </c>
      <c r="AG529" s="6">
        <f>$O$529*$AA$529</f>
        <v>99499.470126115979</v>
      </c>
    </row>
    <row r="530" spans="1:33" ht="11.25" customHeight="1" x14ac:dyDescent="0.25">
      <c r="A530" s="4" t="s">
        <v>28</v>
      </c>
      <c r="B530" s="4" t="s">
        <v>40</v>
      </c>
      <c r="C530" s="4" t="s">
        <v>23</v>
      </c>
      <c r="D530" s="4" t="s">
        <v>41</v>
      </c>
      <c r="E530" s="4" t="s">
        <v>50</v>
      </c>
      <c r="F530" s="4" t="s">
        <v>52</v>
      </c>
      <c r="G530" s="4" t="s">
        <v>25</v>
      </c>
      <c r="H530" s="4" t="s">
        <v>25</v>
      </c>
      <c r="I530" s="5">
        <v>44501</v>
      </c>
      <c r="J530" s="6">
        <v>0</v>
      </c>
      <c r="K530" s="6">
        <v>0</v>
      </c>
      <c r="L530" s="6">
        <v>17.940000000000001</v>
      </c>
      <c r="M530" s="6">
        <v>17.940000000000001</v>
      </c>
      <c r="N530" s="6">
        <v>17.940000000000001</v>
      </c>
      <c r="O530" s="6">
        <v>17.940000000000001</v>
      </c>
      <c r="P530" s="6">
        <v>0</v>
      </c>
      <c r="Q530" s="4" t="s">
        <v>26</v>
      </c>
      <c r="R530" s="4">
        <v>0</v>
      </c>
      <c r="S530" s="6">
        <v>0</v>
      </c>
      <c r="T530" s="6">
        <v>60</v>
      </c>
      <c r="U530" s="6">
        <v>16</v>
      </c>
      <c r="V530" s="6">
        <f>IF(ISERROR(VLOOKUP($S$530,'TAR FIN'!$A$1:$O$85,15,0)),0,VLOOKUP($S$530,'TAR FIN'!$A$1:$O$85,15,0))</f>
        <v>0</v>
      </c>
      <c r="W530" s="6">
        <f>IF(ISERROR(VLOOKUP($T$530,'TAR FIN'!$A$1:$O$85,15,0)),0,VLOOKUP($T$530,'TAR FIN'!$A$1:$O$85,15,0))</f>
        <v>387.29</v>
      </c>
      <c r="X530" s="6">
        <f>IF(ISERROR(VLOOKUP($U$530,'TAR FIN'!$A$1:$O$85,15,0)),0,VLOOKUP($U$530,'TAR FIN'!$A$1:$O$85,15,0))</f>
        <v>196.87</v>
      </c>
      <c r="Y530" s="6"/>
      <c r="Z530" s="6">
        <f ca="1">('TUSD BE'!$AM$33+'TUSD BF'!$AM$33+'TUSD CVA'!$AM$33)*(1-CUSTOS!$M$38)</f>
        <v>464.7286080745173</v>
      </c>
      <c r="AA530" s="6">
        <f>('TE BE'!$AA$23+'TE BF'!$AA$23+'TE CVA'!$AA$23)*(1-CUSTOS!$M$38)</f>
        <v>204.57163525385519</v>
      </c>
      <c r="AB530" s="6">
        <f>$K$530*$V$530</f>
        <v>0</v>
      </c>
      <c r="AC530" s="6">
        <f>$M$530*$W$530</f>
        <v>6947.9826000000012</v>
      </c>
      <c r="AD530" s="6">
        <f>$O$530*$X$530</f>
        <v>3531.8478000000005</v>
      </c>
      <c r="AE530" s="6">
        <f>$K$530*$Y$530</f>
        <v>0</v>
      </c>
      <c r="AF530" s="6">
        <f ca="1">$M$530*$Z$530</f>
        <v>8337.231228856841</v>
      </c>
      <c r="AG530" s="6">
        <f>$O$530*$AA$530</f>
        <v>3670.0151364541625</v>
      </c>
    </row>
    <row r="531" spans="1:33" ht="11.25" customHeight="1" x14ac:dyDescent="0.25">
      <c r="A531" s="4" t="s">
        <v>21</v>
      </c>
      <c r="B531" s="4" t="s">
        <v>40</v>
      </c>
      <c r="C531" s="4" t="s">
        <v>23</v>
      </c>
      <c r="D531" s="4" t="s">
        <v>41</v>
      </c>
      <c r="E531" s="4" t="s">
        <v>50</v>
      </c>
      <c r="F531" s="4" t="s">
        <v>52</v>
      </c>
      <c r="G531" s="4" t="s">
        <v>25</v>
      </c>
      <c r="H531" s="4" t="s">
        <v>25</v>
      </c>
      <c r="I531" s="5">
        <v>44531</v>
      </c>
      <c r="J531" s="6">
        <v>0</v>
      </c>
      <c r="K531" s="6">
        <v>0</v>
      </c>
      <c r="L531" s="6">
        <v>890.36900000000003</v>
      </c>
      <c r="M531" s="6">
        <v>356.14760000000001</v>
      </c>
      <c r="N531" s="6">
        <v>890.36900000000003</v>
      </c>
      <c r="O531" s="6">
        <v>356.14760000000001</v>
      </c>
      <c r="P531" s="6">
        <v>0</v>
      </c>
      <c r="Q531" s="4" t="s">
        <v>26</v>
      </c>
      <c r="R531" s="4">
        <v>0</v>
      </c>
      <c r="S531" s="6">
        <v>0</v>
      </c>
      <c r="T531" s="6">
        <v>60</v>
      </c>
      <c r="U531" s="6">
        <v>16</v>
      </c>
      <c r="V531" s="6">
        <f>IF(ISERROR(VLOOKUP($S$531,'TAR FIN'!$A$1:$O$85,15,0)),0,VLOOKUP($S$531,'TAR FIN'!$A$1:$O$85,15,0))</f>
        <v>0</v>
      </c>
      <c r="W531" s="6">
        <f>IF(ISERROR(VLOOKUP($T$531,'TAR FIN'!$A$1:$O$85,15,0)),0,VLOOKUP($T$531,'TAR FIN'!$A$1:$O$85,15,0))</f>
        <v>387.29</v>
      </c>
      <c r="X531" s="6">
        <f>IF(ISERROR(VLOOKUP($U$531,'TAR FIN'!$A$1:$O$85,15,0)),0,VLOOKUP($U$531,'TAR FIN'!$A$1:$O$85,15,0))</f>
        <v>196.87</v>
      </c>
      <c r="Y531" s="6"/>
      <c r="Z531" s="6">
        <f ca="1">('TUSD BE'!$AM$33+'TUSD BF'!$AM$33+'TUSD CVA'!$AM$33)*(1-CUSTOS!$M$38)</f>
        <v>464.7286080745173</v>
      </c>
      <c r="AA531" s="6">
        <f>('TE BE'!$AA$23+'TE BF'!$AA$23+'TE CVA'!$AA$23)*(1-CUSTOS!$M$38)</f>
        <v>204.57163525385519</v>
      </c>
      <c r="AB531" s="6">
        <f>$K$531*$V$531</f>
        <v>0</v>
      </c>
      <c r="AC531" s="6">
        <f>$M$531*$W$531</f>
        <v>137932.40400400001</v>
      </c>
      <c r="AD531" s="6">
        <f>$O$531*$X$531</f>
        <v>70114.77801200001</v>
      </c>
      <c r="AE531" s="6">
        <f>$K$531*$Y$531</f>
        <v>0</v>
      </c>
      <c r="AF531" s="6">
        <f ca="1">$M$531*$Z$531</f>
        <v>165511.97841707995</v>
      </c>
      <c r="AG531" s="6">
        <f>$O$531*$AA$531</f>
        <v>72857.696923735915</v>
      </c>
    </row>
    <row r="532" spans="1:33" ht="11.25" customHeight="1" x14ac:dyDescent="0.25">
      <c r="A532" s="4" t="s">
        <v>27</v>
      </c>
      <c r="B532" s="4" t="s">
        <v>40</v>
      </c>
      <c r="C532" s="4" t="s">
        <v>23</v>
      </c>
      <c r="D532" s="4" t="s">
        <v>41</v>
      </c>
      <c r="E532" s="4" t="s">
        <v>50</v>
      </c>
      <c r="F532" s="4" t="s">
        <v>52</v>
      </c>
      <c r="G532" s="4" t="s">
        <v>25</v>
      </c>
      <c r="H532" s="4" t="s">
        <v>25</v>
      </c>
      <c r="I532" s="5">
        <v>44531</v>
      </c>
      <c r="J532" s="6">
        <v>0</v>
      </c>
      <c r="K532" s="6">
        <v>0</v>
      </c>
      <c r="L532" s="6">
        <v>-125.2</v>
      </c>
      <c r="M532" s="6">
        <v>-50.08</v>
      </c>
      <c r="N532" s="6">
        <v>-125.2</v>
      </c>
      <c r="O532" s="6">
        <v>-50.08</v>
      </c>
      <c r="P532" s="6">
        <v>0</v>
      </c>
      <c r="Q532" s="4" t="s">
        <v>26</v>
      </c>
      <c r="R532" s="4">
        <v>0</v>
      </c>
      <c r="S532" s="6">
        <v>0</v>
      </c>
      <c r="T532" s="6">
        <v>60</v>
      </c>
      <c r="U532" s="6">
        <v>16</v>
      </c>
      <c r="V532" s="6">
        <f>IF(ISERROR(VLOOKUP($S$532,'TAR FIN'!$A$1:$O$85,15,0)),0,VLOOKUP($S$532,'TAR FIN'!$A$1:$O$85,15,0))</f>
        <v>0</v>
      </c>
      <c r="W532" s="6">
        <f>IF(ISERROR(VLOOKUP($T$532,'TAR FIN'!$A$1:$O$85,15,0)),0,VLOOKUP($T$532,'TAR FIN'!$A$1:$O$85,15,0))</f>
        <v>387.29</v>
      </c>
      <c r="X532" s="6">
        <f>IF(ISERROR(VLOOKUP($U$532,'TAR FIN'!$A$1:$O$85,15,0)),0,VLOOKUP($U$532,'TAR FIN'!$A$1:$O$85,15,0))</f>
        <v>196.87</v>
      </c>
      <c r="Y532" s="6"/>
      <c r="Z532" s="6">
        <f ca="1">('TUSD BE'!$AM$33+'TUSD BF'!$AM$33+'TUSD CVA'!$AM$33)*(1-CUSTOS!$M$38)</f>
        <v>464.7286080745173</v>
      </c>
      <c r="AA532" s="6">
        <f>('TE BE'!$AA$23+'TE BF'!$AA$23+'TE CVA'!$AA$23)*(1-CUSTOS!$M$38)</f>
        <v>204.57163525385519</v>
      </c>
      <c r="AB532" s="6">
        <f>$K$532*$V$532</f>
        <v>0</v>
      </c>
      <c r="AC532" s="6">
        <f>$M$532*$W$532</f>
        <v>-19395.483199999999</v>
      </c>
      <c r="AD532" s="6">
        <f>$O$532*$X$532</f>
        <v>-9859.2495999999992</v>
      </c>
      <c r="AE532" s="6">
        <f>$K$532*$Y$532</f>
        <v>0</v>
      </c>
      <c r="AF532" s="6">
        <f ca="1">$M$532*$Z$532</f>
        <v>-23273.608692371825</v>
      </c>
      <c r="AG532" s="6">
        <f>$O$532*$AA$532</f>
        <v>-10244.947493513067</v>
      </c>
    </row>
    <row r="533" spans="1:33" ht="11.25" customHeight="1" x14ac:dyDescent="0.25">
      <c r="A533" s="4" t="s">
        <v>28</v>
      </c>
      <c r="B533" s="4" t="s">
        <v>40</v>
      </c>
      <c r="C533" s="4" t="s">
        <v>23</v>
      </c>
      <c r="D533" s="4" t="s">
        <v>41</v>
      </c>
      <c r="E533" s="4" t="s">
        <v>50</v>
      </c>
      <c r="F533" s="4" t="s">
        <v>52</v>
      </c>
      <c r="G533" s="4" t="s">
        <v>25</v>
      </c>
      <c r="H533" s="4" t="s">
        <v>25</v>
      </c>
      <c r="I533" s="5">
        <v>44531</v>
      </c>
      <c r="J533" s="6">
        <v>0</v>
      </c>
      <c r="K533" s="6">
        <v>0</v>
      </c>
      <c r="L533" s="6">
        <v>15.58</v>
      </c>
      <c r="M533" s="6">
        <v>15.58</v>
      </c>
      <c r="N533" s="6">
        <v>15.58</v>
      </c>
      <c r="O533" s="6">
        <v>15.58</v>
      </c>
      <c r="P533" s="6">
        <v>0</v>
      </c>
      <c r="Q533" s="4" t="s">
        <v>26</v>
      </c>
      <c r="R533" s="4">
        <v>0</v>
      </c>
      <c r="S533" s="6">
        <v>0</v>
      </c>
      <c r="T533" s="6">
        <v>60</v>
      </c>
      <c r="U533" s="6">
        <v>16</v>
      </c>
      <c r="V533" s="6">
        <f>IF(ISERROR(VLOOKUP($S$533,'TAR FIN'!$A$1:$O$85,15,0)),0,VLOOKUP($S$533,'TAR FIN'!$A$1:$O$85,15,0))</f>
        <v>0</v>
      </c>
      <c r="W533" s="6">
        <f>IF(ISERROR(VLOOKUP($T$533,'TAR FIN'!$A$1:$O$85,15,0)),0,VLOOKUP($T$533,'TAR FIN'!$A$1:$O$85,15,0))</f>
        <v>387.29</v>
      </c>
      <c r="X533" s="6">
        <f>IF(ISERROR(VLOOKUP($U$533,'TAR FIN'!$A$1:$O$85,15,0)),0,VLOOKUP($U$533,'TAR FIN'!$A$1:$O$85,15,0))</f>
        <v>196.87</v>
      </c>
      <c r="Y533" s="6"/>
      <c r="Z533" s="6">
        <f ca="1">('TUSD BE'!$AM$33+'TUSD BF'!$AM$33+'TUSD CVA'!$AM$33)*(1-CUSTOS!$M$38)</f>
        <v>464.7286080745173</v>
      </c>
      <c r="AA533" s="6">
        <f>('TE BE'!$AA$23+'TE BF'!$AA$23+'TE CVA'!$AA$23)*(1-CUSTOS!$M$38)</f>
        <v>204.57163525385519</v>
      </c>
      <c r="AB533" s="6">
        <f>$K$533*$V$533</f>
        <v>0</v>
      </c>
      <c r="AC533" s="6">
        <f>$M$533*$W$533</f>
        <v>6033.9782000000005</v>
      </c>
      <c r="AD533" s="6">
        <f>$O$533*$X$533</f>
        <v>3067.2346000000002</v>
      </c>
      <c r="AE533" s="6">
        <f>$K$533*$Y$533</f>
        <v>0</v>
      </c>
      <c r="AF533" s="6">
        <f ca="1">$M$533*$Z$533</f>
        <v>7240.4717138009792</v>
      </c>
      <c r="AG533" s="6">
        <f>$O$533*$AA$533</f>
        <v>3187.226077255064</v>
      </c>
    </row>
    <row r="534" spans="1:33" ht="11.25" customHeight="1" x14ac:dyDescent="0.25">
      <c r="A534" s="4" t="s">
        <v>21</v>
      </c>
      <c r="B534" s="4" t="s">
        <v>40</v>
      </c>
      <c r="C534" s="4" t="s">
        <v>23</v>
      </c>
      <c r="D534" s="4" t="s">
        <v>41</v>
      </c>
      <c r="E534" s="4" t="s">
        <v>50</v>
      </c>
      <c r="F534" s="4" t="s">
        <v>52</v>
      </c>
      <c r="G534" s="4" t="s">
        <v>25</v>
      </c>
      <c r="H534" s="4" t="s">
        <v>25</v>
      </c>
      <c r="I534" s="5">
        <v>44562</v>
      </c>
      <c r="J534" s="6">
        <v>0</v>
      </c>
      <c r="K534" s="6">
        <v>0</v>
      </c>
      <c r="L534" s="6">
        <v>716.78800000000001</v>
      </c>
      <c r="M534" s="6">
        <v>286.71519999999998</v>
      </c>
      <c r="N534" s="6">
        <v>716.78800000000001</v>
      </c>
      <c r="O534" s="6">
        <v>286.71519999999998</v>
      </c>
      <c r="P534" s="6">
        <v>0</v>
      </c>
      <c r="Q534" s="4" t="s">
        <v>26</v>
      </c>
      <c r="R534" s="4">
        <v>0</v>
      </c>
      <c r="S534" s="6">
        <v>0</v>
      </c>
      <c r="T534" s="6">
        <v>60</v>
      </c>
      <c r="U534" s="6">
        <v>16</v>
      </c>
      <c r="V534" s="6">
        <f>IF(ISERROR(VLOOKUP($S$534,'TAR FIN'!$A$1:$O$85,15,0)),0,VLOOKUP($S$534,'TAR FIN'!$A$1:$O$85,15,0))</f>
        <v>0</v>
      </c>
      <c r="W534" s="6">
        <f>IF(ISERROR(VLOOKUP($T$534,'TAR FIN'!$A$1:$O$85,15,0)),0,VLOOKUP($T$534,'TAR FIN'!$A$1:$O$85,15,0))</f>
        <v>387.29</v>
      </c>
      <c r="X534" s="6">
        <f>IF(ISERROR(VLOOKUP($U$534,'TAR FIN'!$A$1:$O$85,15,0)),0,VLOOKUP($U$534,'TAR FIN'!$A$1:$O$85,15,0))</f>
        <v>196.87</v>
      </c>
      <c r="Y534" s="6"/>
      <c r="Z534" s="6">
        <f ca="1">('TUSD BE'!$AM$33+'TUSD BF'!$AM$33+'TUSD CVA'!$AM$33)*(1-CUSTOS!$M$38)</f>
        <v>464.7286080745173</v>
      </c>
      <c r="AA534" s="6">
        <f>('TE BE'!$AA$23+'TE BF'!$AA$23+'TE CVA'!$AA$23)*(1-CUSTOS!$M$38)</f>
        <v>204.57163525385519</v>
      </c>
      <c r="AB534" s="6">
        <f>$K$534*$V$534</f>
        <v>0</v>
      </c>
      <c r="AC534" s="6">
        <f>$M$534*$W$534</f>
        <v>111041.929808</v>
      </c>
      <c r="AD534" s="6">
        <f>$O$534*$X$534</f>
        <v>56445.621423999997</v>
      </c>
      <c r="AE534" s="6">
        <f>$K$534*$Y$534</f>
        <v>0</v>
      </c>
      <c r="AF534" s="6">
        <f ca="1">$M$534*$Z$534</f>
        <v>133244.75580980684</v>
      </c>
      <c r="AG534" s="6">
        <f>$O$534*$AA$534</f>
        <v>58653.797316136137</v>
      </c>
    </row>
    <row r="535" spans="1:33" ht="11.25" customHeight="1" x14ac:dyDescent="0.25">
      <c r="A535" s="4" t="s">
        <v>28</v>
      </c>
      <c r="B535" s="4" t="s">
        <v>40</v>
      </c>
      <c r="C535" s="4" t="s">
        <v>23</v>
      </c>
      <c r="D535" s="4" t="s">
        <v>41</v>
      </c>
      <c r="E535" s="4" t="s">
        <v>50</v>
      </c>
      <c r="F535" s="4" t="s">
        <v>52</v>
      </c>
      <c r="G535" s="4" t="s">
        <v>25</v>
      </c>
      <c r="H535" s="4" t="s">
        <v>25</v>
      </c>
      <c r="I535" s="5">
        <v>44562</v>
      </c>
      <c r="J535" s="6">
        <v>0</v>
      </c>
      <c r="K535" s="6">
        <v>0</v>
      </c>
      <c r="L535" s="6">
        <v>16.577000000000002</v>
      </c>
      <c r="M535" s="6">
        <v>16.577000000000002</v>
      </c>
      <c r="N535" s="6">
        <v>16.577000000000002</v>
      </c>
      <c r="O535" s="6">
        <v>16.577000000000002</v>
      </c>
      <c r="P535" s="6">
        <v>0</v>
      </c>
      <c r="Q535" s="4" t="s">
        <v>26</v>
      </c>
      <c r="R535" s="4">
        <v>0</v>
      </c>
      <c r="S535" s="6">
        <v>0</v>
      </c>
      <c r="T535" s="6">
        <v>60</v>
      </c>
      <c r="U535" s="6">
        <v>16</v>
      </c>
      <c r="V535" s="6">
        <f>IF(ISERROR(VLOOKUP($S$535,'TAR FIN'!$A$1:$O$85,15,0)),0,VLOOKUP($S$535,'TAR FIN'!$A$1:$O$85,15,0))</f>
        <v>0</v>
      </c>
      <c r="W535" s="6">
        <f>IF(ISERROR(VLOOKUP($T$535,'TAR FIN'!$A$1:$O$85,15,0)),0,VLOOKUP($T$535,'TAR FIN'!$A$1:$O$85,15,0))</f>
        <v>387.29</v>
      </c>
      <c r="X535" s="6">
        <f>IF(ISERROR(VLOOKUP($U$535,'TAR FIN'!$A$1:$O$85,15,0)),0,VLOOKUP($U$535,'TAR FIN'!$A$1:$O$85,15,0))</f>
        <v>196.87</v>
      </c>
      <c r="Y535" s="6"/>
      <c r="Z535" s="6">
        <f ca="1">('TUSD BE'!$AM$33+'TUSD BF'!$AM$33+'TUSD CVA'!$AM$33)*(1-CUSTOS!$M$38)</f>
        <v>464.7286080745173</v>
      </c>
      <c r="AA535" s="6">
        <f>('TE BE'!$AA$23+'TE BF'!$AA$23+'TE CVA'!$AA$23)*(1-CUSTOS!$M$38)</f>
        <v>204.57163525385519</v>
      </c>
      <c r="AB535" s="6">
        <f>$K$535*$V$535</f>
        <v>0</v>
      </c>
      <c r="AC535" s="6">
        <f>$M$535*$W$535</f>
        <v>6420.1063300000014</v>
      </c>
      <c r="AD535" s="6">
        <f>$O$535*$X$535</f>
        <v>3263.5139900000004</v>
      </c>
      <c r="AE535" s="6">
        <f>$K$535*$Y$535</f>
        <v>0</v>
      </c>
      <c r="AF535" s="6">
        <f ca="1">$M$535*$Z$535</f>
        <v>7703.8061360512738</v>
      </c>
      <c r="AG535" s="6">
        <f>$O$535*$AA$535</f>
        <v>3391.1839976031579</v>
      </c>
    </row>
    <row r="536" spans="1:33" ht="11.25" customHeight="1" x14ac:dyDescent="0.25">
      <c r="A536" s="4" t="s">
        <v>21</v>
      </c>
      <c r="B536" s="4" t="s">
        <v>40</v>
      </c>
      <c r="C536" s="4" t="s">
        <v>23</v>
      </c>
      <c r="D536" s="4" t="s">
        <v>41</v>
      </c>
      <c r="E536" s="4" t="s">
        <v>50</v>
      </c>
      <c r="F536" s="4" t="s">
        <v>52</v>
      </c>
      <c r="G536" s="4" t="s">
        <v>25</v>
      </c>
      <c r="H536" s="4" t="s">
        <v>25</v>
      </c>
      <c r="I536" s="5">
        <v>44593</v>
      </c>
      <c r="J536" s="6">
        <v>0</v>
      </c>
      <c r="K536" s="6">
        <v>0</v>
      </c>
      <c r="L536" s="6">
        <v>715.678</v>
      </c>
      <c r="M536" s="6">
        <v>286.27120000000002</v>
      </c>
      <c r="N536" s="6">
        <v>715.678</v>
      </c>
      <c r="O536" s="6">
        <v>286.27120000000002</v>
      </c>
      <c r="P536" s="6">
        <v>0</v>
      </c>
      <c r="Q536" s="4" t="s">
        <v>26</v>
      </c>
      <c r="R536" s="4">
        <v>0</v>
      </c>
      <c r="S536" s="6">
        <v>0</v>
      </c>
      <c r="T536" s="6">
        <v>60</v>
      </c>
      <c r="U536" s="6">
        <v>16</v>
      </c>
      <c r="V536" s="6">
        <f>IF(ISERROR(VLOOKUP($S$536,'TAR FIN'!$A$1:$O$85,15,0)),0,VLOOKUP($S$536,'TAR FIN'!$A$1:$O$85,15,0))</f>
        <v>0</v>
      </c>
      <c r="W536" s="6">
        <f>IF(ISERROR(VLOOKUP($T$536,'TAR FIN'!$A$1:$O$85,15,0)),0,VLOOKUP($T$536,'TAR FIN'!$A$1:$O$85,15,0))</f>
        <v>387.29</v>
      </c>
      <c r="X536" s="6">
        <f>IF(ISERROR(VLOOKUP($U$536,'TAR FIN'!$A$1:$O$85,15,0)),0,VLOOKUP($U$536,'TAR FIN'!$A$1:$O$85,15,0))</f>
        <v>196.87</v>
      </c>
      <c r="Y536" s="6"/>
      <c r="Z536" s="6">
        <f ca="1">('TUSD BE'!$AM$33+'TUSD BF'!$AM$33+'TUSD CVA'!$AM$33)*(1-CUSTOS!$M$38)</f>
        <v>464.7286080745173</v>
      </c>
      <c r="AA536" s="6">
        <f>('TE BE'!$AA$23+'TE BF'!$AA$23+'TE CVA'!$AA$23)*(1-CUSTOS!$M$38)</f>
        <v>204.57163525385519</v>
      </c>
      <c r="AB536" s="6">
        <f>$K$536*$V$536</f>
        <v>0</v>
      </c>
      <c r="AC536" s="6">
        <f>$M$536*$W$536</f>
        <v>110869.97304800001</v>
      </c>
      <c r="AD536" s="6">
        <f>$O$536*$X$536</f>
        <v>56358.211144000008</v>
      </c>
      <c r="AE536" s="6">
        <f>$K$536*$Y$536</f>
        <v>0</v>
      </c>
      <c r="AF536" s="6">
        <f ca="1">$M$536*$Z$536</f>
        <v>133038.41630782175</v>
      </c>
      <c r="AG536" s="6">
        <f>$O$536*$AA$536</f>
        <v>58562.967510083436</v>
      </c>
    </row>
    <row r="537" spans="1:33" ht="11.25" customHeight="1" x14ac:dyDescent="0.25">
      <c r="A537" s="4" t="s">
        <v>28</v>
      </c>
      <c r="B537" s="4" t="s">
        <v>40</v>
      </c>
      <c r="C537" s="4" t="s">
        <v>23</v>
      </c>
      <c r="D537" s="4" t="s">
        <v>41</v>
      </c>
      <c r="E537" s="4" t="s">
        <v>50</v>
      </c>
      <c r="F537" s="4" t="s">
        <v>52</v>
      </c>
      <c r="G537" s="4" t="s">
        <v>25</v>
      </c>
      <c r="H537" s="4" t="s">
        <v>25</v>
      </c>
      <c r="I537" s="5">
        <v>44593</v>
      </c>
      <c r="J537" s="6">
        <v>0</v>
      </c>
      <c r="K537" s="6">
        <v>0</v>
      </c>
      <c r="L537" s="6">
        <v>15.84</v>
      </c>
      <c r="M537" s="6">
        <v>15.84</v>
      </c>
      <c r="N537" s="6">
        <v>15.84</v>
      </c>
      <c r="O537" s="6">
        <v>15.84</v>
      </c>
      <c r="P537" s="6">
        <v>0</v>
      </c>
      <c r="Q537" s="4" t="s">
        <v>26</v>
      </c>
      <c r="R537" s="4">
        <v>0</v>
      </c>
      <c r="S537" s="6">
        <v>0</v>
      </c>
      <c r="T537" s="6">
        <v>60</v>
      </c>
      <c r="U537" s="6">
        <v>16</v>
      </c>
      <c r="V537" s="6">
        <f>IF(ISERROR(VLOOKUP($S$537,'TAR FIN'!$A$1:$O$85,15,0)),0,VLOOKUP($S$537,'TAR FIN'!$A$1:$O$85,15,0))</f>
        <v>0</v>
      </c>
      <c r="W537" s="6">
        <f>IF(ISERROR(VLOOKUP($T$537,'TAR FIN'!$A$1:$O$85,15,0)),0,VLOOKUP($T$537,'TAR FIN'!$A$1:$O$85,15,0))</f>
        <v>387.29</v>
      </c>
      <c r="X537" s="6">
        <f>IF(ISERROR(VLOOKUP($U$537,'TAR FIN'!$A$1:$O$85,15,0)),0,VLOOKUP($U$537,'TAR FIN'!$A$1:$O$85,15,0))</f>
        <v>196.87</v>
      </c>
      <c r="Y537" s="6"/>
      <c r="Z537" s="6">
        <f ca="1">('TUSD BE'!$AM$33+'TUSD BF'!$AM$33+'TUSD CVA'!$AM$33)*(1-CUSTOS!$M$38)</f>
        <v>464.7286080745173</v>
      </c>
      <c r="AA537" s="6">
        <f>('TE BE'!$AA$23+'TE BF'!$AA$23+'TE CVA'!$AA$23)*(1-CUSTOS!$M$38)</f>
        <v>204.57163525385519</v>
      </c>
      <c r="AB537" s="6">
        <f>$K$537*$V$537</f>
        <v>0</v>
      </c>
      <c r="AC537" s="6">
        <f>$M$537*$W$537</f>
        <v>6134.6736000000001</v>
      </c>
      <c r="AD537" s="6">
        <f>$O$537*$X$537</f>
        <v>3118.4207999999999</v>
      </c>
      <c r="AE537" s="6">
        <f>$K$537*$Y$537</f>
        <v>0</v>
      </c>
      <c r="AF537" s="6">
        <f ca="1">$M$537*$Z$537</f>
        <v>7361.3011519003539</v>
      </c>
      <c r="AG537" s="6">
        <f>$O$537*$AA$537</f>
        <v>3240.4147024210661</v>
      </c>
    </row>
    <row r="538" spans="1:33" ht="11.25" customHeight="1" x14ac:dyDescent="0.25">
      <c r="A538" s="4" t="s">
        <v>54</v>
      </c>
      <c r="B538" s="4" t="s">
        <v>40</v>
      </c>
      <c r="C538" s="4" t="s">
        <v>23</v>
      </c>
      <c r="D538" s="4" t="s">
        <v>41</v>
      </c>
      <c r="E538" s="4" t="s">
        <v>50</v>
      </c>
      <c r="F538" s="4" t="s">
        <v>52</v>
      </c>
      <c r="G538" s="4" t="s">
        <v>25</v>
      </c>
      <c r="H538" s="4" t="s">
        <v>25</v>
      </c>
      <c r="I538" s="5">
        <v>44621</v>
      </c>
      <c r="J538" s="6">
        <v>0</v>
      </c>
      <c r="K538" s="6">
        <v>0</v>
      </c>
      <c r="L538" s="6">
        <v>715.678</v>
      </c>
      <c r="M538" s="6">
        <v>286.27120000000002</v>
      </c>
      <c r="N538" s="6">
        <v>715.678</v>
      </c>
      <c r="O538" s="6">
        <v>286.27120000000002</v>
      </c>
      <c r="P538" s="6">
        <v>0</v>
      </c>
      <c r="Q538" s="4" t="s">
        <v>26</v>
      </c>
      <c r="R538" s="4">
        <v>0</v>
      </c>
      <c r="S538" s="6">
        <v>0</v>
      </c>
      <c r="T538" s="6">
        <v>60</v>
      </c>
      <c r="U538" s="6">
        <v>16</v>
      </c>
      <c r="V538" s="6">
        <f>IF(ISERROR(VLOOKUP($S$538,'TAR FIN'!$A$1:$O$85,15,0)),0,VLOOKUP($S$538,'TAR FIN'!$A$1:$O$85,15,0))</f>
        <v>0</v>
      </c>
      <c r="W538" s="6">
        <f>IF(ISERROR(VLOOKUP($T$538,'TAR FIN'!$A$1:$O$85,15,0)),0,VLOOKUP($T$538,'TAR FIN'!$A$1:$O$85,15,0))</f>
        <v>387.29</v>
      </c>
      <c r="X538" s="6">
        <f>IF(ISERROR(VLOOKUP($U$538,'TAR FIN'!$A$1:$O$85,15,0)),0,VLOOKUP($U$538,'TAR FIN'!$A$1:$O$85,15,0))</f>
        <v>196.87</v>
      </c>
      <c r="Y538" s="6"/>
      <c r="Z538" s="6">
        <f ca="1">('TUSD BE'!$AM$33+'TUSD BF'!$AM$33+'TUSD CVA'!$AM$33)*(1-CUSTOS!$M$38)</f>
        <v>464.7286080745173</v>
      </c>
      <c r="AA538" s="6">
        <f>('TE BE'!$AA$23+'TE BF'!$AA$23+'TE CVA'!$AA$23)*(1-CUSTOS!$M$38)</f>
        <v>204.57163525385519</v>
      </c>
      <c r="AB538" s="6">
        <f>$K$538*$V$538</f>
        <v>0</v>
      </c>
      <c r="AC538" s="6">
        <f>$M$538*$W$538</f>
        <v>110869.97304800001</v>
      </c>
      <c r="AD538" s="6">
        <f>$O$538*$X$538</f>
        <v>56358.211144000008</v>
      </c>
      <c r="AE538" s="6">
        <f>$K$538*$Y$538</f>
        <v>0</v>
      </c>
      <c r="AF538" s="6">
        <f ca="1">$M$538*$Z$538</f>
        <v>133038.41630782175</v>
      </c>
      <c r="AG538" s="6">
        <f>$O$538*$AA$538</f>
        <v>58562.967510083436</v>
      </c>
    </row>
    <row r="539" spans="1:33" ht="11.25" customHeight="1" x14ac:dyDescent="0.25">
      <c r="A539" s="4" t="s">
        <v>54</v>
      </c>
      <c r="B539" s="4" t="s">
        <v>40</v>
      </c>
      <c r="C539" s="4" t="s">
        <v>23</v>
      </c>
      <c r="D539" s="4" t="s">
        <v>41</v>
      </c>
      <c r="E539" s="4" t="s">
        <v>50</v>
      </c>
      <c r="F539" s="4" t="s">
        <v>52</v>
      </c>
      <c r="G539" s="4" t="s">
        <v>25</v>
      </c>
      <c r="H539" s="4" t="s">
        <v>25</v>
      </c>
      <c r="I539" s="5">
        <v>44621</v>
      </c>
      <c r="J539" s="6">
        <v>0</v>
      </c>
      <c r="K539" s="6">
        <v>0</v>
      </c>
      <c r="L539" s="6">
        <v>15.84</v>
      </c>
      <c r="M539" s="6">
        <v>15.84</v>
      </c>
      <c r="N539" s="6">
        <v>15.84</v>
      </c>
      <c r="O539" s="6">
        <v>15.84</v>
      </c>
      <c r="P539" s="6">
        <v>0</v>
      </c>
      <c r="Q539" s="4" t="s">
        <v>26</v>
      </c>
      <c r="R539" s="4">
        <v>0</v>
      </c>
      <c r="S539" s="6">
        <v>0</v>
      </c>
      <c r="T539" s="6">
        <v>60</v>
      </c>
      <c r="U539" s="6">
        <v>16</v>
      </c>
      <c r="V539" s="6">
        <f>IF(ISERROR(VLOOKUP($S$539,'TAR FIN'!$A$1:$O$85,15,0)),0,VLOOKUP($S$539,'TAR FIN'!$A$1:$O$85,15,0))</f>
        <v>0</v>
      </c>
      <c r="W539" s="6">
        <f>IF(ISERROR(VLOOKUP($T$539,'TAR FIN'!$A$1:$O$85,15,0)),0,VLOOKUP($T$539,'TAR FIN'!$A$1:$O$85,15,0))</f>
        <v>387.29</v>
      </c>
      <c r="X539" s="6">
        <f>IF(ISERROR(VLOOKUP($U$539,'TAR FIN'!$A$1:$O$85,15,0)),0,VLOOKUP($U$539,'TAR FIN'!$A$1:$O$85,15,0))</f>
        <v>196.87</v>
      </c>
      <c r="Y539" s="6"/>
      <c r="Z539" s="6">
        <f ca="1">('TUSD BE'!$AM$33+'TUSD BF'!$AM$33+'TUSD CVA'!$AM$33)*(1-CUSTOS!$M$38)</f>
        <v>464.7286080745173</v>
      </c>
      <c r="AA539" s="6">
        <f>('TE BE'!$AA$23+'TE BF'!$AA$23+'TE CVA'!$AA$23)*(1-CUSTOS!$M$38)</f>
        <v>204.57163525385519</v>
      </c>
      <c r="AB539" s="6">
        <f>$K$539*$V$539</f>
        <v>0</v>
      </c>
      <c r="AC539" s="6">
        <f>$M$539*$W$539</f>
        <v>6134.6736000000001</v>
      </c>
      <c r="AD539" s="6">
        <f>$O$539*$X$539</f>
        <v>3118.4207999999999</v>
      </c>
      <c r="AE539" s="6">
        <f>$K$539*$Y$539</f>
        <v>0</v>
      </c>
      <c r="AF539" s="6">
        <f ca="1">$M$539*$Z$539</f>
        <v>7361.3011519003539</v>
      </c>
      <c r="AG539" s="6">
        <f>$O$539*$AA$539</f>
        <v>3240.4147024210661</v>
      </c>
    </row>
    <row r="540" spans="1:33" ht="11.25" customHeight="1" x14ac:dyDescent="0.25">
      <c r="A540" s="4" t="s">
        <v>21</v>
      </c>
      <c r="B540" s="4" t="s">
        <v>40</v>
      </c>
      <c r="C540" s="4" t="s">
        <v>23</v>
      </c>
      <c r="D540" s="4" t="s">
        <v>41</v>
      </c>
      <c r="E540" s="4" t="s">
        <v>53</v>
      </c>
      <c r="F540" s="4" t="s">
        <v>51</v>
      </c>
      <c r="G540" s="4" t="s">
        <v>25</v>
      </c>
      <c r="H540" s="4" t="s">
        <v>25</v>
      </c>
      <c r="I540" s="5">
        <v>44287</v>
      </c>
      <c r="J540" s="6">
        <v>0</v>
      </c>
      <c r="K540" s="6">
        <v>0</v>
      </c>
      <c r="L540" s="6">
        <v>1.92</v>
      </c>
      <c r="M540" s="6">
        <v>1.92</v>
      </c>
      <c r="N540" s="6">
        <v>1.92</v>
      </c>
      <c r="O540" s="6">
        <v>1.92</v>
      </c>
      <c r="P540" s="6">
        <v>0</v>
      </c>
      <c r="Q540" s="4" t="s">
        <v>26</v>
      </c>
      <c r="R540" s="4">
        <v>0</v>
      </c>
      <c r="S540" s="6">
        <v>0</v>
      </c>
      <c r="T540" s="6">
        <v>60</v>
      </c>
      <c r="U540" s="6">
        <v>16</v>
      </c>
      <c r="V540" s="6">
        <f>IF(ISERROR(VLOOKUP($S$540,'TAR FIN'!$A$1:$O$85,15,0)),0,VLOOKUP($S$540,'TAR FIN'!$A$1:$O$85,15,0))</f>
        <v>0</v>
      </c>
      <c r="W540" s="6">
        <f>IF(ISERROR(VLOOKUP($T$540,'TAR FIN'!$A$1:$O$85,15,0)),0,VLOOKUP($T$540,'TAR FIN'!$A$1:$O$85,15,0))</f>
        <v>387.29</v>
      </c>
      <c r="X540" s="6">
        <f>IF(ISERROR(VLOOKUP($U$540,'TAR FIN'!$A$1:$O$85,15,0)),0,VLOOKUP($U$540,'TAR FIN'!$A$1:$O$85,15,0))</f>
        <v>196.87</v>
      </c>
      <c r="Y540" s="6"/>
      <c r="Z540" s="6">
        <f ca="1">('TUSD BE'!$AM$33+'TUSD BF'!$AM$33+'TUSD CVA'!$AM$33)*(1-CUSTOS!$M$38)</f>
        <v>464.7286080745173</v>
      </c>
      <c r="AA540" s="6">
        <f>('TE BE'!$AA$23+'TE BF'!$AA$23+'TE CVA'!$AA$23)*(1-CUSTOS!$M$38)</f>
        <v>204.57163525385519</v>
      </c>
      <c r="AB540" s="6">
        <f>$K$540*$V$540</f>
        <v>0</v>
      </c>
      <c r="AC540" s="6">
        <f>$M$540*$W$540</f>
        <v>743.59680000000003</v>
      </c>
      <c r="AD540" s="6">
        <f>$O$540*$X$540</f>
        <v>377.99040000000002</v>
      </c>
      <c r="AE540" s="6">
        <f>$K$540*$Y$540</f>
        <v>0</v>
      </c>
      <c r="AF540" s="6">
        <f ca="1">$M$540*$Z$540</f>
        <v>892.27892750307319</v>
      </c>
      <c r="AG540" s="6">
        <f>$O$540*$AA$540</f>
        <v>392.77753968740194</v>
      </c>
    </row>
    <row r="541" spans="1:33" ht="11.25" customHeight="1" x14ac:dyDescent="0.25">
      <c r="A541" s="4" t="s">
        <v>21</v>
      </c>
      <c r="B541" s="4" t="s">
        <v>40</v>
      </c>
      <c r="C541" s="4" t="s">
        <v>23</v>
      </c>
      <c r="D541" s="4" t="s">
        <v>41</v>
      </c>
      <c r="E541" s="4" t="s">
        <v>53</v>
      </c>
      <c r="F541" s="4" t="s">
        <v>51</v>
      </c>
      <c r="G541" s="4" t="s">
        <v>25</v>
      </c>
      <c r="H541" s="4" t="s">
        <v>25</v>
      </c>
      <c r="I541" s="5">
        <v>44317</v>
      </c>
      <c r="J541" s="6">
        <v>0</v>
      </c>
      <c r="K541" s="6">
        <v>0</v>
      </c>
      <c r="L541" s="6">
        <v>1.86</v>
      </c>
      <c r="M541" s="6">
        <v>1.86</v>
      </c>
      <c r="N541" s="6">
        <v>1.86</v>
      </c>
      <c r="O541" s="6">
        <v>1.86</v>
      </c>
      <c r="P541" s="6">
        <v>0</v>
      </c>
      <c r="Q541" s="4" t="s">
        <v>26</v>
      </c>
      <c r="R541" s="4">
        <v>0</v>
      </c>
      <c r="S541" s="6">
        <v>0</v>
      </c>
      <c r="T541" s="6">
        <v>60</v>
      </c>
      <c r="U541" s="6">
        <v>16</v>
      </c>
      <c r="V541" s="6">
        <f>IF(ISERROR(VLOOKUP($S$541,'TAR FIN'!$A$1:$O$85,15,0)),0,VLOOKUP($S$541,'TAR FIN'!$A$1:$O$85,15,0))</f>
        <v>0</v>
      </c>
      <c r="W541" s="6">
        <f>IF(ISERROR(VLOOKUP($T$541,'TAR FIN'!$A$1:$O$85,15,0)),0,VLOOKUP($T$541,'TAR FIN'!$A$1:$O$85,15,0))</f>
        <v>387.29</v>
      </c>
      <c r="X541" s="6">
        <f>IF(ISERROR(VLOOKUP($U$541,'TAR FIN'!$A$1:$O$85,15,0)),0,VLOOKUP($U$541,'TAR FIN'!$A$1:$O$85,15,0))</f>
        <v>196.87</v>
      </c>
      <c r="Y541" s="6"/>
      <c r="Z541" s="6">
        <f ca="1">('TUSD BE'!$AM$33+'TUSD BF'!$AM$33+'TUSD CVA'!$AM$33)*(1-CUSTOS!$M$38)</f>
        <v>464.7286080745173</v>
      </c>
      <c r="AA541" s="6">
        <f>('TE BE'!$AA$23+'TE BF'!$AA$23+'TE CVA'!$AA$23)*(1-CUSTOS!$M$38)</f>
        <v>204.57163525385519</v>
      </c>
      <c r="AB541" s="6">
        <f>$K$541*$V$541</f>
        <v>0</v>
      </c>
      <c r="AC541" s="6">
        <f>$M$541*$W$541</f>
        <v>720.35940000000005</v>
      </c>
      <c r="AD541" s="6">
        <f>$O$541*$X$541</f>
        <v>366.1782</v>
      </c>
      <c r="AE541" s="6">
        <f>$K$541*$Y$541</f>
        <v>0</v>
      </c>
      <c r="AF541" s="6">
        <f ca="1">$M$541*$Z$541</f>
        <v>864.39521101860225</v>
      </c>
      <c r="AG541" s="6">
        <f>$O$541*$AA$541</f>
        <v>380.50324157217068</v>
      </c>
    </row>
    <row r="542" spans="1:33" ht="11.25" customHeight="1" x14ac:dyDescent="0.25">
      <c r="A542" s="4" t="s">
        <v>21</v>
      </c>
      <c r="B542" s="4" t="s">
        <v>40</v>
      </c>
      <c r="C542" s="4" t="s">
        <v>23</v>
      </c>
      <c r="D542" s="4" t="s">
        <v>41</v>
      </c>
      <c r="E542" s="4" t="s">
        <v>53</v>
      </c>
      <c r="F542" s="4" t="s">
        <v>51</v>
      </c>
      <c r="G542" s="4" t="s">
        <v>25</v>
      </c>
      <c r="H542" s="4" t="s">
        <v>25</v>
      </c>
      <c r="I542" s="5">
        <v>44348</v>
      </c>
      <c r="J542" s="6">
        <v>0</v>
      </c>
      <c r="K542" s="6">
        <v>0</v>
      </c>
      <c r="L542" s="6">
        <v>1.46</v>
      </c>
      <c r="M542" s="6">
        <v>1.46</v>
      </c>
      <c r="N542" s="6">
        <v>1.46</v>
      </c>
      <c r="O542" s="6">
        <v>1.46</v>
      </c>
      <c r="P542" s="6">
        <v>0</v>
      </c>
      <c r="Q542" s="4" t="s">
        <v>26</v>
      </c>
      <c r="R542" s="4">
        <v>0</v>
      </c>
      <c r="S542" s="6">
        <v>0</v>
      </c>
      <c r="T542" s="6">
        <v>60</v>
      </c>
      <c r="U542" s="6">
        <v>16</v>
      </c>
      <c r="V542" s="6">
        <f>IF(ISERROR(VLOOKUP($S$542,'TAR FIN'!$A$1:$O$85,15,0)),0,VLOOKUP($S$542,'TAR FIN'!$A$1:$O$85,15,0))</f>
        <v>0</v>
      </c>
      <c r="W542" s="6">
        <f>IF(ISERROR(VLOOKUP($T$542,'TAR FIN'!$A$1:$O$85,15,0)),0,VLOOKUP($T$542,'TAR FIN'!$A$1:$O$85,15,0))</f>
        <v>387.29</v>
      </c>
      <c r="X542" s="6">
        <f>IF(ISERROR(VLOOKUP($U$542,'TAR FIN'!$A$1:$O$85,15,0)),0,VLOOKUP($U$542,'TAR FIN'!$A$1:$O$85,15,0))</f>
        <v>196.87</v>
      </c>
      <c r="Y542" s="6"/>
      <c r="Z542" s="6">
        <f ca="1">('TUSD BE'!$AM$33+'TUSD BF'!$AM$33+'TUSD CVA'!$AM$33)*(1-CUSTOS!$M$38)</f>
        <v>464.7286080745173</v>
      </c>
      <c r="AA542" s="6">
        <f>('TE BE'!$AA$23+'TE BF'!$AA$23+'TE CVA'!$AA$23)*(1-CUSTOS!$M$38)</f>
        <v>204.57163525385519</v>
      </c>
      <c r="AB542" s="6">
        <f>$K$542*$V$542</f>
        <v>0</v>
      </c>
      <c r="AC542" s="6">
        <f>$M$542*$W$542</f>
        <v>565.4434</v>
      </c>
      <c r="AD542" s="6">
        <f>$O$542*$X$542</f>
        <v>287.43020000000001</v>
      </c>
      <c r="AE542" s="6">
        <f>$K$542*$Y$542</f>
        <v>0</v>
      </c>
      <c r="AF542" s="6">
        <f ca="1">$M$542*$Z$542</f>
        <v>678.50376778879524</v>
      </c>
      <c r="AG542" s="6">
        <f>$O$542*$AA$542</f>
        <v>298.67458747062858</v>
      </c>
    </row>
    <row r="543" spans="1:33" ht="11.25" customHeight="1" x14ac:dyDescent="0.25">
      <c r="A543" s="4" t="s">
        <v>21</v>
      </c>
      <c r="B543" s="4" t="s">
        <v>40</v>
      </c>
      <c r="C543" s="4" t="s">
        <v>23</v>
      </c>
      <c r="D543" s="4" t="s">
        <v>41</v>
      </c>
      <c r="E543" s="4" t="s">
        <v>53</v>
      </c>
      <c r="F543" s="4" t="s">
        <v>51</v>
      </c>
      <c r="G543" s="4" t="s">
        <v>25</v>
      </c>
      <c r="H543" s="4" t="s">
        <v>25</v>
      </c>
      <c r="I543" s="5">
        <v>44378</v>
      </c>
      <c r="J543" s="6">
        <v>0</v>
      </c>
      <c r="K543" s="6">
        <v>0</v>
      </c>
      <c r="L543" s="6">
        <v>1.58</v>
      </c>
      <c r="M543" s="6">
        <v>1.58</v>
      </c>
      <c r="N543" s="6">
        <v>1.58</v>
      </c>
      <c r="O543" s="6">
        <v>1.58</v>
      </c>
      <c r="P543" s="6">
        <v>0</v>
      </c>
      <c r="Q543" s="4" t="s">
        <v>26</v>
      </c>
      <c r="R543" s="4">
        <v>0</v>
      </c>
      <c r="S543" s="6">
        <v>0</v>
      </c>
      <c r="T543" s="6">
        <v>60</v>
      </c>
      <c r="U543" s="6">
        <v>16</v>
      </c>
      <c r="V543" s="6">
        <f>IF(ISERROR(VLOOKUP($S$543,'TAR FIN'!$A$1:$O$85,15,0)),0,VLOOKUP($S$543,'TAR FIN'!$A$1:$O$85,15,0))</f>
        <v>0</v>
      </c>
      <c r="W543" s="6">
        <f>IF(ISERROR(VLOOKUP($T$543,'TAR FIN'!$A$1:$O$85,15,0)),0,VLOOKUP($T$543,'TAR FIN'!$A$1:$O$85,15,0))</f>
        <v>387.29</v>
      </c>
      <c r="X543" s="6">
        <f>IF(ISERROR(VLOOKUP($U$543,'TAR FIN'!$A$1:$O$85,15,0)),0,VLOOKUP($U$543,'TAR FIN'!$A$1:$O$85,15,0))</f>
        <v>196.87</v>
      </c>
      <c r="Y543" s="6"/>
      <c r="Z543" s="6">
        <f ca="1">('TUSD BE'!$AM$33+'TUSD BF'!$AM$33+'TUSD CVA'!$AM$33)*(1-CUSTOS!$M$38)</f>
        <v>464.7286080745173</v>
      </c>
      <c r="AA543" s="6">
        <f>('TE BE'!$AA$23+'TE BF'!$AA$23+'TE CVA'!$AA$23)*(1-CUSTOS!$M$38)</f>
        <v>204.57163525385519</v>
      </c>
      <c r="AB543" s="6">
        <f>$K$543*$V$543</f>
        <v>0</v>
      </c>
      <c r="AC543" s="6">
        <f>$M$543*$W$543</f>
        <v>611.91820000000007</v>
      </c>
      <c r="AD543" s="6">
        <f>$O$543*$X$543</f>
        <v>311.05459999999999</v>
      </c>
      <c r="AE543" s="6">
        <f>$K$543*$Y$543</f>
        <v>0</v>
      </c>
      <c r="AF543" s="6">
        <f ca="1">$M$543*$Z$543</f>
        <v>734.27120075773735</v>
      </c>
      <c r="AG543" s="6">
        <f>$O$543*$AA$543</f>
        <v>323.22318370109122</v>
      </c>
    </row>
    <row r="544" spans="1:33" ht="11.25" customHeight="1" x14ac:dyDescent="0.25">
      <c r="A544" s="4" t="s">
        <v>21</v>
      </c>
      <c r="B544" s="4" t="s">
        <v>40</v>
      </c>
      <c r="C544" s="4" t="s">
        <v>23</v>
      </c>
      <c r="D544" s="4" t="s">
        <v>41</v>
      </c>
      <c r="E544" s="4" t="s">
        <v>53</v>
      </c>
      <c r="F544" s="4" t="s">
        <v>51</v>
      </c>
      <c r="G544" s="4" t="s">
        <v>25</v>
      </c>
      <c r="H544" s="4" t="s">
        <v>25</v>
      </c>
      <c r="I544" s="5">
        <v>44409</v>
      </c>
      <c r="J544" s="6">
        <v>0</v>
      </c>
      <c r="K544" s="6">
        <v>0</v>
      </c>
      <c r="L544" s="6">
        <v>1.82</v>
      </c>
      <c r="M544" s="6">
        <v>1.82</v>
      </c>
      <c r="N544" s="6">
        <v>1.82</v>
      </c>
      <c r="O544" s="6">
        <v>1.82</v>
      </c>
      <c r="P544" s="6">
        <v>0</v>
      </c>
      <c r="Q544" s="4" t="s">
        <v>26</v>
      </c>
      <c r="R544" s="4">
        <v>0</v>
      </c>
      <c r="S544" s="6">
        <v>0</v>
      </c>
      <c r="T544" s="6">
        <v>60</v>
      </c>
      <c r="U544" s="6">
        <v>16</v>
      </c>
      <c r="V544" s="6">
        <f>IF(ISERROR(VLOOKUP($S$544,'TAR FIN'!$A$1:$O$85,15,0)),0,VLOOKUP($S$544,'TAR FIN'!$A$1:$O$85,15,0))</f>
        <v>0</v>
      </c>
      <c r="W544" s="6">
        <f>IF(ISERROR(VLOOKUP($T$544,'TAR FIN'!$A$1:$O$85,15,0)),0,VLOOKUP($T$544,'TAR FIN'!$A$1:$O$85,15,0))</f>
        <v>387.29</v>
      </c>
      <c r="X544" s="6">
        <f>IF(ISERROR(VLOOKUP($U$544,'TAR FIN'!$A$1:$O$85,15,0)),0,VLOOKUP($U$544,'TAR FIN'!$A$1:$O$85,15,0))</f>
        <v>196.87</v>
      </c>
      <c r="Y544" s="6"/>
      <c r="Z544" s="6">
        <f ca="1">('TUSD BE'!$AM$33+'TUSD BF'!$AM$33+'TUSD CVA'!$AM$33)*(1-CUSTOS!$M$38)</f>
        <v>464.7286080745173</v>
      </c>
      <c r="AA544" s="6">
        <f>('TE BE'!$AA$23+'TE BF'!$AA$23+'TE CVA'!$AA$23)*(1-CUSTOS!$M$38)</f>
        <v>204.57163525385519</v>
      </c>
      <c r="AB544" s="6">
        <f>$K$544*$V$544</f>
        <v>0</v>
      </c>
      <c r="AC544" s="6">
        <f>$M$544*$W$544</f>
        <v>704.8678000000001</v>
      </c>
      <c r="AD544" s="6">
        <f>$O$544*$X$544</f>
        <v>358.30340000000001</v>
      </c>
      <c r="AE544" s="6">
        <f>$K$544*$Y$544</f>
        <v>0</v>
      </c>
      <c r="AF544" s="6">
        <f ca="1">$M$544*$Z$544</f>
        <v>845.80606669562155</v>
      </c>
      <c r="AG544" s="6">
        <f>$O$544*$AA$544</f>
        <v>372.32037616201649</v>
      </c>
    </row>
    <row r="545" spans="1:33" ht="11.25" customHeight="1" x14ac:dyDescent="0.25">
      <c r="A545" s="4" t="s">
        <v>21</v>
      </c>
      <c r="B545" s="4" t="s">
        <v>40</v>
      </c>
      <c r="C545" s="4" t="s">
        <v>23</v>
      </c>
      <c r="D545" s="4" t="s">
        <v>41</v>
      </c>
      <c r="E545" s="4" t="s">
        <v>53</v>
      </c>
      <c r="F545" s="4" t="s">
        <v>51</v>
      </c>
      <c r="G545" s="4" t="s">
        <v>25</v>
      </c>
      <c r="H545" s="4" t="s">
        <v>25</v>
      </c>
      <c r="I545" s="5">
        <v>44440</v>
      </c>
      <c r="J545" s="6">
        <v>0</v>
      </c>
      <c r="K545" s="6">
        <v>0</v>
      </c>
      <c r="L545" s="6">
        <v>1.72</v>
      </c>
      <c r="M545" s="6">
        <v>1.72</v>
      </c>
      <c r="N545" s="6">
        <v>1.72</v>
      </c>
      <c r="O545" s="6">
        <v>1.72</v>
      </c>
      <c r="P545" s="6">
        <v>0</v>
      </c>
      <c r="Q545" s="4" t="s">
        <v>26</v>
      </c>
      <c r="R545" s="4">
        <v>0</v>
      </c>
      <c r="S545" s="6">
        <v>0</v>
      </c>
      <c r="T545" s="6">
        <v>60</v>
      </c>
      <c r="U545" s="6">
        <v>16</v>
      </c>
      <c r="V545" s="6">
        <f>IF(ISERROR(VLOOKUP($S$545,'TAR FIN'!$A$1:$O$85,15,0)),0,VLOOKUP($S$545,'TAR FIN'!$A$1:$O$85,15,0))</f>
        <v>0</v>
      </c>
      <c r="W545" s="6">
        <f>IF(ISERROR(VLOOKUP($T$545,'TAR FIN'!$A$1:$O$85,15,0)),0,VLOOKUP($T$545,'TAR FIN'!$A$1:$O$85,15,0))</f>
        <v>387.29</v>
      </c>
      <c r="X545" s="6">
        <f>IF(ISERROR(VLOOKUP($U$545,'TAR FIN'!$A$1:$O$85,15,0)),0,VLOOKUP($U$545,'TAR FIN'!$A$1:$O$85,15,0))</f>
        <v>196.87</v>
      </c>
      <c r="Y545" s="6"/>
      <c r="Z545" s="6">
        <f ca="1">('TUSD BE'!$AM$33+'TUSD BF'!$AM$33+'TUSD CVA'!$AM$33)*(1-CUSTOS!$M$38)</f>
        <v>464.7286080745173</v>
      </c>
      <c r="AA545" s="6">
        <f>('TE BE'!$AA$23+'TE BF'!$AA$23+'TE CVA'!$AA$23)*(1-CUSTOS!$M$38)</f>
        <v>204.57163525385519</v>
      </c>
      <c r="AB545" s="6">
        <f>$K$545*$V$545</f>
        <v>0</v>
      </c>
      <c r="AC545" s="6">
        <f>$M$545*$W$545</f>
        <v>666.13880000000006</v>
      </c>
      <c r="AD545" s="6">
        <f>$O$545*$X$545</f>
        <v>338.6164</v>
      </c>
      <c r="AE545" s="6">
        <f>$K$545*$Y$545</f>
        <v>0</v>
      </c>
      <c r="AF545" s="6">
        <f ca="1">$M$545*$Z$545</f>
        <v>799.33320588816969</v>
      </c>
      <c r="AG545" s="6">
        <f>$O$545*$AA$545</f>
        <v>351.86321263663092</v>
      </c>
    </row>
    <row r="546" spans="1:33" ht="11.25" customHeight="1" x14ac:dyDescent="0.25">
      <c r="A546" s="4" t="s">
        <v>21</v>
      </c>
      <c r="B546" s="4" t="s">
        <v>40</v>
      </c>
      <c r="C546" s="4" t="s">
        <v>23</v>
      </c>
      <c r="D546" s="4" t="s">
        <v>41</v>
      </c>
      <c r="E546" s="4" t="s">
        <v>53</v>
      </c>
      <c r="F546" s="4" t="s">
        <v>51</v>
      </c>
      <c r="G546" s="4" t="s">
        <v>25</v>
      </c>
      <c r="H546" s="4" t="s">
        <v>25</v>
      </c>
      <c r="I546" s="5">
        <v>44470</v>
      </c>
      <c r="J546" s="6">
        <v>0</v>
      </c>
      <c r="K546" s="6">
        <v>0</v>
      </c>
      <c r="L546" s="6">
        <v>0.06</v>
      </c>
      <c r="M546" s="6">
        <v>0.06</v>
      </c>
      <c r="N546" s="6">
        <v>0.06</v>
      </c>
      <c r="O546" s="6">
        <v>0.06</v>
      </c>
      <c r="P546" s="6">
        <v>0</v>
      </c>
      <c r="Q546" s="4" t="s">
        <v>26</v>
      </c>
      <c r="R546" s="4">
        <v>0</v>
      </c>
      <c r="S546" s="6">
        <v>0</v>
      </c>
      <c r="T546" s="6">
        <v>60</v>
      </c>
      <c r="U546" s="6">
        <v>16</v>
      </c>
      <c r="V546" s="6">
        <f>IF(ISERROR(VLOOKUP($S$546,'TAR FIN'!$A$1:$O$85,15,0)),0,VLOOKUP($S$546,'TAR FIN'!$A$1:$O$85,15,0))</f>
        <v>0</v>
      </c>
      <c r="W546" s="6">
        <f>IF(ISERROR(VLOOKUP($T$546,'TAR FIN'!$A$1:$O$85,15,0)),0,VLOOKUP($T$546,'TAR FIN'!$A$1:$O$85,15,0))</f>
        <v>387.29</v>
      </c>
      <c r="X546" s="6">
        <f>IF(ISERROR(VLOOKUP($U$546,'TAR FIN'!$A$1:$O$85,15,0)),0,VLOOKUP($U$546,'TAR FIN'!$A$1:$O$85,15,0))</f>
        <v>196.87</v>
      </c>
      <c r="Y546" s="6"/>
      <c r="Z546" s="6">
        <f ca="1">('TUSD BE'!$AM$33+'TUSD BF'!$AM$33+'TUSD CVA'!$AM$33)*(1-CUSTOS!$M$38)</f>
        <v>464.7286080745173</v>
      </c>
      <c r="AA546" s="6">
        <f>('TE BE'!$AA$23+'TE BF'!$AA$23+'TE CVA'!$AA$23)*(1-CUSTOS!$M$38)</f>
        <v>204.57163525385519</v>
      </c>
      <c r="AB546" s="6">
        <f>$K$546*$V$546</f>
        <v>0</v>
      </c>
      <c r="AC546" s="6">
        <f>$M$546*$W$546</f>
        <v>23.237400000000001</v>
      </c>
      <c r="AD546" s="6">
        <f>$O$546*$X$546</f>
        <v>11.812200000000001</v>
      </c>
      <c r="AE546" s="6">
        <f>$K$546*$Y$546</f>
        <v>0</v>
      </c>
      <c r="AF546" s="6">
        <f ca="1">$M$546*$Z$546</f>
        <v>27.883716484471037</v>
      </c>
      <c r="AG546" s="6">
        <f>$O$546*$AA$546</f>
        <v>12.274298115231311</v>
      </c>
    </row>
    <row r="547" spans="1:33" ht="11.25" customHeight="1" x14ac:dyDescent="0.25">
      <c r="A547" s="4" t="s">
        <v>21</v>
      </c>
      <c r="B547" s="4" t="s">
        <v>40</v>
      </c>
      <c r="C547" s="4" t="s">
        <v>23</v>
      </c>
      <c r="D547" s="4" t="s">
        <v>41</v>
      </c>
      <c r="E547" s="4" t="s">
        <v>53</v>
      </c>
      <c r="F547" s="4" t="s">
        <v>51</v>
      </c>
      <c r="G547" s="4" t="s">
        <v>25</v>
      </c>
      <c r="H547" s="4" t="s">
        <v>25</v>
      </c>
      <c r="I547" s="5">
        <v>44501</v>
      </c>
      <c r="J547" s="6">
        <v>0</v>
      </c>
      <c r="K547" s="6">
        <v>0</v>
      </c>
      <c r="L547" s="6">
        <v>0.06</v>
      </c>
      <c r="M547" s="6">
        <v>0.06</v>
      </c>
      <c r="N547" s="6">
        <v>0.06</v>
      </c>
      <c r="O547" s="6">
        <v>0.06</v>
      </c>
      <c r="P547" s="6">
        <v>0</v>
      </c>
      <c r="Q547" s="4" t="s">
        <v>26</v>
      </c>
      <c r="R547" s="4">
        <v>0</v>
      </c>
      <c r="S547" s="6">
        <v>0</v>
      </c>
      <c r="T547" s="6">
        <v>60</v>
      </c>
      <c r="U547" s="6">
        <v>16</v>
      </c>
      <c r="V547" s="6">
        <f>IF(ISERROR(VLOOKUP($S$547,'TAR FIN'!$A$1:$O$85,15,0)),0,VLOOKUP($S$547,'TAR FIN'!$A$1:$O$85,15,0))</f>
        <v>0</v>
      </c>
      <c r="W547" s="6">
        <f>IF(ISERROR(VLOOKUP($T$547,'TAR FIN'!$A$1:$O$85,15,0)),0,VLOOKUP($T$547,'TAR FIN'!$A$1:$O$85,15,0))</f>
        <v>387.29</v>
      </c>
      <c r="X547" s="6">
        <f>IF(ISERROR(VLOOKUP($U$547,'TAR FIN'!$A$1:$O$85,15,0)),0,VLOOKUP($U$547,'TAR FIN'!$A$1:$O$85,15,0))</f>
        <v>196.87</v>
      </c>
      <c r="Y547" s="6"/>
      <c r="Z547" s="6">
        <f ca="1">('TUSD BE'!$AM$33+'TUSD BF'!$AM$33+'TUSD CVA'!$AM$33)*(1-CUSTOS!$M$38)</f>
        <v>464.7286080745173</v>
      </c>
      <c r="AA547" s="6">
        <f>('TE BE'!$AA$23+'TE BF'!$AA$23+'TE CVA'!$AA$23)*(1-CUSTOS!$M$38)</f>
        <v>204.57163525385519</v>
      </c>
      <c r="AB547" s="6">
        <f>$K$547*$V$547</f>
        <v>0</v>
      </c>
      <c r="AC547" s="6">
        <f>$M$547*$W$547</f>
        <v>23.237400000000001</v>
      </c>
      <c r="AD547" s="6">
        <f>$O$547*$X$547</f>
        <v>11.812200000000001</v>
      </c>
      <c r="AE547" s="6">
        <f>$K$547*$Y$547</f>
        <v>0</v>
      </c>
      <c r="AF547" s="6">
        <f ca="1">$M$547*$Z$547</f>
        <v>27.883716484471037</v>
      </c>
      <c r="AG547" s="6">
        <f>$O$547*$AA$547</f>
        <v>12.274298115231311</v>
      </c>
    </row>
    <row r="548" spans="1:33" ht="11.25" customHeight="1" x14ac:dyDescent="0.25">
      <c r="A548" s="4" t="s">
        <v>21</v>
      </c>
      <c r="B548" s="4" t="s">
        <v>40</v>
      </c>
      <c r="C548" s="4" t="s">
        <v>23</v>
      </c>
      <c r="D548" s="4" t="s">
        <v>41</v>
      </c>
      <c r="E548" s="4" t="s">
        <v>53</v>
      </c>
      <c r="F548" s="4" t="s">
        <v>51</v>
      </c>
      <c r="G548" s="4" t="s">
        <v>25</v>
      </c>
      <c r="H548" s="4" t="s">
        <v>25</v>
      </c>
      <c r="I548" s="5">
        <v>44531</v>
      </c>
      <c r="J548" s="6">
        <v>0</v>
      </c>
      <c r="K548" s="6">
        <v>0</v>
      </c>
      <c r="L548" s="6">
        <v>0.12</v>
      </c>
      <c r="M548" s="6">
        <v>0.12</v>
      </c>
      <c r="N548" s="6">
        <v>0.12</v>
      </c>
      <c r="O548" s="6">
        <v>0.12</v>
      </c>
      <c r="P548" s="6">
        <v>0</v>
      </c>
      <c r="Q548" s="4" t="s">
        <v>26</v>
      </c>
      <c r="R548" s="4">
        <v>0</v>
      </c>
      <c r="S548" s="6">
        <v>0</v>
      </c>
      <c r="T548" s="6">
        <v>60</v>
      </c>
      <c r="U548" s="6">
        <v>16</v>
      </c>
      <c r="V548" s="6">
        <f>IF(ISERROR(VLOOKUP($S$548,'TAR FIN'!$A$1:$O$85,15,0)),0,VLOOKUP($S$548,'TAR FIN'!$A$1:$O$85,15,0))</f>
        <v>0</v>
      </c>
      <c r="W548" s="6">
        <f>IF(ISERROR(VLOOKUP($T$548,'TAR FIN'!$A$1:$O$85,15,0)),0,VLOOKUP($T$548,'TAR FIN'!$A$1:$O$85,15,0))</f>
        <v>387.29</v>
      </c>
      <c r="X548" s="6">
        <f>IF(ISERROR(VLOOKUP($U$548,'TAR FIN'!$A$1:$O$85,15,0)),0,VLOOKUP($U$548,'TAR FIN'!$A$1:$O$85,15,0))</f>
        <v>196.87</v>
      </c>
      <c r="Y548" s="6"/>
      <c r="Z548" s="6">
        <f ca="1">('TUSD BE'!$AM$33+'TUSD BF'!$AM$33+'TUSD CVA'!$AM$33)*(1-CUSTOS!$M$38)</f>
        <v>464.7286080745173</v>
      </c>
      <c r="AA548" s="6">
        <f>('TE BE'!$AA$23+'TE BF'!$AA$23+'TE CVA'!$AA$23)*(1-CUSTOS!$M$38)</f>
        <v>204.57163525385519</v>
      </c>
      <c r="AB548" s="6">
        <f>$K$548*$V$548</f>
        <v>0</v>
      </c>
      <c r="AC548" s="6">
        <f>$M$548*$W$548</f>
        <v>46.474800000000002</v>
      </c>
      <c r="AD548" s="6">
        <f>$O$548*$X$548</f>
        <v>23.624400000000001</v>
      </c>
      <c r="AE548" s="6">
        <f>$K$548*$Y$548</f>
        <v>0</v>
      </c>
      <c r="AF548" s="6">
        <f ca="1">$M$548*$Z$548</f>
        <v>55.767432968942074</v>
      </c>
      <c r="AG548" s="6">
        <f>$O$548*$AA$548</f>
        <v>24.548596230462621</v>
      </c>
    </row>
    <row r="549" spans="1:33" ht="11.25" customHeight="1" x14ac:dyDescent="0.25">
      <c r="A549" s="4" t="s">
        <v>21</v>
      </c>
      <c r="B549" s="4" t="s">
        <v>40</v>
      </c>
      <c r="C549" s="4" t="s">
        <v>23</v>
      </c>
      <c r="D549" s="4" t="s">
        <v>41</v>
      </c>
      <c r="E549" s="4" t="s">
        <v>53</v>
      </c>
      <c r="F549" s="4" t="s">
        <v>51</v>
      </c>
      <c r="G549" s="4" t="s">
        <v>25</v>
      </c>
      <c r="H549" s="4" t="s">
        <v>25</v>
      </c>
      <c r="I549" s="5">
        <v>44562</v>
      </c>
      <c r="J549" s="6">
        <v>0</v>
      </c>
      <c r="K549" s="6">
        <v>0</v>
      </c>
      <c r="L549" s="6">
        <v>0.16</v>
      </c>
      <c r="M549" s="6">
        <v>0.16</v>
      </c>
      <c r="N549" s="6">
        <v>0.16</v>
      </c>
      <c r="O549" s="6">
        <v>0.16</v>
      </c>
      <c r="P549" s="6">
        <v>0</v>
      </c>
      <c r="Q549" s="4" t="s">
        <v>26</v>
      </c>
      <c r="R549" s="4">
        <v>0</v>
      </c>
      <c r="S549" s="6">
        <v>0</v>
      </c>
      <c r="T549" s="6">
        <v>60</v>
      </c>
      <c r="U549" s="6">
        <v>16</v>
      </c>
      <c r="V549" s="6">
        <f>IF(ISERROR(VLOOKUP($S$549,'TAR FIN'!$A$1:$O$85,15,0)),0,VLOOKUP($S$549,'TAR FIN'!$A$1:$O$85,15,0))</f>
        <v>0</v>
      </c>
      <c r="W549" s="6">
        <f>IF(ISERROR(VLOOKUP($T$549,'TAR FIN'!$A$1:$O$85,15,0)),0,VLOOKUP($T$549,'TAR FIN'!$A$1:$O$85,15,0))</f>
        <v>387.29</v>
      </c>
      <c r="X549" s="6">
        <f>IF(ISERROR(VLOOKUP($U$549,'TAR FIN'!$A$1:$O$85,15,0)),0,VLOOKUP($U$549,'TAR FIN'!$A$1:$O$85,15,0))</f>
        <v>196.87</v>
      </c>
      <c r="Y549" s="6"/>
      <c r="Z549" s="6">
        <f ca="1">('TUSD BE'!$AM$33+'TUSD BF'!$AM$33+'TUSD CVA'!$AM$33)*(1-CUSTOS!$M$38)</f>
        <v>464.7286080745173</v>
      </c>
      <c r="AA549" s="6">
        <f>('TE BE'!$AA$23+'TE BF'!$AA$23+'TE CVA'!$AA$23)*(1-CUSTOS!$M$38)</f>
        <v>204.57163525385519</v>
      </c>
      <c r="AB549" s="6">
        <f>$K$549*$V$549</f>
        <v>0</v>
      </c>
      <c r="AC549" s="6">
        <f>$M$549*$W$549</f>
        <v>61.966400000000007</v>
      </c>
      <c r="AD549" s="6">
        <f>$O$549*$X$549</f>
        <v>31.499200000000002</v>
      </c>
      <c r="AE549" s="6">
        <f>$K$549*$Y$549</f>
        <v>0</v>
      </c>
      <c r="AF549" s="6">
        <f ca="1">$M$549*$Z$549</f>
        <v>74.356577291922775</v>
      </c>
      <c r="AG549" s="6">
        <f>$O$549*$AA$549</f>
        <v>32.731461640616828</v>
      </c>
    </row>
    <row r="550" spans="1:33" ht="11.25" customHeight="1" x14ac:dyDescent="0.25">
      <c r="A550" s="4" t="s">
        <v>21</v>
      </c>
      <c r="B550" s="4" t="s">
        <v>40</v>
      </c>
      <c r="C550" s="4" t="s">
        <v>23</v>
      </c>
      <c r="D550" s="4" t="s">
        <v>41</v>
      </c>
      <c r="E550" s="4" t="s">
        <v>53</v>
      </c>
      <c r="F550" s="4" t="s">
        <v>51</v>
      </c>
      <c r="G550" s="4" t="s">
        <v>25</v>
      </c>
      <c r="H550" s="4" t="s">
        <v>25</v>
      </c>
      <c r="I550" s="5">
        <v>44593</v>
      </c>
      <c r="J550" s="6">
        <v>0</v>
      </c>
      <c r="K550" s="6">
        <v>0</v>
      </c>
      <c r="L550" s="6">
        <v>0.14000000000000001</v>
      </c>
      <c r="M550" s="6">
        <v>0.14000000000000001</v>
      </c>
      <c r="N550" s="6">
        <v>0.14000000000000001</v>
      </c>
      <c r="O550" s="6">
        <v>0.14000000000000001</v>
      </c>
      <c r="P550" s="6">
        <v>0</v>
      </c>
      <c r="Q550" s="4" t="s">
        <v>26</v>
      </c>
      <c r="R550" s="4">
        <v>0</v>
      </c>
      <c r="S550" s="6">
        <v>0</v>
      </c>
      <c r="T550" s="6">
        <v>60</v>
      </c>
      <c r="U550" s="6">
        <v>16</v>
      </c>
      <c r="V550" s="6">
        <f>IF(ISERROR(VLOOKUP($S$550,'TAR FIN'!$A$1:$O$85,15,0)),0,VLOOKUP($S$550,'TAR FIN'!$A$1:$O$85,15,0))</f>
        <v>0</v>
      </c>
      <c r="W550" s="6">
        <f>IF(ISERROR(VLOOKUP($T$550,'TAR FIN'!$A$1:$O$85,15,0)),0,VLOOKUP($T$550,'TAR FIN'!$A$1:$O$85,15,0))</f>
        <v>387.29</v>
      </c>
      <c r="X550" s="6">
        <f>IF(ISERROR(VLOOKUP($U$550,'TAR FIN'!$A$1:$O$85,15,0)),0,VLOOKUP($U$550,'TAR FIN'!$A$1:$O$85,15,0))</f>
        <v>196.87</v>
      </c>
      <c r="Y550" s="6"/>
      <c r="Z550" s="6">
        <f ca="1">('TUSD BE'!$AM$33+'TUSD BF'!$AM$33+'TUSD CVA'!$AM$33)*(1-CUSTOS!$M$38)</f>
        <v>464.7286080745173</v>
      </c>
      <c r="AA550" s="6">
        <f>('TE BE'!$AA$23+'TE BF'!$AA$23+'TE CVA'!$AA$23)*(1-CUSTOS!$M$38)</f>
        <v>204.57163525385519</v>
      </c>
      <c r="AB550" s="6">
        <f>$K$550*$V$550</f>
        <v>0</v>
      </c>
      <c r="AC550" s="6">
        <f>$M$550*$W$550</f>
        <v>54.220600000000005</v>
      </c>
      <c r="AD550" s="6">
        <f>$O$550*$X$550</f>
        <v>27.561800000000002</v>
      </c>
      <c r="AE550" s="6">
        <f>$K$550*$Y$550</f>
        <v>0</v>
      </c>
      <c r="AF550" s="6">
        <f ca="1">$M$550*$Z$550</f>
        <v>65.062005130432425</v>
      </c>
      <c r="AG550" s="6">
        <f>$O$550*$AA$550</f>
        <v>28.640028935539728</v>
      </c>
    </row>
    <row r="551" spans="1:33" ht="11.25" customHeight="1" x14ac:dyDescent="0.25">
      <c r="A551" s="4" t="s">
        <v>54</v>
      </c>
      <c r="B551" s="4" t="s">
        <v>40</v>
      </c>
      <c r="C551" s="4" t="s">
        <v>23</v>
      </c>
      <c r="D551" s="4" t="s">
        <v>41</v>
      </c>
      <c r="E551" s="4" t="s">
        <v>53</v>
      </c>
      <c r="F551" s="4" t="s">
        <v>51</v>
      </c>
      <c r="G551" s="4" t="s">
        <v>25</v>
      </c>
      <c r="H551" s="4" t="s">
        <v>25</v>
      </c>
      <c r="I551" s="5">
        <v>44621</v>
      </c>
      <c r="J551" s="6">
        <v>0</v>
      </c>
      <c r="K551" s="6">
        <v>0</v>
      </c>
      <c r="L551" s="6">
        <v>0.14000000000000001</v>
      </c>
      <c r="M551" s="6">
        <v>0.14000000000000001</v>
      </c>
      <c r="N551" s="6">
        <v>0.14000000000000001</v>
      </c>
      <c r="O551" s="6">
        <v>0.14000000000000001</v>
      </c>
      <c r="P551" s="6">
        <v>0</v>
      </c>
      <c r="Q551" s="4" t="s">
        <v>26</v>
      </c>
      <c r="R551" s="4">
        <v>0</v>
      </c>
      <c r="S551" s="6">
        <v>0</v>
      </c>
      <c r="T551" s="6">
        <v>60</v>
      </c>
      <c r="U551" s="6">
        <v>16</v>
      </c>
      <c r="V551" s="6">
        <f>IF(ISERROR(VLOOKUP($S$551,'TAR FIN'!$A$1:$O$85,15,0)),0,VLOOKUP($S$551,'TAR FIN'!$A$1:$O$85,15,0))</f>
        <v>0</v>
      </c>
      <c r="W551" s="6">
        <f>IF(ISERROR(VLOOKUP($T$551,'TAR FIN'!$A$1:$O$85,15,0)),0,VLOOKUP($T$551,'TAR FIN'!$A$1:$O$85,15,0))</f>
        <v>387.29</v>
      </c>
      <c r="X551" s="6">
        <f>IF(ISERROR(VLOOKUP($U$551,'TAR FIN'!$A$1:$O$85,15,0)),0,VLOOKUP($U$551,'TAR FIN'!$A$1:$O$85,15,0))</f>
        <v>196.87</v>
      </c>
      <c r="Y551" s="6"/>
      <c r="Z551" s="6">
        <f ca="1">('TUSD BE'!$AM$33+'TUSD BF'!$AM$33+'TUSD CVA'!$AM$33)*(1-CUSTOS!$M$38)</f>
        <v>464.7286080745173</v>
      </c>
      <c r="AA551" s="6">
        <f>('TE BE'!$AA$23+'TE BF'!$AA$23+'TE CVA'!$AA$23)*(1-CUSTOS!$M$38)</f>
        <v>204.57163525385519</v>
      </c>
      <c r="AB551" s="6">
        <f>$K$551*$V$551</f>
        <v>0</v>
      </c>
      <c r="AC551" s="6">
        <f>$M$551*$W$551</f>
        <v>54.220600000000005</v>
      </c>
      <c r="AD551" s="6">
        <f>$O$551*$X$551</f>
        <v>27.561800000000002</v>
      </c>
      <c r="AE551" s="6">
        <f>$K$551*$Y$551</f>
        <v>0</v>
      </c>
      <c r="AF551" s="6">
        <f ca="1">$M$551*$Z$551</f>
        <v>65.062005130432425</v>
      </c>
      <c r="AG551" s="6">
        <f>$O$551*$AA$551</f>
        <v>28.640028935539728</v>
      </c>
    </row>
    <row r="552" spans="1:33" ht="11.25" customHeight="1" x14ac:dyDescent="0.25">
      <c r="A552" s="4" t="s">
        <v>21</v>
      </c>
      <c r="B552" s="4" t="s">
        <v>40</v>
      </c>
      <c r="C552" s="4" t="s">
        <v>23</v>
      </c>
      <c r="D552" s="4" t="s">
        <v>41</v>
      </c>
      <c r="E552" s="4" t="s">
        <v>53</v>
      </c>
      <c r="F552" s="4" t="s">
        <v>52</v>
      </c>
      <c r="G552" s="4" t="s">
        <v>25</v>
      </c>
      <c r="H552" s="4" t="s">
        <v>25</v>
      </c>
      <c r="I552" s="5">
        <v>44287</v>
      </c>
      <c r="J552" s="6">
        <v>0</v>
      </c>
      <c r="K552" s="6">
        <v>0</v>
      </c>
      <c r="L552" s="6">
        <v>1.08</v>
      </c>
      <c r="M552" s="6">
        <v>0.432</v>
      </c>
      <c r="N552" s="6">
        <v>1.08</v>
      </c>
      <c r="O552" s="6">
        <v>0.432</v>
      </c>
      <c r="P552" s="6">
        <v>0</v>
      </c>
      <c r="Q552" s="4" t="s">
        <v>26</v>
      </c>
      <c r="R552" s="4">
        <v>0</v>
      </c>
      <c r="S552" s="6">
        <v>0</v>
      </c>
      <c r="T552" s="6">
        <v>60</v>
      </c>
      <c r="U552" s="6">
        <v>16</v>
      </c>
      <c r="V552" s="6">
        <f>IF(ISERROR(VLOOKUP($S$552,'TAR FIN'!$A$1:$O$85,15,0)),0,VLOOKUP($S$552,'TAR FIN'!$A$1:$O$85,15,0))</f>
        <v>0</v>
      </c>
      <c r="W552" s="6">
        <f>IF(ISERROR(VLOOKUP($T$552,'TAR FIN'!$A$1:$O$85,15,0)),0,VLOOKUP($T$552,'TAR FIN'!$A$1:$O$85,15,0))</f>
        <v>387.29</v>
      </c>
      <c r="X552" s="6">
        <f>IF(ISERROR(VLOOKUP($U$552,'TAR FIN'!$A$1:$O$85,15,0)),0,VLOOKUP($U$552,'TAR FIN'!$A$1:$O$85,15,0))</f>
        <v>196.87</v>
      </c>
      <c r="Y552" s="6"/>
      <c r="Z552" s="6">
        <f ca="1">('TUSD BE'!$AM$33+'TUSD BF'!$AM$33+'TUSD CVA'!$AM$33)*(1-CUSTOS!$M$38)</f>
        <v>464.7286080745173</v>
      </c>
      <c r="AA552" s="6">
        <f>('TE BE'!$AA$23+'TE BF'!$AA$23+'TE CVA'!$AA$23)*(1-CUSTOS!$M$38)</f>
        <v>204.57163525385519</v>
      </c>
      <c r="AB552" s="6">
        <f>$K$552*$V$552</f>
        <v>0</v>
      </c>
      <c r="AC552" s="6">
        <f>$M$552*$W$552</f>
        <v>167.30928</v>
      </c>
      <c r="AD552" s="6">
        <f>$O$552*$X$552</f>
        <v>85.047840000000008</v>
      </c>
      <c r="AE552" s="6">
        <f>$K$552*$Y$552</f>
        <v>0</v>
      </c>
      <c r="AF552" s="6">
        <f ca="1">$M$552*$Z$552</f>
        <v>200.76275868819147</v>
      </c>
      <c r="AG552" s="6">
        <f>$O$552*$AA$552</f>
        <v>88.374946429665442</v>
      </c>
    </row>
    <row r="553" spans="1:33" ht="11.25" customHeight="1" x14ac:dyDescent="0.25">
      <c r="A553" s="4" t="s">
        <v>21</v>
      </c>
      <c r="B553" s="4" t="s">
        <v>40</v>
      </c>
      <c r="C553" s="4" t="s">
        <v>23</v>
      </c>
      <c r="D553" s="4" t="s">
        <v>41</v>
      </c>
      <c r="E553" s="4" t="s">
        <v>53</v>
      </c>
      <c r="F553" s="4" t="s">
        <v>52</v>
      </c>
      <c r="G553" s="4" t="s">
        <v>25</v>
      </c>
      <c r="H553" s="4" t="s">
        <v>25</v>
      </c>
      <c r="I553" s="5">
        <v>44317</v>
      </c>
      <c r="J553" s="6">
        <v>0</v>
      </c>
      <c r="K553" s="6">
        <v>0</v>
      </c>
      <c r="L553" s="6">
        <v>1.02</v>
      </c>
      <c r="M553" s="6">
        <v>0.40799999999999997</v>
      </c>
      <c r="N553" s="6">
        <v>1.02</v>
      </c>
      <c r="O553" s="6">
        <v>0.40799999999999997</v>
      </c>
      <c r="P553" s="6">
        <v>0</v>
      </c>
      <c r="Q553" s="4" t="s">
        <v>26</v>
      </c>
      <c r="R553" s="4">
        <v>0</v>
      </c>
      <c r="S553" s="6">
        <v>0</v>
      </c>
      <c r="T553" s="6">
        <v>60</v>
      </c>
      <c r="U553" s="6">
        <v>16</v>
      </c>
      <c r="V553" s="6">
        <f>IF(ISERROR(VLOOKUP($S$553,'TAR FIN'!$A$1:$O$85,15,0)),0,VLOOKUP($S$553,'TAR FIN'!$A$1:$O$85,15,0))</f>
        <v>0</v>
      </c>
      <c r="W553" s="6">
        <f>IF(ISERROR(VLOOKUP($T$553,'TAR FIN'!$A$1:$O$85,15,0)),0,VLOOKUP($T$553,'TAR FIN'!$A$1:$O$85,15,0))</f>
        <v>387.29</v>
      </c>
      <c r="X553" s="6">
        <f>IF(ISERROR(VLOOKUP($U$553,'TAR FIN'!$A$1:$O$85,15,0)),0,VLOOKUP($U$553,'TAR FIN'!$A$1:$O$85,15,0))</f>
        <v>196.87</v>
      </c>
      <c r="Y553" s="6"/>
      <c r="Z553" s="6">
        <f ca="1">('TUSD BE'!$AM$33+'TUSD BF'!$AM$33+'TUSD CVA'!$AM$33)*(1-CUSTOS!$M$38)</f>
        <v>464.7286080745173</v>
      </c>
      <c r="AA553" s="6">
        <f>('TE BE'!$AA$23+'TE BF'!$AA$23+'TE CVA'!$AA$23)*(1-CUSTOS!$M$38)</f>
        <v>204.57163525385519</v>
      </c>
      <c r="AB553" s="6">
        <f>$K$553*$V$553</f>
        <v>0</v>
      </c>
      <c r="AC553" s="6">
        <f>$M$553*$W$553</f>
        <v>158.01432</v>
      </c>
      <c r="AD553" s="6">
        <f>$O$553*$X$553</f>
        <v>80.322959999999995</v>
      </c>
      <c r="AE553" s="6">
        <f>$K$553*$Y$553</f>
        <v>0</v>
      </c>
      <c r="AF553" s="6">
        <f ca="1">$M$553*$Z$553</f>
        <v>189.60927209440305</v>
      </c>
      <c r="AG553" s="6">
        <f>$O$553*$AA$553</f>
        <v>83.465227183572907</v>
      </c>
    </row>
    <row r="554" spans="1:33" ht="11.25" customHeight="1" x14ac:dyDescent="0.25">
      <c r="A554" s="4" t="s">
        <v>21</v>
      </c>
      <c r="B554" s="4" t="s">
        <v>40</v>
      </c>
      <c r="C554" s="4" t="s">
        <v>23</v>
      </c>
      <c r="D554" s="4" t="s">
        <v>41</v>
      </c>
      <c r="E554" s="4" t="s">
        <v>53</v>
      </c>
      <c r="F554" s="4" t="s">
        <v>52</v>
      </c>
      <c r="G554" s="4" t="s">
        <v>25</v>
      </c>
      <c r="H554" s="4" t="s">
        <v>25</v>
      </c>
      <c r="I554" s="5">
        <v>44348</v>
      </c>
      <c r="J554" s="6">
        <v>0</v>
      </c>
      <c r="K554" s="6">
        <v>0</v>
      </c>
      <c r="L554" s="6">
        <v>0.82</v>
      </c>
      <c r="M554" s="6">
        <v>0.32800000000000001</v>
      </c>
      <c r="N554" s="6">
        <v>0.82</v>
      </c>
      <c r="O554" s="6">
        <v>0.32800000000000001</v>
      </c>
      <c r="P554" s="6">
        <v>0</v>
      </c>
      <c r="Q554" s="4" t="s">
        <v>26</v>
      </c>
      <c r="R554" s="4">
        <v>0</v>
      </c>
      <c r="S554" s="6">
        <v>0</v>
      </c>
      <c r="T554" s="6">
        <v>60</v>
      </c>
      <c r="U554" s="6">
        <v>16</v>
      </c>
      <c r="V554" s="6">
        <f>IF(ISERROR(VLOOKUP($S$554,'TAR FIN'!$A$1:$O$85,15,0)),0,VLOOKUP($S$554,'TAR FIN'!$A$1:$O$85,15,0))</f>
        <v>0</v>
      </c>
      <c r="W554" s="6">
        <f>IF(ISERROR(VLOOKUP($T$554,'TAR FIN'!$A$1:$O$85,15,0)),0,VLOOKUP($T$554,'TAR FIN'!$A$1:$O$85,15,0))</f>
        <v>387.29</v>
      </c>
      <c r="X554" s="6">
        <f>IF(ISERROR(VLOOKUP($U$554,'TAR FIN'!$A$1:$O$85,15,0)),0,VLOOKUP($U$554,'TAR FIN'!$A$1:$O$85,15,0))</f>
        <v>196.87</v>
      </c>
      <c r="Y554" s="6"/>
      <c r="Z554" s="6">
        <f ca="1">('TUSD BE'!$AM$33+'TUSD BF'!$AM$33+'TUSD CVA'!$AM$33)*(1-CUSTOS!$M$38)</f>
        <v>464.7286080745173</v>
      </c>
      <c r="AA554" s="6">
        <f>('TE BE'!$AA$23+'TE BF'!$AA$23+'TE CVA'!$AA$23)*(1-CUSTOS!$M$38)</f>
        <v>204.57163525385519</v>
      </c>
      <c r="AB554" s="6">
        <f>$K$554*$V$554</f>
        <v>0</v>
      </c>
      <c r="AC554" s="6">
        <f>$M$554*$W$554</f>
        <v>127.03112000000002</v>
      </c>
      <c r="AD554" s="6">
        <f>$O$554*$X$554</f>
        <v>64.573360000000008</v>
      </c>
      <c r="AE554" s="6">
        <f>$K$554*$Y$554</f>
        <v>0</v>
      </c>
      <c r="AF554" s="6">
        <f ca="1">$M$554*$Z$554</f>
        <v>152.43098344844168</v>
      </c>
      <c r="AG554" s="6">
        <f>$O$554*$AA$554</f>
        <v>67.099496363264507</v>
      </c>
    </row>
    <row r="555" spans="1:33" ht="11.25" customHeight="1" x14ac:dyDescent="0.25">
      <c r="A555" s="4" t="s">
        <v>21</v>
      </c>
      <c r="B555" s="4" t="s">
        <v>40</v>
      </c>
      <c r="C555" s="4" t="s">
        <v>23</v>
      </c>
      <c r="D555" s="4" t="s">
        <v>41</v>
      </c>
      <c r="E555" s="4" t="s">
        <v>53</v>
      </c>
      <c r="F555" s="4" t="s">
        <v>52</v>
      </c>
      <c r="G555" s="4" t="s">
        <v>25</v>
      </c>
      <c r="H555" s="4" t="s">
        <v>25</v>
      </c>
      <c r="I555" s="5">
        <v>44378</v>
      </c>
      <c r="J555" s="6">
        <v>0</v>
      </c>
      <c r="K555" s="6">
        <v>0</v>
      </c>
      <c r="L555" s="6">
        <v>0.86</v>
      </c>
      <c r="M555" s="6">
        <v>0.34399999999999997</v>
      </c>
      <c r="N555" s="6">
        <v>0.86</v>
      </c>
      <c r="O555" s="6">
        <v>0.34399999999999997</v>
      </c>
      <c r="P555" s="6">
        <v>0</v>
      </c>
      <c r="Q555" s="4" t="s">
        <v>26</v>
      </c>
      <c r="R555" s="4">
        <v>0</v>
      </c>
      <c r="S555" s="6">
        <v>0</v>
      </c>
      <c r="T555" s="6">
        <v>60</v>
      </c>
      <c r="U555" s="6">
        <v>16</v>
      </c>
      <c r="V555" s="6">
        <f>IF(ISERROR(VLOOKUP($S$555,'TAR FIN'!$A$1:$O$85,15,0)),0,VLOOKUP($S$555,'TAR FIN'!$A$1:$O$85,15,0))</f>
        <v>0</v>
      </c>
      <c r="W555" s="6">
        <f>IF(ISERROR(VLOOKUP($T$555,'TAR FIN'!$A$1:$O$85,15,0)),0,VLOOKUP($T$555,'TAR FIN'!$A$1:$O$85,15,0))</f>
        <v>387.29</v>
      </c>
      <c r="X555" s="6">
        <f>IF(ISERROR(VLOOKUP($U$555,'TAR FIN'!$A$1:$O$85,15,0)),0,VLOOKUP($U$555,'TAR FIN'!$A$1:$O$85,15,0))</f>
        <v>196.87</v>
      </c>
      <c r="Y555" s="6"/>
      <c r="Z555" s="6">
        <f ca="1">('TUSD BE'!$AM$33+'TUSD BF'!$AM$33+'TUSD CVA'!$AM$33)*(1-CUSTOS!$M$38)</f>
        <v>464.7286080745173</v>
      </c>
      <c r="AA555" s="6">
        <f>('TE BE'!$AA$23+'TE BF'!$AA$23+'TE CVA'!$AA$23)*(1-CUSTOS!$M$38)</f>
        <v>204.57163525385519</v>
      </c>
      <c r="AB555" s="6">
        <f>$K$555*$V$555</f>
        <v>0</v>
      </c>
      <c r="AC555" s="6">
        <f>$M$555*$W$555</f>
        <v>133.22775999999999</v>
      </c>
      <c r="AD555" s="6">
        <f>$O$555*$X$555</f>
        <v>67.723280000000003</v>
      </c>
      <c r="AE555" s="6">
        <f>$K$555*$Y$555</f>
        <v>0</v>
      </c>
      <c r="AF555" s="6">
        <f ca="1">$M$555*$Z$555</f>
        <v>159.86664117763394</v>
      </c>
      <c r="AG555" s="6">
        <f>$O$555*$AA$555</f>
        <v>70.372642527326178</v>
      </c>
    </row>
    <row r="556" spans="1:33" ht="11.25" customHeight="1" x14ac:dyDescent="0.25">
      <c r="A556" s="4" t="s">
        <v>21</v>
      </c>
      <c r="B556" s="4" t="s">
        <v>40</v>
      </c>
      <c r="C556" s="4" t="s">
        <v>23</v>
      </c>
      <c r="D556" s="4" t="s">
        <v>41</v>
      </c>
      <c r="E556" s="4" t="s">
        <v>53</v>
      </c>
      <c r="F556" s="4" t="s">
        <v>52</v>
      </c>
      <c r="G556" s="4" t="s">
        <v>25</v>
      </c>
      <c r="H556" s="4" t="s">
        <v>25</v>
      </c>
      <c r="I556" s="5">
        <v>44409</v>
      </c>
      <c r="J556" s="6">
        <v>0</v>
      </c>
      <c r="K556" s="6">
        <v>0</v>
      </c>
      <c r="L556" s="6">
        <v>1.02</v>
      </c>
      <c r="M556" s="6">
        <v>0.40799999999999997</v>
      </c>
      <c r="N556" s="6">
        <v>1.02</v>
      </c>
      <c r="O556" s="6">
        <v>0.40799999999999997</v>
      </c>
      <c r="P556" s="6">
        <v>0</v>
      </c>
      <c r="Q556" s="4" t="s">
        <v>26</v>
      </c>
      <c r="R556" s="4">
        <v>0</v>
      </c>
      <c r="S556" s="6">
        <v>0</v>
      </c>
      <c r="T556" s="6">
        <v>60</v>
      </c>
      <c r="U556" s="6">
        <v>16</v>
      </c>
      <c r="V556" s="6">
        <f>IF(ISERROR(VLOOKUP($S$556,'TAR FIN'!$A$1:$O$85,15,0)),0,VLOOKUP($S$556,'TAR FIN'!$A$1:$O$85,15,0))</f>
        <v>0</v>
      </c>
      <c r="W556" s="6">
        <f>IF(ISERROR(VLOOKUP($T$556,'TAR FIN'!$A$1:$O$85,15,0)),0,VLOOKUP($T$556,'TAR FIN'!$A$1:$O$85,15,0))</f>
        <v>387.29</v>
      </c>
      <c r="X556" s="6">
        <f>IF(ISERROR(VLOOKUP($U$556,'TAR FIN'!$A$1:$O$85,15,0)),0,VLOOKUP($U$556,'TAR FIN'!$A$1:$O$85,15,0))</f>
        <v>196.87</v>
      </c>
      <c r="Y556" s="6"/>
      <c r="Z556" s="6">
        <f ca="1">('TUSD BE'!$AM$33+'TUSD BF'!$AM$33+'TUSD CVA'!$AM$33)*(1-CUSTOS!$M$38)</f>
        <v>464.7286080745173</v>
      </c>
      <c r="AA556" s="6">
        <f>('TE BE'!$AA$23+'TE BF'!$AA$23+'TE CVA'!$AA$23)*(1-CUSTOS!$M$38)</f>
        <v>204.57163525385519</v>
      </c>
      <c r="AB556" s="6">
        <f>$K$556*$V$556</f>
        <v>0</v>
      </c>
      <c r="AC556" s="6">
        <f>$M$556*$W$556</f>
        <v>158.01432</v>
      </c>
      <c r="AD556" s="6">
        <f>$O$556*$X$556</f>
        <v>80.322959999999995</v>
      </c>
      <c r="AE556" s="6">
        <f>$K$556*$Y$556</f>
        <v>0</v>
      </c>
      <c r="AF556" s="6">
        <f ca="1">$M$556*$Z$556</f>
        <v>189.60927209440305</v>
      </c>
      <c r="AG556" s="6">
        <f>$O$556*$AA$556</f>
        <v>83.465227183572907</v>
      </c>
    </row>
    <row r="557" spans="1:33" ht="11.25" customHeight="1" x14ac:dyDescent="0.25">
      <c r="A557" s="4" t="s">
        <v>21</v>
      </c>
      <c r="B557" s="4" t="s">
        <v>40</v>
      </c>
      <c r="C557" s="4" t="s">
        <v>23</v>
      </c>
      <c r="D557" s="4" t="s">
        <v>41</v>
      </c>
      <c r="E557" s="4" t="s">
        <v>53</v>
      </c>
      <c r="F557" s="4" t="s">
        <v>52</v>
      </c>
      <c r="G557" s="4" t="s">
        <v>25</v>
      </c>
      <c r="H557" s="4" t="s">
        <v>25</v>
      </c>
      <c r="I557" s="5">
        <v>44440</v>
      </c>
      <c r="J557" s="6">
        <v>0</v>
      </c>
      <c r="K557" s="6">
        <v>0</v>
      </c>
      <c r="L557" s="6">
        <v>0.92</v>
      </c>
      <c r="M557" s="6">
        <v>0.36799999999999999</v>
      </c>
      <c r="N557" s="6">
        <v>0.92</v>
      </c>
      <c r="O557" s="6">
        <v>0.36799999999999999</v>
      </c>
      <c r="P557" s="6">
        <v>0</v>
      </c>
      <c r="Q557" s="4" t="s">
        <v>26</v>
      </c>
      <c r="R557" s="4">
        <v>0</v>
      </c>
      <c r="S557" s="6">
        <v>0</v>
      </c>
      <c r="T557" s="6">
        <v>60</v>
      </c>
      <c r="U557" s="6">
        <v>16</v>
      </c>
      <c r="V557" s="6">
        <f>IF(ISERROR(VLOOKUP($S$557,'TAR FIN'!$A$1:$O$85,15,0)),0,VLOOKUP($S$557,'TAR FIN'!$A$1:$O$85,15,0))</f>
        <v>0</v>
      </c>
      <c r="W557" s="6">
        <f>IF(ISERROR(VLOOKUP($T$557,'TAR FIN'!$A$1:$O$85,15,0)),0,VLOOKUP($T$557,'TAR FIN'!$A$1:$O$85,15,0))</f>
        <v>387.29</v>
      </c>
      <c r="X557" s="6">
        <f>IF(ISERROR(VLOOKUP($U$557,'TAR FIN'!$A$1:$O$85,15,0)),0,VLOOKUP($U$557,'TAR FIN'!$A$1:$O$85,15,0))</f>
        <v>196.87</v>
      </c>
      <c r="Y557" s="6"/>
      <c r="Z557" s="6">
        <f ca="1">('TUSD BE'!$AM$33+'TUSD BF'!$AM$33+'TUSD CVA'!$AM$33)*(1-CUSTOS!$M$38)</f>
        <v>464.7286080745173</v>
      </c>
      <c r="AA557" s="6">
        <f>('TE BE'!$AA$23+'TE BF'!$AA$23+'TE CVA'!$AA$23)*(1-CUSTOS!$M$38)</f>
        <v>204.57163525385519</v>
      </c>
      <c r="AB557" s="6">
        <f>$K$557*$V$557</f>
        <v>0</v>
      </c>
      <c r="AC557" s="6">
        <f>$M$557*$W$557</f>
        <v>142.52271999999999</v>
      </c>
      <c r="AD557" s="6">
        <f>$O$557*$X$557</f>
        <v>72.448160000000001</v>
      </c>
      <c r="AE557" s="6">
        <f>$K$557*$Y$557</f>
        <v>0</v>
      </c>
      <c r="AF557" s="6">
        <f ca="1">$M$557*$Z$557</f>
        <v>171.02012777142235</v>
      </c>
      <c r="AG557" s="6">
        <f>$O$557*$AA$557</f>
        <v>75.282361773418714</v>
      </c>
    </row>
    <row r="558" spans="1:33" ht="11.25" customHeight="1" x14ac:dyDescent="0.25">
      <c r="A558" s="4" t="s">
        <v>21</v>
      </c>
      <c r="B558" s="4" t="s">
        <v>40</v>
      </c>
      <c r="C558" s="4" t="s">
        <v>23</v>
      </c>
      <c r="D558" s="4" t="s">
        <v>41</v>
      </c>
      <c r="E558" s="4" t="s">
        <v>53</v>
      </c>
      <c r="F558" s="4" t="s">
        <v>52</v>
      </c>
      <c r="G558" s="4" t="s">
        <v>25</v>
      </c>
      <c r="H558" s="4" t="s">
        <v>25</v>
      </c>
      <c r="I558" s="5">
        <v>44470</v>
      </c>
      <c r="J558" s="6">
        <v>0</v>
      </c>
      <c r="K558" s="6">
        <v>0</v>
      </c>
      <c r="L558" s="6">
        <v>0.04</v>
      </c>
      <c r="M558" s="6">
        <v>1.6E-2</v>
      </c>
      <c r="N558" s="6">
        <v>0.04</v>
      </c>
      <c r="O558" s="6">
        <v>1.6E-2</v>
      </c>
      <c r="P558" s="6">
        <v>0</v>
      </c>
      <c r="Q558" s="4" t="s">
        <v>26</v>
      </c>
      <c r="R558" s="4">
        <v>0</v>
      </c>
      <c r="S558" s="6">
        <v>0</v>
      </c>
      <c r="T558" s="6">
        <v>60</v>
      </c>
      <c r="U558" s="6">
        <v>16</v>
      </c>
      <c r="V558" s="6">
        <f>IF(ISERROR(VLOOKUP($S$558,'TAR FIN'!$A$1:$O$85,15,0)),0,VLOOKUP($S$558,'TAR FIN'!$A$1:$O$85,15,0))</f>
        <v>0</v>
      </c>
      <c r="W558" s="6">
        <f>IF(ISERROR(VLOOKUP($T$558,'TAR FIN'!$A$1:$O$85,15,0)),0,VLOOKUP($T$558,'TAR FIN'!$A$1:$O$85,15,0))</f>
        <v>387.29</v>
      </c>
      <c r="X558" s="6">
        <f>IF(ISERROR(VLOOKUP($U$558,'TAR FIN'!$A$1:$O$85,15,0)),0,VLOOKUP($U$558,'TAR FIN'!$A$1:$O$85,15,0))</f>
        <v>196.87</v>
      </c>
      <c r="Y558" s="6"/>
      <c r="Z558" s="6">
        <f ca="1">('TUSD BE'!$AM$33+'TUSD BF'!$AM$33+'TUSD CVA'!$AM$33)*(1-CUSTOS!$M$38)</f>
        <v>464.7286080745173</v>
      </c>
      <c r="AA558" s="6">
        <f>('TE BE'!$AA$23+'TE BF'!$AA$23+'TE CVA'!$AA$23)*(1-CUSTOS!$M$38)</f>
        <v>204.57163525385519</v>
      </c>
      <c r="AB558" s="6">
        <f>$K$558*$V$558</f>
        <v>0</v>
      </c>
      <c r="AC558" s="6">
        <f>$M$558*$W$558</f>
        <v>6.1966400000000004</v>
      </c>
      <c r="AD558" s="6">
        <f>$O$558*$X$558</f>
        <v>3.1499200000000003</v>
      </c>
      <c r="AE558" s="6">
        <f>$K$558*$Y$558</f>
        <v>0</v>
      </c>
      <c r="AF558" s="6">
        <f ca="1">$M$558*$Z$558</f>
        <v>7.4356577291922772</v>
      </c>
      <c r="AG558" s="6">
        <f>$O$558*$AA$558</f>
        <v>3.273146164061683</v>
      </c>
    </row>
    <row r="559" spans="1:33" ht="11.25" customHeight="1" x14ac:dyDescent="0.25">
      <c r="A559" s="4" t="s">
        <v>21</v>
      </c>
      <c r="B559" s="4" t="s">
        <v>40</v>
      </c>
      <c r="C559" s="4" t="s">
        <v>23</v>
      </c>
      <c r="D559" s="4" t="s">
        <v>41</v>
      </c>
      <c r="E559" s="4" t="s">
        <v>53</v>
      </c>
      <c r="F559" s="4" t="s">
        <v>52</v>
      </c>
      <c r="G559" s="4" t="s">
        <v>25</v>
      </c>
      <c r="H559" s="4" t="s">
        <v>25</v>
      </c>
      <c r="I559" s="5">
        <v>44501</v>
      </c>
      <c r="J559" s="6">
        <v>0</v>
      </c>
      <c r="K559" s="6">
        <v>0</v>
      </c>
      <c r="L559" s="6">
        <v>0.04</v>
      </c>
      <c r="M559" s="6">
        <v>1.6E-2</v>
      </c>
      <c r="N559" s="6">
        <v>0.04</v>
      </c>
      <c r="O559" s="6">
        <v>1.6E-2</v>
      </c>
      <c r="P559" s="6">
        <v>0</v>
      </c>
      <c r="Q559" s="4" t="s">
        <v>26</v>
      </c>
      <c r="R559" s="4">
        <v>0</v>
      </c>
      <c r="S559" s="6">
        <v>0</v>
      </c>
      <c r="T559" s="6">
        <v>60</v>
      </c>
      <c r="U559" s="6">
        <v>16</v>
      </c>
      <c r="V559" s="6">
        <f>IF(ISERROR(VLOOKUP($S$559,'TAR FIN'!$A$1:$O$85,15,0)),0,VLOOKUP($S$559,'TAR FIN'!$A$1:$O$85,15,0))</f>
        <v>0</v>
      </c>
      <c r="W559" s="6">
        <f>IF(ISERROR(VLOOKUP($T$559,'TAR FIN'!$A$1:$O$85,15,0)),0,VLOOKUP($T$559,'TAR FIN'!$A$1:$O$85,15,0))</f>
        <v>387.29</v>
      </c>
      <c r="X559" s="6">
        <f>IF(ISERROR(VLOOKUP($U$559,'TAR FIN'!$A$1:$O$85,15,0)),0,VLOOKUP($U$559,'TAR FIN'!$A$1:$O$85,15,0))</f>
        <v>196.87</v>
      </c>
      <c r="Y559" s="6"/>
      <c r="Z559" s="6">
        <f ca="1">('TUSD BE'!$AM$33+'TUSD BF'!$AM$33+'TUSD CVA'!$AM$33)*(1-CUSTOS!$M$38)</f>
        <v>464.7286080745173</v>
      </c>
      <c r="AA559" s="6">
        <f>('TE BE'!$AA$23+'TE BF'!$AA$23+'TE CVA'!$AA$23)*(1-CUSTOS!$M$38)</f>
        <v>204.57163525385519</v>
      </c>
      <c r="AB559" s="6">
        <f>$K$559*$V$559</f>
        <v>0</v>
      </c>
      <c r="AC559" s="6">
        <f>$M$559*$W$559</f>
        <v>6.1966400000000004</v>
      </c>
      <c r="AD559" s="6">
        <f>$O$559*$X$559</f>
        <v>3.1499200000000003</v>
      </c>
      <c r="AE559" s="6">
        <f>$K$559*$Y$559</f>
        <v>0</v>
      </c>
      <c r="AF559" s="6">
        <f ca="1">$M$559*$Z$559</f>
        <v>7.4356577291922772</v>
      </c>
      <c r="AG559" s="6">
        <f>$O$559*$AA$559</f>
        <v>3.273146164061683</v>
      </c>
    </row>
    <row r="560" spans="1:33" ht="11.25" customHeight="1" x14ac:dyDescent="0.25">
      <c r="A560" s="4" t="s">
        <v>21</v>
      </c>
      <c r="B560" s="4" t="s">
        <v>40</v>
      </c>
      <c r="C560" s="4" t="s">
        <v>23</v>
      </c>
      <c r="D560" s="4" t="s">
        <v>41</v>
      </c>
      <c r="E560" s="4" t="s">
        <v>53</v>
      </c>
      <c r="F560" s="4" t="s">
        <v>52</v>
      </c>
      <c r="G560" s="4" t="s">
        <v>25</v>
      </c>
      <c r="H560" s="4" t="s">
        <v>25</v>
      </c>
      <c r="I560" s="5">
        <v>44562</v>
      </c>
      <c r="J560" s="6">
        <v>0</v>
      </c>
      <c r="K560" s="6">
        <v>0</v>
      </c>
      <c r="L560" s="6">
        <v>0.08</v>
      </c>
      <c r="M560" s="6">
        <v>3.2000000000000001E-2</v>
      </c>
      <c r="N560" s="6">
        <v>0.08</v>
      </c>
      <c r="O560" s="6">
        <v>3.2000000000000001E-2</v>
      </c>
      <c r="P560" s="6">
        <v>0</v>
      </c>
      <c r="Q560" s="4" t="s">
        <v>26</v>
      </c>
      <c r="R560" s="4">
        <v>0</v>
      </c>
      <c r="S560" s="6">
        <v>0</v>
      </c>
      <c r="T560" s="6">
        <v>60</v>
      </c>
      <c r="U560" s="6">
        <v>16</v>
      </c>
      <c r="V560" s="6">
        <f>IF(ISERROR(VLOOKUP($S$560,'TAR FIN'!$A$1:$O$85,15,0)),0,VLOOKUP($S$560,'TAR FIN'!$A$1:$O$85,15,0))</f>
        <v>0</v>
      </c>
      <c r="W560" s="6">
        <f>IF(ISERROR(VLOOKUP($T$560,'TAR FIN'!$A$1:$O$85,15,0)),0,VLOOKUP($T$560,'TAR FIN'!$A$1:$O$85,15,0))</f>
        <v>387.29</v>
      </c>
      <c r="X560" s="6">
        <f>IF(ISERROR(VLOOKUP($U$560,'TAR FIN'!$A$1:$O$85,15,0)),0,VLOOKUP($U$560,'TAR FIN'!$A$1:$O$85,15,0))</f>
        <v>196.87</v>
      </c>
      <c r="Y560" s="6"/>
      <c r="Z560" s="6">
        <f ca="1">('TUSD BE'!$AM$33+'TUSD BF'!$AM$33+'TUSD CVA'!$AM$33)*(1-CUSTOS!$M$38)</f>
        <v>464.7286080745173</v>
      </c>
      <c r="AA560" s="6">
        <f>('TE BE'!$AA$23+'TE BF'!$AA$23+'TE CVA'!$AA$23)*(1-CUSTOS!$M$38)</f>
        <v>204.57163525385519</v>
      </c>
      <c r="AB560" s="6">
        <f>$K$560*$V$560</f>
        <v>0</v>
      </c>
      <c r="AC560" s="6">
        <f>$M$560*$W$560</f>
        <v>12.393280000000001</v>
      </c>
      <c r="AD560" s="6">
        <f>$O$560*$X$560</f>
        <v>6.2998400000000006</v>
      </c>
      <c r="AE560" s="6">
        <f>$K$560*$Y$560</f>
        <v>0</v>
      </c>
      <c r="AF560" s="6">
        <f ca="1">$M$560*$Z$560</f>
        <v>14.871315458384554</v>
      </c>
      <c r="AG560" s="6">
        <f>$O$560*$AA$560</f>
        <v>6.546292328123366</v>
      </c>
    </row>
    <row r="561" spans="1:33" ht="11.25" customHeight="1" x14ac:dyDescent="0.25">
      <c r="A561" s="4" t="s">
        <v>21</v>
      </c>
      <c r="B561" s="4" t="s">
        <v>40</v>
      </c>
      <c r="C561" s="4" t="s">
        <v>23</v>
      </c>
      <c r="D561" s="4" t="s">
        <v>41</v>
      </c>
      <c r="E561" s="4" t="s">
        <v>53</v>
      </c>
      <c r="F561" s="4" t="s">
        <v>52</v>
      </c>
      <c r="G561" s="4" t="s">
        <v>25</v>
      </c>
      <c r="H561" s="4" t="s">
        <v>25</v>
      </c>
      <c r="I561" s="5">
        <v>44593</v>
      </c>
      <c r="J561" s="6">
        <v>0</v>
      </c>
      <c r="K561" s="6">
        <v>0</v>
      </c>
      <c r="L561" s="6">
        <v>0.06</v>
      </c>
      <c r="M561" s="6">
        <v>2.4E-2</v>
      </c>
      <c r="N561" s="6">
        <v>0.06</v>
      </c>
      <c r="O561" s="6">
        <v>2.4E-2</v>
      </c>
      <c r="P561" s="6">
        <v>0</v>
      </c>
      <c r="Q561" s="4" t="s">
        <v>26</v>
      </c>
      <c r="R561" s="4">
        <v>0</v>
      </c>
      <c r="S561" s="6">
        <v>0</v>
      </c>
      <c r="T561" s="6">
        <v>60</v>
      </c>
      <c r="U561" s="6">
        <v>16</v>
      </c>
      <c r="V561" s="6">
        <f>IF(ISERROR(VLOOKUP($S$561,'TAR FIN'!$A$1:$O$85,15,0)),0,VLOOKUP($S$561,'TAR FIN'!$A$1:$O$85,15,0))</f>
        <v>0</v>
      </c>
      <c r="W561" s="6">
        <f>IF(ISERROR(VLOOKUP($T$561,'TAR FIN'!$A$1:$O$85,15,0)),0,VLOOKUP($T$561,'TAR FIN'!$A$1:$O$85,15,0))</f>
        <v>387.29</v>
      </c>
      <c r="X561" s="6">
        <f>IF(ISERROR(VLOOKUP($U$561,'TAR FIN'!$A$1:$O$85,15,0)),0,VLOOKUP($U$561,'TAR FIN'!$A$1:$O$85,15,0))</f>
        <v>196.87</v>
      </c>
      <c r="Y561" s="6"/>
      <c r="Z561" s="6">
        <f ca="1">('TUSD BE'!$AM$33+'TUSD BF'!$AM$33+'TUSD CVA'!$AM$33)*(1-CUSTOS!$M$38)</f>
        <v>464.7286080745173</v>
      </c>
      <c r="AA561" s="6">
        <f>('TE BE'!$AA$23+'TE BF'!$AA$23+'TE CVA'!$AA$23)*(1-CUSTOS!$M$38)</f>
        <v>204.57163525385519</v>
      </c>
      <c r="AB561" s="6">
        <f>$K$561*$V$561</f>
        <v>0</v>
      </c>
      <c r="AC561" s="6">
        <f>$M$561*$W$561</f>
        <v>9.2949600000000014</v>
      </c>
      <c r="AD561" s="6">
        <f>$O$561*$X$561</f>
        <v>4.7248800000000006</v>
      </c>
      <c r="AE561" s="6">
        <f>$K$561*$Y$561</f>
        <v>0</v>
      </c>
      <c r="AF561" s="6">
        <f ca="1">$M$561*$Z$561</f>
        <v>11.153486593788415</v>
      </c>
      <c r="AG561" s="6">
        <f>$O$561*$AA$561</f>
        <v>4.909719246092525</v>
      </c>
    </row>
    <row r="562" spans="1:33" ht="11.25" customHeight="1" x14ac:dyDescent="0.25">
      <c r="A562" s="4" t="s">
        <v>54</v>
      </c>
      <c r="B562" s="4" t="s">
        <v>40</v>
      </c>
      <c r="C562" s="4" t="s">
        <v>23</v>
      </c>
      <c r="D562" s="4" t="s">
        <v>41</v>
      </c>
      <c r="E562" s="4" t="s">
        <v>53</v>
      </c>
      <c r="F562" s="4" t="s">
        <v>52</v>
      </c>
      <c r="G562" s="4" t="s">
        <v>25</v>
      </c>
      <c r="H562" s="4" t="s">
        <v>25</v>
      </c>
      <c r="I562" s="5">
        <v>44621</v>
      </c>
      <c r="J562" s="6">
        <v>0</v>
      </c>
      <c r="K562" s="6">
        <v>0</v>
      </c>
      <c r="L562" s="6">
        <v>0.06</v>
      </c>
      <c r="M562" s="6">
        <v>2.4E-2</v>
      </c>
      <c r="N562" s="6">
        <v>0.06</v>
      </c>
      <c r="O562" s="6">
        <v>2.4E-2</v>
      </c>
      <c r="P562" s="6">
        <v>0</v>
      </c>
      <c r="Q562" s="4" t="s">
        <v>26</v>
      </c>
      <c r="R562" s="4">
        <v>0</v>
      </c>
      <c r="S562" s="6">
        <v>0</v>
      </c>
      <c r="T562" s="6">
        <v>60</v>
      </c>
      <c r="U562" s="6">
        <v>16</v>
      </c>
      <c r="V562" s="6">
        <f>IF(ISERROR(VLOOKUP($S$562,'TAR FIN'!$A$1:$O$85,15,0)),0,VLOOKUP($S$562,'TAR FIN'!$A$1:$O$85,15,0))</f>
        <v>0</v>
      </c>
      <c r="W562" s="6">
        <f>IF(ISERROR(VLOOKUP($T$562,'TAR FIN'!$A$1:$O$85,15,0)),0,VLOOKUP($T$562,'TAR FIN'!$A$1:$O$85,15,0))</f>
        <v>387.29</v>
      </c>
      <c r="X562" s="6">
        <f>IF(ISERROR(VLOOKUP($U$562,'TAR FIN'!$A$1:$O$85,15,0)),0,VLOOKUP($U$562,'TAR FIN'!$A$1:$O$85,15,0))</f>
        <v>196.87</v>
      </c>
      <c r="Y562" s="6"/>
      <c r="Z562" s="6">
        <f ca="1">('TUSD BE'!$AM$33+'TUSD BF'!$AM$33+'TUSD CVA'!$AM$33)*(1-CUSTOS!$M$38)</f>
        <v>464.7286080745173</v>
      </c>
      <c r="AA562" s="6">
        <f>('TE BE'!$AA$23+'TE BF'!$AA$23+'TE CVA'!$AA$23)*(1-CUSTOS!$M$38)</f>
        <v>204.57163525385519</v>
      </c>
      <c r="AB562" s="6">
        <f>$K$562*$V$562</f>
        <v>0</v>
      </c>
      <c r="AC562" s="6">
        <f>$M$562*$W$562</f>
        <v>9.2949600000000014</v>
      </c>
      <c r="AD562" s="6">
        <f>$O$562*$X$562</f>
        <v>4.7248800000000006</v>
      </c>
      <c r="AE562" s="6">
        <f>$K$562*$Y$562</f>
        <v>0</v>
      </c>
      <c r="AF562" s="6">
        <f ca="1">$M$562*$Z$562</f>
        <v>11.153486593788415</v>
      </c>
      <c r="AG562" s="6">
        <f>$O$562*$AA$562</f>
        <v>4.909719246092525</v>
      </c>
    </row>
    <row r="563" spans="1:33" ht="11.25" customHeight="1" x14ac:dyDescent="0.25">
      <c r="A563" s="4" t="s">
        <v>21</v>
      </c>
      <c r="B563" s="4" t="s">
        <v>40</v>
      </c>
      <c r="C563" s="4" t="s">
        <v>23</v>
      </c>
      <c r="D563" s="4" t="s">
        <v>41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44287</v>
      </c>
      <c r="J563" s="6">
        <v>0</v>
      </c>
      <c r="K563" s="6">
        <v>0</v>
      </c>
      <c r="L563" s="6">
        <v>2546.63</v>
      </c>
      <c r="M563" s="6">
        <v>2546.63</v>
      </c>
      <c r="N563" s="6">
        <v>2546.63</v>
      </c>
      <c r="O563" s="6">
        <v>2546.63</v>
      </c>
      <c r="P563" s="6">
        <v>2087</v>
      </c>
      <c r="Q563" s="4" t="s">
        <v>26</v>
      </c>
      <c r="R563" s="4">
        <v>0</v>
      </c>
      <c r="S563" s="6">
        <v>0</v>
      </c>
      <c r="T563" s="6">
        <v>60</v>
      </c>
      <c r="U563" s="6">
        <v>16</v>
      </c>
      <c r="V563" s="6">
        <f>IF(ISERROR(VLOOKUP($S$563,'TAR FIN'!$A$1:$O$85,15,0)),0,VLOOKUP($S$563,'TAR FIN'!$A$1:$O$85,15,0))</f>
        <v>0</v>
      </c>
      <c r="W563" s="6">
        <f>IF(ISERROR(VLOOKUP($T$563,'TAR FIN'!$A$1:$O$85,15,0)),0,VLOOKUP($T$563,'TAR FIN'!$A$1:$O$85,15,0))</f>
        <v>387.29</v>
      </c>
      <c r="X563" s="6">
        <f>IF(ISERROR(VLOOKUP($U$563,'TAR FIN'!$A$1:$O$85,15,0)),0,VLOOKUP($U$563,'TAR FIN'!$A$1:$O$85,15,0))</f>
        <v>196.87</v>
      </c>
      <c r="Y563" s="6"/>
      <c r="Z563" s="6">
        <f ca="1">('TUSD BE'!$AM$33+'TUSD BF'!$AM$33+'TUSD CVA'!$AM$33)*(1-CUSTOS!$M$38)</f>
        <v>464.7286080745173</v>
      </c>
      <c r="AA563" s="6">
        <f>('TE BE'!$AA$23+'TE BF'!$AA$23+'TE CVA'!$AA$23)*(1-CUSTOS!$M$38)</f>
        <v>204.57163525385519</v>
      </c>
      <c r="AB563" s="6">
        <f>$K$563*$V$563</f>
        <v>0</v>
      </c>
      <c r="AC563" s="6">
        <f>$M$563*$W$563</f>
        <v>986284.33270000014</v>
      </c>
      <c r="AD563" s="6">
        <f>$O$563*$X$563</f>
        <v>501355.04810000001</v>
      </c>
      <c r="AE563" s="6">
        <f>$K$563*$Y$563</f>
        <v>0</v>
      </c>
      <c r="AF563" s="6">
        <f ca="1">$M$563*$Z$563</f>
        <v>1183491.8151808081</v>
      </c>
      <c r="AG563" s="6">
        <f>$O$563*$AA$563</f>
        <v>520968.26348652528</v>
      </c>
    </row>
    <row r="564" spans="1:33" ht="11.25" customHeight="1" x14ac:dyDescent="0.25">
      <c r="A564" s="4" t="s">
        <v>27</v>
      </c>
      <c r="B564" s="4" t="s">
        <v>40</v>
      </c>
      <c r="C564" s="4" t="s">
        <v>23</v>
      </c>
      <c r="D564" s="4" t="s">
        <v>41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44287</v>
      </c>
      <c r="J564" s="6">
        <v>0</v>
      </c>
      <c r="K564" s="6">
        <v>0</v>
      </c>
      <c r="L564" s="6">
        <v>-2.2999999999999998</v>
      </c>
      <c r="M564" s="6">
        <v>-2.2999999999999998</v>
      </c>
      <c r="N564" s="6">
        <v>-2.2999999999999998</v>
      </c>
      <c r="O564" s="6">
        <v>-2.2999999999999998</v>
      </c>
      <c r="P564" s="6">
        <v>0</v>
      </c>
      <c r="Q564" s="4" t="s">
        <v>26</v>
      </c>
      <c r="R564" s="4">
        <v>0</v>
      </c>
      <c r="S564" s="6">
        <v>0</v>
      </c>
      <c r="T564" s="6">
        <v>60</v>
      </c>
      <c r="U564" s="6">
        <v>16</v>
      </c>
      <c r="V564" s="6">
        <f>IF(ISERROR(VLOOKUP($S$564,'TAR FIN'!$A$1:$O$85,15,0)),0,VLOOKUP($S$564,'TAR FIN'!$A$1:$O$85,15,0))</f>
        <v>0</v>
      </c>
      <c r="W564" s="6">
        <f>IF(ISERROR(VLOOKUP($T$564,'TAR FIN'!$A$1:$O$85,15,0)),0,VLOOKUP($T$564,'TAR FIN'!$A$1:$O$85,15,0))</f>
        <v>387.29</v>
      </c>
      <c r="X564" s="6">
        <f>IF(ISERROR(VLOOKUP($U$564,'TAR FIN'!$A$1:$O$85,15,0)),0,VLOOKUP($U$564,'TAR FIN'!$A$1:$O$85,15,0))</f>
        <v>196.87</v>
      </c>
      <c r="Y564" s="6"/>
      <c r="Z564" s="6">
        <f ca="1">('TUSD BE'!$AM$33+'TUSD BF'!$AM$33+'TUSD CVA'!$AM$33)*(1-CUSTOS!$M$38)</f>
        <v>464.7286080745173</v>
      </c>
      <c r="AA564" s="6">
        <f>('TE BE'!$AA$23+'TE BF'!$AA$23+'TE CVA'!$AA$23)*(1-CUSTOS!$M$38)</f>
        <v>204.57163525385519</v>
      </c>
      <c r="AB564" s="6">
        <f>$K$564*$V$564</f>
        <v>0</v>
      </c>
      <c r="AC564" s="6">
        <f>$M$564*$W$564</f>
        <v>-890.76699999999994</v>
      </c>
      <c r="AD564" s="6">
        <f>$O$564*$X$564</f>
        <v>-452.80099999999999</v>
      </c>
      <c r="AE564" s="6">
        <f>$K$564*$Y$564</f>
        <v>0</v>
      </c>
      <c r="AF564" s="6">
        <f ca="1">$M$564*$Z$564</f>
        <v>-1068.8757985713896</v>
      </c>
      <c r="AG564" s="6">
        <f>$O$564*$AA$564</f>
        <v>-470.51476108386692</v>
      </c>
    </row>
    <row r="565" spans="1:33" ht="11.25" customHeight="1" x14ac:dyDescent="0.25">
      <c r="A565" s="4" t="s">
        <v>28</v>
      </c>
      <c r="B565" s="4" t="s">
        <v>40</v>
      </c>
      <c r="C565" s="4" t="s">
        <v>23</v>
      </c>
      <c r="D565" s="4" t="s">
        <v>41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44287</v>
      </c>
      <c r="J565" s="6">
        <v>0</v>
      </c>
      <c r="K565" s="6">
        <v>0</v>
      </c>
      <c r="L565" s="6">
        <v>13.353999999999999</v>
      </c>
      <c r="M565" s="6">
        <v>13.353999999999999</v>
      </c>
      <c r="N565" s="6">
        <v>13.353999999999999</v>
      </c>
      <c r="O565" s="6">
        <v>13.353999999999999</v>
      </c>
      <c r="P565" s="6">
        <v>9</v>
      </c>
      <c r="Q565" s="4" t="s">
        <v>26</v>
      </c>
      <c r="R565" s="4">
        <v>0</v>
      </c>
      <c r="S565" s="6">
        <v>0</v>
      </c>
      <c r="T565" s="6">
        <v>60</v>
      </c>
      <c r="U565" s="6">
        <v>16</v>
      </c>
      <c r="V565" s="6">
        <f>IF(ISERROR(VLOOKUP($S$565,'TAR FIN'!$A$1:$O$85,15,0)),0,VLOOKUP($S$565,'TAR FIN'!$A$1:$O$85,15,0))</f>
        <v>0</v>
      </c>
      <c r="W565" s="6">
        <f>IF(ISERROR(VLOOKUP($T$565,'TAR FIN'!$A$1:$O$85,15,0)),0,VLOOKUP($T$565,'TAR FIN'!$A$1:$O$85,15,0))</f>
        <v>387.29</v>
      </c>
      <c r="X565" s="6">
        <f>IF(ISERROR(VLOOKUP($U$565,'TAR FIN'!$A$1:$O$85,15,0)),0,VLOOKUP($U$565,'TAR FIN'!$A$1:$O$85,15,0))</f>
        <v>196.87</v>
      </c>
      <c r="Y565" s="6"/>
      <c r="Z565" s="6">
        <f ca="1">('TUSD BE'!$AM$33+'TUSD BF'!$AM$33+'TUSD CVA'!$AM$33)*(1-CUSTOS!$M$38)</f>
        <v>464.7286080745173</v>
      </c>
      <c r="AA565" s="6">
        <f>('TE BE'!$AA$23+'TE BF'!$AA$23+'TE CVA'!$AA$23)*(1-CUSTOS!$M$38)</f>
        <v>204.57163525385519</v>
      </c>
      <c r="AB565" s="6">
        <f>$K$565*$V$565</f>
        <v>0</v>
      </c>
      <c r="AC565" s="6">
        <f>$M$565*$W$565</f>
        <v>5171.8706599999996</v>
      </c>
      <c r="AD565" s="6">
        <f>$O$565*$X$565</f>
        <v>2629.00198</v>
      </c>
      <c r="AE565" s="6">
        <f>$K$565*$Y$565</f>
        <v>0</v>
      </c>
      <c r="AF565" s="6">
        <f ca="1">$M$565*$Z$565</f>
        <v>6205.9858322271039</v>
      </c>
      <c r="AG565" s="6">
        <f>$O$565*$AA$565</f>
        <v>2731.849617179982</v>
      </c>
    </row>
    <row r="566" spans="1:33" ht="11.25" customHeight="1" x14ac:dyDescent="0.25">
      <c r="A566" s="4" t="s">
        <v>21</v>
      </c>
      <c r="B566" s="4" t="s">
        <v>40</v>
      </c>
      <c r="C566" s="4" t="s">
        <v>23</v>
      </c>
      <c r="D566" s="4" t="s">
        <v>41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44317</v>
      </c>
      <c r="J566" s="6">
        <v>0</v>
      </c>
      <c r="K566" s="6">
        <v>0</v>
      </c>
      <c r="L566" s="6">
        <v>2487.31</v>
      </c>
      <c r="M566" s="6">
        <v>2487.31</v>
      </c>
      <c r="N566" s="6">
        <v>2487.31</v>
      </c>
      <c r="O566" s="6">
        <v>2487.31</v>
      </c>
      <c r="P566" s="6">
        <v>2089</v>
      </c>
      <c r="Q566" s="4" t="s">
        <v>26</v>
      </c>
      <c r="R566" s="4">
        <v>0</v>
      </c>
      <c r="S566" s="6">
        <v>0</v>
      </c>
      <c r="T566" s="6">
        <v>60</v>
      </c>
      <c r="U566" s="6">
        <v>16</v>
      </c>
      <c r="V566" s="6">
        <f>IF(ISERROR(VLOOKUP($S$566,'TAR FIN'!$A$1:$O$85,15,0)),0,VLOOKUP($S$566,'TAR FIN'!$A$1:$O$85,15,0))</f>
        <v>0</v>
      </c>
      <c r="W566" s="6">
        <f>IF(ISERROR(VLOOKUP($T$566,'TAR FIN'!$A$1:$O$85,15,0)),0,VLOOKUP($T$566,'TAR FIN'!$A$1:$O$85,15,0))</f>
        <v>387.29</v>
      </c>
      <c r="X566" s="6">
        <f>IF(ISERROR(VLOOKUP($U$566,'TAR FIN'!$A$1:$O$85,15,0)),0,VLOOKUP($U$566,'TAR FIN'!$A$1:$O$85,15,0))</f>
        <v>196.87</v>
      </c>
      <c r="Y566" s="6"/>
      <c r="Z566" s="6">
        <f ca="1">('TUSD BE'!$AM$33+'TUSD BF'!$AM$33+'TUSD CVA'!$AM$33)*(1-CUSTOS!$M$38)</f>
        <v>464.7286080745173</v>
      </c>
      <c r="AA566" s="6">
        <f>('TE BE'!$AA$23+'TE BF'!$AA$23+'TE CVA'!$AA$23)*(1-CUSTOS!$M$38)</f>
        <v>204.57163525385519</v>
      </c>
      <c r="AB566" s="6">
        <f>$K$566*$V$566</f>
        <v>0</v>
      </c>
      <c r="AC566" s="6">
        <f>$M$566*$W$566</f>
        <v>963310.28989999997</v>
      </c>
      <c r="AD566" s="6">
        <f>$O$566*$X$566</f>
        <v>489676.71970000002</v>
      </c>
      <c r="AE566" s="6">
        <f>$K$566*$Y$566</f>
        <v>0</v>
      </c>
      <c r="AF566" s="6">
        <f ca="1">$M$566*$Z$566</f>
        <v>1155924.1141498275</v>
      </c>
      <c r="AG566" s="6">
        <f>$O$566*$AA$566</f>
        <v>508833.07408326655</v>
      </c>
    </row>
    <row r="567" spans="1:33" ht="11.25" customHeight="1" x14ac:dyDescent="0.25">
      <c r="A567" s="4" t="s">
        <v>27</v>
      </c>
      <c r="B567" s="4" t="s">
        <v>40</v>
      </c>
      <c r="C567" s="4" t="s">
        <v>23</v>
      </c>
      <c r="D567" s="4" t="s">
        <v>41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44317</v>
      </c>
      <c r="J567" s="6">
        <v>0</v>
      </c>
      <c r="K567" s="6">
        <v>0</v>
      </c>
      <c r="L567" s="6">
        <v>-24.905000000000001</v>
      </c>
      <c r="M567" s="6">
        <v>-24.905000000000001</v>
      </c>
      <c r="N567" s="6">
        <v>-24.905000000000001</v>
      </c>
      <c r="O567" s="6">
        <v>-24.905000000000001</v>
      </c>
      <c r="P567" s="6">
        <v>0</v>
      </c>
      <c r="Q567" s="4" t="s">
        <v>26</v>
      </c>
      <c r="R567" s="4">
        <v>0</v>
      </c>
      <c r="S567" s="6">
        <v>0</v>
      </c>
      <c r="T567" s="6">
        <v>60</v>
      </c>
      <c r="U567" s="6">
        <v>16</v>
      </c>
      <c r="V567" s="6">
        <f>IF(ISERROR(VLOOKUP($S$567,'TAR FIN'!$A$1:$O$85,15,0)),0,VLOOKUP($S$567,'TAR FIN'!$A$1:$O$85,15,0))</f>
        <v>0</v>
      </c>
      <c r="W567" s="6">
        <f>IF(ISERROR(VLOOKUP($T$567,'TAR FIN'!$A$1:$O$85,15,0)),0,VLOOKUP($T$567,'TAR FIN'!$A$1:$O$85,15,0))</f>
        <v>387.29</v>
      </c>
      <c r="X567" s="6">
        <f>IF(ISERROR(VLOOKUP($U$567,'TAR FIN'!$A$1:$O$85,15,0)),0,VLOOKUP($U$567,'TAR FIN'!$A$1:$O$85,15,0))</f>
        <v>196.87</v>
      </c>
      <c r="Y567" s="6"/>
      <c r="Z567" s="6">
        <f ca="1">('TUSD BE'!$AM$33+'TUSD BF'!$AM$33+'TUSD CVA'!$AM$33)*(1-CUSTOS!$M$38)</f>
        <v>464.7286080745173</v>
      </c>
      <c r="AA567" s="6">
        <f>('TE BE'!$AA$23+'TE BF'!$AA$23+'TE CVA'!$AA$23)*(1-CUSTOS!$M$38)</f>
        <v>204.57163525385519</v>
      </c>
      <c r="AB567" s="6">
        <f>$K$567*$V$567</f>
        <v>0</v>
      </c>
      <c r="AC567" s="6">
        <f>$M$567*$W$567</f>
        <v>-9645.4574500000017</v>
      </c>
      <c r="AD567" s="6">
        <f>$O$567*$X$567</f>
        <v>-4903.0473500000007</v>
      </c>
      <c r="AE567" s="6">
        <f>$K$567*$Y$567</f>
        <v>0</v>
      </c>
      <c r="AF567" s="6">
        <f ca="1">$M$567*$Z$567</f>
        <v>-11574.065984095854</v>
      </c>
      <c r="AG567" s="6">
        <f>$O$567*$AA$567</f>
        <v>-5094.8565759972635</v>
      </c>
    </row>
    <row r="568" spans="1:33" ht="11.25" customHeight="1" x14ac:dyDescent="0.25">
      <c r="A568" s="4" t="s">
        <v>28</v>
      </c>
      <c r="B568" s="4" t="s">
        <v>40</v>
      </c>
      <c r="C568" s="4" t="s">
        <v>23</v>
      </c>
      <c r="D568" s="4" t="s">
        <v>41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44317</v>
      </c>
      <c r="J568" s="6">
        <v>0</v>
      </c>
      <c r="K568" s="6">
        <v>0</v>
      </c>
      <c r="L568" s="6">
        <v>9.4559999999999995</v>
      </c>
      <c r="M568" s="6">
        <v>9.4559999999999995</v>
      </c>
      <c r="N568" s="6">
        <v>9.4559999999999995</v>
      </c>
      <c r="O568" s="6">
        <v>9.4559999999999995</v>
      </c>
      <c r="P568" s="6">
        <v>9</v>
      </c>
      <c r="Q568" s="4" t="s">
        <v>26</v>
      </c>
      <c r="R568" s="4">
        <v>0</v>
      </c>
      <c r="S568" s="6">
        <v>0</v>
      </c>
      <c r="T568" s="6">
        <v>60</v>
      </c>
      <c r="U568" s="6">
        <v>16</v>
      </c>
      <c r="V568" s="6">
        <f>IF(ISERROR(VLOOKUP($S$568,'TAR FIN'!$A$1:$O$85,15,0)),0,VLOOKUP($S$568,'TAR FIN'!$A$1:$O$85,15,0))</f>
        <v>0</v>
      </c>
      <c r="W568" s="6">
        <f>IF(ISERROR(VLOOKUP($T$568,'TAR FIN'!$A$1:$O$85,15,0)),0,VLOOKUP($T$568,'TAR FIN'!$A$1:$O$85,15,0))</f>
        <v>387.29</v>
      </c>
      <c r="X568" s="6">
        <f>IF(ISERROR(VLOOKUP($U$568,'TAR FIN'!$A$1:$O$85,15,0)),0,VLOOKUP($U$568,'TAR FIN'!$A$1:$O$85,15,0))</f>
        <v>196.87</v>
      </c>
      <c r="Y568" s="6"/>
      <c r="Z568" s="6">
        <f ca="1">('TUSD BE'!$AM$33+'TUSD BF'!$AM$33+'TUSD CVA'!$AM$33)*(1-CUSTOS!$M$38)</f>
        <v>464.7286080745173</v>
      </c>
      <c r="AA568" s="6">
        <f>('TE BE'!$AA$23+'TE BF'!$AA$23+'TE CVA'!$AA$23)*(1-CUSTOS!$M$38)</f>
        <v>204.57163525385519</v>
      </c>
      <c r="AB568" s="6">
        <f>$K$568*$V$568</f>
        <v>0</v>
      </c>
      <c r="AC568" s="6">
        <f>$M$568*$W$568</f>
        <v>3662.2142399999998</v>
      </c>
      <c r="AD568" s="6">
        <f>$O$568*$X$568</f>
        <v>1861.6027199999999</v>
      </c>
      <c r="AE568" s="6">
        <f>$K$568*$Y$568</f>
        <v>0</v>
      </c>
      <c r="AF568" s="6">
        <f ca="1">$M$568*$Z$568</f>
        <v>4394.4737179526355</v>
      </c>
      <c r="AG568" s="6">
        <f>$O$568*$AA$568</f>
        <v>1934.4293829604546</v>
      </c>
    </row>
    <row r="569" spans="1:33" ht="11.25" customHeight="1" x14ac:dyDescent="0.25">
      <c r="A569" s="4" t="s">
        <v>21</v>
      </c>
      <c r="B569" s="4" t="s">
        <v>40</v>
      </c>
      <c r="C569" s="4" t="s">
        <v>23</v>
      </c>
      <c r="D569" s="4" t="s">
        <v>41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44348</v>
      </c>
      <c r="J569" s="6">
        <v>0</v>
      </c>
      <c r="K569" s="6">
        <v>0</v>
      </c>
      <c r="L569" s="6">
        <v>1958.875</v>
      </c>
      <c r="M569" s="6">
        <v>1958.875</v>
      </c>
      <c r="N569" s="6">
        <v>1958.875</v>
      </c>
      <c r="O569" s="6">
        <v>1958.875</v>
      </c>
      <c r="P569" s="6">
        <v>2088</v>
      </c>
      <c r="Q569" s="4" t="s">
        <v>26</v>
      </c>
      <c r="R569" s="4">
        <v>0</v>
      </c>
      <c r="S569" s="6">
        <v>0</v>
      </c>
      <c r="T569" s="6">
        <v>60</v>
      </c>
      <c r="U569" s="6">
        <v>16</v>
      </c>
      <c r="V569" s="6">
        <f>IF(ISERROR(VLOOKUP($S$569,'TAR FIN'!$A$1:$O$85,15,0)),0,VLOOKUP($S$569,'TAR FIN'!$A$1:$O$85,15,0))</f>
        <v>0</v>
      </c>
      <c r="W569" s="6">
        <f>IF(ISERROR(VLOOKUP($T$569,'TAR FIN'!$A$1:$O$85,15,0)),0,VLOOKUP($T$569,'TAR FIN'!$A$1:$O$85,15,0))</f>
        <v>387.29</v>
      </c>
      <c r="X569" s="6">
        <f>IF(ISERROR(VLOOKUP($U$569,'TAR FIN'!$A$1:$O$85,15,0)),0,VLOOKUP($U$569,'TAR FIN'!$A$1:$O$85,15,0))</f>
        <v>196.87</v>
      </c>
      <c r="Y569" s="6"/>
      <c r="Z569" s="6">
        <f ca="1">('TUSD BE'!$AM$33+'TUSD BF'!$AM$33+'TUSD CVA'!$AM$33)*(1-CUSTOS!$M$38)</f>
        <v>464.7286080745173</v>
      </c>
      <c r="AA569" s="6">
        <f>('TE BE'!$AA$23+'TE BF'!$AA$23+'TE CVA'!$AA$23)*(1-CUSTOS!$M$38)</f>
        <v>204.57163525385519</v>
      </c>
      <c r="AB569" s="6">
        <f>$K$569*$V$569</f>
        <v>0</v>
      </c>
      <c r="AC569" s="6">
        <f>$M$569*$W$569</f>
        <v>758652.6987500001</v>
      </c>
      <c r="AD569" s="6">
        <f>$O$569*$X$569</f>
        <v>385643.72125</v>
      </c>
      <c r="AE569" s="6">
        <f>$K$569*$Y$569</f>
        <v>0</v>
      </c>
      <c r="AF569" s="6">
        <f ca="1">$M$569*$Z$569</f>
        <v>910345.25214197009</v>
      </c>
      <c r="AG569" s="6">
        <f>$O$569*$AA$569</f>
        <v>400730.26200789557</v>
      </c>
    </row>
    <row r="570" spans="1:33" ht="11.25" customHeight="1" x14ac:dyDescent="0.25">
      <c r="A570" s="4" t="s">
        <v>28</v>
      </c>
      <c r="B570" s="4" t="s">
        <v>40</v>
      </c>
      <c r="C570" s="4" t="s">
        <v>23</v>
      </c>
      <c r="D570" s="4" t="s">
        <v>41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44348</v>
      </c>
      <c r="J570" s="6">
        <v>0</v>
      </c>
      <c r="K570" s="6">
        <v>0</v>
      </c>
      <c r="L570" s="6">
        <v>17.687000000000001</v>
      </c>
      <c r="M570" s="6">
        <v>17.687000000000001</v>
      </c>
      <c r="N570" s="6">
        <v>17.687000000000001</v>
      </c>
      <c r="O570" s="6">
        <v>17.687000000000001</v>
      </c>
      <c r="P570" s="6">
        <v>10</v>
      </c>
      <c r="Q570" s="4" t="s">
        <v>26</v>
      </c>
      <c r="R570" s="4">
        <v>0</v>
      </c>
      <c r="S570" s="6">
        <v>0</v>
      </c>
      <c r="T570" s="6">
        <v>60</v>
      </c>
      <c r="U570" s="6">
        <v>16</v>
      </c>
      <c r="V570" s="6">
        <f>IF(ISERROR(VLOOKUP($S$570,'TAR FIN'!$A$1:$O$85,15,0)),0,VLOOKUP($S$570,'TAR FIN'!$A$1:$O$85,15,0))</f>
        <v>0</v>
      </c>
      <c r="W570" s="6">
        <f>IF(ISERROR(VLOOKUP($T$570,'TAR FIN'!$A$1:$O$85,15,0)),0,VLOOKUP($T$570,'TAR FIN'!$A$1:$O$85,15,0))</f>
        <v>387.29</v>
      </c>
      <c r="X570" s="6">
        <f>IF(ISERROR(VLOOKUP($U$570,'TAR FIN'!$A$1:$O$85,15,0)),0,VLOOKUP($U$570,'TAR FIN'!$A$1:$O$85,15,0))</f>
        <v>196.87</v>
      </c>
      <c r="Y570" s="6"/>
      <c r="Z570" s="6">
        <f ca="1">('TUSD BE'!$AM$33+'TUSD BF'!$AM$33+'TUSD CVA'!$AM$33)*(1-CUSTOS!$M$38)</f>
        <v>464.7286080745173</v>
      </c>
      <c r="AA570" s="6">
        <f>('TE BE'!$AA$23+'TE BF'!$AA$23+'TE CVA'!$AA$23)*(1-CUSTOS!$M$38)</f>
        <v>204.57163525385519</v>
      </c>
      <c r="AB570" s="6">
        <f>$K$570*$V$570</f>
        <v>0</v>
      </c>
      <c r="AC570" s="6">
        <f>$M$570*$W$570</f>
        <v>6849.9982300000011</v>
      </c>
      <c r="AD570" s="6">
        <f>$O$570*$X$570</f>
        <v>3482.0396900000005</v>
      </c>
      <c r="AE570" s="6">
        <f>$K$570*$Y$570</f>
        <v>0</v>
      </c>
      <c r="AF570" s="6">
        <f ca="1">$M$570*$Z$570</f>
        <v>8219.6548910139882</v>
      </c>
      <c r="AG570" s="6">
        <f>$O$570*$AA$570</f>
        <v>3618.2585127349371</v>
      </c>
    </row>
    <row r="571" spans="1:33" ht="11.25" customHeight="1" x14ac:dyDescent="0.25">
      <c r="A571" s="4" t="s">
        <v>28</v>
      </c>
      <c r="B571" s="4" t="s">
        <v>40</v>
      </c>
      <c r="C571" s="4" t="s">
        <v>23</v>
      </c>
      <c r="D571" s="4" t="s">
        <v>41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44348</v>
      </c>
      <c r="J571" s="6">
        <v>0</v>
      </c>
      <c r="K571" s="6">
        <v>0</v>
      </c>
      <c r="L571" s="6">
        <v>-2.0859999999999999</v>
      </c>
      <c r="M571" s="6">
        <v>-2.0859999999999999</v>
      </c>
      <c r="N571" s="6">
        <v>-2.0859999999999999</v>
      </c>
      <c r="O571" s="6">
        <v>-2.0859999999999999</v>
      </c>
      <c r="P571" s="6">
        <v>1</v>
      </c>
      <c r="Q571" s="4" t="s">
        <v>26</v>
      </c>
      <c r="R571" s="4">
        <v>0</v>
      </c>
      <c r="S571" s="6">
        <v>0</v>
      </c>
      <c r="T571" s="6">
        <v>60</v>
      </c>
      <c r="U571" s="6">
        <v>16</v>
      </c>
      <c r="V571" s="6">
        <f>IF(ISERROR(VLOOKUP($S$571,'TAR FIN'!$A$1:$O$85,15,0)),0,VLOOKUP($S$571,'TAR FIN'!$A$1:$O$85,15,0))</f>
        <v>0</v>
      </c>
      <c r="W571" s="6">
        <f>IF(ISERROR(VLOOKUP($T$571,'TAR FIN'!$A$1:$O$85,15,0)),0,VLOOKUP($T$571,'TAR FIN'!$A$1:$O$85,15,0))</f>
        <v>387.29</v>
      </c>
      <c r="X571" s="6">
        <f>IF(ISERROR(VLOOKUP($U$571,'TAR FIN'!$A$1:$O$85,15,0)),0,VLOOKUP($U$571,'TAR FIN'!$A$1:$O$85,15,0))</f>
        <v>196.87</v>
      </c>
      <c r="Y571" s="6"/>
      <c r="Z571" s="6">
        <f ca="1">('TUSD BE'!$AM$33+'TUSD BF'!$AM$33+'TUSD CVA'!$AM$33)*(1-CUSTOS!$M$38)</f>
        <v>464.7286080745173</v>
      </c>
      <c r="AA571" s="6">
        <f>('TE BE'!$AA$23+'TE BF'!$AA$23+'TE CVA'!$AA$23)*(1-CUSTOS!$M$38)</f>
        <v>204.57163525385519</v>
      </c>
      <c r="AB571" s="6">
        <f>$K$571*$V$571</f>
        <v>0</v>
      </c>
      <c r="AC571" s="6">
        <f>$M$571*$W$571</f>
        <v>-807.88693999999998</v>
      </c>
      <c r="AD571" s="6">
        <f>$O$571*$X$571</f>
        <v>-410.67081999999999</v>
      </c>
      <c r="AE571" s="6">
        <f>$K$571*$Y$571</f>
        <v>0</v>
      </c>
      <c r="AF571" s="6">
        <f ca="1">$M$571*$Z$571</f>
        <v>-969.42387644344296</v>
      </c>
      <c r="AG571" s="6">
        <f>$O$571*$AA$571</f>
        <v>-426.73643113954188</v>
      </c>
    </row>
    <row r="572" spans="1:33" ht="11.25" customHeight="1" x14ac:dyDescent="0.25">
      <c r="A572" s="4" t="s">
        <v>21</v>
      </c>
      <c r="B572" s="4" t="s">
        <v>40</v>
      </c>
      <c r="C572" s="4" t="s">
        <v>23</v>
      </c>
      <c r="D572" s="4" t="s">
        <v>41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44378</v>
      </c>
      <c r="J572" s="6">
        <v>0</v>
      </c>
      <c r="K572" s="6">
        <v>0</v>
      </c>
      <c r="L572" s="6">
        <v>2007.154</v>
      </c>
      <c r="M572" s="6">
        <v>2007.154</v>
      </c>
      <c r="N572" s="6">
        <v>2007.154</v>
      </c>
      <c r="O572" s="6">
        <v>2007.154</v>
      </c>
      <c r="P572" s="6">
        <v>2083</v>
      </c>
      <c r="Q572" s="4" t="s">
        <v>26</v>
      </c>
      <c r="R572" s="4">
        <v>0</v>
      </c>
      <c r="S572" s="6">
        <v>0</v>
      </c>
      <c r="T572" s="6">
        <v>60</v>
      </c>
      <c r="U572" s="6">
        <v>16</v>
      </c>
      <c r="V572" s="6">
        <f>IF(ISERROR(VLOOKUP($S$572,'TAR FIN'!$A$1:$O$85,15,0)),0,VLOOKUP($S$572,'TAR FIN'!$A$1:$O$85,15,0))</f>
        <v>0</v>
      </c>
      <c r="W572" s="6">
        <f>IF(ISERROR(VLOOKUP($T$572,'TAR FIN'!$A$1:$O$85,15,0)),0,VLOOKUP($T$572,'TAR FIN'!$A$1:$O$85,15,0))</f>
        <v>387.29</v>
      </c>
      <c r="X572" s="6">
        <f>IF(ISERROR(VLOOKUP($U$572,'TAR FIN'!$A$1:$O$85,15,0)),0,VLOOKUP($U$572,'TAR FIN'!$A$1:$O$85,15,0))</f>
        <v>196.87</v>
      </c>
      <c r="Y572" s="6"/>
      <c r="Z572" s="6">
        <f ca="1">('TUSD BE'!$AM$33+'TUSD BF'!$AM$33+'TUSD CVA'!$AM$33)*(1-CUSTOS!$M$38)</f>
        <v>464.7286080745173</v>
      </c>
      <c r="AA572" s="6">
        <f>('TE BE'!$AA$23+'TE BF'!$AA$23+'TE CVA'!$AA$23)*(1-CUSTOS!$M$38)</f>
        <v>204.57163525385519</v>
      </c>
      <c r="AB572" s="6">
        <f>$K$572*$V$572</f>
        <v>0</v>
      </c>
      <c r="AC572" s="6">
        <f>$M$572*$W$572</f>
        <v>777350.67266000004</v>
      </c>
      <c r="AD572" s="6">
        <f>$O$572*$X$572</f>
        <v>395148.40798000002</v>
      </c>
      <c r="AE572" s="6">
        <f>$K$572*$Y$572</f>
        <v>0</v>
      </c>
      <c r="AF572" s="6">
        <f ca="1">$M$572*$Z$572</f>
        <v>932781.88461119973</v>
      </c>
      <c r="AG572" s="6">
        <f>$O$572*$AA$572</f>
        <v>410606.77598631644</v>
      </c>
    </row>
    <row r="573" spans="1:33" ht="11.25" customHeight="1" x14ac:dyDescent="0.25">
      <c r="A573" s="4" t="s">
        <v>27</v>
      </c>
      <c r="B573" s="4" t="s">
        <v>40</v>
      </c>
      <c r="C573" s="4" t="s">
        <v>23</v>
      </c>
      <c r="D573" s="4" t="s">
        <v>41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44378</v>
      </c>
      <c r="J573" s="6">
        <v>0</v>
      </c>
      <c r="K573" s="6">
        <v>0</v>
      </c>
      <c r="L573" s="6">
        <v>-9.42</v>
      </c>
      <c r="M573" s="6">
        <v>-9.42</v>
      </c>
      <c r="N573" s="6">
        <v>-9.42</v>
      </c>
      <c r="O573" s="6">
        <v>-9.42</v>
      </c>
      <c r="P573" s="6">
        <v>0</v>
      </c>
      <c r="Q573" s="4" t="s">
        <v>26</v>
      </c>
      <c r="R573" s="4">
        <v>0</v>
      </c>
      <c r="S573" s="6">
        <v>0</v>
      </c>
      <c r="T573" s="6">
        <v>60</v>
      </c>
      <c r="U573" s="6">
        <v>16</v>
      </c>
      <c r="V573" s="6">
        <f>IF(ISERROR(VLOOKUP($S$573,'TAR FIN'!$A$1:$O$85,15,0)),0,VLOOKUP($S$573,'TAR FIN'!$A$1:$O$85,15,0))</f>
        <v>0</v>
      </c>
      <c r="W573" s="6">
        <f>IF(ISERROR(VLOOKUP($T$573,'TAR FIN'!$A$1:$O$85,15,0)),0,VLOOKUP($T$573,'TAR FIN'!$A$1:$O$85,15,0))</f>
        <v>387.29</v>
      </c>
      <c r="X573" s="6">
        <f>IF(ISERROR(VLOOKUP($U$573,'TAR FIN'!$A$1:$O$85,15,0)),0,VLOOKUP($U$573,'TAR FIN'!$A$1:$O$85,15,0))</f>
        <v>196.87</v>
      </c>
      <c r="Y573" s="6"/>
      <c r="Z573" s="6">
        <f ca="1">('TUSD BE'!$AM$33+'TUSD BF'!$AM$33+'TUSD CVA'!$AM$33)*(1-CUSTOS!$M$38)</f>
        <v>464.7286080745173</v>
      </c>
      <c r="AA573" s="6">
        <f>('TE BE'!$AA$23+'TE BF'!$AA$23+'TE CVA'!$AA$23)*(1-CUSTOS!$M$38)</f>
        <v>204.57163525385519</v>
      </c>
      <c r="AB573" s="6">
        <f>$K$573*$V$573</f>
        <v>0</v>
      </c>
      <c r="AC573" s="6">
        <f>$M$573*$W$573</f>
        <v>-3648.2718</v>
      </c>
      <c r="AD573" s="6">
        <f>$O$573*$X$573</f>
        <v>-1854.5154</v>
      </c>
      <c r="AE573" s="6">
        <f>$K$573*$Y$573</f>
        <v>0</v>
      </c>
      <c r="AF573" s="6">
        <f ca="1">$M$573*$Z$573</f>
        <v>-4377.743488061953</v>
      </c>
      <c r="AG573" s="6">
        <f>$O$573*$AA$573</f>
        <v>-1927.0648040913159</v>
      </c>
    </row>
    <row r="574" spans="1:33" ht="11.25" customHeight="1" x14ac:dyDescent="0.25">
      <c r="A574" s="4" t="s">
        <v>28</v>
      </c>
      <c r="B574" s="4" t="s">
        <v>40</v>
      </c>
      <c r="C574" s="4" t="s">
        <v>23</v>
      </c>
      <c r="D574" s="4" t="s">
        <v>41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44378</v>
      </c>
      <c r="J574" s="6">
        <v>0</v>
      </c>
      <c r="K574" s="6">
        <v>0</v>
      </c>
      <c r="L574" s="6">
        <v>18.791</v>
      </c>
      <c r="M574" s="6">
        <v>18.791</v>
      </c>
      <c r="N574" s="6">
        <v>18.791</v>
      </c>
      <c r="O574" s="6">
        <v>18.791</v>
      </c>
      <c r="P574" s="6">
        <v>14</v>
      </c>
      <c r="Q574" s="4" t="s">
        <v>26</v>
      </c>
      <c r="R574" s="4">
        <v>0</v>
      </c>
      <c r="S574" s="6">
        <v>0</v>
      </c>
      <c r="T574" s="6">
        <v>60</v>
      </c>
      <c r="U574" s="6">
        <v>16</v>
      </c>
      <c r="V574" s="6">
        <f>IF(ISERROR(VLOOKUP($S$574,'TAR FIN'!$A$1:$O$85,15,0)),0,VLOOKUP($S$574,'TAR FIN'!$A$1:$O$85,15,0))</f>
        <v>0</v>
      </c>
      <c r="W574" s="6">
        <f>IF(ISERROR(VLOOKUP($T$574,'TAR FIN'!$A$1:$O$85,15,0)),0,VLOOKUP($T$574,'TAR FIN'!$A$1:$O$85,15,0))</f>
        <v>387.29</v>
      </c>
      <c r="X574" s="6">
        <f>IF(ISERROR(VLOOKUP($U$574,'TAR FIN'!$A$1:$O$85,15,0)),0,VLOOKUP($U$574,'TAR FIN'!$A$1:$O$85,15,0))</f>
        <v>196.87</v>
      </c>
      <c r="Y574" s="6"/>
      <c r="Z574" s="6">
        <f ca="1">('TUSD BE'!$AM$33+'TUSD BF'!$AM$33+'TUSD CVA'!$AM$33)*(1-CUSTOS!$M$38)</f>
        <v>464.7286080745173</v>
      </c>
      <c r="AA574" s="6">
        <f>('TE BE'!$AA$23+'TE BF'!$AA$23+'TE CVA'!$AA$23)*(1-CUSTOS!$M$38)</f>
        <v>204.57163525385519</v>
      </c>
      <c r="AB574" s="6">
        <f>$K$574*$V$574</f>
        <v>0</v>
      </c>
      <c r="AC574" s="6">
        <f>$M$574*$W$574</f>
        <v>7277.5663900000009</v>
      </c>
      <c r="AD574" s="6">
        <f>$O$574*$X$574</f>
        <v>3699.3841700000003</v>
      </c>
      <c r="AE574" s="6">
        <f>$K$574*$Y$574</f>
        <v>0</v>
      </c>
      <c r="AF574" s="6">
        <f ca="1">$M$574*$Z$574</f>
        <v>8732.715274328255</v>
      </c>
      <c r="AG574" s="6">
        <f>$O$574*$AA$574</f>
        <v>3844.1055980551928</v>
      </c>
    </row>
    <row r="575" spans="1:33" ht="11.25" customHeight="1" x14ac:dyDescent="0.25">
      <c r="A575" s="4" t="s">
        <v>28</v>
      </c>
      <c r="B575" s="4" t="s">
        <v>40</v>
      </c>
      <c r="C575" s="4" t="s">
        <v>23</v>
      </c>
      <c r="D575" s="4" t="s">
        <v>41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44378</v>
      </c>
      <c r="J575" s="6">
        <v>0</v>
      </c>
      <c r="K575" s="6">
        <v>0</v>
      </c>
      <c r="L575" s="6">
        <v>1.9E-2</v>
      </c>
      <c r="M575" s="6">
        <v>1.9E-2</v>
      </c>
      <c r="N575" s="6">
        <v>1.9E-2</v>
      </c>
      <c r="O575" s="6">
        <v>1.9E-2</v>
      </c>
      <c r="P575" s="6">
        <v>2</v>
      </c>
      <c r="Q575" s="4" t="s">
        <v>26</v>
      </c>
      <c r="R575" s="4">
        <v>0</v>
      </c>
      <c r="S575" s="6">
        <v>0</v>
      </c>
      <c r="T575" s="6">
        <v>60</v>
      </c>
      <c r="U575" s="6">
        <v>16</v>
      </c>
      <c r="V575" s="6">
        <f>IF(ISERROR(VLOOKUP($S$575,'TAR FIN'!$A$1:$O$85,15,0)),0,VLOOKUP($S$575,'TAR FIN'!$A$1:$O$85,15,0))</f>
        <v>0</v>
      </c>
      <c r="W575" s="6">
        <f>IF(ISERROR(VLOOKUP($T$575,'TAR FIN'!$A$1:$O$85,15,0)),0,VLOOKUP($T$575,'TAR FIN'!$A$1:$O$85,15,0))</f>
        <v>387.29</v>
      </c>
      <c r="X575" s="6">
        <f>IF(ISERROR(VLOOKUP($U$575,'TAR FIN'!$A$1:$O$85,15,0)),0,VLOOKUP($U$575,'TAR FIN'!$A$1:$O$85,15,0))</f>
        <v>196.87</v>
      </c>
      <c r="Y575" s="6"/>
      <c r="Z575" s="6">
        <f ca="1">('TUSD BE'!$AM$33+'TUSD BF'!$AM$33+'TUSD CVA'!$AM$33)*(1-CUSTOS!$M$38)</f>
        <v>464.7286080745173</v>
      </c>
      <c r="AA575" s="6">
        <f>('TE BE'!$AA$23+'TE BF'!$AA$23+'TE CVA'!$AA$23)*(1-CUSTOS!$M$38)</f>
        <v>204.57163525385519</v>
      </c>
      <c r="AB575" s="6">
        <f>$K$575*$V$575</f>
        <v>0</v>
      </c>
      <c r="AC575" s="6">
        <f>$M$575*$W$575</f>
        <v>7.3585099999999999</v>
      </c>
      <c r="AD575" s="6">
        <f>$O$575*$X$575</f>
        <v>3.7405300000000001</v>
      </c>
      <c r="AE575" s="6">
        <f>$K$575*$Y$575</f>
        <v>0</v>
      </c>
      <c r="AF575" s="6">
        <f ca="1">$M$575*$Z$575</f>
        <v>8.829843553415829</v>
      </c>
      <c r="AG575" s="6">
        <f>$O$575*$AA$575</f>
        <v>3.8868610698232486</v>
      </c>
    </row>
    <row r="576" spans="1:33" ht="11.25" customHeight="1" x14ac:dyDescent="0.25">
      <c r="A576" s="4" t="s">
        <v>21</v>
      </c>
      <c r="B576" s="4" t="s">
        <v>40</v>
      </c>
      <c r="C576" s="4" t="s">
        <v>23</v>
      </c>
      <c r="D576" s="4" t="s">
        <v>41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44409</v>
      </c>
      <c r="J576" s="6">
        <v>0</v>
      </c>
      <c r="K576" s="6">
        <v>0</v>
      </c>
      <c r="L576" s="6">
        <v>2340.4430000000002</v>
      </c>
      <c r="M576" s="6">
        <v>2340.4430000000002</v>
      </c>
      <c r="N576" s="6">
        <v>2340.4430000000002</v>
      </c>
      <c r="O576" s="6">
        <v>2340.4430000000002</v>
      </c>
      <c r="P576" s="6">
        <v>2096</v>
      </c>
      <c r="Q576" s="4" t="s">
        <v>26</v>
      </c>
      <c r="R576" s="4">
        <v>0</v>
      </c>
      <c r="S576" s="6">
        <v>0</v>
      </c>
      <c r="T576" s="6">
        <v>60</v>
      </c>
      <c r="U576" s="6">
        <v>16</v>
      </c>
      <c r="V576" s="6">
        <f>IF(ISERROR(VLOOKUP($S$576,'TAR FIN'!$A$1:$O$85,15,0)),0,VLOOKUP($S$576,'TAR FIN'!$A$1:$O$85,15,0))</f>
        <v>0</v>
      </c>
      <c r="W576" s="6">
        <f>IF(ISERROR(VLOOKUP($T$576,'TAR FIN'!$A$1:$O$85,15,0)),0,VLOOKUP($T$576,'TAR FIN'!$A$1:$O$85,15,0))</f>
        <v>387.29</v>
      </c>
      <c r="X576" s="6">
        <f>IF(ISERROR(VLOOKUP($U$576,'TAR FIN'!$A$1:$O$85,15,0)),0,VLOOKUP($U$576,'TAR FIN'!$A$1:$O$85,15,0))</f>
        <v>196.87</v>
      </c>
      <c r="Y576" s="6"/>
      <c r="Z576" s="6">
        <f ca="1">('TUSD BE'!$AM$33+'TUSD BF'!$AM$33+'TUSD CVA'!$AM$33)*(1-CUSTOS!$M$38)</f>
        <v>464.7286080745173</v>
      </c>
      <c r="AA576" s="6">
        <f>('TE BE'!$AA$23+'TE BF'!$AA$23+'TE CVA'!$AA$23)*(1-CUSTOS!$M$38)</f>
        <v>204.57163525385519</v>
      </c>
      <c r="AB576" s="6">
        <f>$K$576*$V$576</f>
        <v>0</v>
      </c>
      <c r="AC576" s="6">
        <f>$M$576*$W$576</f>
        <v>906430.16947000008</v>
      </c>
      <c r="AD576" s="6">
        <f>$O$576*$X$576</f>
        <v>460763.01341000007</v>
      </c>
      <c r="AE576" s="6">
        <f>$K$576*$Y$576</f>
        <v>0</v>
      </c>
      <c r="AF576" s="6">
        <f ca="1">$M$576*$Z$576</f>
        <v>1087670.8176677476</v>
      </c>
      <c r="AG576" s="6">
        <f>$O$576*$AA$576</f>
        <v>478788.25172843866</v>
      </c>
    </row>
    <row r="577" spans="1:33" ht="11.25" customHeight="1" x14ac:dyDescent="0.25">
      <c r="A577" s="4" t="s">
        <v>27</v>
      </c>
      <c r="B577" s="4" t="s">
        <v>40</v>
      </c>
      <c r="C577" s="4" t="s">
        <v>23</v>
      </c>
      <c r="D577" s="4" t="s">
        <v>41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44409</v>
      </c>
      <c r="J577" s="6">
        <v>0</v>
      </c>
      <c r="K577" s="6">
        <v>0</v>
      </c>
      <c r="L577" s="6">
        <v>5.26</v>
      </c>
      <c r="M577" s="6">
        <v>5.26</v>
      </c>
      <c r="N577" s="6">
        <v>5.26</v>
      </c>
      <c r="O577" s="6">
        <v>5.26</v>
      </c>
      <c r="P577" s="6">
        <v>0</v>
      </c>
      <c r="Q577" s="4" t="s">
        <v>26</v>
      </c>
      <c r="R577" s="4">
        <v>0</v>
      </c>
      <c r="S577" s="6">
        <v>0</v>
      </c>
      <c r="T577" s="6">
        <v>60</v>
      </c>
      <c r="U577" s="6">
        <v>16</v>
      </c>
      <c r="V577" s="6">
        <f>IF(ISERROR(VLOOKUP($S$577,'TAR FIN'!$A$1:$O$85,15,0)),0,VLOOKUP($S$577,'TAR FIN'!$A$1:$O$85,15,0))</f>
        <v>0</v>
      </c>
      <c r="W577" s="6">
        <f>IF(ISERROR(VLOOKUP($T$577,'TAR FIN'!$A$1:$O$85,15,0)),0,VLOOKUP($T$577,'TAR FIN'!$A$1:$O$85,15,0))</f>
        <v>387.29</v>
      </c>
      <c r="X577" s="6">
        <f>IF(ISERROR(VLOOKUP($U$577,'TAR FIN'!$A$1:$O$85,15,0)),0,VLOOKUP($U$577,'TAR FIN'!$A$1:$O$85,15,0))</f>
        <v>196.87</v>
      </c>
      <c r="Y577" s="6"/>
      <c r="Z577" s="6">
        <f ca="1">('TUSD BE'!$AM$33+'TUSD BF'!$AM$33+'TUSD CVA'!$AM$33)*(1-CUSTOS!$M$38)</f>
        <v>464.7286080745173</v>
      </c>
      <c r="AA577" s="6">
        <f>('TE BE'!$AA$23+'TE BF'!$AA$23+'TE CVA'!$AA$23)*(1-CUSTOS!$M$38)</f>
        <v>204.57163525385519</v>
      </c>
      <c r="AB577" s="6">
        <f>$K$577*$V$577</f>
        <v>0</v>
      </c>
      <c r="AC577" s="6">
        <f>$M$577*$W$577</f>
        <v>2037.1454000000001</v>
      </c>
      <c r="AD577" s="6">
        <f>$O$577*$X$577</f>
        <v>1035.5362</v>
      </c>
      <c r="AE577" s="6">
        <f>$K$577*$Y$577</f>
        <v>0</v>
      </c>
      <c r="AF577" s="6">
        <f ca="1">$M$577*$Z$577</f>
        <v>2444.472478471961</v>
      </c>
      <c r="AG577" s="6">
        <f>$O$577*$AA$577</f>
        <v>1076.0468014352782</v>
      </c>
    </row>
    <row r="578" spans="1:33" ht="11.25" customHeight="1" x14ac:dyDescent="0.25">
      <c r="A578" s="4" t="s">
        <v>28</v>
      </c>
      <c r="B578" s="4" t="s">
        <v>40</v>
      </c>
      <c r="C578" s="4" t="s">
        <v>23</v>
      </c>
      <c r="D578" s="4" t="s">
        <v>41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44409</v>
      </c>
      <c r="J578" s="6">
        <v>0</v>
      </c>
      <c r="K578" s="6">
        <v>0</v>
      </c>
      <c r="L578" s="6">
        <v>14.803000000000001</v>
      </c>
      <c r="M578" s="6">
        <v>14.803000000000001</v>
      </c>
      <c r="N578" s="6">
        <v>14.803000000000001</v>
      </c>
      <c r="O578" s="6">
        <v>14.803000000000001</v>
      </c>
      <c r="P578" s="6">
        <v>12</v>
      </c>
      <c r="Q578" s="4" t="s">
        <v>26</v>
      </c>
      <c r="R578" s="4">
        <v>0</v>
      </c>
      <c r="S578" s="6">
        <v>0</v>
      </c>
      <c r="T578" s="6">
        <v>60</v>
      </c>
      <c r="U578" s="6">
        <v>16</v>
      </c>
      <c r="V578" s="6">
        <f>IF(ISERROR(VLOOKUP($S$578,'TAR FIN'!$A$1:$O$85,15,0)),0,VLOOKUP($S$578,'TAR FIN'!$A$1:$O$85,15,0))</f>
        <v>0</v>
      </c>
      <c r="W578" s="6">
        <f>IF(ISERROR(VLOOKUP($T$578,'TAR FIN'!$A$1:$O$85,15,0)),0,VLOOKUP($T$578,'TAR FIN'!$A$1:$O$85,15,0))</f>
        <v>387.29</v>
      </c>
      <c r="X578" s="6">
        <f>IF(ISERROR(VLOOKUP($U$578,'TAR FIN'!$A$1:$O$85,15,0)),0,VLOOKUP($U$578,'TAR FIN'!$A$1:$O$85,15,0))</f>
        <v>196.87</v>
      </c>
      <c r="Y578" s="6"/>
      <c r="Z578" s="6">
        <f ca="1">('TUSD BE'!$AM$33+'TUSD BF'!$AM$33+'TUSD CVA'!$AM$33)*(1-CUSTOS!$M$38)</f>
        <v>464.7286080745173</v>
      </c>
      <c r="AA578" s="6">
        <f>('TE BE'!$AA$23+'TE BF'!$AA$23+'TE CVA'!$AA$23)*(1-CUSTOS!$M$38)</f>
        <v>204.57163525385519</v>
      </c>
      <c r="AB578" s="6">
        <f>$K$578*$V$578</f>
        <v>0</v>
      </c>
      <c r="AC578" s="6">
        <f>$M$578*$W$578</f>
        <v>5733.0538700000006</v>
      </c>
      <c r="AD578" s="6">
        <f>$O$578*$X$578</f>
        <v>2914.2666100000001</v>
      </c>
      <c r="AE578" s="6">
        <f>$K$578*$Y$578</f>
        <v>0</v>
      </c>
      <c r="AF578" s="6">
        <f ca="1">$M$578*$Z$578</f>
        <v>6879.3775853270799</v>
      </c>
      <c r="AG578" s="6">
        <f>$O$578*$AA$578</f>
        <v>3028.2739166628185</v>
      </c>
    </row>
    <row r="579" spans="1:33" ht="11.25" customHeight="1" x14ac:dyDescent="0.25">
      <c r="A579" s="4" t="s">
        <v>21</v>
      </c>
      <c r="B579" s="4" t="s">
        <v>40</v>
      </c>
      <c r="C579" s="4" t="s">
        <v>23</v>
      </c>
      <c r="D579" s="4" t="s">
        <v>41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44440</v>
      </c>
      <c r="J579" s="6">
        <v>0</v>
      </c>
      <c r="K579" s="6">
        <v>0</v>
      </c>
      <c r="L579" s="6">
        <v>2510.3119999999999</v>
      </c>
      <c r="M579" s="6">
        <v>2510.3119999999999</v>
      </c>
      <c r="N579" s="6">
        <v>2510.3119999999999</v>
      </c>
      <c r="O579" s="6">
        <v>2510.3119999999999</v>
      </c>
      <c r="P579" s="6">
        <v>2094</v>
      </c>
      <c r="Q579" s="4" t="s">
        <v>26</v>
      </c>
      <c r="R579" s="4">
        <v>0</v>
      </c>
      <c r="S579" s="6">
        <v>0</v>
      </c>
      <c r="T579" s="6">
        <v>60</v>
      </c>
      <c r="U579" s="6">
        <v>16</v>
      </c>
      <c r="V579" s="6">
        <f>IF(ISERROR(VLOOKUP($S$579,'TAR FIN'!$A$1:$O$85,15,0)),0,VLOOKUP($S$579,'TAR FIN'!$A$1:$O$85,15,0))</f>
        <v>0</v>
      </c>
      <c r="W579" s="6">
        <f>IF(ISERROR(VLOOKUP($T$579,'TAR FIN'!$A$1:$O$85,15,0)),0,VLOOKUP($T$579,'TAR FIN'!$A$1:$O$85,15,0))</f>
        <v>387.29</v>
      </c>
      <c r="X579" s="6">
        <f>IF(ISERROR(VLOOKUP($U$579,'TAR FIN'!$A$1:$O$85,15,0)),0,VLOOKUP($U$579,'TAR FIN'!$A$1:$O$85,15,0))</f>
        <v>196.87</v>
      </c>
      <c r="Y579" s="6"/>
      <c r="Z579" s="6">
        <f ca="1">('TUSD BE'!$AM$33+'TUSD BF'!$AM$33+'TUSD CVA'!$AM$33)*(1-CUSTOS!$M$38)</f>
        <v>464.7286080745173</v>
      </c>
      <c r="AA579" s="6">
        <f>('TE BE'!$AA$23+'TE BF'!$AA$23+'TE CVA'!$AA$23)*(1-CUSTOS!$M$38)</f>
        <v>204.57163525385519</v>
      </c>
      <c r="AB579" s="6">
        <f>$K$579*$V$579</f>
        <v>0</v>
      </c>
      <c r="AC579" s="6">
        <f>$M$579*$W$579</f>
        <v>972218.73447999998</v>
      </c>
      <c r="AD579" s="6">
        <f>$O$579*$X$579</f>
        <v>494205.12344</v>
      </c>
      <c r="AE579" s="6">
        <f>$K$579*$Y$579</f>
        <v>0</v>
      </c>
      <c r="AF579" s="6">
        <f ca="1">$M$579*$Z$579</f>
        <v>1166613.8015927577</v>
      </c>
      <c r="AG579" s="6">
        <f>$O$579*$AA$579</f>
        <v>513538.63083737571</v>
      </c>
    </row>
    <row r="580" spans="1:33" ht="11.25" customHeight="1" x14ac:dyDescent="0.25">
      <c r="A580" s="4" t="s">
        <v>27</v>
      </c>
      <c r="B580" s="4" t="s">
        <v>40</v>
      </c>
      <c r="C580" s="4" t="s">
        <v>23</v>
      </c>
      <c r="D580" s="4" t="s">
        <v>41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44440</v>
      </c>
      <c r="J580" s="6">
        <v>0</v>
      </c>
      <c r="K580" s="6">
        <v>0</v>
      </c>
      <c r="L580" s="6">
        <v>-0.152</v>
      </c>
      <c r="M580" s="6">
        <v>-0.152</v>
      </c>
      <c r="N580" s="6">
        <v>-0.152</v>
      </c>
      <c r="O580" s="6">
        <v>-0.152</v>
      </c>
      <c r="P580" s="6">
        <v>0</v>
      </c>
      <c r="Q580" s="4" t="s">
        <v>26</v>
      </c>
      <c r="R580" s="4">
        <v>0</v>
      </c>
      <c r="S580" s="6">
        <v>0</v>
      </c>
      <c r="T580" s="6">
        <v>60</v>
      </c>
      <c r="U580" s="6">
        <v>16</v>
      </c>
      <c r="V580" s="6">
        <f>IF(ISERROR(VLOOKUP($S$580,'TAR FIN'!$A$1:$O$85,15,0)),0,VLOOKUP($S$580,'TAR FIN'!$A$1:$O$85,15,0))</f>
        <v>0</v>
      </c>
      <c r="W580" s="6">
        <f>IF(ISERROR(VLOOKUP($T$580,'TAR FIN'!$A$1:$O$85,15,0)),0,VLOOKUP($T$580,'TAR FIN'!$A$1:$O$85,15,0))</f>
        <v>387.29</v>
      </c>
      <c r="X580" s="6">
        <f>IF(ISERROR(VLOOKUP($U$580,'TAR FIN'!$A$1:$O$85,15,0)),0,VLOOKUP($U$580,'TAR FIN'!$A$1:$O$85,15,0))</f>
        <v>196.87</v>
      </c>
      <c r="Y580" s="6"/>
      <c r="Z580" s="6">
        <f ca="1">('TUSD BE'!$AM$33+'TUSD BF'!$AM$33+'TUSD CVA'!$AM$33)*(1-CUSTOS!$M$38)</f>
        <v>464.7286080745173</v>
      </c>
      <c r="AA580" s="6">
        <f>('TE BE'!$AA$23+'TE BF'!$AA$23+'TE CVA'!$AA$23)*(1-CUSTOS!$M$38)</f>
        <v>204.57163525385519</v>
      </c>
      <c r="AB580" s="6">
        <f>$K$580*$V$580</f>
        <v>0</v>
      </c>
      <c r="AC580" s="6">
        <f>$M$580*$W$580</f>
        <v>-58.868079999999999</v>
      </c>
      <c r="AD580" s="6">
        <f>$O$580*$X$580</f>
        <v>-29.924240000000001</v>
      </c>
      <c r="AE580" s="6">
        <f>$K$580*$Y$580</f>
        <v>0</v>
      </c>
      <c r="AF580" s="6">
        <f ca="1">$M$580*$Z$580</f>
        <v>-70.638748427326632</v>
      </c>
      <c r="AG580" s="6">
        <f>$O$580*$AA$580</f>
        <v>-31.094888558585989</v>
      </c>
    </row>
    <row r="581" spans="1:33" ht="11.25" customHeight="1" x14ac:dyDescent="0.25">
      <c r="A581" s="4" t="s">
        <v>28</v>
      </c>
      <c r="B581" s="4" t="s">
        <v>40</v>
      </c>
      <c r="C581" s="4" t="s">
        <v>23</v>
      </c>
      <c r="D581" s="4" t="s">
        <v>41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44440</v>
      </c>
      <c r="J581" s="6">
        <v>0</v>
      </c>
      <c r="K581" s="6">
        <v>0</v>
      </c>
      <c r="L581" s="6">
        <v>54.148000000000003</v>
      </c>
      <c r="M581" s="6">
        <v>54.148000000000003</v>
      </c>
      <c r="N581" s="6">
        <v>54.148000000000003</v>
      </c>
      <c r="O581" s="6">
        <v>54.148000000000003</v>
      </c>
      <c r="P581" s="6">
        <v>16</v>
      </c>
      <c r="Q581" s="4" t="s">
        <v>26</v>
      </c>
      <c r="R581" s="4">
        <v>0</v>
      </c>
      <c r="S581" s="6">
        <v>0</v>
      </c>
      <c r="T581" s="6">
        <v>60</v>
      </c>
      <c r="U581" s="6">
        <v>16</v>
      </c>
      <c r="V581" s="6">
        <f>IF(ISERROR(VLOOKUP($S$581,'TAR FIN'!$A$1:$O$85,15,0)),0,VLOOKUP($S$581,'TAR FIN'!$A$1:$O$85,15,0))</f>
        <v>0</v>
      </c>
      <c r="W581" s="6">
        <f>IF(ISERROR(VLOOKUP($T$581,'TAR FIN'!$A$1:$O$85,15,0)),0,VLOOKUP($T$581,'TAR FIN'!$A$1:$O$85,15,0))</f>
        <v>387.29</v>
      </c>
      <c r="X581" s="6">
        <f>IF(ISERROR(VLOOKUP($U$581,'TAR FIN'!$A$1:$O$85,15,0)),0,VLOOKUP($U$581,'TAR FIN'!$A$1:$O$85,15,0))</f>
        <v>196.87</v>
      </c>
      <c r="Y581" s="6"/>
      <c r="Z581" s="6">
        <f ca="1">('TUSD BE'!$AM$33+'TUSD BF'!$AM$33+'TUSD CVA'!$AM$33)*(1-CUSTOS!$M$38)</f>
        <v>464.7286080745173</v>
      </c>
      <c r="AA581" s="6">
        <f>('TE BE'!$AA$23+'TE BF'!$AA$23+'TE CVA'!$AA$23)*(1-CUSTOS!$M$38)</f>
        <v>204.57163525385519</v>
      </c>
      <c r="AB581" s="6">
        <f>$K$581*$V$581</f>
        <v>0</v>
      </c>
      <c r="AC581" s="6">
        <f>$M$581*$W$581</f>
        <v>20970.978920000001</v>
      </c>
      <c r="AD581" s="6">
        <f>$O$581*$X$581</f>
        <v>10660.116760000001</v>
      </c>
      <c r="AE581" s="6">
        <f>$K$581*$Y$581</f>
        <v>0</v>
      </c>
      <c r="AF581" s="6">
        <f ca="1">$M$581*$Z$581</f>
        <v>25164.124670018966</v>
      </c>
      <c r="AG581" s="6">
        <f>$O$581*$AA$581</f>
        <v>11077.144905725752</v>
      </c>
    </row>
    <row r="582" spans="1:33" ht="11.25" customHeight="1" x14ac:dyDescent="0.25">
      <c r="A582" s="4" t="s">
        <v>21</v>
      </c>
      <c r="B582" s="4" t="s">
        <v>40</v>
      </c>
      <c r="C582" s="4" t="s">
        <v>23</v>
      </c>
      <c r="D582" s="4" t="s">
        <v>41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44470</v>
      </c>
      <c r="J582" s="6">
        <v>0</v>
      </c>
      <c r="K582" s="6">
        <v>0</v>
      </c>
      <c r="L582" s="6">
        <v>2154.7689999999998</v>
      </c>
      <c r="M582" s="6">
        <v>2154.7689999999998</v>
      </c>
      <c r="N582" s="6">
        <v>2154.7689999999998</v>
      </c>
      <c r="O582" s="6">
        <v>2154.7689999999998</v>
      </c>
      <c r="P582" s="6">
        <v>2095</v>
      </c>
      <c r="Q582" s="4" t="s">
        <v>26</v>
      </c>
      <c r="R582" s="4">
        <v>0</v>
      </c>
      <c r="S582" s="6">
        <v>0</v>
      </c>
      <c r="T582" s="6">
        <v>60</v>
      </c>
      <c r="U582" s="6">
        <v>16</v>
      </c>
      <c r="V582" s="6">
        <f>IF(ISERROR(VLOOKUP($S$582,'TAR FIN'!$A$1:$O$85,15,0)),0,VLOOKUP($S$582,'TAR FIN'!$A$1:$O$85,15,0))</f>
        <v>0</v>
      </c>
      <c r="W582" s="6">
        <f>IF(ISERROR(VLOOKUP($T$582,'TAR FIN'!$A$1:$O$85,15,0)),0,VLOOKUP($T$582,'TAR FIN'!$A$1:$O$85,15,0))</f>
        <v>387.29</v>
      </c>
      <c r="X582" s="6">
        <f>IF(ISERROR(VLOOKUP($U$582,'TAR FIN'!$A$1:$O$85,15,0)),0,VLOOKUP($U$582,'TAR FIN'!$A$1:$O$85,15,0))</f>
        <v>196.87</v>
      </c>
      <c r="Y582" s="6"/>
      <c r="Z582" s="6">
        <f ca="1">('TUSD BE'!$AM$33+'TUSD BF'!$AM$33+'TUSD CVA'!$AM$33)*(1-CUSTOS!$M$38)</f>
        <v>464.7286080745173</v>
      </c>
      <c r="AA582" s="6">
        <f>('TE BE'!$AA$23+'TE BF'!$AA$23+'TE CVA'!$AA$23)*(1-CUSTOS!$M$38)</f>
        <v>204.57163525385519</v>
      </c>
      <c r="AB582" s="6">
        <f>$K$582*$V$582</f>
        <v>0</v>
      </c>
      <c r="AC582" s="6">
        <f>$M$582*$W$582</f>
        <v>834520.48600999999</v>
      </c>
      <c r="AD582" s="6">
        <f>$O$582*$X$582</f>
        <v>424209.37302999996</v>
      </c>
      <c r="AE582" s="6">
        <f>$K$582*$Y$582</f>
        <v>0</v>
      </c>
      <c r="AF582" s="6">
        <f ca="1">$M$582*$Z$582</f>
        <v>1001382.7980921195</v>
      </c>
      <c r="AG582" s="6">
        <f>$O$582*$AA$582</f>
        <v>440804.61792431423</v>
      </c>
    </row>
    <row r="583" spans="1:33" ht="11.25" customHeight="1" x14ac:dyDescent="0.25">
      <c r="A583" s="4" t="s">
        <v>27</v>
      </c>
      <c r="B583" s="4" t="s">
        <v>40</v>
      </c>
      <c r="C583" s="4" t="s">
        <v>23</v>
      </c>
      <c r="D583" s="4" t="s">
        <v>41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44470</v>
      </c>
      <c r="J583" s="6">
        <v>0</v>
      </c>
      <c r="K583" s="6">
        <v>0</v>
      </c>
      <c r="L583" s="6">
        <v>-9.8490000000000002</v>
      </c>
      <c r="M583" s="6">
        <v>-9.8490000000000002</v>
      </c>
      <c r="N583" s="6">
        <v>-9.8490000000000002</v>
      </c>
      <c r="O583" s="6">
        <v>-9.8490000000000002</v>
      </c>
      <c r="P583" s="6">
        <v>0</v>
      </c>
      <c r="Q583" s="4" t="s">
        <v>26</v>
      </c>
      <c r="R583" s="4">
        <v>0</v>
      </c>
      <c r="S583" s="6">
        <v>0</v>
      </c>
      <c r="T583" s="6">
        <v>60</v>
      </c>
      <c r="U583" s="6">
        <v>16</v>
      </c>
      <c r="V583" s="6">
        <f>IF(ISERROR(VLOOKUP($S$583,'TAR FIN'!$A$1:$O$85,15,0)),0,VLOOKUP($S$583,'TAR FIN'!$A$1:$O$85,15,0))</f>
        <v>0</v>
      </c>
      <c r="W583" s="6">
        <f>IF(ISERROR(VLOOKUP($T$583,'TAR FIN'!$A$1:$O$85,15,0)),0,VLOOKUP($T$583,'TAR FIN'!$A$1:$O$85,15,0))</f>
        <v>387.29</v>
      </c>
      <c r="X583" s="6">
        <f>IF(ISERROR(VLOOKUP($U$583,'TAR FIN'!$A$1:$O$85,15,0)),0,VLOOKUP($U$583,'TAR FIN'!$A$1:$O$85,15,0))</f>
        <v>196.87</v>
      </c>
      <c r="Y583" s="6"/>
      <c r="Z583" s="6">
        <f ca="1">('TUSD BE'!$AM$33+'TUSD BF'!$AM$33+'TUSD CVA'!$AM$33)*(1-CUSTOS!$M$38)</f>
        <v>464.7286080745173</v>
      </c>
      <c r="AA583" s="6">
        <f>('TE BE'!$AA$23+'TE BF'!$AA$23+'TE CVA'!$AA$23)*(1-CUSTOS!$M$38)</f>
        <v>204.57163525385519</v>
      </c>
      <c r="AB583" s="6">
        <f>$K$583*$V$583</f>
        <v>0</v>
      </c>
      <c r="AC583" s="6">
        <f>$M$583*$W$583</f>
        <v>-3814.4192100000005</v>
      </c>
      <c r="AD583" s="6">
        <f>$O$583*$X$583</f>
        <v>-1938.97263</v>
      </c>
      <c r="AE583" s="6">
        <f>$K$583*$Y$583</f>
        <v>0</v>
      </c>
      <c r="AF583" s="6">
        <f ca="1">$M$583*$Z$583</f>
        <v>-4577.1120609259206</v>
      </c>
      <c r="AG583" s="6">
        <f>$O$583*$AA$583</f>
        <v>-2014.8260356152198</v>
      </c>
    </row>
    <row r="584" spans="1:33" ht="11.25" customHeight="1" x14ac:dyDescent="0.25">
      <c r="A584" s="4" t="s">
        <v>28</v>
      </c>
      <c r="B584" s="4" t="s">
        <v>40</v>
      </c>
      <c r="C584" s="4" t="s">
        <v>23</v>
      </c>
      <c r="D584" s="4" t="s">
        <v>41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44470</v>
      </c>
      <c r="J584" s="6">
        <v>0</v>
      </c>
      <c r="K584" s="6">
        <v>0</v>
      </c>
      <c r="L584" s="6">
        <v>89.162000000000006</v>
      </c>
      <c r="M584" s="6">
        <v>89.162000000000006</v>
      </c>
      <c r="N584" s="6">
        <v>89.162000000000006</v>
      </c>
      <c r="O584" s="6">
        <v>89.162000000000006</v>
      </c>
      <c r="P584" s="6">
        <v>20</v>
      </c>
      <c r="Q584" s="4" t="s">
        <v>26</v>
      </c>
      <c r="R584" s="4">
        <v>0</v>
      </c>
      <c r="S584" s="6">
        <v>0</v>
      </c>
      <c r="T584" s="6">
        <v>60</v>
      </c>
      <c r="U584" s="6">
        <v>16</v>
      </c>
      <c r="V584" s="6">
        <f>IF(ISERROR(VLOOKUP($S$584,'TAR FIN'!$A$1:$O$85,15,0)),0,VLOOKUP($S$584,'TAR FIN'!$A$1:$O$85,15,0))</f>
        <v>0</v>
      </c>
      <c r="W584" s="6">
        <f>IF(ISERROR(VLOOKUP($T$584,'TAR FIN'!$A$1:$O$85,15,0)),0,VLOOKUP($T$584,'TAR FIN'!$A$1:$O$85,15,0))</f>
        <v>387.29</v>
      </c>
      <c r="X584" s="6">
        <f>IF(ISERROR(VLOOKUP($U$584,'TAR FIN'!$A$1:$O$85,15,0)),0,VLOOKUP($U$584,'TAR FIN'!$A$1:$O$85,15,0))</f>
        <v>196.87</v>
      </c>
      <c r="Y584" s="6"/>
      <c r="Z584" s="6">
        <f ca="1">('TUSD BE'!$AM$33+'TUSD BF'!$AM$33+'TUSD CVA'!$AM$33)*(1-CUSTOS!$M$38)</f>
        <v>464.7286080745173</v>
      </c>
      <c r="AA584" s="6">
        <f>('TE BE'!$AA$23+'TE BF'!$AA$23+'TE CVA'!$AA$23)*(1-CUSTOS!$M$38)</f>
        <v>204.57163525385519</v>
      </c>
      <c r="AB584" s="6">
        <f>$K$584*$V$584</f>
        <v>0</v>
      </c>
      <c r="AC584" s="6">
        <f>$M$584*$W$584</f>
        <v>34531.550980000007</v>
      </c>
      <c r="AD584" s="6">
        <f>$O$584*$X$584</f>
        <v>17553.322940000002</v>
      </c>
      <c r="AE584" s="6">
        <f>$K$584*$Y$584</f>
        <v>0</v>
      </c>
      <c r="AF584" s="6">
        <f ca="1">$M$584*$Z$584</f>
        <v>41436.132153140112</v>
      </c>
      <c r="AG584" s="6">
        <f>$O$584*$AA$584</f>
        <v>18240.016142504239</v>
      </c>
    </row>
    <row r="585" spans="1:33" ht="11.25" customHeight="1" x14ac:dyDescent="0.25">
      <c r="A585" s="4" t="s">
        <v>21</v>
      </c>
      <c r="B585" s="4" t="s">
        <v>40</v>
      </c>
      <c r="C585" s="4" t="s">
        <v>23</v>
      </c>
      <c r="D585" s="4" t="s">
        <v>41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44501</v>
      </c>
      <c r="J585" s="6">
        <v>0</v>
      </c>
      <c r="K585" s="6">
        <v>0</v>
      </c>
      <c r="L585" s="6">
        <v>2489.1129999999998</v>
      </c>
      <c r="M585" s="6">
        <v>2489.1129999999998</v>
      </c>
      <c r="N585" s="6">
        <v>2489.1129999999998</v>
      </c>
      <c r="O585" s="6">
        <v>2489.1129999999998</v>
      </c>
      <c r="P585" s="6">
        <v>2092</v>
      </c>
      <c r="Q585" s="4" t="s">
        <v>26</v>
      </c>
      <c r="R585" s="4">
        <v>0</v>
      </c>
      <c r="S585" s="6">
        <v>0</v>
      </c>
      <c r="T585" s="6">
        <v>60</v>
      </c>
      <c r="U585" s="6">
        <v>16</v>
      </c>
      <c r="V585" s="6">
        <f>IF(ISERROR(VLOOKUP($S$585,'TAR FIN'!$A$1:$O$85,15,0)),0,VLOOKUP($S$585,'TAR FIN'!$A$1:$O$85,15,0))</f>
        <v>0</v>
      </c>
      <c r="W585" s="6">
        <f>IF(ISERROR(VLOOKUP($T$585,'TAR FIN'!$A$1:$O$85,15,0)),0,VLOOKUP($T$585,'TAR FIN'!$A$1:$O$85,15,0))</f>
        <v>387.29</v>
      </c>
      <c r="X585" s="6">
        <f>IF(ISERROR(VLOOKUP($U$585,'TAR FIN'!$A$1:$O$85,15,0)),0,VLOOKUP($U$585,'TAR FIN'!$A$1:$O$85,15,0))</f>
        <v>196.87</v>
      </c>
      <c r="Y585" s="6"/>
      <c r="Z585" s="6">
        <f ca="1">('TUSD BE'!$AM$33+'TUSD BF'!$AM$33+'TUSD CVA'!$AM$33)*(1-CUSTOS!$M$38)</f>
        <v>464.7286080745173</v>
      </c>
      <c r="AA585" s="6">
        <f>('TE BE'!$AA$23+'TE BF'!$AA$23+'TE CVA'!$AA$23)*(1-CUSTOS!$M$38)</f>
        <v>204.57163525385519</v>
      </c>
      <c r="AB585" s="6">
        <f>$K$585*$V$585</f>
        <v>0</v>
      </c>
      <c r="AC585" s="6">
        <f>$M$585*$W$585</f>
        <v>964008.57377000002</v>
      </c>
      <c r="AD585" s="6">
        <f>$O$585*$X$585</f>
        <v>490031.67630999995</v>
      </c>
      <c r="AE585" s="6">
        <f>$K$585*$Y$585</f>
        <v>0</v>
      </c>
      <c r="AF585" s="6">
        <f ca="1">$M$585*$Z$585</f>
        <v>1156762.0198301859</v>
      </c>
      <c r="AG585" s="6">
        <f>$O$585*$AA$585</f>
        <v>509201.91674162925</v>
      </c>
    </row>
    <row r="586" spans="1:33" ht="11.25" customHeight="1" x14ac:dyDescent="0.25">
      <c r="A586" s="4" t="s">
        <v>27</v>
      </c>
      <c r="B586" s="4" t="s">
        <v>40</v>
      </c>
      <c r="C586" s="4" t="s">
        <v>23</v>
      </c>
      <c r="D586" s="4" t="s">
        <v>41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44501</v>
      </c>
      <c r="J586" s="6">
        <v>0</v>
      </c>
      <c r="K586" s="6">
        <v>0</v>
      </c>
      <c r="L586" s="6">
        <v>-0.70099999999999996</v>
      </c>
      <c r="M586" s="6">
        <v>-0.70099999999999996</v>
      </c>
      <c r="N586" s="6">
        <v>-0.70099999999999996</v>
      </c>
      <c r="O586" s="6">
        <v>-0.70099999999999996</v>
      </c>
      <c r="P586" s="6">
        <v>0</v>
      </c>
      <c r="Q586" s="4" t="s">
        <v>26</v>
      </c>
      <c r="R586" s="4">
        <v>0</v>
      </c>
      <c r="S586" s="6">
        <v>0</v>
      </c>
      <c r="T586" s="6">
        <v>60</v>
      </c>
      <c r="U586" s="6">
        <v>16</v>
      </c>
      <c r="V586" s="6">
        <f>IF(ISERROR(VLOOKUP($S$586,'TAR FIN'!$A$1:$O$85,15,0)),0,VLOOKUP($S$586,'TAR FIN'!$A$1:$O$85,15,0))</f>
        <v>0</v>
      </c>
      <c r="W586" s="6">
        <f>IF(ISERROR(VLOOKUP($T$586,'TAR FIN'!$A$1:$O$85,15,0)),0,VLOOKUP($T$586,'TAR FIN'!$A$1:$O$85,15,0))</f>
        <v>387.29</v>
      </c>
      <c r="X586" s="6">
        <f>IF(ISERROR(VLOOKUP($U$586,'TAR FIN'!$A$1:$O$85,15,0)),0,VLOOKUP($U$586,'TAR FIN'!$A$1:$O$85,15,0))</f>
        <v>196.87</v>
      </c>
      <c r="Y586" s="6"/>
      <c r="Z586" s="6">
        <f ca="1">('TUSD BE'!$AM$33+'TUSD BF'!$AM$33+'TUSD CVA'!$AM$33)*(1-CUSTOS!$M$38)</f>
        <v>464.7286080745173</v>
      </c>
      <c r="AA586" s="6">
        <f>('TE BE'!$AA$23+'TE BF'!$AA$23+'TE CVA'!$AA$23)*(1-CUSTOS!$M$38)</f>
        <v>204.57163525385519</v>
      </c>
      <c r="AB586" s="6">
        <f>$K$586*$V$586</f>
        <v>0</v>
      </c>
      <c r="AC586" s="6">
        <f>$M$586*$W$586</f>
        <v>-271.49029000000002</v>
      </c>
      <c r="AD586" s="6">
        <f>$O$586*$X$586</f>
        <v>-138.00586999999999</v>
      </c>
      <c r="AE586" s="6">
        <f>$K$586*$Y$586</f>
        <v>0</v>
      </c>
      <c r="AF586" s="6">
        <f ca="1">$M$586*$Z$586</f>
        <v>-325.77475426023659</v>
      </c>
      <c r="AG586" s="6">
        <f>$O$586*$AA$586</f>
        <v>-143.40471631295247</v>
      </c>
    </row>
    <row r="587" spans="1:33" ht="11.25" customHeight="1" x14ac:dyDescent="0.25">
      <c r="A587" s="4" t="s">
        <v>28</v>
      </c>
      <c r="B587" s="4" t="s">
        <v>40</v>
      </c>
      <c r="C587" s="4" t="s">
        <v>23</v>
      </c>
      <c r="D587" s="4" t="s">
        <v>41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44501</v>
      </c>
      <c r="J587" s="6">
        <v>0</v>
      </c>
      <c r="K587" s="6">
        <v>0</v>
      </c>
      <c r="L587" s="6">
        <v>67.254999999999995</v>
      </c>
      <c r="M587" s="6">
        <v>67.254999999999995</v>
      </c>
      <c r="N587" s="6">
        <v>67.254999999999995</v>
      </c>
      <c r="O587" s="6">
        <v>67.254999999999995</v>
      </c>
      <c r="P587" s="6">
        <v>21</v>
      </c>
      <c r="Q587" s="4" t="s">
        <v>26</v>
      </c>
      <c r="R587" s="4">
        <v>0</v>
      </c>
      <c r="S587" s="6">
        <v>0</v>
      </c>
      <c r="T587" s="6">
        <v>60</v>
      </c>
      <c r="U587" s="6">
        <v>16</v>
      </c>
      <c r="V587" s="6">
        <f>IF(ISERROR(VLOOKUP($S$587,'TAR FIN'!$A$1:$O$85,15,0)),0,VLOOKUP($S$587,'TAR FIN'!$A$1:$O$85,15,0))</f>
        <v>0</v>
      </c>
      <c r="W587" s="6">
        <f>IF(ISERROR(VLOOKUP($T$587,'TAR FIN'!$A$1:$O$85,15,0)),0,VLOOKUP($T$587,'TAR FIN'!$A$1:$O$85,15,0))</f>
        <v>387.29</v>
      </c>
      <c r="X587" s="6">
        <f>IF(ISERROR(VLOOKUP($U$587,'TAR FIN'!$A$1:$O$85,15,0)),0,VLOOKUP($U$587,'TAR FIN'!$A$1:$O$85,15,0))</f>
        <v>196.87</v>
      </c>
      <c r="Y587" s="6"/>
      <c r="Z587" s="6">
        <f ca="1">('TUSD BE'!$AM$33+'TUSD BF'!$AM$33+'TUSD CVA'!$AM$33)*(1-CUSTOS!$M$38)</f>
        <v>464.7286080745173</v>
      </c>
      <c r="AA587" s="6">
        <f>('TE BE'!$AA$23+'TE BF'!$AA$23+'TE CVA'!$AA$23)*(1-CUSTOS!$M$38)</f>
        <v>204.57163525385519</v>
      </c>
      <c r="AB587" s="6">
        <f>$K$587*$V$587</f>
        <v>0</v>
      </c>
      <c r="AC587" s="6">
        <f>$M$587*$W$587</f>
        <v>26047.18895</v>
      </c>
      <c r="AD587" s="6">
        <f>$O$587*$X$587</f>
        <v>13240.491849999999</v>
      </c>
      <c r="AE587" s="6">
        <f>$K$587*$Y$587</f>
        <v>0</v>
      </c>
      <c r="AF587" s="6">
        <f ca="1">$M$587*$Z$587</f>
        <v>31255.322536051659</v>
      </c>
      <c r="AG587" s="6">
        <f>$O$587*$AA$587</f>
        <v>13758.465328998031</v>
      </c>
    </row>
    <row r="588" spans="1:33" ht="11.25" customHeight="1" x14ac:dyDescent="0.25">
      <c r="A588" s="4" t="s">
        <v>21</v>
      </c>
      <c r="B588" s="4" t="s">
        <v>40</v>
      </c>
      <c r="C588" s="4" t="s">
        <v>23</v>
      </c>
      <c r="D588" s="4" t="s">
        <v>41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44531</v>
      </c>
      <c r="J588" s="6">
        <v>0</v>
      </c>
      <c r="K588" s="6">
        <v>0</v>
      </c>
      <c r="L588" s="6">
        <v>2225.7460000000001</v>
      </c>
      <c r="M588" s="6">
        <v>2225.7460000000001</v>
      </c>
      <c r="N588" s="6">
        <v>2225.7460000000001</v>
      </c>
      <c r="O588" s="6">
        <v>2225.7460000000001</v>
      </c>
      <c r="P588" s="6">
        <v>2098</v>
      </c>
      <c r="Q588" s="4" t="s">
        <v>26</v>
      </c>
      <c r="R588" s="4">
        <v>0</v>
      </c>
      <c r="S588" s="6">
        <v>0</v>
      </c>
      <c r="T588" s="6">
        <v>60</v>
      </c>
      <c r="U588" s="6">
        <v>16</v>
      </c>
      <c r="V588" s="6">
        <f>IF(ISERROR(VLOOKUP($S$588,'TAR FIN'!$A$1:$O$85,15,0)),0,VLOOKUP($S$588,'TAR FIN'!$A$1:$O$85,15,0))</f>
        <v>0</v>
      </c>
      <c r="W588" s="6">
        <f>IF(ISERROR(VLOOKUP($T$588,'TAR FIN'!$A$1:$O$85,15,0)),0,VLOOKUP($T$588,'TAR FIN'!$A$1:$O$85,15,0))</f>
        <v>387.29</v>
      </c>
      <c r="X588" s="6">
        <f>IF(ISERROR(VLOOKUP($U$588,'TAR FIN'!$A$1:$O$85,15,0)),0,VLOOKUP($U$588,'TAR FIN'!$A$1:$O$85,15,0))</f>
        <v>196.87</v>
      </c>
      <c r="Y588" s="6"/>
      <c r="Z588" s="6">
        <f ca="1">('TUSD BE'!$AM$33+'TUSD BF'!$AM$33+'TUSD CVA'!$AM$33)*(1-CUSTOS!$M$38)</f>
        <v>464.7286080745173</v>
      </c>
      <c r="AA588" s="6">
        <f>('TE BE'!$AA$23+'TE BF'!$AA$23+'TE CVA'!$AA$23)*(1-CUSTOS!$M$38)</f>
        <v>204.57163525385519</v>
      </c>
      <c r="AB588" s="6">
        <f>$K$588*$V$588</f>
        <v>0</v>
      </c>
      <c r="AC588" s="6">
        <f>$M$588*$W$588</f>
        <v>862009.16834000009</v>
      </c>
      <c r="AD588" s="6">
        <f>$O$588*$X$588</f>
        <v>438182.61502000003</v>
      </c>
      <c r="AE588" s="6">
        <f>$K$588*$Y$588</f>
        <v>0</v>
      </c>
      <c r="AF588" s="6">
        <f ca="1">$M$588*$Z$588</f>
        <v>1034367.8405074247</v>
      </c>
      <c r="AG588" s="6">
        <f>$O$588*$AA$588</f>
        <v>455324.49887972721</v>
      </c>
    </row>
    <row r="589" spans="1:33" ht="11.25" customHeight="1" x14ac:dyDescent="0.25">
      <c r="A589" s="4" t="s">
        <v>27</v>
      </c>
      <c r="B589" s="4" t="s">
        <v>40</v>
      </c>
      <c r="C589" s="4" t="s">
        <v>23</v>
      </c>
      <c r="D589" s="4" t="s">
        <v>41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44531</v>
      </c>
      <c r="J589" s="6">
        <v>0</v>
      </c>
      <c r="K589" s="6">
        <v>0</v>
      </c>
      <c r="L589" s="6">
        <v>-1.4530000000000001</v>
      </c>
      <c r="M589" s="6">
        <v>-1.4530000000000001</v>
      </c>
      <c r="N589" s="6">
        <v>-1.4530000000000001</v>
      </c>
      <c r="O589" s="6">
        <v>-1.4530000000000001</v>
      </c>
      <c r="P589" s="6">
        <v>0</v>
      </c>
      <c r="Q589" s="4" t="s">
        <v>26</v>
      </c>
      <c r="R589" s="4">
        <v>0</v>
      </c>
      <c r="S589" s="6">
        <v>0</v>
      </c>
      <c r="T589" s="6">
        <v>60</v>
      </c>
      <c r="U589" s="6">
        <v>16</v>
      </c>
      <c r="V589" s="6">
        <f>IF(ISERROR(VLOOKUP($S$589,'TAR FIN'!$A$1:$O$85,15,0)),0,VLOOKUP($S$589,'TAR FIN'!$A$1:$O$85,15,0))</f>
        <v>0</v>
      </c>
      <c r="W589" s="6">
        <f>IF(ISERROR(VLOOKUP($T$589,'TAR FIN'!$A$1:$O$85,15,0)),0,VLOOKUP($T$589,'TAR FIN'!$A$1:$O$85,15,0))</f>
        <v>387.29</v>
      </c>
      <c r="X589" s="6">
        <f>IF(ISERROR(VLOOKUP($U$589,'TAR FIN'!$A$1:$O$85,15,0)),0,VLOOKUP($U$589,'TAR FIN'!$A$1:$O$85,15,0))</f>
        <v>196.87</v>
      </c>
      <c r="Y589" s="6"/>
      <c r="Z589" s="6">
        <f ca="1">('TUSD BE'!$AM$33+'TUSD BF'!$AM$33+'TUSD CVA'!$AM$33)*(1-CUSTOS!$M$38)</f>
        <v>464.7286080745173</v>
      </c>
      <c r="AA589" s="6">
        <f>('TE BE'!$AA$23+'TE BF'!$AA$23+'TE CVA'!$AA$23)*(1-CUSTOS!$M$38)</f>
        <v>204.57163525385519</v>
      </c>
      <c r="AB589" s="6">
        <f>$K$589*$V$589</f>
        <v>0</v>
      </c>
      <c r="AC589" s="6">
        <f>$M$589*$W$589</f>
        <v>-562.73237000000006</v>
      </c>
      <c r="AD589" s="6">
        <f>$O$589*$X$589</f>
        <v>-286.05211000000003</v>
      </c>
      <c r="AE589" s="6">
        <f>$K$589*$Y$589</f>
        <v>0</v>
      </c>
      <c r="AF589" s="6">
        <f ca="1">$M$589*$Z$589</f>
        <v>-675.25066753227361</v>
      </c>
      <c r="AG589" s="6">
        <f>$O$589*$AA$589</f>
        <v>-297.24258602385163</v>
      </c>
    </row>
    <row r="590" spans="1:33" ht="11.25" customHeight="1" x14ac:dyDescent="0.25">
      <c r="A590" s="4" t="s">
        <v>28</v>
      </c>
      <c r="B590" s="4" t="s">
        <v>40</v>
      </c>
      <c r="C590" s="4" t="s">
        <v>23</v>
      </c>
      <c r="D590" s="4" t="s">
        <v>41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44531</v>
      </c>
      <c r="J590" s="6">
        <v>0</v>
      </c>
      <c r="K590" s="6">
        <v>0</v>
      </c>
      <c r="L590" s="6">
        <v>76.545000000000002</v>
      </c>
      <c r="M590" s="6">
        <v>76.545000000000002</v>
      </c>
      <c r="N590" s="6">
        <v>76.545000000000002</v>
      </c>
      <c r="O590" s="6">
        <v>76.545000000000002</v>
      </c>
      <c r="P590" s="6">
        <v>24</v>
      </c>
      <c r="Q590" s="4" t="s">
        <v>26</v>
      </c>
      <c r="R590" s="4">
        <v>0</v>
      </c>
      <c r="S590" s="6">
        <v>0</v>
      </c>
      <c r="T590" s="6">
        <v>60</v>
      </c>
      <c r="U590" s="6">
        <v>16</v>
      </c>
      <c r="V590" s="6">
        <f>IF(ISERROR(VLOOKUP($S$590,'TAR FIN'!$A$1:$O$85,15,0)),0,VLOOKUP($S$590,'TAR FIN'!$A$1:$O$85,15,0))</f>
        <v>0</v>
      </c>
      <c r="W590" s="6">
        <f>IF(ISERROR(VLOOKUP($T$590,'TAR FIN'!$A$1:$O$85,15,0)),0,VLOOKUP($T$590,'TAR FIN'!$A$1:$O$85,15,0))</f>
        <v>387.29</v>
      </c>
      <c r="X590" s="6">
        <f>IF(ISERROR(VLOOKUP($U$590,'TAR FIN'!$A$1:$O$85,15,0)),0,VLOOKUP($U$590,'TAR FIN'!$A$1:$O$85,15,0))</f>
        <v>196.87</v>
      </c>
      <c r="Y590" s="6"/>
      <c r="Z590" s="6">
        <f ca="1">('TUSD BE'!$AM$33+'TUSD BF'!$AM$33+'TUSD CVA'!$AM$33)*(1-CUSTOS!$M$38)</f>
        <v>464.7286080745173</v>
      </c>
      <c r="AA590" s="6">
        <f>('TE BE'!$AA$23+'TE BF'!$AA$23+'TE CVA'!$AA$23)*(1-CUSTOS!$M$38)</f>
        <v>204.57163525385519</v>
      </c>
      <c r="AB590" s="6">
        <f>$K$590*$V$590</f>
        <v>0</v>
      </c>
      <c r="AC590" s="6">
        <f>$M$590*$W$590</f>
        <v>29645.113050000004</v>
      </c>
      <c r="AD590" s="6">
        <f>$O$590*$X$590</f>
        <v>15069.414150000001</v>
      </c>
      <c r="AE590" s="6">
        <f>$K$590*$Y$590</f>
        <v>0</v>
      </c>
      <c r="AF590" s="6">
        <f ca="1">$M$590*$Z$590</f>
        <v>35572.651305063926</v>
      </c>
      <c r="AG590" s="6">
        <f>$O$590*$AA$590</f>
        <v>15658.935820506345</v>
      </c>
    </row>
    <row r="591" spans="1:33" ht="11.25" customHeight="1" x14ac:dyDescent="0.25">
      <c r="A591" s="4" t="s">
        <v>21</v>
      </c>
      <c r="B591" s="4" t="s">
        <v>40</v>
      </c>
      <c r="C591" s="4" t="s">
        <v>23</v>
      </c>
      <c r="D591" s="4" t="s">
        <v>41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44562</v>
      </c>
      <c r="J591" s="6">
        <v>0</v>
      </c>
      <c r="K591" s="6">
        <v>0</v>
      </c>
      <c r="L591" s="6">
        <v>2174.2919999999999</v>
      </c>
      <c r="M591" s="6">
        <v>2174.2919999999999</v>
      </c>
      <c r="N591" s="6">
        <v>2174.2919999999999</v>
      </c>
      <c r="O591" s="6">
        <v>2174.2919999999999</v>
      </c>
      <c r="P591" s="6">
        <v>2096</v>
      </c>
      <c r="Q591" s="4" t="s">
        <v>26</v>
      </c>
      <c r="R591" s="4">
        <v>0</v>
      </c>
      <c r="S591" s="6">
        <v>0</v>
      </c>
      <c r="T591" s="6">
        <v>60</v>
      </c>
      <c r="U591" s="6">
        <v>16</v>
      </c>
      <c r="V591" s="6">
        <f>IF(ISERROR(VLOOKUP($S$591,'TAR FIN'!$A$1:$O$85,15,0)),0,VLOOKUP($S$591,'TAR FIN'!$A$1:$O$85,15,0))</f>
        <v>0</v>
      </c>
      <c r="W591" s="6">
        <f>IF(ISERROR(VLOOKUP($T$591,'TAR FIN'!$A$1:$O$85,15,0)),0,VLOOKUP($T$591,'TAR FIN'!$A$1:$O$85,15,0))</f>
        <v>387.29</v>
      </c>
      <c r="X591" s="6">
        <f>IF(ISERROR(VLOOKUP($U$591,'TAR FIN'!$A$1:$O$85,15,0)),0,VLOOKUP($U$591,'TAR FIN'!$A$1:$O$85,15,0))</f>
        <v>196.87</v>
      </c>
      <c r="Y591" s="6"/>
      <c r="Z591" s="6">
        <f ca="1">('TUSD BE'!$AM$33+'TUSD BF'!$AM$33+'TUSD CVA'!$AM$33)*(1-CUSTOS!$M$38)</f>
        <v>464.7286080745173</v>
      </c>
      <c r="AA591" s="6">
        <f>('TE BE'!$AA$23+'TE BF'!$AA$23+'TE CVA'!$AA$23)*(1-CUSTOS!$M$38)</f>
        <v>204.57163525385519</v>
      </c>
      <c r="AB591" s="6">
        <f>$K$591*$V$591</f>
        <v>0</v>
      </c>
      <c r="AC591" s="6">
        <f>$M$591*$W$591</f>
        <v>842081.54868000001</v>
      </c>
      <c r="AD591" s="6">
        <f>$O$591*$X$591</f>
        <v>428052.86603999999</v>
      </c>
      <c r="AE591" s="6">
        <f>$K$591*$Y$591</f>
        <v>0</v>
      </c>
      <c r="AF591" s="6">
        <f ca="1">$M$591*$Z$591</f>
        <v>1010455.6947075584</v>
      </c>
      <c r="AG591" s="6">
        <f>$O$591*$AA$591</f>
        <v>444798.46995937527</v>
      </c>
    </row>
    <row r="592" spans="1:33" ht="11.25" customHeight="1" x14ac:dyDescent="0.25">
      <c r="A592" s="4" t="s">
        <v>27</v>
      </c>
      <c r="B592" s="4" t="s">
        <v>40</v>
      </c>
      <c r="C592" s="4" t="s">
        <v>23</v>
      </c>
      <c r="D592" s="4" t="s">
        <v>41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44562</v>
      </c>
      <c r="J592" s="6">
        <v>0</v>
      </c>
      <c r="K592" s="6">
        <v>0</v>
      </c>
      <c r="L592" s="6">
        <v>-4.2690000000000001</v>
      </c>
      <c r="M592" s="6">
        <v>-4.2690000000000001</v>
      </c>
      <c r="N592" s="6">
        <v>-4.2690000000000001</v>
      </c>
      <c r="O592" s="6">
        <v>-4.2690000000000001</v>
      </c>
      <c r="P592" s="6">
        <v>0</v>
      </c>
      <c r="Q592" s="4" t="s">
        <v>26</v>
      </c>
      <c r="R592" s="4">
        <v>0</v>
      </c>
      <c r="S592" s="6">
        <v>0</v>
      </c>
      <c r="T592" s="6">
        <v>60</v>
      </c>
      <c r="U592" s="6">
        <v>16</v>
      </c>
      <c r="V592" s="6">
        <f>IF(ISERROR(VLOOKUP($S$592,'TAR FIN'!$A$1:$O$85,15,0)),0,VLOOKUP($S$592,'TAR FIN'!$A$1:$O$85,15,0))</f>
        <v>0</v>
      </c>
      <c r="W592" s="6">
        <f>IF(ISERROR(VLOOKUP($T$592,'TAR FIN'!$A$1:$O$85,15,0)),0,VLOOKUP($T$592,'TAR FIN'!$A$1:$O$85,15,0))</f>
        <v>387.29</v>
      </c>
      <c r="X592" s="6">
        <f>IF(ISERROR(VLOOKUP($U$592,'TAR FIN'!$A$1:$O$85,15,0)),0,VLOOKUP($U$592,'TAR FIN'!$A$1:$O$85,15,0))</f>
        <v>196.87</v>
      </c>
      <c r="Y592" s="6"/>
      <c r="Z592" s="6">
        <f ca="1">('TUSD BE'!$AM$33+'TUSD BF'!$AM$33+'TUSD CVA'!$AM$33)*(1-CUSTOS!$M$38)</f>
        <v>464.7286080745173</v>
      </c>
      <c r="AA592" s="6">
        <f>('TE BE'!$AA$23+'TE BF'!$AA$23+'TE CVA'!$AA$23)*(1-CUSTOS!$M$38)</f>
        <v>204.57163525385519</v>
      </c>
      <c r="AB592" s="6">
        <f>$K$592*$V$592</f>
        <v>0</v>
      </c>
      <c r="AC592" s="6">
        <f>$M$592*$W$592</f>
        <v>-1653.3410100000001</v>
      </c>
      <c r="AD592" s="6">
        <f>$O$592*$X$592</f>
        <v>-840.43803000000003</v>
      </c>
      <c r="AE592" s="6">
        <f>$K$592*$Y$592</f>
        <v>0</v>
      </c>
      <c r="AF592" s="6">
        <f ca="1">$M$592*$Z$592</f>
        <v>-1983.9264278701144</v>
      </c>
      <c r="AG592" s="6">
        <f>$O$592*$AA$592</f>
        <v>-873.3163108987078</v>
      </c>
    </row>
    <row r="593" spans="1:33" ht="11.25" customHeight="1" x14ac:dyDescent="0.25">
      <c r="A593" s="4" t="s">
        <v>28</v>
      </c>
      <c r="B593" s="4" t="s">
        <v>40</v>
      </c>
      <c r="C593" s="4" t="s">
        <v>23</v>
      </c>
      <c r="D593" s="4" t="s">
        <v>41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44562</v>
      </c>
      <c r="J593" s="6">
        <v>0</v>
      </c>
      <c r="K593" s="6">
        <v>0</v>
      </c>
      <c r="L593" s="6">
        <v>78.852000000000004</v>
      </c>
      <c r="M593" s="6">
        <v>78.852000000000004</v>
      </c>
      <c r="N593" s="6">
        <v>78.852000000000004</v>
      </c>
      <c r="O593" s="6">
        <v>78.852000000000004</v>
      </c>
      <c r="P593" s="6">
        <v>24</v>
      </c>
      <c r="Q593" s="4" t="s">
        <v>26</v>
      </c>
      <c r="R593" s="4">
        <v>0</v>
      </c>
      <c r="S593" s="6">
        <v>0</v>
      </c>
      <c r="T593" s="6">
        <v>60</v>
      </c>
      <c r="U593" s="6">
        <v>16</v>
      </c>
      <c r="V593" s="6">
        <f>IF(ISERROR(VLOOKUP($S$593,'TAR FIN'!$A$1:$O$85,15,0)),0,VLOOKUP($S$593,'TAR FIN'!$A$1:$O$85,15,0))</f>
        <v>0</v>
      </c>
      <c r="W593" s="6">
        <f>IF(ISERROR(VLOOKUP($T$593,'TAR FIN'!$A$1:$O$85,15,0)),0,VLOOKUP($T$593,'TAR FIN'!$A$1:$O$85,15,0))</f>
        <v>387.29</v>
      </c>
      <c r="X593" s="6">
        <f>IF(ISERROR(VLOOKUP($U$593,'TAR FIN'!$A$1:$O$85,15,0)),0,VLOOKUP($U$593,'TAR FIN'!$A$1:$O$85,15,0))</f>
        <v>196.87</v>
      </c>
      <c r="Y593" s="6"/>
      <c r="Z593" s="6">
        <f ca="1">('TUSD BE'!$AM$33+'TUSD BF'!$AM$33+'TUSD CVA'!$AM$33)*(1-CUSTOS!$M$38)</f>
        <v>464.7286080745173</v>
      </c>
      <c r="AA593" s="6">
        <f>('TE BE'!$AA$23+'TE BF'!$AA$23+'TE CVA'!$AA$23)*(1-CUSTOS!$M$38)</f>
        <v>204.57163525385519</v>
      </c>
      <c r="AB593" s="6">
        <f>$K$593*$V$593</f>
        <v>0</v>
      </c>
      <c r="AC593" s="6">
        <f>$M$593*$W$593</f>
        <v>30538.591080000002</v>
      </c>
      <c r="AD593" s="6">
        <f>$O$593*$X$593</f>
        <v>15523.593240000002</v>
      </c>
      <c r="AE593" s="6">
        <f>$K$593*$Y$593</f>
        <v>0</v>
      </c>
      <c r="AF593" s="6">
        <f ca="1">$M$593*$Z$593</f>
        <v>36644.780203891838</v>
      </c>
      <c r="AG593" s="6">
        <f>$O$593*$AA$593</f>
        <v>16130.88258303699</v>
      </c>
    </row>
    <row r="594" spans="1:33" ht="11.25" customHeight="1" x14ac:dyDescent="0.25">
      <c r="A594" s="4" t="s">
        <v>21</v>
      </c>
      <c r="B594" s="4" t="s">
        <v>40</v>
      </c>
      <c r="C594" s="4" t="s">
        <v>23</v>
      </c>
      <c r="D594" s="4" t="s">
        <v>41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44593</v>
      </c>
      <c r="J594" s="6">
        <v>0</v>
      </c>
      <c r="K594" s="6">
        <v>0</v>
      </c>
      <c r="L594" s="6">
        <v>2301.3029999999999</v>
      </c>
      <c r="M594" s="6">
        <v>2301.3029999999999</v>
      </c>
      <c r="N594" s="6">
        <v>2301.3029999999999</v>
      </c>
      <c r="O594" s="6">
        <v>2301.3029999999999</v>
      </c>
      <c r="P594" s="6">
        <v>2085</v>
      </c>
      <c r="Q594" s="4" t="s">
        <v>26</v>
      </c>
      <c r="R594" s="4">
        <v>0</v>
      </c>
      <c r="S594" s="6">
        <v>0</v>
      </c>
      <c r="T594" s="6">
        <v>60</v>
      </c>
      <c r="U594" s="6">
        <v>16</v>
      </c>
      <c r="V594" s="6">
        <f>IF(ISERROR(VLOOKUP($S$594,'TAR FIN'!$A$1:$O$85,15,0)),0,VLOOKUP($S$594,'TAR FIN'!$A$1:$O$85,15,0))</f>
        <v>0</v>
      </c>
      <c r="W594" s="6">
        <f>IF(ISERROR(VLOOKUP($T$594,'TAR FIN'!$A$1:$O$85,15,0)),0,VLOOKUP($T$594,'TAR FIN'!$A$1:$O$85,15,0))</f>
        <v>387.29</v>
      </c>
      <c r="X594" s="6">
        <f>IF(ISERROR(VLOOKUP($U$594,'TAR FIN'!$A$1:$O$85,15,0)),0,VLOOKUP($U$594,'TAR FIN'!$A$1:$O$85,15,0))</f>
        <v>196.87</v>
      </c>
      <c r="Y594" s="6"/>
      <c r="Z594" s="6">
        <f ca="1">('TUSD BE'!$AM$33+'TUSD BF'!$AM$33+'TUSD CVA'!$AM$33)*(1-CUSTOS!$M$38)</f>
        <v>464.7286080745173</v>
      </c>
      <c r="AA594" s="6">
        <f>('TE BE'!$AA$23+'TE BF'!$AA$23+'TE CVA'!$AA$23)*(1-CUSTOS!$M$38)</f>
        <v>204.57163525385519</v>
      </c>
      <c r="AB594" s="6">
        <f>$K$594*$V$594</f>
        <v>0</v>
      </c>
      <c r="AC594" s="6">
        <f>$M$594*$W$594</f>
        <v>891271.63887000002</v>
      </c>
      <c r="AD594" s="6">
        <f>$O$594*$X$594</f>
        <v>453057.52161</v>
      </c>
      <c r="AE594" s="6">
        <f>$K$594*$Y$594</f>
        <v>0</v>
      </c>
      <c r="AF594" s="6">
        <f ca="1">$M$594*$Z$594</f>
        <v>1069481.3399477107</v>
      </c>
      <c r="AG594" s="6">
        <f>$O$594*$AA$594</f>
        <v>470781.31792460271</v>
      </c>
    </row>
    <row r="595" spans="1:33" ht="11.25" customHeight="1" x14ac:dyDescent="0.25">
      <c r="A595" s="4" t="s">
        <v>27</v>
      </c>
      <c r="B595" s="4" t="s">
        <v>40</v>
      </c>
      <c r="C595" s="4" t="s">
        <v>23</v>
      </c>
      <c r="D595" s="4" t="s">
        <v>41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44593</v>
      </c>
      <c r="J595" s="6">
        <v>0</v>
      </c>
      <c r="K595" s="6">
        <v>0</v>
      </c>
      <c r="L595" s="6">
        <v>-0.88700000000000001</v>
      </c>
      <c r="M595" s="6">
        <v>-0.88700000000000001</v>
      </c>
      <c r="N595" s="6">
        <v>-0.88700000000000001</v>
      </c>
      <c r="O595" s="6">
        <v>-0.88700000000000001</v>
      </c>
      <c r="P595" s="6">
        <v>0</v>
      </c>
      <c r="Q595" s="4" t="s">
        <v>26</v>
      </c>
      <c r="R595" s="4">
        <v>0</v>
      </c>
      <c r="S595" s="6">
        <v>0</v>
      </c>
      <c r="T595" s="6">
        <v>60</v>
      </c>
      <c r="U595" s="6">
        <v>16</v>
      </c>
      <c r="V595" s="6">
        <f>IF(ISERROR(VLOOKUP($S$595,'TAR FIN'!$A$1:$O$85,15,0)),0,VLOOKUP($S$595,'TAR FIN'!$A$1:$O$85,15,0))</f>
        <v>0</v>
      </c>
      <c r="W595" s="6">
        <f>IF(ISERROR(VLOOKUP($T$595,'TAR FIN'!$A$1:$O$85,15,0)),0,VLOOKUP($T$595,'TAR FIN'!$A$1:$O$85,15,0))</f>
        <v>387.29</v>
      </c>
      <c r="X595" s="6">
        <f>IF(ISERROR(VLOOKUP($U$595,'TAR FIN'!$A$1:$O$85,15,0)),0,VLOOKUP($U$595,'TAR FIN'!$A$1:$O$85,15,0))</f>
        <v>196.87</v>
      </c>
      <c r="Y595" s="6"/>
      <c r="Z595" s="6">
        <f ca="1">('TUSD BE'!$AM$33+'TUSD BF'!$AM$33+'TUSD CVA'!$AM$33)*(1-CUSTOS!$M$38)</f>
        <v>464.7286080745173</v>
      </c>
      <c r="AA595" s="6">
        <f>('TE BE'!$AA$23+'TE BF'!$AA$23+'TE CVA'!$AA$23)*(1-CUSTOS!$M$38)</f>
        <v>204.57163525385519</v>
      </c>
      <c r="AB595" s="6">
        <f>$K$595*$V$595</f>
        <v>0</v>
      </c>
      <c r="AC595" s="6">
        <f>$M$595*$W$595</f>
        <v>-343.52623</v>
      </c>
      <c r="AD595" s="6">
        <f>$O$595*$X$595</f>
        <v>-174.62369000000001</v>
      </c>
      <c r="AE595" s="6">
        <f>$K$595*$Y$595</f>
        <v>0</v>
      </c>
      <c r="AF595" s="6">
        <f ca="1">$M$595*$Z$595</f>
        <v>-412.21427536209683</v>
      </c>
      <c r="AG595" s="6">
        <f>$O$595*$AA$595</f>
        <v>-181.45504047016956</v>
      </c>
    </row>
    <row r="596" spans="1:33" ht="11.25" customHeight="1" x14ac:dyDescent="0.25">
      <c r="A596" s="4" t="s">
        <v>28</v>
      </c>
      <c r="B596" s="4" t="s">
        <v>40</v>
      </c>
      <c r="C596" s="4" t="s">
        <v>23</v>
      </c>
      <c r="D596" s="4" t="s">
        <v>41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44593</v>
      </c>
      <c r="J596" s="6">
        <v>0</v>
      </c>
      <c r="K596" s="6">
        <v>0</v>
      </c>
      <c r="L596" s="6">
        <v>86.263999999999996</v>
      </c>
      <c r="M596" s="6">
        <v>86.263999999999996</v>
      </c>
      <c r="N596" s="6">
        <v>86.263999999999996</v>
      </c>
      <c r="O596" s="6">
        <v>86.263999999999996</v>
      </c>
      <c r="P596" s="6">
        <v>29</v>
      </c>
      <c r="Q596" s="4" t="s">
        <v>26</v>
      </c>
      <c r="R596" s="4">
        <v>0</v>
      </c>
      <c r="S596" s="6">
        <v>0</v>
      </c>
      <c r="T596" s="6">
        <v>60</v>
      </c>
      <c r="U596" s="6">
        <v>16</v>
      </c>
      <c r="V596" s="6">
        <f>IF(ISERROR(VLOOKUP($S$596,'TAR FIN'!$A$1:$O$85,15,0)),0,VLOOKUP($S$596,'TAR FIN'!$A$1:$O$85,15,0))</f>
        <v>0</v>
      </c>
      <c r="W596" s="6">
        <f>IF(ISERROR(VLOOKUP($T$596,'TAR FIN'!$A$1:$O$85,15,0)),0,VLOOKUP($T$596,'TAR FIN'!$A$1:$O$85,15,0))</f>
        <v>387.29</v>
      </c>
      <c r="X596" s="6">
        <f>IF(ISERROR(VLOOKUP($U$596,'TAR FIN'!$A$1:$O$85,15,0)),0,VLOOKUP($U$596,'TAR FIN'!$A$1:$O$85,15,0))</f>
        <v>196.87</v>
      </c>
      <c r="Y596" s="6"/>
      <c r="Z596" s="6">
        <f ca="1">('TUSD BE'!$AM$33+'TUSD BF'!$AM$33+'TUSD CVA'!$AM$33)*(1-CUSTOS!$M$38)</f>
        <v>464.7286080745173</v>
      </c>
      <c r="AA596" s="6">
        <f>('TE BE'!$AA$23+'TE BF'!$AA$23+'TE CVA'!$AA$23)*(1-CUSTOS!$M$38)</f>
        <v>204.57163525385519</v>
      </c>
      <c r="AB596" s="6">
        <f>$K$596*$V$596</f>
        <v>0</v>
      </c>
      <c r="AC596" s="6">
        <f>$M$596*$W$596</f>
        <v>33409.184560000002</v>
      </c>
      <c r="AD596" s="6">
        <f>$O$596*$X$596</f>
        <v>16982.793679999999</v>
      </c>
      <c r="AE596" s="6">
        <f>$K$596*$Y$596</f>
        <v>0</v>
      </c>
      <c r="AF596" s="6">
        <f ca="1">$M$596*$Z$596</f>
        <v>40089.348646940161</v>
      </c>
      <c r="AG596" s="6">
        <f>$O$596*$AA$596</f>
        <v>17647.167543538562</v>
      </c>
    </row>
    <row r="597" spans="1:33" ht="11.25" customHeight="1" x14ac:dyDescent="0.25">
      <c r="A597" s="4" t="s">
        <v>54</v>
      </c>
      <c r="B597" s="4" t="s">
        <v>40</v>
      </c>
      <c r="C597" s="4" t="s">
        <v>23</v>
      </c>
      <c r="D597" s="4" t="s">
        <v>41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44621</v>
      </c>
      <c r="J597" s="6">
        <v>0</v>
      </c>
      <c r="K597" s="6">
        <v>0</v>
      </c>
      <c r="L597" s="6">
        <v>2301.3029999999999</v>
      </c>
      <c r="M597" s="6">
        <v>2301.3029999999999</v>
      </c>
      <c r="N597" s="6">
        <v>2301.3029999999999</v>
      </c>
      <c r="O597" s="6">
        <v>2301.3029999999999</v>
      </c>
      <c r="P597" s="6">
        <v>2085</v>
      </c>
      <c r="Q597" s="4" t="s">
        <v>26</v>
      </c>
      <c r="R597" s="4">
        <v>0</v>
      </c>
      <c r="S597" s="6">
        <v>0</v>
      </c>
      <c r="T597" s="6">
        <v>60</v>
      </c>
      <c r="U597" s="6">
        <v>16</v>
      </c>
      <c r="V597" s="6">
        <f>IF(ISERROR(VLOOKUP($S$597,'TAR FIN'!$A$1:$O$85,15,0)),0,VLOOKUP($S$597,'TAR FIN'!$A$1:$O$85,15,0))</f>
        <v>0</v>
      </c>
      <c r="W597" s="6">
        <f>IF(ISERROR(VLOOKUP($T$597,'TAR FIN'!$A$1:$O$85,15,0)),0,VLOOKUP($T$597,'TAR FIN'!$A$1:$O$85,15,0))</f>
        <v>387.29</v>
      </c>
      <c r="X597" s="6">
        <f>IF(ISERROR(VLOOKUP($U$597,'TAR FIN'!$A$1:$O$85,15,0)),0,VLOOKUP($U$597,'TAR FIN'!$A$1:$O$85,15,0))</f>
        <v>196.87</v>
      </c>
      <c r="Y597" s="6"/>
      <c r="Z597" s="6">
        <f ca="1">('TUSD BE'!$AM$33+'TUSD BF'!$AM$33+'TUSD CVA'!$AM$33)*(1-CUSTOS!$M$38)</f>
        <v>464.7286080745173</v>
      </c>
      <c r="AA597" s="6">
        <f>('TE BE'!$AA$23+'TE BF'!$AA$23+'TE CVA'!$AA$23)*(1-CUSTOS!$M$38)</f>
        <v>204.57163525385519</v>
      </c>
      <c r="AB597" s="6">
        <f>$K$597*$V$597</f>
        <v>0</v>
      </c>
      <c r="AC597" s="6">
        <f>$M$597*$W$597</f>
        <v>891271.63887000002</v>
      </c>
      <c r="AD597" s="6">
        <f>$O$597*$X$597</f>
        <v>453057.52161</v>
      </c>
      <c r="AE597" s="6">
        <f>$K$597*$Y$597</f>
        <v>0</v>
      </c>
      <c r="AF597" s="6">
        <f ca="1">$M$597*$Z$597</f>
        <v>1069481.3399477107</v>
      </c>
      <c r="AG597" s="6">
        <f>$O$597*$AA$597</f>
        <v>470781.31792460271</v>
      </c>
    </row>
    <row r="598" spans="1:33" ht="11.25" customHeight="1" x14ac:dyDescent="0.25">
      <c r="A598" s="4" t="s">
        <v>54</v>
      </c>
      <c r="B598" s="4" t="s">
        <v>40</v>
      </c>
      <c r="C598" s="4" t="s">
        <v>23</v>
      </c>
      <c r="D598" s="4" t="s">
        <v>41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44621</v>
      </c>
      <c r="J598" s="6">
        <v>0</v>
      </c>
      <c r="K598" s="6">
        <v>0</v>
      </c>
      <c r="L598" s="6">
        <v>-0.88700000000000001</v>
      </c>
      <c r="M598" s="6">
        <v>-0.88700000000000001</v>
      </c>
      <c r="N598" s="6">
        <v>-0.88700000000000001</v>
      </c>
      <c r="O598" s="6">
        <v>-0.88700000000000001</v>
      </c>
      <c r="P598" s="6">
        <v>0</v>
      </c>
      <c r="Q598" s="4" t="s">
        <v>26</v>
      </c>
      <c r="R598" s="4">
        <v>0</v>
      </c>
      <c r="S598" s="6">
        <v>0</v>
      </c>
      <c r="T598" s="6">
        <v>60</v>
      </c>
      <c r="U598" s="6">
        <v>16</v>
      </c>
      <c r="V598" s="6">
        <f>IF(ISERROR(VLOOKUP($S$598,'TAR FIN'!$A$1:$O$85,15,0)),0,VLOOKUP($S$598,'TAR FIN'!$A$1:$O$85,15,0))</f>
        <v>0</v>
      </c>
      <c r="W598" s="6">
        <f>IF(ISERROR(VLOOKUP($T$598,'TAR FIN'!$A$1:$O$85,15,0)),0,VLOOKUP($T$598,'TAR FIN'!$A$1:$O$85,15,0))</f>
        <v>387.29</v>
      </c>
      <c r="X598" s="6">
        <f>IF(ISERROR(VLOOKUP($U$598,'TAR FIN'!$A$1:$O$85,15,0)),0,VLOOKUP($U$598,'TAR FIN'!$A$1:$O$85,15,0))</f>
        <v>196.87</v>
      </c>
      <c r="Y598" s="6"/>
      <c r="Z598" s="6">
        <f ca="1">('TUSD BE'!$AM$33+'TUSD BF'!$AM$33+'TUSD CVA'!$AM$33)*(1-CUSTOS!$M$38)</f>
        <v>464.7286080745173</v>
      </c>
      <c r="AA598" s="6">
        <f>('TE BE'!$AA$23+'TE BF'!$AA$23+'TE CVA'!$AA$23)*(1-CUSTOS!$M$38)</f>
        <v>204.57163525385519</v>
      </c>
      <c r="AB598" s="6">
        <f>$K$598*$V$598</f>
        <v>0</v>
      </c>
      <c r="AC598" s="6">
        <f>$M$598*$W$598</f>
        <v>-343.52623</v>
      </c>
      <c r="AD598" s="6">
        <f>$O$598*$X$598</f>
        <v>-174.62369000000001</v>
      </c>
      <c r="AE598" s="6">
        <f>$K$598*$Y$598</f>
        <v>0</v>
      </c>
      <c r="AF598" s="6">
        <f ca="1">$M$598*$Z$598</f>
        <v>-412.21427536209683</v>
      </c>
      <c r="AG598" s="6">
        <f>$O$598*$AA$598</f>
        <v>-181.45504047016956</v>
      </c>
    </row>
    <row r="599" spans="1:33" ht="11.25" customHeight="1" x14ac:dyDescent="0.25">
      <c r="A599" s="4" t="s">
        <v>54</v>
      </c>
      <c r="B599" s="4" t="s">
        <v>40</v>
      </c>
      <c r="C599" s="4" t="s">
        <v>23</v>
      </c>
      <c r="D599" s="4" t="s">
        <v>41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44621</v>
      </c>
      <c r="J599" s="6">
        <v>0</v>
      </c>
      <c r="K599" s="6">
        <v>0</v>
      </c>
      <c r="L599" s="6">
        <v>86.263999999999996</v>
      </c>
      <c r="M599" s="6">
        <v>86.263999999999996</v>
      </c>
      <c r="N599" s="6">
        <v>86.263999999999996</v>
      </c>
      <c r="O599" s="6">
        <v>86.263999999999996</v>
      </c>
      <c r="P599" s="6">
        <v>29</v>
      </c>
      <c r="Q599" s="4" t="s">
        <v>26</v>
      </c>
      <c r="R599" s="4">
        <v>0</v>
      </c>
      <c r="S599" s="6">
        <v>0</v>
      </c>
      <c r="T599" s="6">
        <v>60</v>
      </c>
      <c r="U599" s="6">
        <v>16</v>
      </c>
      <c r="V599" s="6">
        <f>IF(ISERROR(VLOOKUP($S$599,'TAR FIN'!$A$1:$O$85,15,0)),0,VLOOKUP($S$599,'TAR FIN'!$A$1:$O$85,15,0))</f>
        <v>0</v>
      </c>
      <c r="W599" s="6">
        <f>IF(ISERROR(VLOOKUP($T$599,'TAR FIN'!$A$1:$O$85,15,0)),0,VLOOKUP($T$599,'TAR FIN'!$A$1:$O$85,15,0))</f>
        <v>387.29</v>
      </c>
      <c r="X599" s="6">
        <f>IF(ISERROR(VLOOKUP($U$599,'TAR FIN'!$A$1:$O$85,15,0)),0,VLOOKUP($U$599,'TAR FIN'!$A$1:$O$85,15,0))</f>
        <v>196.87</v>
      </c>
      <c r="Y599" s="6"/>
      <c r="Z599" s="6">
        <f ca="1">('TUSD BE'!$AM$33+'TUSD BF'!$AM$33+'TUSD CVA'!$AM$33)*(1-CUSTOS!$M$38)</f>
        <v>464.7286080745173</v>
      </c>
      <c r="AA599" s="6">
        <f>('TE BE'!$AA$23+'TE BF'!$AA$23+'TE CVA'!$AA$23)*(1-CUSTOS!$M$38)</f>
        <v>204.57163525385519</v>
      </c>
      <c r="AB599" s="6">
        <f>$K$599*$V$599</f>
        <v>0</v>
      </c>
      <c r="AC599" s="6">
        <f>$M$599*$W$599</f>
        <v>33409.184560000002</v>
      </c>
      <c r="AD599" s="6">
        <f>$O$599*$X$599</f>
        <v>16982.793679999999</v>
      </c>
      <c r="AE599" s="6">
        <f>$K$599*$Y$599</f>
        <v>0</v>
      </c>
      <c r="AF599" s="6">
        <f ca="1">$M$599*$Z$599</f>
        <v>40089.348646940161</v>
      </c>
      <c r="AG599" s="6">
        <f>$O$599*$AA$599</f>
        <v>17647.167543538562</v>
      </c>
    </row>
    <row r="600" spans="1:33" ht="11.25" customHeight="1" x14ac:dyDescent="0.25">
      <c r="A600" s="4" t="s">
        <v>21</v>
      </c>
      <c r="B600" s="4" t="s">
        <v>37</v>
      </c>
      <c r="C600" s="4" t="s">
        <v>23</v>
      </c>
      <c r="D600" s="4" t="s">
        <v>39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44287</v>
      </c>
      <c r="J600" s="6">
        <v>0</v>
      </c>
      <c r="K600" s="6">
        <v>0</v>
      </c>
      <c r="L600" s="6">
        <v>625.47299999999996</v>
      </c>
      <c r="M600" s="6">
        <v>625.47299999999996</v>
      </c>
      <c r="N600" s="6">
        <v>625.47299999999996</v>
      </c>
      <c r="O600" s="6">
        <v>625.47299999999996</v>
      </c>
      <c r="P600" s="6">
        <v>537</v>
      </c>
      <c r="Q600" s="4" t="s">
        <v>26</v>
      </c>
      <c r="R600" s="4">
        <v>0</v>
      </c>
      <c r="S600" s="6">
        <v>0</v>
      </c>
      <c r="T600" s="6">
        <v>2</v>
      </c>
      <c r="U600" s="6">
        <v>26</v>
      </c>
      <c r="V600" s="6">
        <f>IF(ISERROR(VLOOKUP($S$600,'TAR FIN'!$A$1:$O$85,15,0)),0,VLOOKUP($S$600,'TAR FIN'!$A$1:$O$85,15,0))</f>
        <v>0</v>
      </c>
      <c r="W600" s="6">
        <f>IF(ISERROR(VLOOKUP($T$600,'TAR FIN'!$A$1:$O$85,15,0)),0,VLOOKUP($T$600,'TAR FIN'!$A$1:$O$85,15,0))</f>
        <v>440.1</v>
      </c>
      <c r="X600" s="6">
        <f>IF(ISERROR(VLOOKUP($U$600,'TAR FIN'!$A$1:$O$85,15,0)),0,VLOOKUP($U$600,'TAR FIN'!$A$1:$O$85,15,0))</f>
        <v>223.72</v>
      </c>
      <c r="Y600" s="6"/>
      <c r="Z600" s="6">
        <f ca="1">('TUSD BE'!$AM$48+'TUSD BF'!$AM$48+'TUSD CVA'!$AM$48)*1</f>
        <v>494.3921362494865</v>
      </c>
      <c r="AA600" s="6">
        <f>('TE BE'!$AA$38+'TE BF'!$AA$38+'TE CVA'!$AA$38)*1</f>
        <v>217.62939920622892</v>
      </c>
      <c r="AB600" s="6">
        <f>$K$600*$V$600</f>
        <v>0</v>
      </c>
      <c r="AC600" s="6">
        <f>$M$600*$W$600</f>
        <v>275270.66729999997</v>
      </c>
      <c r="AD600" s="6">
        <f>$O$600*$X$600</f>
        <v>139930.81956</v>
      </c>
      <c r="AE600" s="6">
        <f>$K$600*$Y$600</f>
        <v>0</v>
      </c>
      <c r="AF600" s="6">
        <f ca="1">$M$600*$Z$600</f>
        <v>309228.93263637507</v>
      </c>
      <c r="AG600" s="6">
        <f>$O$600*$AA$600</f>
        <v>136121.31320971763</v>
      </c>
    </row>
    <row r="601" spans="1:33" ht="11.25" customHeight="1" x14ac:dyDescent="0.25">
      <c r="A601" s="4" t="s">
        <v>28</v>
      </c>
      <c r="B601" s="4" t="s">
        <v>37</v>
      </c>
      <c r="C601" s="4" t="s">
        <v>23</v>
      </c>
      <c r="D601" s="4" t="s">
        <v>39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44287</v>
      </c>
      <c r="J601" s="6">
        <v>0</v>
      </c>
      <c r="K601" s="6">
        <v>0</v>
      </c>
      <c r="L601" s="6">
        <v>9.5630000000000006</v>
      </c>
      <c r="M601" s="6">
        <v>9.5630000000000006</v>
      </c>
      <c r="N601" s="6">
        <v>9.5630000000000006</v>
      </c>
      <c r="O601" s="6">
        <v>9.5630000000000006</v>
      </c>
      <c r="P601" s="6">
        <v>7</v>
      </c>
      <c r="Q601" s="4" t="s">
        <v>26</v>
      </c>
      <c r="R601" s="4">
        <v>0</v>
      </c>
      <c r="S601" s="6">
        <v>0</v>
      </c>
      <c r="T601" s="6">
        <v>2</v>
      </c>
      <c r="U601" s="6">
        <v>26</v>
      </c>
      <c r="V601" s="6">
        <f>IF(ISERROR(VLOOKUP($S$601,'TAR FIN'!$A$1:$O$85,15,0)),0,VLOOKUP($S$601,'TAR FIN'!$A$1:$O$85,15,0))</f>
        <v>0</v>
      </c>
      <c r="W601" s="6">
        <f>IF(ISERROR(VLOOKUP($T$601,'TAR FIN'!$A$1:$O$85,15,0)),0,VLOOKUP($T$601,'TAR FIN'!$A$1:$O$85,15,0))</f>
        <v>440.1</v>
      </c>
      <c r="X601" s="6">
        <f>IF(ISERROR(VLOOKUP($U$601,'TAR FIN'!$A$1:$O$85,15,0)),0,VLOOKUP($U$601,'TAR FIN'!$A$1:$O$85,15,0))</f>
        <v>223.72</v>
      </c>
      <c r="Y601" s="6"/>
      <c r="Z601" s="6">
        <f ca="1">('TUSD BE'!$AM$48+'TUSD BF'!$AM$48+'TUSD CVA'!$AM$48)*1</f>
        <v>494.3921362494865</v>
      </c>
      <c r="AA601" s="6">
        <f>('TE BE'!$AA$38+'TE BF'!$AA$38+'TE CVA'!$AA$38)*1</f>
        <v>217.62939920622892</v>
      </c>
      <c r="AB601" s="6">
        <f>$K$601*$V$601</f>
        <v>0</v>
      </c>
      <c r="AC601" s="6">
        <f>$M$601*$W$601</f>
        <v>4208.6763000000001</v>
      </c>
      <c r="AD601" s="6">
        <f>$O$601*$X$601</f>
        <v>2139.4343600000002</v>
      </c>
      <c r="AE601" s="6">
        <f>$K$601*$Y$601</f>
        <v>0</v>
      </c>
      <c r="AF601" s="6">
        <f ca="1">$M$601*$Z$601</f>
        <v>4727.8719989538395</v>
      </c>
      <c r="AG601" s="6">
        <f>$O$601*$AA$601</f>
        <v>2081.1899446091675</v>
      </c>
    </row>
    <row r="602" spans="1:33" ht="11.25" customHeight="1" x14ac:dyDescent="0.25">
      <c r="A602" s="4" t="s">
        <v>21</v>
      </c>
      <c r="B602" s="4" t="s">
        <v>37</v>
      </c>
      <c r="C602" s="4" t="s">
        <v>23</v>
      </c>
      <c r="D602" s="4" t="s">
        <v>39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44317</v>
      </c>
      <c r="J602" s="6">
        <v>0</v>
      </c>
      <c r="K602" s="6">
        <v>0</v>
      </c>
      <c r="L602" s="6">
        <v>607.95399999999995</v>
      </c>
      <c r="M602" s="6">
        <v>607.95399999999995</v>
      </c>
      <c r="N602" s="6">
        <v>607.95399999999995</v>
      </c>
      <c r="O602" s="6">
        <v>607.95399999999995</v>
      </c>
      <c r="P602" s="6">
        <v>542</v>
      </c>
      <c r="Q602" s="4" t="s">
        <v>26</v>
      </c>
      <c r="R602" s="4">
        <v>0</v>
      </c>
      <c r="S602" s="6">
        <v>0</v>
      </c>
      <c r="T602" s="6">
        <v>2</v>
      </c>
      <c r="U602" s="6">
        <v>26</v>
      </c>
      <c r="V602" s="6">
        <f>IF(ISERROR(VLOOKUP($S$602,'TAR FIN'!$A$1:$O$85,15,0)),0,VLOOKUP($S$602,'TAR FIN'!$A$1:$O$85,15,0))</f>
        <v>0</v>
      </c>
      <c r="W602" s="6">
        <f>IF(ISERROR(VLOOKUP($T$602,'TAR FIN'!$A$1:$O$85,15,0)),0,VLOOKUP($T$602,'TAR FIN'!$A$1:$O$85,15,0))</f>
        <v>440.1</v>
      </c>
      <c r="X602" s="6">
        <f>IF(ISERROR(VLOOKUP($U$602,'TAR FIN'!$A$1:$O$85,15,0)),0,VLOOKUP($U$602,'TAR FIN'!$A$1:$O$85,15,0))</f>
        <v>223.72</v>
      </c>
      <c r="Y602" s="6"/>
      <c r="Z602" s="6">
        <f ca="1">('TUSD BE'!$AM$48+'TUSD BF'!$AM$48+'TUSD CVA'!$AM$48)*1</f>
        <v>494.3921362494865</v>
      </c>
      <c r="AA602" s="6">
        <f>('TE BE'!$AA$38+'TE BF'!$AA$38+'TE CVA'!$AA$38)*1</f>
        <v>217.62939920622892</v>
      </c>
      <c r="AB602" s="6">
        <f>$K$602*$V$602</f>
        <v>0</v>
      </c>
      <c r="AC602" s="6">
        <f>$M$602*$W$602</f>
        <v>267560.55540000001</v>
      </c>
      <c r="AD602" s="6">
        <f>$O$602*$X$602</f>
        <v>136011.46888</v>
      </c>
      <c r="AE602" s="6">
        <f>$K$602*$Y$602</f>
        <v>0</v>
      </c>
      <c r="AF602" s="6">
        <f ca="1">$M$602*$Z$602</f>
        <v>300567.67680142028</v>
      </c>
      <c r="AG602" s="6">
        <f>$O$602*$AA$602</f>
        <v>132308.6637650237</v>
      </c>
    </row>
    <row r="603" spans="1:33" ht="11.25" customHeight="1" x14ac:dyDescent="0.25">
      <c r="A603" s="4" t="s">
        <v>27</v>
      </c>
      <c r="B603" s="4" t="s">
        <v>37</v>
      </c>
      <c r="C603" s="4" t="s">
        <v>23</v>
      </c>
      <c r="D603" s="4" t="s">
        <v>39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44317</v>
      </c>
      <c r="J603" s="6">
        <v>0</v>
      </c>
      <c r="K603" s="6">
        <v>0</v>
      </c>
      <c r="L603" s="6">
        <v>-1.03</v>
      </c>
      <c r="M603" s="6">
        <v>-1.03</v>
      </c>
      <c r="N603" s="6">
        <v>-1.03</v>
      </c>
      <c r="O603" s="6">
        <v>-1.03</v>
      </c>
      <c r="P603" s="6">
        <v>0</v>
      </c>
      <c r="Q603" s="4" t="s">
        <v>26</v>
      </c>
      <c r="R603" s="4">
        <v>0</v>
      </c>
      <c r="S603" s="6">
        <v>0</v>
      </c>
      <c r="T603" s="6">
        <v>2</v>
      </c>
      <c r="U603" s="6">
        <v>26</v>
      </c>
      <c r="V603" s="6">
        <f>IF(ISERROR(VLOOKUP($S$603,'TAR FIN'!$A$1:$O$85,15,0)),0,VLOOKUP($S$603,'TAR FIN'!$A$1:$O$85,15,0))</f>
        <v>0</v>
      </c>
      <c r="W603" s="6">
        <f>IF(ISERROR(VLOOKUP($T$603,'TAR FIN'!$A$1:$O$85,15,0)),0,VLOOKUP($T$603,'TAR FIN'!$A$1:$O$85,15,0))</f>
        <v>440.1</v>
      </c>
      <c r="X603" s="6">
        <f>IF(ISERROR(VLOOKUP($U$603,'TAR FIN'!$A$1:$O$85,15,0)),0,VLOOKUP($U$603,'TAR FIN'!$A$1:$O$85,15,0))</f>
        <v>223.72</v>
      </c>
      <c r="Y603" s="6"/>
      <c r="Z603" s="6">
        <f ca="1">('TUSD BE'!$AM$48+'TUSD BF'!$AM$48+'TUSD CVA'!$AM$48)*1</f>
        <v>494.3921362494865</v>
      </c>
      <c r="AA603" s="6">
        <f>('TE BE'!$AA$38+'TE BF'!$AA$38+'TE CVA'!$AA$38)*1</f>
        <v>217.62939920622892</v>
      </c>
      <c r="AB603" s="6">
        <f>$K$603*$V$603</f>
        <v>0</v>
      </c>
      <c r="AC603" s="6">
        <f>$M$603*$W$603</f>
        <v>-453.30300000000005</v>
      </c>
      <c r="AD603" s="6">
        <f>$O$603*$X$603</f>
        <v>-230.4316</v>
      </c>
      <c r="AE603" s="6">
        <f>$K$603*$Y$603</f>
        <v>0</v>
      </c>
      <c r="AF603" s="6">
        <f ca="1">$M$603*$Z$603</f>
        <v>-509.2239003369711</v>
      </c>
      <c r="AG603" s="6">
        <f>$O$603*$AA$603</f>
        <v>-224.15828118241581</v>
      </c>
    </row>
    <row r="604" spans="1:33" ht="11.25" customHeight="1" x14ac:dyDescent="0.25">
      <c r="A604" s="4" t="s">
        <v>28</v>
      </c>
      <c r="B604" s="4" t="s">
        <v>37</v>
      </c>
      <c r="C604" s="4" t="s">
        <v>23</v>
      </c>
      <c r="D604" s="4" t="s">
        <v>39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44317</v>
      </c>
      <c r="J604" s="6">
        <v>0</v>
      </c>
      <c r="K604" s="6">
        <v>0</v>
      </c>
      <c r="L604" s="6">
        <v>7.0670000000000002</v>
      </c>
      <c r="M604" s="6">
        <v>7.0670000000000002</v>
      </c>
      <c r="N604" s="6">
        <v>7.0670000000000002</v>
      </c>
      <c r="O604" s="6">
        <v>7.0670000000000002</v>
      </c>
      <c r="P604" s="6">
        <v>6</v>
      </c>
      <c r="Q604" s="4" t="s">
        <v>26</v>
      </c>
      <c r="R604" s="4">
        <v>0</v>
      </c>
      <c r="S604" s="6">
        <v>0</v>
      </c>
      <c r="T604" s="6">
        <v>2</v>
      </c>
      <c r="U604" s="6">
        <v>26</v>
      </c>
      <c r="V604" s="6">
        <f>IF(ISERROR(VLOOKUP($S$604,'TAR FIN'!$A$1:$O$85,15,0)),0,VLOOKUP($S$604,'TAR FIN'!$A$1:$O$85,15,0))</f>
        <v>0</v>
      </c>
      <c r="W604" s="6">
        <f>IF(ISERROR(VLOOKUP($T$604,'TAR FIN'!$A$1:$O$85,15,0)),0,VLOOKUP($T$604,'TAR FIN'!$A$1:$O$85,15,0))</f>
        <v>440.1</v>
      </c>
      <c r="X604" s="6">
        <f>IF(ISERROR(VLOOKUP($U$604,'TAR FIN'!$A$1:$O$85,15,0)),0,VLOOKUP($U$604,'TAR FIN'!$A$1:$O$85,15,0))</f>
        <v>223.72</v>
      </c>
      <c r="Y604" s="6"/>
      <c r="Z604" s="6">
        <f ca="1">('TUSD BE'!$AM$48+'TUSD BF'!$AM$48+'TUSD CVA'!$AM$48)*1</f>
        <v>494.3921362494865</v>
      </c>
      <c r="AA604" s="6">
        <f>('TE BE'!$AA$38+'TE BF'!$AA$38+'TE CVA'!$AA$38)*1</f>
        <v>217.62939920622892</v>
      </c>
      <c r="AB604" s="6">
        <f>$K$604*$V$604</f>
        <v>0</v>
      </c>
      <c r="AC604" s="6">
        <f>$M$604*$W$604</f>
        <v>3110.1867000000002</v>
      </c>
      <c r="AD604" s="6">
        <f>$O$604*$X$604</f>
        <v>1581.0292400000001</v>
      </c>
      <c r="AE604" s="6">
        <f>$K$604*$Y$604</f>
        <v>0</v>
      </c>
      <c r="AF604" s="6">
        <f ca="1">$M$604*$Z$604</f>
        <v>3493.8692268751211</v>
      </c>
      <c r="AG604" s="6">
        <f>$O$604*$AA$604</f>
        <v>1537.9869641904199</v>
      </c>
    </row>
    <row r="605" spans="1:33" ht="11.25" customHeight="1" x14ac:dyDescent="0.25">
      <c r="A605" s="4" t="s">
        <v>21</v>
      </c>
      <c r="B605" s="4" t="s">
        <v>37</v>
      </c>
      <c r="C605" s="4" t="s">
        <v>23</v>
      </c>
      <c r="D605" s="4" t="s">
        <v>39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44348</v>
      </c>
      <c r="J605" s="6">
        <v>0</v>
      </c>
      <c r="K605" s="6">
        <v>0</v>
      </c>
      <c r="L605" s="6">
        <v>553.21100000000001</v>
      </c>
      <c r="M605" s="6">
        <v>553.21100000000001</v>
      </c>
      <c r="N605" s="6">
        <v>553.21100000000001</v>
      </c>
      <c r="O605" s="6">
        <v>553.21100000000001</v>
      </c>
      <c r="P605" s="6">
        <v>544</v>
      </c>
      <c r="Q605" s="4" t="s">
        <v>26</v>
      </c>
      <c r="R605" s="4">
        <v>0</v>
      </c>
      <c r="S605" s="6">
        <v>0</v>
      </c>
      <c r="T605" s="6">
        <v>2</v>
      </c>
      <c r="U605" s="6">
        <v>26</v>
      </c>
      <c r="V605" s="6">
        <f>IF(ISERROR(VLOOKUP($S$605,'TAR FIN'!$A$1:$O$85,15,0)),0,VLOOKUP($S$605,'TAR FIN'!$A$1:$O$85,15,0))</f>
        <v>0</v>
      </c>
      <c r="W605" s="6">
        <f>IF(ISERROR(VLOOKUP($T$605,'TAR FIN'!$A$1:$O$85,15,0)),0,VLOOKUP($T$605,'TAR FIN'!$A$1:$O$85,15,0))</f>
        <v>440.1</v>
      </c>
      <c r="X605" s="6">
        <f>IF(ISERROR(VLOOKUP($U$605,'TAR FIN'!$A$1:$O$85,15,0)),0,VLOOKUP($U$605,'TAR FIN'!$A$1:$O$85,15,0))</f>
        <v>223.72</v>
      </c>
      <c r="Y605" s="6"/>
      <c r="Z605" s="6">
        <f ca="1">('TUSD BE'!$AM$48+'TUSD BF'!$AM$48+'TUSD CVA'!$AM$48)*1</f>
        <v>494.3921362494865</v>
      </c>
      <c r="AA605" s="6">
        <f>('TE BE'!$AA$38+'TE BF'!$AA$38+'TE CVA'!$AA$38)*1</f>
        <v>217.62939920622892</v>
      </c>
      <c r="AB605" s="6">
        <f>$K$605*$V$605</f>
        <v>0</v>
      </c>
      <c r="AC605" s="6">
        <f>$M$605*$W$605</f>
        <v>243468.16110000003</v>
      </c>
      <c r="AD605" s="6">
        <f>$O$605*$X$605</f>
        <v>123764.36492000001</v>
      </c>
      <c r="AE605" s="6">
        <f>$K$605*$Y$605</f>
        <v>0</v>
      </c>
      <c r="AF605" s="6">
        <f ca="1">$M$605*$Z$605</f>
        <v>273503.16808671469</v>
      </c>
      <c r="AG605" s="6">
        <f>$O$605*$AA$605</f>
        <v>120394.97756427711</v>
      </c>
    </row>
    <row r="606" spans="1:33" ht="11.25" customHeight="1" x14ac:dyDescent="0.25">
      <c r="A606" s="4" t="s">
        <v>27</v>
      </c>
      <c r="B606" s="4" t="s">
        <v>37</v>
      </c>
      <c r="C606" s="4" t="s">
        <v>23</v>
      </c>
      <c r="D606" s="4" t="s">
        <v>39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44348</v>
      </c>
      <c r="J606" s="6">
        <v>0</v>
      </c>
      <c r="K606" s="6">
        <v>0</v>
      </c>
      <c r="L606" s="6">
        <v>-1.28</v>
      </c>
      <c r="M606" s="6">
        <v>-1.28</v>
      </c>
      <c r="N606" s="6">
        <v>-1.28</v>
      </c>
      <c r="O606" s="6">
        <v>-1.28</v>
      </c>
      <c r="P606" s="6">
        <v>0</v>
      </c>
      <c r="Q606" s="4" t="s">
        <v>26</v>
      </c>
      <c r="R606" s="4">
        <v>0</v>
      </c>
      <c r="S606" s="6">
        <v>0</v>
      </c>
      <c r="T606" s="6">
        <v>2</v>
      </c>
      <c r="U606" s="6">
        <v>26</v>
      </c>
      <c r="V606" s="6">
        <f>IF(ISERROR(VLOOKUP($S$606,'TAR FIN'!$A$1:$O$85,15,0)),0,VLOOKUP($S$606,'TAR FIN'!$A$1:$O$85,15,0))</f>
        <v>0</v>
      </c>
      <c r="W606" s="6">
        <f>IF(ISERROR(VLOOKUP($T$606,'TAR FIN'!$A$1:$O$85,15,0)),0,VLOOKUP($T$606,'TAR FIN'!$A$1:$O$85,15,0))</f>
        <v>440.1</v>
      </c>
      <c r="X606" s="6">
        <f>IF(ISERROR(VLOOKUP($U$606,'TAR FIN'!$A$1:$O$85,15,0)),0,VLOOKUP($U$606,'TAR FIN'!$A$1:$O$85,15,0))</f>
        <v>223.72</v>
      </c>
      <c r="Y606" s="6"/>
      <c r="Z606" s="6">
        <f ca="1">('TUSD BE'!$AM$48+'TUSD BF'!$AM$48+'TUSD CVA'!$AM$48)*1</f>
        <v>494.3921362494865</v>
      </c>
      <c r="AA606" s="6">
        <f>('TE BE'!$AA$38+'TE BF'!$AA$38+'TE CVA'!$AA$38)*1</f>
        <v>217.62939920622892</v>
      </c>
      <c r="AB606" s="6">
        <f>$K$606*$V$606</f>
        <v>0</v>
      </c>
      <c r="AC606" s="6">
        <f>$M$606*$W$606</f>
        <v>-563.32800000000009</v>
      </c>
      <c r="AD606" s="6">
        <f>$O$606*$X$606</f>
        <v>-286.36160000000001</v>
      </c>
      <c r="AE606" s="6">
        <f>$K$606*$Y$606</f>
        <v>0</v>
      </c>
      <c r="AF606" s="6">
        <f ca="1">$M$606*$Z$606</f>
        <v>-632.82193439934269</v>
      </c>
      <c r="AG606" s="6">
        <f>$O$606*$AA$606</f>
        <v>-278.56563098397305</v>
      </c>
    </row>
    <row r="607" spans="1:33" ht="11.25" customHeight="1" x14ac:dyDescent="0.25">
      <c r="A607" s="4" t="s">
        <v>28</v>
      </c>
      <c r="B607" s="4" t="s">
        <v>37</v>
      </c>
      <c r="C607" s="4" t="s">
        <v>23</v>
      </c>
      <c r="D607" s="4" t="s">
        <v>39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44348</v>
      </c>
      <c r="J607" s="6">
        <v>0</v>
      </c>
      <c r="K607" s="6">
        <v>0</v>
      </c>
      <c r="L607" s="6">
        <v>9.5380000000000003</v>
      </c>
      <c r="M607" s="6">
        <v>9.5380000000000003</v>
      </c>
      <c r="N607" s="6">
        <v>9.5380000000000003</v>
      </c>
      <c r="O607" s="6">
        <v>9.5380000000000003</v>
      </c>
      <c r="P607" s="6">
        <v>5</v>
      </c>
      <c r="Q607" s="4" t="s">
        <v>26</v>
      </c>
      <c r="R607" s="4">
        <v>0</v>
      </c>
      <c r="S607" s="6">
        <v>0</v>
      </c>
      <c r="T607" s="6">
        <v>2</v>
      </c>
      <c r="U607" s="6">
        <v>26</v>
      </c>
      <c r="V607" s="6">
        <f>IF(ISERROR(VLOOKUP($S$607,'TAR FIN'!$A$1:$O$85,15,0)),0,VLOOKUP($S$607,'TAR FIN'!$A$1:$O$85,15,0))</f>
        <v>0</v>
      </c>
      <c r="W607" s="6">
        <f>IF(ISERROR(VLOOKUP($T$607,'TAR FIN'!$A$1:$O$85,15,0)),0,VLOOKUP($T$607,'TAR FIN'!$A$1:$O$85,15,0))</f>
        <v>440.1</v>
      </c>
      <c r="X607" s="6">
        <f>IF(ISERROR(VLOOKUP($U$607,'TAR FIN'!$A$1:$O$85,15,0)),0,VLOOKUP($U$607,'TAR FIN'!$A$1:$O$85,15,0))</f>
        <v>223.72</v>
      </c>
      <c r="Y607" s="6"/>
      <c r="Z607" s="6">
        <f ca="1">('TUSD BE'!$AM$48+'TUSD BF'!$AM$48+'TUSD CVA'!$AM$48)*1</f>
        <v>494.3921362494865</v>
      </c>
      <c r="AA607" s="6">
        <f>('TE BE'!$AA$38+'TE BF'!$AA$38+'TE CVA'!$AA$38)*1</f>
        <v>217.62939920622892</v>
      </c>
      <c r="AB607" s="6">
        <f>$K$607*$V$607</f>
        <v>0</v>
      </c>
      <c r="AC607" s="6">
        <f>$M$607*$W$607</f>
        <v>4197.6738000000005</v>
      </c>
      <c r="AD607" s="6">
        <f>$O$607*$X$607</f>
        <v>2133.8413599999999</v>
      </c>
      <c r="AE607" s="6">
        <f>$K$607*$Y$607</f>
        <v>0</v>
      </c>
      <c r="AF607" s="6">
        <f ca="1">$M$607*$Z$607</f>
        <v>4715.5121955476025</v>
      </c>
      <c r="AG607" s="6">
        <f>$O$607*$AA$607</f>
        <v>2075.7492096290116</v>
      </c>
    </row>
    <row r="608" spans="1:33" ht="11.25" customHeight="1" x14ac:dyDescent="0.25">
      <c r="A608" s="4" t="s">
        <v>21</v>
      </c>
      <c r="B608" s="4" t="s">
        <v>37</v>
      </c>
      <c r="C608" s="4" t="s">
        <v>23</v>
      </c>
      <c r="D608" s="4" t="s">
        <v>39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44378</v>
      </c>
      <c r="J608" s="6">
        <v>0</v>
      </c>
      <c r="K608" s="6">
        <v>0</v>
      </c>
      <c r="L608" s="6">
        <v>522.37</v>
      </c>
      <c r="M608" s="6">
        <v>522.37</v>
      </c>
      <c r="N608" s="6">
        <v>522.37</v>
      </c>
      <c r="O608" s="6">
        <v>522.37</v>
      </c>
      <c r="P608" s="6">
        <v>540</v>
      </c>
      <c r="Q608" s="4" t="s">
        <v>26</v>
      </c>
      <c r="R608" s="4">
        <v>0</v>
      </c>
      <c r="S608" s="6">
        <v>0</v>
      </c>
      <c r="T608" s="6">
        <v>2</v>
      </c>
      <c r="U608" s="6">
        <v>26</v>
      </c>
      <c r="V608" s="6">
        <f>IF(ISERROR(VLOOKUP($S$608,'TAR FIN'!$A$1:$O$85,15,0)),0,VLOOKUP($S$608,'TAR FIN'!$A$1:$O$85,15,0))</f>
        <v>0</v>
      </c>
      <c r="W608" s="6">
        <f>IF(ISERROR(VLOOKUP($T$608,'TAR FIN'!$A$1:$O$85,15,0)),0,VLOOKUP($T$608,'TAR FIN'!$A$1:$O$85,15,0))</f>
        <v>440.1</v>
      </c>
      <c r="X608" s="6">
        <f>IF(ISERROR(VLOOKUP($U$608,'TAR FIN'!$A$1:$O$85,15,0)),0,VLOOKUP($U$608,'TAR FIN'!$A$1:$O$85,15,0))</f>
        <v>223.72</v>
      </c>
      <c r="Y608" s="6"/>
      <c r="Z608" s="6">
        <f ca="1">('TUSD BE'!$AM$48+'TUSD BF'!$AM$48+'TUSD CVA'!$AM$48)*1</f>
        <v>494.3921362494865</v>
      </c>
      <c r="AA608" s="6">
        <f>('TE BE'!$AA$38+'TE BF'!$AA$38+'TE CVA'!$AA$38)*1</f>
        <v>217.62939920622892</v>
      </c>
      <c r="AB608" s="6">
        <f>$K$608*$V$608</f>
        <v>0</v>
      </c>
      <c r="AC608" s="6">
        <f>$M$608*$W$608</f>
        <v>229895.03700000001</v>
      </c>
      <c r="AD608" s="6">
        <f>$O$608*$X$608</f>
        <v>116864.6164</v>
      </c>
      <c r="AE608" s="6">
        <f>$K$608*$Y$608</f>
        <v>0</v>
      </c>
      <c r="AF608" s="6">
        <f ca="1">$M$608*$Z$608</f>
        <v>258255.62021264425</v>
      </c>
      <c r="AG608" s="6">
        <f>$O$608*$AA$608</f>
        <v>113683.0692633578</v>
      </c>
    </row>
    <row r="609" spans="1:33" ht="11.25" customHeight="1" x14ac:dyDescent="0.25">
      <c r="A609" s="4" t="s">
        <v>28</v>
      </c>
      <c r="B609" s="4" t="s">
        <v>37</v>
      </c>
      <c r="C609" s="4" t="s">
        <v>23</v>
      </c>
      <c r="D609" s="4" t="s">
        <v>39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44378</v>
      </c>
      <c r="J609" s="6">
        <v>0</v>
      </c>
      <c r="K609" s="6">
        <v>0</v>
      </c>
      <c r="L609" s="6">
        <v>31.213000000000001</v>
      </c>
      <c r="M609" s="6">
        <v>31.213000000000001</v>
      </c>
      <c r="N609" s="6">
        <v>31.213000000000001</v>
      </c>
      <c r="O609" s="6">
        <v>31.213000000000001</v>
      </c>
      <c r="P609" s="6">
        <v>8</v>
      </c>
      <c r="Q609" s="4" t="s">
        <v>26</v>
      </c>
      <c r="R609" s="4">
        <v>0</v>
      </c>
      <c r="S609" s="6">
        <v>0</v>
      </c>
      <c r="T609" s="6">
        <v>2</v>
      </c>
      <c r="U609" s="6">
        <v>26</v>
      </c>
      <c r="V609" s="6">
        <f>IF(ISERROR(VLOOKUP($S$609,'TAR FIN'!$A$1:$O$85,15,0)),0,VLOOKUP($S$609,'TAR FIN'!$A$1:$O$85,15,0))</f>
        <v>0</v>
      </c>
      <c r="W609" s="6">
        <f>IF(ISERROR(VLOOKUP($T$609,'TAR FIN'!$A$1:$O$85,15,0)),0,VLOOKUP($T$609,'TAR FIN'!$A$1:$O$85,15,0))</f>
        <v>440.1</v>
      </c>
      <c r="X609" s="6">
        <f>IF(ISERROR(VLOOKUP($U$609,'TAR FIN'!$A$1:$O$85,15,0)),0,VLOOKUP($U$609,'TAR FIN'!$A$1:$O$85,15,0))</f>
        <v>223.72</v>
      </c>
      <c r="Y609" s="6"/>
      <c r="Z609" s="6">
        <f ca="1">('TUSD BE'!$AM$48+'TUSD BF'!$AM$48+'TUSD CVA'!$AM$48)*1</f>
        <v>494.3921362494865</v>
      </c>
      <c r="AA609" s="6">
        <f>('TE BE'!$AA$38+'TE BF'!$AA$38+'TE CVA'!$AA$38)*1</f>
        <v>217.62939920622892</v>
      </c>
      <c r="AB609" s="6">
        <f>$K$609*$V$609</f>
        <v>0</v>
      </c>
      <c r="AC609" s="6">
        <f>$M$609*$W$609</f>
        <v>13736.841300000002</v>
      </c>
      <c r="AD609" s="6">
        <f>$O$609*$X$609</f>
        <v>6982.9723599999998</v>
      </c>
      <c r="AE609" s="6">
        <f>$K$609*$Y$609</f>
        <v>0</v>
      </c>
      <c r="AF609" s="6">
        <f ca="1">$M$609*$Z$609</f>
        <v>15431.461748755222</v>
      </c>
      <c r="AG609" s="6">
        <f>$O$609*$AA$609</f>
        <v>6792.8664374240234</v>
      </c>
    </row>
    <row r="610" spans="1:33" ht="11.25" customHeight="1" x14ac:dyDescent="0.25">
      <c r="A610" s="4" t="s">
        <v>21</v>
      </c>
      <c r="B610" s="4" t="s">
        <v>37</v>
      </c>
      <c r="C610" s="4" t="s">
        <v>23</v>
      </c>
      <c r="D610" s="4" t="s">
        <v>39</v>
      </c>
      <c r="E610" s="4" t="s">
        <v>25</v>
      </c>
      <c r="F610" s="4" t="s">
        <v>25</v>
      </c>
      <c r="G610" s="4" t="s">
        <v>25</v>
      </c>
      <c r="H610" s="4" t="s">
        <v>25</v>
      </c>
      <c r="I610" s="5">
        <v>44409</v>
      </c>
      <c r="J610" s="6">
        <v>0</v>
      </c>
      <c r="K610" s="6">
        <v>0</v>
      </c>
      <c r="L610" s="6">
        <v>580.21</v>
      </c>
      <c r="M610" s="6">
        <v>580.21</v>
      </c>
      <c r="N610" s="6">
        <v>580.21</v>
      </c>
      <c r="O610" s="6">
        <v>580.21</v>
      </c>
      <c r="P610" s="6">
        <v>540</v>
      </c>
      <c r="Q610" s="4" t="s">
        <v>26</v>
      </c>
      <c r="R610" s="4">
        <v>0</v>
      </c>
      <c r="S610" s="6">
        <v>0</v>
      </c>
      <c r="T610" s="6">
        <v>2</v>
      </c>
      <c r="U610" s="6">
        <v>26</v>
      </c>
      <c r="V610" s="6">
        <f>IF(ISERROR(VLOOKUP($S$610,'TAR FIN'!$A$1:$O$85,15,0)),0,VLOOKUP($S$610,'TAR FIN'!$A$1:$O$85,15,0))</f>
        <v>0</v>
      </c>
      <c r="W610" s="6">
        <f>IF(ISERROR(VLOOKUP($T$610,'TAR FIN'!$A$1:$O$85,15,0)),0,VLOOKUP($T$610,'TAR FIN'!$A$1:$O$85,15,0))</f>
        <v>440.1</v>
      </c>
      <c r="X610" s="6">
        <f>IF(ISERROR(VLOOKUP($U$610,'TAR FIN'!$A$1:$O$85,15,0)),0,VLOOKUP($U$610,'TAR FIN'!$A$1:$O$85,15,0))</f>
        <v>223.72</v>
      </c>
      <c r="Y610" s="6"/>
      <c r="Z610" s="6">
        <f ca="1">('TUSD BE'!$AM$48+'TUSD BF'!$AM$48+'TUSD CVA'!$AM$48)*1</f>
        <v>494.3921362494865</v>
      </c>
      <c r="AA610" s="6">
        <f>('TE BE'!$AA$38+'TE BF'!$AA$38+'TE CVA'!$AA$38)*1</f>
        <v>217.62939920622892</v>
      </c>
      <c r="AB610" s="6">
        <f>$K$610*$V$610</f>
        <v>0</v>
      </c>
      <c r="AC610" s="6">
        <f>$M$610*$W$610</f>
        <v>255350.42100000003</v>
      </c>
      <c r="AD610" s="6">
        <f>$O$610*$X$610</f>
        <v>129804.5812</v>
      </c>
      <c r="AE610" s="6">
        <f>$K$610*$Y$610</f>
        <v>0</v>
      </c>
      <c r="AF610" s="6">
        <f ca="1">$M$610*$Z$610</f>
        <v>286851.2613733146</v>
      </c>
      <c r="AG610" s="6">
        <f>$O$610*$AA$610</f>
        <v>126270.75371344609</v>
      </c>
    </row>
    <row r="611" spans="1:33" ht="11.25" customHeight="1" x14ac:dyDescent="0.25">
      <c r="A611" s="4" t="s">
        <v>28</v>
      </c>
      <c r="B611" s="4" t="s">
        <v>37</v>
      </c>
      <c r="C611" s="4" t="s">
        <v>23</v>
      </c>
      <c r="D611" s="4" t="s">
        <v>39</v>
      </c>
      <c r="E611" s="4" t="s">
        <v>25</v>
      </c>
      <c r="F611" s="4" t="s">
        <v>25</v>
      </c>
      <c r="G611" s="4" t="s">
        <v>25</v>
      </c>
      <c r="H611" s="4" t="s">
        <v>25</v>
      </c>
      <c r="I611" s="5">
        <v>44409</v>
      </c>
      <c r="J611" s="6">
        <v>0</v>
      </c>
      <c r="K611" s="6">
        <v>0</v>
      </c>
      <c r="L611" s="6">
        <v>25.219000000000001</v>
      </c>
      <c r="M611" s="6">
        <v>25.219000000000001</v>
      </c>
      <c r="N611" s="6">
        <v>25.219000000000001</v>
      </c>
      <c r="O611" s="6">
        <v>25.219000000000001</v>
      </c>
      <c r="P611" s="6">
        <v>8</v>
      </c>
      <c r="Q611" s="4" t="s">
        <v>26</v>
      </c>
      <c r="R611" s="4">
        <v>0</v>
      </c>
      <c r="S611" s="6">
        <v>0</v>
      </c>
      <c r="T611" s="6">
        <v>2</v>
      </c>
      <c r="U611" s="6">
        <v>26</v>
      </c>
      <c r="V611" s="6">
        <f>IF(ISERROR(VLOOKUP($S$611,'TAR FIN'!$A$1:$O$85,15,0)),0,VLOOKUP($S$611,'TAR FIN'!$A$1:$O$85,15,0))</f>
        <v>0</v>
      </c>
      <c r="W611" s="6">
        <f>IF(ISERROR(VLOOKUP($T$611,'TAR FIN'!$A$1:$O$85,15,0)),0,VLOOKUP($T$611,'TAR FIN'!$A$1:$O$85,15,0))</f>
        <v>440.1</v>
      </c>
      <c r="X611" s="6">
        <f>IF(ISERROR(VLOOKUP($U$611,'TAR FIN'!$A$1:$O$85,15,0)),0,VLOOKUP($U$611,'TAR FIN'!$A$1:$O$85,15,0))</f>
        <v>223.72</v>
      </c>
      <c r="Y611" s="6"/>
      <c r="Z611" s="6">
        <f ca="1">('TUSD BE'!$AM$48+'TUSD BF'!$AM$48+'TUSD CVA'!$AM$48)*1</f>
        <v>494.3921362494865</v>
      </c>
      <c r="AA611" s="6">
        <f>('TE BE'!$AA$38+'TE BF'!$AA$38+'TE CVA'!$AA$38)*1</f>
        <v>217.62939920622892</v>
      </c>
      <c r="AB611" s="6">
        <f>$K$611*$V$611</f>
        <v>0</v>
      </c>
      <c r="AC611" s="6">
        <f>$M$611*$W$611</f>
        <v>11098.8819</v>
      </c>
      <c r="AD611" s="6">
        <f>$O$611*$X$611</f>
        <v>5641.9946799999998</v>
      </c>
      <c r="AE611" s="6">
        <f>$K$611*$Y$611</f>
        <v>0</v>
      </c>
      <c r="AF611" s="6">
        <f ca="1">$M$611*$Z$611</f>
        <v>12468.075284075801</v>
      </c>
      <c r="AG611" s="6">
        <f>$O$611*$AA$611</f>
        <v>5488.3958185818874</v>
      </c>
    </row>
    <row r="612" spans="1:33" ht="11.25" customHeight="1" x14ac:dyDescent="0.25">
      <c r="A612" s="4" t="s">
        <v>21</v>
      </c>
      <c r="B612" s="4" t="s">
        <v>37</v>
      </c>
      <c r="C612" s="4" t="s">
        <v>23</v>
      </c>
      <c r="D612" s="4" t="s">
        <v>39</v>
      </c>
      <c r="E612" s="4" t="s">
        <v>25</v>
      </c>
      <c r="F612" s="4" t="s">
        <v>25</v>
      </c>
      <c r="G612" s="4" t="s">
        <v>25</v>
      </c>
      <c r="H612" s="4" t="s">
        <v>25</v>
      </c>
      <c r="I612" s="5">
        <v>44440</v>
      </c>
      <c r="J612" s="6">
        <v>0</v>
      </c>
      <c r="K612" s="6">
        <v>0</v>
      </c>
      <c r="L612" s="6">
        <v>630.98500000000001</v>
      </c>
      <c r="M612" s="6">
        <v>630.98500000000001</v>
      </c>
      <c r="N612" s="6">
        <v>630.98500000000001</v>
      </c>
      <c r="O612" s="6">
        <v>630.98500000000001</v>
      </c>
      <c r="P612" s="6">
        <v>541</v>
      </c>
      <c r="Q612" s="4" t="s">
        <v>26</v>
      </c>
      <c r="R612" s="4">
        <v>0</v>
      </c>
      <c r="S612" s="6">
        <v>0</v>
      </c>
      <c r="T612" s="6">
        <v>2</v>
      </c>
      <c r="U612" s="6">
        <v>26</v>
      </c>
      <c r="V612" s="6">
        <f>IF(ISERROR(VLOOKUP($S$612,'TAR FIN'!$A$1:$O$85,15,0)),0,VLOOKUP($S$612,'TAR FIN'!$A$1:$O$85,15,0))</f>
        <v>0</v>
      </c>
      <c r="W612" s="6">
        <f>IF(ISERROR(VLOOKUP($T$612,'TAR FIN'!$A$1:$O$85,15,0)),0,VLOOKUP($T$612,'TAR FIN'!$A$1:$O$85,15,0))</f>
        <v>440.1</v>
      </c>
      <c r="X612" s="6">
        <f>IF(ISERROR(VLOOKUP($U$612,'TAR FIN'!$A$1:$O$85,15,0)),0,VLOOKUP($U$612,'TAR FIN'!$A$1:$O$85,15,0))</f>
        <v>223.72</v>
      </c>
      <c r="Y612" s="6"/>
      <c r="Z612" s="6">
        <f ca="1">('TUSD BE'!$AM$48+'TUSD BF'!$AM$48+'TUSD CVA'!$AM$48)*1</f>
        <v>494.3921362494865</v>
      </c>
      <c r="AA612" s="6">
        <f>('TE BE'!$AA$38+'TE BF'!$AA$38+'TE CVA'!$AA$38)*1</f>
        <v>217.62939920622892</v>
      </c>
      <c r="AB612" s="6">
        <f>$K$612*$V$612</f>
        <v>0</v>
      </c>
      <c r="AC612" s="6">
        <f>$M$612*$W$612</f>
        <v>277696.49850000005</v>
      </c>
      <c r="AD612" s="6">
        <f>$O$612*$X$612</f>
        <v>141163.96420000002</v>
      </c>
      <c r="AE612" s="6">
        <f>$K$612*$Y$612</f>
        <v>0</v>
      </c>
      <c r="AF612" s="6">
        <f ca="1">$M$612*$Z$612</f>
        <v>311954.02209138224</v>
      </c>
      <c r="AG612" s="6">
        <f>$O$612*$AA$612</f>
        <v>137320.88645814237</v>
      </c>
    </row>
    <row r="613" spans="1:33" ht="11.25" customHeight="1" x14ac:dyDescent="0.25">
      <c r="A613" s="4" t="s">
        <v>27</v>
      </c>
      <c r="B613" s="4" t="s">
        <v>37</v>
      </c>
      <c r="C613" s="4" t="s">
        <v>23</v>
      </c>
      <c r="D613" s="4" t="s">
        <v>39</v>
      </c>
      <c r="E613" s="4" t="s">
        <v>25</v>
      </c>
      <c r="F613" s="4" t="s">
        <v>25</v>
      </c>
      <c r="G613" s="4" t="s">
        <v>25</v>
      </c>
      <c r="H613" s="4" t="s">
        <v>25</v>
      </c>
      <c r="I613" s="5">
        <v>44440</v>
      </c>
      <c r="J613" s="6">
        <v>0</v>
      </c>
      <c r="K613" s="6">
        <v>0</v>
      </c>
      <c r="L613" s="6">
        <v>-1.119</v>
      </c>
      <c r="M613" s="6">
        <v>-1.119</v>
      </c>
      <c r="N613" s="6">
        <v>-1.119</v>
      </c>
      <c r="O613" s="6">
        <v>-1.119</v>
      </c>
      <c r="P613" s="6">
        <v>0</v>
      </c>
      <c r="Q613" s="4" t="s">
        <v>26</v>
      </c>
      <c r="R613" s="4">
        <v>0</v>
      </c>
      <c r="S613" s="6">
        <v>0</v>
      </c>
      <c r="T613" s="6">
        <v>2</v>
      </c>
      <c r="U613" s="6">
        <v>26</v>
      </c>
      <c r="V613" s="6">
        <f>IF(ISERROR(VLOOKUP($S$613,'TAR FIN'!$A$1:$O$85,15,0)),0,VLOOKUP($S$613,'TAR FIN'!$A$1:$O$85,15,0))</f>
        <v>0</v>
      </c>
      <c r="W613" s="6">
        <f>IF(ISERROR(VLOOKUP($T$613,'TAR FIN'!$A$1:$O$85,15,0)),0,VLOOKUP($T$613,'TAR FIN'!$A$1:$O$85,15,0))</f>
        <v>440.1</v>
      </c>
      <c r="X613" s="6">
        <f>IF(ISERROR(VLOOKUP($U$613,'TAR FIN'!$A$1:$O$85,15,0)),0,VLOOKUP($U$613,'TAR FIN'!$A$1:$O$85,15,0))</f>
        <v>223.72</v>
      </c>
      <c r="Y613" s="6"/>
      <c r="Z613" s="6">
        <f ca="1">('TUSD BE'!$AM$48+'TUSD BF'!$AM$48+'TUSD CVA'!$AM$48)*1</f>
        <v>494.3921362494865</v>
      </c>
      <c r="AA613" s="6">
        <f>('TE BE'!$AA$38+'TE BF'!$AA$38+'TE CVA'!$AA$38)*1</f>
        <v>217.62939920622892</v>
      </c>
      <c r="AB613" s="6">
        <f>$K$613*$V$613</f>
        <v>0</v>
      </c>
      <c r="AC613" s="6">
        <f>$M$613*$W$613</f>
        <v>-492.47190000000001</v>
      </c>
      <c r="AD613" s="6">
        <f>$O$613*$X$613</f>
        <v>-250.34268</v>
      </c>
      <c r="AE613" s="6">
        <f>$K$613*$Y$613</f>
        <v>0</v>
      </c>
      <c r="AF613" s="6">
        <f ca="1">$M$613*$Z$613</f>
        <v>-553.22480046317537</v>
      </c>
      <c r="AG613" s="6">
        <f>$O$613*$AA$613</f>
        <v>-243.52729771177016</v>
      </c>
    </row>
    <row r="614" spans="1:33" ht="11.25" customHeight="1" x14ac:dyDescent="0.25">
      <c r="A614" s="4" t="s">
        <v>28</v>
      </c>
      <c r="B614" s="4" t="s">
        <v>37</v>
      </c>
      <c r="C614" s="4" t="s">
        <v>23</v>
      </c>
      <c r="D614" s="4" t="s">
        <v>39</v>
      </c>
      <c r="E614" s="4" t="s">
        <v>25</v>
      </c>
      <c r="F614" s="4" t="s">
        <v>25</v>
      </c>
      <c r="G614" s="4" t="s">
        <v>25</v>
      </c>
      <c r="H614" s="4" t="s">
        <v>25</v>
      </c>
      <c r="I614" s="5">
        <v>44440</v>
      </c>
      <c r="J614" s="6">
        <v>0</v>
      </c>
      <c r="K614" s="6">
        <v>0</v>
      </c>
      <c r="L614" s="6">
        <v>29.215</v>
      </c>
      <c r="M614" s="6">
        <v>29.215</v>
      </c>
      <c r="N614" s="6">
        <v>29.215</v>
      </c>
      <c r="O614" s="6">
        <v>29.215</v>
      </c>
      <c r="P614" s="6">
        <v>9</v>
      </c>
      <c r="Q614" s="4" t="s">
        <v>26</v>
      </c>
      <c r="R614" s="4">
        <v>0</v>
      </c>
      <c r="S614" s="6">
        <v>0</v>
      </c>
      <c r="T614" s="6">
        <v>2</v>
      </c>
      <c r="U614" s="6">
        <v>26</v>
      </c>
      <c r="V614" s="6">
        <f>IF(ISERROR(VLOOKUP($S$614,'TAR FIN'!$A$1:$O$85,15,0)),0,VLOOKUP($S$614,'TAR FIN'!$A$1:$O$85,15,0))</f>
        <v>0</v>
      </c>
      <c r="W614" s="6">
        <f>IF(ISERROR(VLOOKUP($T$614,'TAR FIN'!$A$1:$O$85,15,0)),0,VLOOKUP($T$614,'TAR FIN'!$A$1:$O$85,15,0))</f>
        <v>440.1</v>
      </c>
      <c r="X614" s="6">
        <f>IF(ISERROR(VLOOKUP($U$614,'TAR FIN'!$A$1:$O$85,15,0)),0,VLOOKUP($U$614,'TAR FIN'!$A$1:$O$85,15,0))</f>
        <v>223.72</v>
      </c>
      <c r="Y614" s="6"/>
      <c r="Z614" s="6">
        <f ca="1">('TUSD BE'!$AM$48+'TUSD BF'!$AM$48+'TUSD CVA'!$AM$48)*1</f>
        <v>494.3921362494865</v>
      </c>
      <c r="AA614" s="6">
        <f>('TE BE'!$AA$38+'TE BF'!$AA$38+'TE CVA'!$AA$38)*1</f>
        <v>217.62939920622892</v>
      </c>
      <c r="AB614" s="6">
        <f>$K$614*$V$614</f>
        <v>0</v>
      </c>
      <c r="AC614" s="6">
        <f>$M$614*$W$614</f>
        <v>12857.521500000001</v>
      </c>
      <c r="AD614" s="6">
        <f>$O$614*$X$614</f>
        <v>6535.9798000000001</v>
      </c>
      <c r="AE614" s="6">
        <f>$K$614*$Y$614</f>
        <v>0</v>
      </c>
      <c r="AF614" s="6">
        <f ca="1">$M$614*$Z$614</f>
        <v>14443.666260528747</v>
      </c>
      <c r="AG614" s="6">
        <f>$O$614*$AA$614</f>
        <v>6358.0428978099781</v>
      </c>
    </row>
    <row r="615" spans="1:33" ht="11.25" customHeight="1" x14ac:dyDescent="0.25">
      <c r="A615" s="4" t="s">
        <v>21</v>
      </c>
      <c r="B615" s="4" t="s">
        <v>37</v>
      </c>
      <c r="C615" s="4" t="s">
        <v>23</v>
      </c>
      <c r="D615" s="4" t="s">
        <v>39</v>
      </c>
      <c r="E615" s="4" t="s">
        <v>25</v>
      </c>
      <c r="F615" s="4" t="s">
        <v>25</v>
      </c>
      <c r="G615" s="4" t="s">
        <v>25</v>
      </c>
      <c r="H615" s="4" t="s">
        <v>25</v>
      </c>
      <c r="I615" s="5">
        <v>44470</v>
      </c>
      <c r="J615" s="6">
        <v>0</v>
      </c>
      <c r="K615" s="6">
        <v>0</v>
      </c>
      <c r="L615" s="6">
        <v>596.86300000000006</v>
      </c>
      <c r="M615" s="6">
        <v>596.86300000000006</v>
      </c>
      <c r="N615" s="6">
        <v>596.86300000000006</v>
      </c>
      <c r="O615" s="6">
        <v>596.86300000000006</v>
      </c>
      <c r="P615" s="6">
        <v>539</v>
      </c>
      <c r="Q615" s="4" t="s">
        <v>26</v>
      </c>
      <c r="R615" s="4">
        <v>0</v>
      </c>
      <c r="S615" s="6">
        <v>0</v>
      </c>
      <c r="T615" s="6">
        <v>2</v>
      </c>
      <c r="U615" s="6">
        <v>26</v>
      </c>
      <c r="V615" s="6">
        <f>IF(ISERROR(VLOOKUP($S$615,'TAR FIN'!$A$1:$O$85,15,0)),0,VLOOKUP($S$615,'TAR FIN'!$A$1:$O$85,15,0))</f>
        <v>0</v>
      </c>
      <c r="W615" s="6">
        <f>IF(ISERROR(VLOOKUP($T$615,'TAR FIN'!$A$1:$O$85,15,0)),0,VLOOKUP($T$615,'TAR FIN'!$A$1:$O$85,15,0))</f>
        <v>440.1</v>
      </c>
      <c r="X615" s="6">
        <f>IF(ISERROR(VLOOKUP($U$615,'TAR FIN'!$A$1:$O$85,15,0)),0,VLOOKUP($U$615,'TAR FIN'!$A$1:$O$85,15,0))</f>
        <v>223.72</v>
      </c>
      <c r="Y615" s="6"/>
      <c r="Z615" s="6">
        <f ca="1">('TUSD BE'!$AM$48+'TUSD BF'!$AM$48+'TUSD CVA'!$AM$48)*1</f>
        <v>494.3921362494865</v>
      </c>
      <c r="AA615" s="6">
        <f>('TE BE'!$AA$38+'TE BF'!$AA$38+'TE CVA'!$AA$38)*1</f>
        <v>217.62939920622892</v>
      </c>
      <c r="AB615" s="6">
        <f>$K$615*$V$615</f>
        <v>0</v>
      </c>
      <c r="AC615" s="6">
        <f>$M$615*$W$615</f>
        <v>262679.40630000003</v>
      </c>
      <c r="AD615" s="6">
        <f>$O$615*$X$615</f>
        <v>133530.19036000001</v>
      </c>
      <c r="AE615" s="6">
        <f>$K$615*$Y$615</f>
        <v>0</v>
      </c>
      <c r="AF615" s="6">
        <f ca="1">$M$615*$Z$615</f>
        <v>295084.37361827731</v>
      </c>
      <c r="AG615" s="6">
        <f>$O$615*$AA$615</f>
        <v>129894.93609842742</v>
      </c>
    </row>
    <row r="616" spans="1:33" ht="11.25" customHeight="1" x14ac:dyDescent="0.25">
      <c r="A616" s="4" t="s">
        <v>28</v>
      </c>
      <c r="B616" s="4" t="s">
        <v>37</v>
      </c>
      <c r="C616" s="4" t="s">
        <v>23</v>
      </c>
      <c r="D616" s="4" t="s">
        <v>39</v>
      </c>
      <c r="E616" s="4" t="s">
        <v>25</v>
      </c>
      <c r="F616" s="4" t="s">
        <v>25</v>
      </c>
      <c r="G616" s="4" t="s">
        <v>25</v>
      </c>
      <c r="H616" s="4" t="s">
        <v>25</v>
      </c>
      <c r="I616" s="5">
        <v>44470</v>
      </c>
      <c r="J616" s="6">
        <v>0</v>
      </c>
      <c r="K616" s="6">
        <v>0</v>
      </c>
      <c r="L616" s="6">
        <v>28.164000000000001</v>
      </c>
      <c r="M616" s="6">
        <v>28.164000000000001</v>
      </c>
      <c r="N616" s="6">
        <v>28.164000000000001</v>
      </c>
      <c r="O616" s="6">
        <v>28.164000000000001</v>
      </c>
      <c r="P616" s="6">
        <v>9</v>
      </c>
      <c r="Q616" s="4" t="s">
        <v>26</v>
      </c>
      <c r="R616" s="4">
        <v>0</v>
      </c>
      <c r="S616" s="6">
        <v>0</v>
      </c>
      <c r="T616" s="6">
        <v>2</v>
      </c>
      <c r="U616" s="6">
        <v>26</v>
      </c>
      <c r="V616" s="6">
        <f>IF(ISERROR(VLOOKUP($S$616,'TAR FIN'!$A$1:$O$85,15,0)),0,VLOOKUP($S$616,'TAR FIN'!$A$1:$O$85,15,0))</f>
        <v>0</v>
      </c>
      <c r="W616" s="6">
        <f>IF(ISERROR(VLOOKUP($T$616,'TAR FIN'!$A$1:$O$85,15,0)),0,VLOOKUP($T$616,'TAR FIN'!$A$1:$O$85,15,0))</f>
        <v>440.1</v>
      </c>
      <c r="X616" s="6">
        <f>IF(ISERROR(VLOOKUP($U$616,'TAR FIN'!$A$1:$O$85,15,0)),0,VLOOKUP($U$616,'TAR FIN'!$A$1:$O$85,15,0))</f>
        <v>223.72</v>
      </c>
      <c r="Y616" s="6"/>
      <c r="Z616" s="6">
        <f ca="1">('TUSD BE'!$AM$48+'TUSD BF'!$AM$48+'TUSD CVA'!$AM$48)*1</f>
        <v>494.3921362494865</v>
      </c>
      <c r="AA616" s="6">
        <f>('TE BE'!$AA$38+'TE BF'!$AA$38+'TE CVA'!$AA$38)*1</f>
        <v>217.62939920622892</v>
      </c>
      <c r="AB616" s="6">
        <f>$K$616*$V$616</f>
        <v>0</v>
      </c>
      <c r="AC616" s="6">
        <f>$M$616*$W$616</f>
        <v>12394.976400000001</v>
      </c>
      <c r="AD616" s="6">
        <f>$O$616*$X$616</f>
        <v>6300.8500800000002</v>
      </c>
      <c r="AE616" s="6">
        <f>$K$616*$Y$616</f>
        <v>0</v>
      </c>
      <c r="AF616" s="6">
        <f ca="1">$M$616*$Z$616</f>
        <v>13924.060125330538</v>
      </c>
      <c r="AG616" s="6">
        <f>$O$616*$AA$616</f>
        <v>6129.3143992442319</v>
      </c>
    </row>
    <row r="617" spans="1:33" ht="11.25" customHeight="1" x14ac:dyDescent="0.25">
      <c r="A617" s="4" t="s">
        <v>21</v>
      </c>
      <c r="B617" s="4" t="s">
        <v>37</v>
      </c>
      <c r="C617" s="4" t="s">
        <v>23</v>
      </c>
      <c r="D617" s="4" t="s">
        <v>39</v>
      </c>
      <c r="E617" s="4" t="s">
        <v>25</v>
      </c>
      <c r="F617" s="4" t="s">
        <v>25</v>
      </c>
      <c r="G617" s="4" t="s">
        <v>25</v>
      </c>
      <c r="H617" s="4" t="s">
        <v>25</v>
      </c>
      <c r="I617" s="5">
        <v>44501</v>
      </c>
      <c r="J617" s="6">
        <v>0</v>
      </c>
      <c r="K617" s="6">
        <v>0</v>
      </c>
      <c r="L617" s="6">
        <v>660.21799999999996</v>
      </c>
      <c r="M617" s="6">
        <v>660.21799999999996</v>
      </c>
      <c r="N617" s="6">
        <v>660.21799999999996</v>
      </c>
      <c r="O617" s="6">
        <v>660.21799999999996</v>
      </c>
      <c r="P617" s="6">
        <v>536</v>
      </c>
      <c r="Q617" s="4" t="s">
        <v>26</v>
      </c>
      <c r="R617" s="4">
        <v>0</v>
      </c>
      <c r="S617" s="6">
        <v>0</v>
      </c>
      <c r="T617" s="6">
        <v>2</v>
      </c>
      <c r="U617" s="6">
        <v>26</v>
      </c>
      <c r="V617" s="6">
        <f>IF(ISERROR(VLOOKUP($S$617,'TAR FIN'!$A$1:$O$85,15,0)),0,VLOOKUP($S$617,'TAR FIN'!$A$1:$O$85,15,0))</f>
        <v>0</v>
      </c>
      <c r="W617" s="6">
        <f>IF(ISERROR(VLOOKUP($T$617,'TAR FIN'!$A$1:$O$85,15,0)),0,VLOOKUP($T$617,'TAR FIN'!$A$1:$O$85,15,0))</f>
        <v>440.1</v>
      </c>
      <c r="X617" s="6">
        <f>IF(ISERROR(VLOOKUP($U$617,'TAR FIN'!$A$1:$O$85,15,0)),0,VLOOKUP($U$617,'TAR FIN'!$A$1:$O$85,15,0))</f>
        <v>223.72</v>
      </c>
      <c r="Y617" s="6"/>
      <c r="Z617" s="6">
        <f ca="1">('TUSD BE'!$AM$48+'TUSD BF'!$AM$48+'TUSD CVA'!$AM$48)*1</f>
        <v>494.3921362494865</v>
      </c>
      <c r="AA617" s="6">
        <f>('TE BE'!$AA$38+'TE BF'!$AA$38+'TE CVA'!$AA$38)*1</f>
        <v>217.62939920622892</v>
      </c>
      <c r="AB617" s="6">
        <f>$K$617*$V$617</f>
        <v>0</v>
      </c>
      <c r="AC617" s="6">
        <f>$M$617*$W$617</f>
        <v>290561.94179999997</v>
      </c>
      <c r="AD617" s="6">
        <f>$O$617*$X$617</f>
        <v>147703.97095999998</v>
      </c>
      <c r="AE617" s="6">
        <f>$K$617*$Y$617</f>
        <v>0</v>
      </c>
      <c r="AF617" s="6">
        <f ca="1">$M$617*$Z$617</f>
        <v>326406.58741036349</v>
      </c>
      <c r="AG617" s="6">
        <f>$O$617*$AA$617</f>
        <v>143682.84668513804</v>
      </c>
    </row>
    <row r="618" spans="1:33" ht="11.25" customHeight="1" x14ac:dyDescent="0.25">
      <c r="A618" s="4" t="s">
        <v>28</v>
      </c>
      <c r="B618" s="4" t="s">
        <v>37</v>
      </c>
      <c r="C618" s="4" t="s">
        <v>23</v>
      </c>
      <c r="D618" s="4" t="s">
        <v>39</v>
      </c>
      <c r="E618" s="4" t="s">
        <v>25</v>
      </c>
      <c r="F618" s="4" t="s">
        <v>25</v>
      </c>
      <c r="G618" s="4" t="s">
        <v>25</v>
      </c>
      <c r="H618" s="4" t="s">
        <v>25</v>
      </c>
      <c r="I618" s="5">
        <v>44501</v>
      </c>
      <c r="J618" s="6">
        <v>0</v>
      </c>
      <c r="K618" s="6">
        <v>0</v>
      </c>
      <c r="L618" s="6">
        <v>26.613</v>
      </c>
      <c r="M618" s="6">
        <v>26.613</v>
      </c>
      <c r="N618" s="6">
        <v>26.613</v>
      </c>
      <c r="O618" s="6">
        <v>26.613</v>
      </c>
      <c r="P618" s="6">
        <v>11</v>
      </c>
      <c r="Q618" s="4" t="s">
        <v>26</v>
      </c>
      <c r="R618" s="4">
        <v>0</v>
      </c>
      <c r="S618" s="6">
        <v>0</v>
      </c>
      <c r="T618" s="6">
        <v>2</v>
      </c>
      <c r="U618" s="6">
        <v>26</v>
      </c>
      <c r="V618" s="6">
        <f>IF(ISERROR(VLOOKUP($S$618,'TAR FIN'!$A$1:$O$85,15,0)),0,VLOOKUP($S$618,'TAR FIN'!$A$1:$O$85,15,0))</f>
        <v>0</v>
      </c>
      <c r="W618" s="6">
        <f>IF(ISERROR(VLOOKUP($T$618,'TAR FIN'!$A$1:$O$85,15,0)),0,VLOOKUP($T$618,'TAR FIN'!$A$1:$O$85,15,0))</f>
        <v>440.1</v>
      </c>
      <c r="X618" s="6">
        <f>IF(ISERROR(VLOOKUP($U$618,'TAR FIN'!$A$1:$O$85,15,0)),0,VLOOKUP($U$618,'TAR FIN'!$A$1:$O$85,15,0))</f>
        <v>223.72</v>
      </c>
      <c r="Y618" s="6"/>
      <c r="Z618" s="6">
        <f ca="1">('TUSD BE'!$AM$48+'TUSD BF'!$AM$48+'TUSD CVA'!$AM$48)*1</f>
        <v>494.3921362494865</v>
      </c>
      <c r="AA618" s="6">
        <f>('TE BE'!$AA$38+'TE BF'!$AA$38+'TE CVA'!$AA$38)*1</f>
        <v>217.62939920622892</v>
      </c>
      <c r="AB618" s="6">
        <f>$K$618*$V$618</f>
        <v>0</v>
      </c>
      <c r="AC618" s="6">
        <f>$M$618*$W$618</f>
        <v>11712.381300000001</v>
      </c>
      <c r="AD618" s="6">
        <f>$O$618*$X$618</f>
        <v>5953.8603599999997</v>
      </c>
      <c r="AE618" s="6">
        <f>$K$618*$Y$618</f>
        <v>0</v>
      </c>
      <c r="AF618" s="6">
        <f ca="1">$M$618*$Z$618</f>
        <v>13157.257922007584</v>
      </c>
      <c r="AG618" s="6">
        <f>$O$618*$AA$618</f>
        <v>5791.7712010753703</v>
      </c>
    </row>
    <row r="619" spans="1:33" ht="11.25" customHeight="1" x14ac:dyDescent="0.25">
      <c r="A619" s="4" t="s">
        <v>21</v>
      </c>
      <c r="B619" s="4" t="s">
        <v>37</v>
      </c>
      <c r="C619" s="4" t="s">
        <v>23</v>
      </c>
      <c r="D619" s="4" t="s">
        <v>39</v>
      </c>
      <c r="E619" s="4" t="s">
        <v>25</v>
      </c>
      <c r="F619" s="4" t="s">
        <v>25</v>
      </c>
      <c r="G619" s="4" t="s">
        <v>25</v>
      </c>
      <c r="H619" s="4" t="s">
        <v>25</v>
      </c>
      <c r="I619" s="5">
        <v>44531</v>
      </c>
      <c r="J619" s="6">
        <v>0</v>
      </c>
      <c r="K619" s="6">
        <v>0</v>
      </c>
      <c r="L619" s="6">
        <v>636.60199999999998</v>
      </c>
      <c r="M619" s="6">
        <v>636.60199999999998</v>
      </c>
      <c r="N619" s="6">
        <v>636.60199999999998</v>
      </c>
      <c r="O619" s="6">
        <v>636.60199999999998</v>
      </c>
      <c r="P619" s="6">
        <v>536</v>
      </c>
      <c r="Q619" s="4" t="s">
        <v>26</v>
      </c>
      <c r="R619" s="4">
        <v>0</v>
      </c>
      <c r="S619" s="6">
        <v>0</v>
      </c>
      <c r="T619" s="6">
        <v>2</v>
      </c>
      <c r="U619" s="6">
        <v>26</v>
      </c>
      <c r="V619" s="6">
        <f>IF(ISERROR(VLOOKUP($S$619,'TAR FIN'!$A$1:$O$85,15,0)),0,VLOOKUP($S$619,'TAR FIN'!$A$1:$O$85,15,0))</f>
        <v>0</v>
      </c>
      <c r="W619" s="6">
        <f>IF(ISERROR(VLOOKUP($T$619,'TAR FIN'!$A$1:$O$85,15,0)),0,VLOOKUP($T$619,'TAR FIN'!$A$1:$O$85,15,0))</f>
        <v>440.1</v>
      </c>
      <c r="X619" s="6">
        <f>IF(ISERROR(VLOOKUP($U$619,'TAR FIN'!$A$1:$O$85,15,0)),0,VLOOKUP($U$619,'TAR FIN'!$A$1:$O$85,15,0))</f>
        <v>223.72</v>
      </c>
      <c r="Y619" s="6"/>
      <c r="Z619" s="6">
        <f ca="1">('TUSD BE'!$AM$48+'TUSD BF'!$AM$48+'TUSD CVA'!$AM$48)*1</f>
        <v>494.3921362494865</v>
      </c>
      <c r="AA619" s="6">
        <f>('TE BE'!$AA$38+'TE BF'!$AA$38+'TE CVA'!$AA$38)*1</f>
        <v>217.62939920622892</v>
      </c>
      <c r="AB619" s="6">
        <f>$K$619*$V$619</f>
        <v>0</v>
      </c>
      <c r="AC619" s="6">
        <f>$M$619*$W$619</f>
        <v>280168.54019999999</v>
      </c>
      <c r="AD619" s="6">
        <f>$O$619*$X$619</f>
        <v>142420.59943999999</v>
      </c>
      <c r="AE619" s="6">
        <f>$K$619*$Y$619</f>
        <v>0</v>
      </c>
      <c r="AF619" s="6">
        <f ca="1">$M$619*$Z$619</f>
        <v>314731.02272069559</v>
      </c>
      <c r="AG619" s="6">
        <f>$O$619*$AA$619</f>
        <v>138543.31079348375</v>
      </c>
    </row>
    <row r="620" spans="1:33" ht="11.25" customHeight="1" x14ac:dyDescent="0.25">
      <c r="A620" s="4" t="s">
        <v>28</v>
      </c>
      <c r="B620" s="4" t="s">
        <v>37</v>
      </c>
      <c r="C620" s="4" t="s">
        <v>23</v>
      </c>
      <c r="D620" s="4" t="s">
        <v>39</v>
      </c>
      <c r="E620" s="4" t="s">
        <v>25</v>
      </c>
      <c r="F620" s="4" t="s">
        <v>25</v>
      </c>
      <c r="G620" s="4" t="s">
        <v>25</v>
      </c>
      <c r="H620" s="4" t="s">
        <v>25</v>
      </c>
      <c r="I620" s="5">
        <v>44531</v>
      </c>
      <c r="J620" s="6">
        <v>0</v>
      </c>
      <c r="K620" s="6">
        <v>0</v>
      </c>
      <c r="L620" s="6">
        <v>18.149999999999999</v>
      </c>
      <c r="M620" s="6">
        <v>18.149999999999999</v>
      </c>
      <c r="N620" s="6">
        <v>18.149999999999999</v>
      </c>
      <c r="O620" s="6">
        <v>18.149999999999999</v>
      </c>
      <c r="P620" s="6">
        <v>12</v>
      </c>
      <c r="Q620" s="4" t="s">
        <v>26</v>
      </c>
      <c r="R620" s="4">
        <v>0</v>
      </c>
      <c r="S620" s="6">
        <v>0</v>
      </c>
      <c r="T620" s="6">
        <v>2</v>
      </c>
      <c r="U620" s="6">
        <v>26</v>
      </c>
      <c r="V620" s="6">
        <f>IF(ISERROR(VLOOKUP($S$620,'TAR FIN'!$A$1:$O$85,15,0)),0,VLOOKUP($S$620,'TAR FIN'!$A$1:$O$85,15,0))</f>
        <v>0</v>
      </c>
      <c r="W620" s="6">
        <f>IF(ISERROR(VLOOKUP($T$620,'TAR FIN'!$A$1:$O$85,15,0)),0,VLOOKUP($T$620,'TAR FIN'!$A$1:$O$85,15,0))</f>
        <v>440.1</v>
      </c>
      <c r="X620" s="6">
        <f>IF(ISERROR(VLOOKUP($U$620,'TAR FIN'!$A$1:$O$85,15,0)),0,VLOOKUP($U$620,'TAR FIN'!$A$1:$O$85,15,0))</f>
        <v>223.72</v>
      </c>
      <c r="Y620" s="6"/>
      <c r="Z620" s="6">
        <f ca="1">('TUSD BE'!$AM$48+'TUSD BF'!$AM$48+'TUSD CVA'!$AM$48)*1</f>
        <v>494.3921362494865</v>
      </c>
      <c r="AA620" s="6">
        <f>('TE BE'!$AA$38+'TE BF'!$AA$38+'TE CVA'!$AA$38)*1</f>
        <v>217.62939920622892</v>
      </c>
      <c r="AB620" s="6">
        <f>$K$620*$V$620</f>
        <v>0</v>
      </c>
      <c r="AC620" s="6">
        <f>$M$620*$W$620</f>
        <v>7987.8149999999996</v>
      </c>
      <c r="AD620" s="6">
        <f>$O$620*$X$620</f>
        <v>4060.5179999999996</v>
      </c>
      <c r="AE620" s="6">
        <f>$K$620*$Y$620</f>
        <v>0</v>
      </c>
      <c r="AF620" s="6">
        <f ca="1">$M$620*$Z$620</f>
        <v>8973.2172729281792</v>
      </c>
      <c r="AG620" s="6">
        <f>$O$620*$AA$620</f>
        <v>3949.9735955930546</v>
      </c>
    </row>
    <row r="621" spans="1:33" ht="11.25" customHeight="1" x14ac:dyDescent="0.25">
      <c r="A621" s="4" t="s">
        <v>21</v>
      </c>
      <c r="B621" s="4" t="s">
        <v>37</v>
      </c>
      <c r="C621" s="4" t="s">
        <v>23</v>
      </c>
      <c r="D621" s="4" t="s">
        <v>39</v>
      </c>
      <c r="E621" s="4" t="s">
        <v>25</v>
      </c>
      <c r="F621" s="4" t="s">
        <v>25</v>
      </c>
      <c r="G621" s="4" t="s">
        <v>25</v>
      </c>
      <c r="H621" s="4" t="s">
        <v>25</v>
      </c>
      <c r="I621" s="5">
        <v>44562</v>
      </c>
      <c r="J621" s="6">
        <v>0</v>
      </c>
      <c r="K621" s="6">
        <v>0</v>
      </c>
      <c r="L621" s="6">
        <v>697.19500000000005</v>
      </c>
      <c r="M621" s="6">
        <v>697.19500000000005</v>
      </c>
      <c r="N621" s="6">
        <v>697.19500000000005</v>
      </c>
      <c r="O621" s="6">
        <v>697.19500000000005</v>
      </c>
      <c r="P621" s="6">
        <v>537</v>
      </c>
      <c r="Q621" s="4" t="s">
        <v>26</v>
      </c>
      <c r="R621" s="4">
        <v>0</v>
      </c>
      <c r="S621" s="6">
        <v>0</v>
      </c>
      <c r="T621" s="6">
        <v>2</v>
      </c>
      <c r="U621" s="6">
        <v>26</v>
      </c>
      <c r="V621" s="6">
        <f>IF(ISERROR(VLOOKUP($S$621,'TAR FIN'!$A$1:$O$85,15,0)),0,VLOOKUP($S$621,'TAR FIN'!$A$1:$O$85,15,0))</f>
        <v>0</v>
      </c>
      <c r="W621" s="6">
        <f>IF(ISERROR(VLOOKUP($T$621,'TAR FIN'!$A$1:$O$85,15,0)),0,VLOOKUP($T$621,'TAR FIN'!$A$1:$O$85,15,0))</f>
        <v>440.1</v>
      </c>
      <c r="X621" s="6">
        <f>IF(ISERROR(VLOOKUP($U$621,'TAR FIN'!$A$1:$O$85,15,0)),0,VLOOKUP($U$621,'TAR FIN'!$A$1:$O$85,15,0))</f>
        <v>223.72</v>
      </c>
      <c r="Y621" s="6"/>
      <c r="Z621" s="6">
        <f ca="1">('TUSD BE'!$AM$48+'TUSD BF'!$AM$48+'TUSD CVA'!$AM$48)*1</f>
        <v>494.3921362494865</v>
      </c>
      <c r="AA621" s="6">
        <f>('TE BE'!$AA$38+'TE BF'!$AA$38+'TE CVA'!$AA$38)*1</f>
        <v>217.62939920622892</v>
      </c>
      <c r="AB621" s="6">
        <f>$K$621*$V$621</f>
        <v>0</v>
      </c>
      <c r="AC621" s="6">
        <f>$M$621*$W$621</f>
        <v>306835.51950000005</v>
      </c>
      <c r="AD621" s="6">
        <f>$O$621*$X$621</f>
        <v>155976.46540000002</v>
      </c>
      <c r="AE621" s="6">
        <f>$K$621*$Y$621</f>
        <v>0</v>
      </c>
      <c r="AF621" s="6">
        <f ca="1">$M$621*$Z$621</f>
        <v>344687.72543246078</v>
      </c>
      <c r="AG621" s="6">
        <f>$O$621*$AA$621</f>
        <v>151730.12897958679</v>
      </c>
    </row>
    <row r="622" spans="1:33" ht="11.25" customHeight="1" x14ac:dyDescent="0.25">
      <c r="A622" s="4" t="s">
        <v>28</v>
      </c>
      <c r="B622" s="4" t="s">
        <v>37</v>
      </c>
      <c r="C622" s="4" t="s">
        <v>23</v>
      </c>
      <c r="D622" s="4" t="s">
        <v>39</v>
      </c>
      <c r="E622" s="4" t="s">
        <v>25</v>
      </c>
      <c r="F622" s="4" t="s">
        <v>25</v>
      </c>
      <c r="G622" s="4" t="s">
        <v>25</v>
      </c>
      <c r="H622" s="4" t="s">
        <v>25</v>
      </c>
      <c r="I622" s="5">
        <v>44562</v>
      </c>
      <c r="J622" s="6">
        <v>0</v>
      </c>
      <c r="K622" s="6">
        <v>0</v>
      </c>
      <c r="L622" s="6">
        <v>21.731999999999999</v>
      </c>
      <c r="M622" s="6">
        <v>21.731999999999999</v>
      </c>
      <c r="N622" s="6">
        <v>21.731999999999999</v>
      </c>
      <c r="O622" s="6">
        <v>21.731999999999999</v>
      </c>
      <c r="P622" s="6">
        <v>11</v>
      </c>
      <c r="Q622" s="4" t="s">
        <v>26</v>
      </c>
      <c r="R622" s="4">
        <v>0</v>
      </c>
      <c r="S622" s="6">
        <v>0</v>
      </c>
      <c r="T622" s="6">
        <v>2</v>
      </c>
      <c r="U622" s="6">
        <v>26</v>
      </c>
      <c r="V622" s="6">
        <f>IF(ISERROR(VLOOKUP($S$622,'TAR FIN'!$A$1:$O$85,15,0)),0,VLOOKUP($S$622,'TAR FIN'!$A$1:$O$85,15,0))</f>
        <v>0</v>
      </c>
      <c r="W622" s="6">
        <f>IF(ISERROR(VLOOKUP($T$622,'TAR FIN'!$A$1:$O$85,15,0)),0,VLOOKUP($T$622,'TAR FIN'!$A$1:$O$85,15,0))</f>
        <v>440.1</v>
      </c>
      <c r="X622" s="6">
        <f>IF(ISERROR(VLOOKUP($U$622,'TAR FIN'!$A$1:$O$85,15,0)),0,VLOOKUP($U$622,'TAR FIN'!$A$1:$O$85,15,0))</f>
        <v>223.72</v>
      </c>
      <c r="Y622" s="6"/>
      <c r="Z622" s="6">
        <f ca="1">('TUSD BE'!$AM$48+'TUSD BF'!$AM$48+'TUSD CVA'!$AM$48)*1</f>
        <v>494.3921362494865</v>
      </c>
      <c r="AA622" s="6">
        <f>('TE BE'!$AA$38+'TE BF'!$AA$38+'TE CVA'!$AA$38)*1</f>
        <v>217.62939920622892</v>
      </c>
      <c r="AB622" s="6">
        <f>$K$622*$V$622</f>
        <v>0</v>
      </c>
      <c r="AC622" s="6">
        <f>$M$622*$W$622</f>
        <v>9564.253200000001</v>
      </c>
      <c r="AD622" s="6">
        <f>$O$622*$X$622</f>
        <v>4861.8830399999997</v>
      </c>
      <c r="AE622" s="6">
        <f>$K$622*$Y$622</f>
        <v>0</v>
      </c>
      <c r="AF622" s="6">
        <f ca="1">$M$622*$Z$622</f>
        <v>10744.129904973841</v>
      </c>
      <c r="AG622" s="6">
        <f>$O$622*$AA$622</f>
        <v>4729.5221035497671</v>
      </c>
    </row>
    <row r="623" spans="1:33" ht="11.25" customHeight="1" x14ac:dyDescent="0.25">
      <c r="A623" s="4" t="s">
        <v>21</v>
      </c>
      <c r="B623" s="4" t="s">
        <v>37</v>
      </c>
      <c r="C623" s="4" t="s">
        <v>23</v>
      </c>
      <c r="D623" s="4" t="s">
        <v>39</v>
      </c>
      <c r="E623" s="4" t="s">
        <v>25</v>
      </c>
      <c r="F623" s="4" t="s">
        <v>25</v>
      </c>
      <c r="G623" s="4" t="s">
        <v>25</v>
      </c>
      <c r="H623" s="4" t="s">
        <v>25</v>
      </c>
      <c r="I623" s="5">
        <v>44593</v>
      </c>
      <c r="J623" s="6">
        <v>0</v>
      </c>
      <c r="K623" s="6">
        <v>0</v>
      </c>
      <c r="L623" s="6">
        <v>675.43</v>
      </c>
      <c r="M623" s="6">
        <v>675.43</v>
      </c>
      <c r="N623" s="6">
        <v>675.43</v>
      </c>
      <c r="O623" s="6">
        <v>675.43</v>
      </c>
      <c r="P623" s="6">
        <v>535</v>
      </c>
      <c r="Q623" s="4" t="s">
        <v>26</v>
      </c>
      <c r="R623" s="4">
        <v>0</v>
      </c>
      <c r="S623" s="6">
        <v>0</v>
      </c>
      <c r="T623" s="6">
        <v>2</v>
      </c>
      <c r="U623" s="6">
        <v>26</v>
      </c>
      <c r="V623" s="6">
        <f>IF(ISERROR(VLOOKUP($S$623,'TAR FIN'!$A$1:$O$85,15,0)),0,VLOOKUP($S$623,'TAR FIN'!$A$1:$O$85,15,0))</f>
        <v>0</v>
      </c>
      <c r="W623" s="6">
        <f>IF(ISERROR(VLOOKUP($T$623,'TAR FIN'!$A$1:$O$85,15,0)),0,VLOOKUP($T$623,'TAR FIN'!$A$1:$O$85,15,0))</f>
        <v>440.1</v>
      </c>
      <c r="X623" s="6">
        <f>IF(ISERROR(VLOOKUP($U$623,'TAR FIN'!$A$1:$O$85,15,0)),0,VLOOKUP($U$623,'TAR FIN'!$A$1:$O$85,15,0))</f>
        <v>223.72</v>
      </c>
      <c r="Y623" s="6"/>
      <c r="Z623" s="6">
        <f ca="1">('TUSD BE'!$AM$48+'TUSD BF'!$AM$48+'TUSD CVA'!$AM$48)*1</f>
        <v>494.3921362494865</v>
      </c>
      <c r="AA623" s="6">
        <f>('TE BE'!$AA$38+'TE BF'!$AA$38+'TE CVA'!$AA$38)*1</f>
        <v>217.62939920622892</v>
      </c>
      <c r="AB623" s="6">
        <f>$K$623*$V$623</f>
        <v>0</v>
      </c>
      <c r="AC623" s="6">
        <f>$M$623*$W$623</f>
        <v>297256.74300000002</v>
      </c>
      <c r="AD623" s="6">
        <f>$O$623*$X$623</f>
        <v>151107.19959999999</v>
      </c>
      <c r="AE623" s="6">
        <f>$K$623*$Y$623</f>
        <v>0</v>
      </c>
      <c r="AF623" s="6">
        <f ca="1">$M$623*$Z$623</f>
        <v>333927.28058699064</v>
      </c>
      <c r="AG623" s="6">
        <f>$O$623*$AA$623</f>
        <v>146993.42510586319</v>
      </c>
    </row>
    <row r="624" spans="1:33" ht="11.25" customHeight="1" x14ac:dyDescent="0.25">
      <c r="A624" s="4" t="s">
        <v>27</v>
      </c>
      <c r="B624" s="4" t="s">
        <v>37</v>
      </c>
      <c r="C624" s="4" t="s">
        <v>23</v>
      </c>
      <c r="D624" s="4" t="s">
        <v>39</v>
      </c>
      <c r="E624" s="4" t="s">
        <v>25</v>
      </c>
      <c r="F624" s="4" t="s">
        <v>25</v>
      </c>
      <c r="G624" s="4" t="s">
        <v>25</v>
      </c>
      <c r="H624" s="4" t="s">
        <v>25</v>
      </c>
      <c r="I624" s="5">
        <v>44593</v>
      </c>
      <c r="J624" s="6">
        <v>0</v>
      </c>
      <c r="K624" s="6">
        <v>0</v>
      </c>
      <c r="L624" s="6">
        <v>-9.0169999999999995</v>
      </c>
      <c r="M624" s="6">
        <v>-9.0169999999999995</v>
      </c>
      <c r="N624" s="6">
        <v>-9.0169999999999995</v>
      </c>
      <c r="O624" s="6">
        <v>-9.0169999999999995</v>
      </c>
      <c r="P624" s="6">
        <v>0</v>
      </c>
      <c r="Q624" s="4" t="s">
        <v>26</v>
      </c>
      <c r="R624" s="4">
        <v>0</v>
      </c>
      <c r="S624" s="6">
        <v>0</v>
      </c>
      <c r="T624" s="6">
        <v>2</v>
      </c>
      <c r="U624" s="6">
        <v>26</v>
      </c>
      <c r="V624" s="6">
        <f>IF(ISERROR(VLOOKUP($S$624,'TAR FIN'!$A$1:$O$85,15,0)),0,VLOOKUP($S$624,'TAR FIN'!$A$1:$O$85,15,0))</f>
        <v>0</v>
      </c>
      <c r="W624" s="6">
        <f>IF(ISERROR(VLOOKUP($T$624,'TAR FIN'!$A$1:$O$85,15,0)),0,VLOOKUP($T$624,'TAR FIN'!$A$1:$O$85,15,0))</f>
        <v>440.1</v>
      </c>
      <c r="X624" s="6">
        <f>IF(ISERROR(VLOOKUP($U$624,'TAR FIN'!$A$1:$O$85,15,0)),0,VLOOKUP($U$624,'TAR FIN'!$A$1:$O$85,15,0))</f>
        <v>223.72</v>
      </c>
      <c r="Y624" s="6"/>
      <c r="Z624" s="6">
        <f ca="1">('TUSD BE'!$AM$48+'TUSD BF'!$AM$48+'TUSD CVA'!$AM$48)*1</f>
        <v>494.3921362494865</v>
      </c>
      <c r="AA624" s="6">
        <f>('TE BE'!$AA$38+'TE BF'!$AA$38+'TE CVA'!$AA$38)*1</f>
        <v>217.62939920622892</v>
      </c>
      <c r="AB624" s="6">
        <f>$K$624*$V$624</f>
        <v>0</v>
      </c>
      <c r="AC624" s="6">
        <f>$M$624*$W$624</f>
        <v>-3968.3816999999999</v>
      </c>
      <c r="AD624" s="6">
        <f>$O$624*$X$624</f>
        <v>-2017.28324</v>
      </c>
      <c r="AE624" s="6">
        <f>$K$624*$Y$624</f>
        <v>0</v>
      </c>
      <c r="AF624" s="6">
        <f ca="1">$M$624*$Z$624</f>
        <v>-4457.9338925616194</v>
      </c>
      <c r="AG624" s="6">
        <f>$O$624*$AA$624</f>
        <v>-1962.3642926425662</v>
      </c>
    </row>
    <row r="625" spans="1:33" ht="11.25" customHeight="1" x14ac:dyDescent="0.25">
      <c r="A625" s="4" t="s">
        <v>28</v>
      </c>
      <c r="B625" s="4" t="s">
        <v>37</v>
      </c>
      <c r="C625" s="4" t="s">
        <v>23</v>
      </c>
      <c r="D625" s="4" t="s">
        <v>39</v>
      </c>
      <c r="E625" s="4" t="s">
        <v>25</v>
      </c>
      <c r="F625" s="4" t="s">
        <v>25</v>
      </c>
      <c r="G625" s="4" t="s">
        <v>25</v>
      </c>
      <c r="H625" s="4" t="s">
        <v>25</v>
      </c>
      <c r="I625" s="5">
        <v>44593</v>
      </c>
      <c r="J625" s="6">
        <v>0</v>
      </c>
      <c r="K625" s="6">
        <v>0</v>
      </c>
      <c r="L625" s="6">
        <v>23.11</v>
      </c>
      <c r="M625" s="6">
        <v>23.11</v>
      </c>
      <c r="N625" s="6">
        <v>23.11</v>
      </c>
      <c r="O625" s="6">
        <v>23.11</v>
      </c>
      <c r="P625" s="6">
        <v>14</v>
      </c>
      <c r="Q625" s="4" t="s">
        <v>26</v>
      </c>
      <c r="R625" s="4">
        <v>0</v>
      </c>
      <c r="S625" s="6">
        <v>0</v>
      </c>
      <c r="T625" s="6">
        <v>2</v>
      </c>
      <c r="U625" s="6">
        <v>26</v>
      </c>
      <c r="V625" s="6">
        <f>IF(ISERROR(VLOOKUP($S$625,'TAR FIN'!$A$1:$O$85,15,0)),0,VLOOKUP($S$625,'TAR FIN'!$A$1:$O$85,15,0))</f>
        <v>0</v>
      </c>
      <c r="W625" s="6">
        <f>IF(ISERROR(VLOOKUP($T$625,'TAR FIN'!$A$1:$O$85,15,0)),0,VLOOKUP($T$625,'TAR FIN'!$A$1:$O$85,15,0))</f>
        <v>440.1</v>
      </c>
      <c r="X625" s="6">
        <f>IF(ISERROR(VLOOKUP($U$625,'TAR FIN'!$A$1:$O$85,15,0)),0,VLOOKUP($U$625,'TAR FIN'!$A$1:$O$85,15,0))</f>
        <v>223.72</v>
      </c>
      <c r="Y625" s="6"/>
      <c r="Z625" s="6">
        <f ca="1">('TUSD BE'!$AM$48+'TUSD BF'!$AM$48+'TUSD CVA'!$AM$48)*1</f>
        <v>494.3921362494865</v>
      </c>
      <c r="AA625" s="6">
        <f>('TE BE'!$AA$38+'TE BF'!$AA$38+'TE CVA'!$AA$38)*1</f>
        <v>217.62939920622892</v>
      </c>
      <c r="AB625" s="6">
        <f>$K$625*$V$625</f>
        <v>0</v>
      </c>
      <c r="AC625" s="6">
        <f>$M$625*$W$625</f>
        <v>10170.711000000001</v>
      </c>
      <c r="AD625" s="6">
        <f>$O$625*$X$625</f>
        <v>5170.1692000000003</v>
      </c>
      <c r="AE625" s="6">
        <f>$K$625*$Y$625</f>
        <v>0</v>
      </c>
      <c r="AF625" s="6">
        <f ca="1">$M$625*$Z$625</f>
        <v>11425.402268725633</v>
      </c>
      <c r="AG625" s="6">
        <f>$O$625*$AA$625</f>
        <v>5029.4154156559507</v>
      </c>
    </row>
    <row r="626" spans="1:33" ht="11.25" customHeight="1" x14ac:dyDescent="0.25">
      <c r="A626" s="4" t="s">
        <v>54</v>
      </c>
      <c r="B626" s="4" t="s">
        <v>37</v>
      </c>
      <c r="C626" s="4" t="s">
        <v>23</v>
      </c>
      <c r="D626" s="4" t="s">
        <v>39</v>
      </c>
      <c r="E626" s="4" t="s">
        <v>25</v>
      </c>
      <c r="F626" s="4" t="s">
        <v>25</v>
      </c>
      <c r="G626" s="4" t="s">
        <v>25</v>
      </c>
      <c r="H626" s="4" t="s">
        <v>25</v>
      </c>
      <c r="I626" s="5">
        <v>44621</v>
      </c>
      <c r="J626" s="6">
        <v>0</v>
      </c>
      <c r="K626" s="6">
        <v>0</v>
      </c>
      <c r="L626" s="6">
        <v>675.43</v>
      </c>
      <c r="M626" s="6">
        <v>675.43</v>
      </c>
      <c r="N626" s="6">
        <v>675.43</v>
      </c>
      <c r="O626" s="6">
        <v>675.43</v>
      </c>
      <c r="P626" s="6">
        <v>535</v>
      </c>
      <c r="Q626" s="4" t="s">
        <v>26</v>
      </c>
      <c r="R626" s="4">
        <v>0</v>
      </c>
      <c r="S626" s="6">
        <v>0</v>
      </c>
      <c r="T626" s="6">
        <v>2</v>
      </c>
      <c r="U626" s="6">
        <v>26</v>
      </c>
      <c r="V626" s="6">
        <f>IF(ISERROR(VLOOKUP($S$626,'TAR FIN'!$A$1:$O$85,15,0)),0,VLOOKUP($S$626,'TAR FIN'!$A$1:$O$85,15,0))</f>
        <v>0</v>
      </c>
      <c r="W626" s="6">
        <f>IF(ISERROR(VLOOKUP($T$626,'TAR FIN'!$A$1:$O$85,15,0)),0,VLOOKUP($T$626,'TAR FIN'!$A$1:$O$85,15,0))</f>
        <v>440.1</v>
      </c>
      <c r="X626" s="6">
        <f>IF(ISERROR(VLOOKUP($U$626,'TAR FIN'!$A$1:$O$85,15,0)),0,VLOOKUP($U$626,'TAR FIN'!$A$1:$O$85,15,0))</f>
        <v>223.72</v>
      </c>
      <c r="Y626" s="6"/>
      <c r="Z626" s="6">
        <f ca="1">('TUSD BE'!$AM$48+'TUSD BF'!$AM$48+'TUSD CVA'!$AM$48)*1</f>
        <v>494.3921362494865</v>
      </c>
      <c r="AA626" s="6">
        <f>('TE BE'!$AA$38+'TE BF'!$AA$38+'TE CVA'!$AA$38)*1</f>
        <v>217.62939920622892</v>
      </c>
      <c r="AB626" s="6">
        <f>$K$626*$V$626</f>
        <v>0</v>
      </c>
      <c r="AC626" s="6">
        <f>$M$626*$W$626</f>
        <v>297256.74300000002</v>
      </c>
      <c r="AD626" s="6">
        <f>$O$626*$X$626</f>
        <v>151107.19959999999</v>
      </c>
      <c r="AE626" s="6">
        <f>$K$626*$Y$626</f>
        <v>0</v>
      </c>
      <c r="AF626" s="6">
        <f ca="1">$M$626*$Z$626</f>
        <v>333927.28058699064</v>
      </c>
      <c r="AG626" s="6">
        <f>$O$626*$AA$626</f>
        <v>146993.42510586319</v>
      </c>
    </row>
    <row r="627" spans="1:33" ht="11.25" customHeight="1" x14ac:dyDescent="0.25">
      <c r="A627" s="4" t="s">
        <v>54</v>
      </c>
      <c r="B627" s="4" t="s">
        <v>37</v>
      </c>
      <c r="C627" s="4" t="s">
        <v>23</v>
      </c>
      <c r="D627" s="4" t="s">
        <v>39</v>
      </c>
      <c r="E627" s="4" t="s">
        <v>25</v>
      </c>
      <c r="F627" s="4" t="s">
        <v>25</v>
      </c>
      <c r="G627" s="4" t="s">
        <v>25</v>
      </c>
      <c r="H627" s="4" t="s">
        <v>25</v>
      </c>
      <c r="I627" s="5">
        <v>44621</v>
      </c>
      <c r="J627" s="6">
        <v>0</v>
      </c>
      <c r="K627" s="6">
        <v>0</v>
      </c>
      <c r="L627" s="6">
        <v>-9.0169999999999995</v>
      </c>
      <c r="M627" s="6">
        <v>-9.0169999999999995</v>
      </c>
      <c r="N627" s="6">
        <v>-9.0169999999999995</v>
      </c>
      <c r="O627" s="6">
        <v>-9.0169999999999995</v>
      </c>
      <c r="P627" s="6">
        <v>0</v>
      </c>
      <c r="Q627" s="4" t="s">
        <v>26</v>
      </c>
      <c r="R627" s="4">
        <v>0</v>
      </c>
      <c r="S627" s="6">
        <v>0</v>
      </c>
      <c r="T627" s="6">
        <v>2</v>
      </c>
      <c r="U627" s="6">
        <v>26</v>
      </c>
      <c r="V627" s="6">
        <f>IF(ISERROR(VLOOKUP($S$627,'TAR FIN'!$A$1:$O$85,15,0)),0,VLOOKUP($S$627,'TAR FIN'!$A$1:$O$85,15,0))</f>
        <v>0</v>
      </c>
      <c r="W627" s="6">
        <f>IF(ISERROR(VLOOKUP($T$627,'TAR FIN'!$A$1:$O$85,15,0)),0,VLOOKUP($T$627,'TAR FIN'!$A$1:$O$85,15,0))</f>
        <v>440.1</v>
      </c>
      <c r="X627" s="6">
        <f>IF(ISERROR(VLOOKUP($U$627,'TAR FIN'!$A$1:$O$85,15,0)),0,VLOOKUP($U$627,'TAR FIN'!$A$1:$O$85,15,0))</f>
        <v>223.72</v>
      </c>
      <c r="Y627" s="6"/>
      <c r="Z627" s="6">
        <f ca="1">('TUSD BE'!$AM$48+'TUSD BF'!$AM$48+'TUSD CVA'!$AM$48)*1</f>
        <v>494.3921362494865</v>
      </c>
      <c r="AA627" s="6">
        <f>('TE BE'!$AA$38+'TE BF'!$AA$38+'TE CVA'!$AA$38)*1</f>
        <v>217.62939920622892</v>
      </c>
      <c r="AB627" s="6">
        <f>$K$627*$V$627</f>
        <v>0</v>
      </c>
      <c r="AC627" s="6">
        <f>$M$627*$W$627</f>
        <v>-3968.3816999999999</v>
      </c>
      <c r="AD627" s="6">
        <f>$O$627*$X$627</f>
        <v>-2017.28324</v>
      </c>
      <c r="AE627" s="6">
        <f>$K$627*$Y$627</f>
        <v>0</v>
      </c>
      <c r="AF627" s="6">
        <f ca="1">$M$627*$Z$627</f>
        <v>-4457.9338925616194</v>
      </c>
      <c r="AG627" s="6">
        <f>$O$627*$AA$627</f>
        <v>-1962.3642926425662</v>
      </c>
    </row>
    <row r="628" spans="1:33" ht="11.25" customHeight="1" x14ac:dyDescent="0.25">
      <c r="A628" s="4" t="s">
        <v>54</v>
      </c>
      <c r="B628" s="4" t="s">
        <v>37</v>
      </c>
      <c r="C628" s="4" t="s">
        <v>23</v>
      </c>
      <c r="D628" s="4" t="s">
        <v>39</v>
      </c>
      <c r="E628" s="4" t="s">
        <v>25</v>
      </c>
      <c r="F628" s="4" t="s">
        <v>25</v>
      </c>
      <c r="G628" s="4" t="s">
        <v>25</v>
      </c>
      <c r="H628" s="4" t="s">
        <v>25</v>
      </c>
      <c r="I628" s="5">
        <v>44621</v>
      </c>
      <c r="J628" s="6">
        <v>0</v>
      </c>
      <c r="K628" s="6">
        <v>0</v>
      </c>
      <c r="L628" s="6">
        <v>23.11</v>
      </c>
      <c r="M628" s="6">
        <v>23.11</v>
      </c>
      <c r="N628" s="6">
        <v>23.11</v>
      </c>
      <c r="O628" s="6">
        <v>23.11</v>
      </c>
      <c r="P628" s="6">
        <v>14</v>
      </c>
      <c r="Q628" s="4" t="s">
        <v>26</v>
      </c>
      <c r="R628" s="4">
        <v>0</v>
      </c>
      <c r="S628" s="6">
        <v>0</v>
      </c>
      <c r="T628" s="6">
        <v>2</v>
      </c>
      <c r="U628" s="6">
        <v>26</v>
      </c>
      <c r="V628" s="6">
        <f>IF(ISERROR(VLOOKUP($S$628,'TAR FIN'!$A$1:$O$85,15,0)),0,VLOOKUP($S$628,'TAR FIN'!$A$1:$O$85,15,0))</f>
        <v>0</v>
      </c>
      <c r="W628" s="6">
        <f>IF(ISERROR(VLOOKUP($T$628,'TAR FIN'!$A$1:$O$85,15,0)),0,VLOOKUP($T$628,'TAR FIN'!$A$1:$O$85,15,0))</f>
        <v>440.1</v>
      </c>
      <c r="X628" s="6">
        <f>IF(ISERROR(VLOOKUP($U$628,'TAR FIN'!$A$1:$O$85,15,0)),0,VLOOKUP($U$628,'TAR FIN'!$A$1:$O$85,15,0))</f>
        <v>223.72</v>
      </c>
      <c r="Y628" s="6"/>
      <c r="Z628" s="6">
        <f ca="1">('TUSD BE'!$AM$48+'TUSD BF'!$AM$48+'TUSD CVA'!$AM$48)*1</f>
        <v>494.3921362494865</v>
      </c>
      <c r="AA628" s="6">
        <f>('TE BE'!$AA$38+'TE BF'!$AA$38+'TE CVA'!$AA$38)*1</f>
        <v>217.62939920622892</v>
      </c>
      <c r="AB628" s="6">
        <f>$K$628*$V$628</f>
        <v>0</v>
      </c>
      <c r="AC628" s="6">
        <f>$M$628*$W$628</f>
        <v>10170.711000000001</v>
      </c>
      <c r="AD628" s="6">
        <f>$O$628*$X$628</f>
        <v>5170.1692000000003</v>
      </c>
      <c r="AE628" s="6">
        <f>$K$628*$Y$628</f>
        <v>0</v>
      </c>
      <c r="AF628" s="6">
        <f ca="1">$M$628*$Z$628</f>
        <v>11425.402268725633</v>
      </c>
      <c r="AG628" s="6">
        <f>$O$628*$AA$628</f>
        <v>5029.4154156559507</v>
      </c>
    </row>
    <row r="629" spans="1:33" ht="11.25" customHeight="1" x14ac:dyDescent="0.25">
      <c r="A629" s="4" t="s">
        <v>21</v>
      </c>
      <c r="B629" s="4" t="s">
        <v>37</v>
      </c>
      <c r="C629" s="4" t="s">
        <v>23</v>
      </c>
      <c r="D629" s="4" t="s">
        <v>38</v>
      </c>
      <c r="E629" s="4" t="s">
        <v>25</v>
      </c>
      <c r="F629" s="4" t="s">
        <v>25</v>
      </c>
      <c r="G629" s="4" t="s">
        <v>25</v>
      </c>
      <c r="H629" s="4" t="s">
        <v>25</v>
      </c>
      <c r="I629" s="5">
        <v>44287</v>
      </c>
      <c r="J629" s="6">
        <v>0</v>
      </c>
      <c r="K629" s="6">
        <v>0</v>
      </c>
      <c r="L629" s="6">
        <v>53.07</v>
      </c>
      <c r="M629" s="6">
        <v>53.07</v>
      </c>
      <c r="N629" s="6">
        <v>53.07</v>
      </c>
      <c r="O629" s="6">
        <v>53.07</v>
      </c>
      <c r="P629" s="6">
        <v>23</v>
      </c>
      <c r="Q629" s="4" t="s">
        <v>26</v>
      </c>
      <c r="R629" s="4">
        <v>0</v>
      </c>
      <c r="S629" s="6">
        <v>0</v>
      </c>
      <c r="T629" s="6">
        <v>2</v>
      </c>
      <c r="U629" s="6">
        <v>26</v>
      </c>
      <c r="V629" s="6">
        <f>IF(ISERROR(VLOOKUP($S$629,'TAR FIN'!$A$1:$O$85,15,0)),0,VLOOKUP($S$629,'TAR FIN'!$A$1:$O$85,15,0))</f>
        <v>0</v>
      </c>
      <c r="W629" s="6">
        <f>IF(ISERROR(VLOOKUP($T$629,'TAR FIN'!$A$1:$O$85,15,0)),0,VLOOKUP($T$629,'TAR FIN'!$A$1:$O$85,15,0))</f>
        <v>440.1</v>
      </c>
      <c r="X629" s="6">
        <f>IF(ISERROR(VLOOKUP($U$629,'TAR FIN'!$A$1:$O$85,15,0)),0,VLOOKUP($U$629,'TAR FIN'!$A$1:$O$85,15,0))</f>
        <v>223.72</v>
      </c>
      <c r="Y629" s="6"/>
      <c r="Z629" s="6">
        <f ca="1">('TUSD BE'!$AM$48+'TUSD BF'!$AM$48+'TUSD CVA'!$AM$48)*1</f>
        <v>494.3921362494865</v>
      </c>
      <c r="AA629" s="6">
        <f>('TE BE'!$AA$38+'TE BF'!$AA$38+'TE CVA'!$AA$38)*1</f>
        <v>217.62939920622892</v>
      </c>
      <c r="AB629" s="6">
        <f>$K$629*$V$629</f>
        <v>0</v>
      </c>
      <c r="AC629" s="6">
        <f>$M$629*$W$629</f>
        <v>23356.107</v>
      </c>
      <c r="AD629" s="6">
        <f>$O$629*$X$629</f>
        <v>11872.820400000001</v>
      </c>
      <c r="AE629" s="6">
        <f>$K$629*$Y$629</f>
        <v>0</v>
      </c>
      <c r="AF629" s="6">
        <f ca="1">$M$629*$Z$629</f>
        <v>26237.390670760247</v>
      </c>
      <c r="AG629" s="6">
        <f>$O$629*$AA$629</f>
        <v>11549.592215874569</v>
      </c>
    </row>
    <row r="630" spans="1:33" ht="11.25" customHeight="1" x14ac:dyDescent="0.25">
      <c r="A630" s="4" t="s">
        <v>21</v>
      </c>
      <c r="B630" s="4" t="s">
        <v>37</v>
      </c>
      <c r="C630" s="4" t="s">
        <v>23</v>
      </c>
      <c r="D630" s="4" t="s">
        <v>38</v>
      </c>
      <c r="E630" s="4" t="s">
        <v>25</v>
      </c>
      <c r="F630" s="4" t="s">
        <v>25</v>
      </c>
      <c r="G630" s="4" t="s">
        <v>25</v>
      </c>
      <c r="H630" s="4" t="s">
        <v>25</v>
      </c>
      <c r="I630" s="5">
        <v>44317</v>
      </c>
      <c r="J630" s="6">
        <v>0</v>
      </c>
      <c r="K630" s="6">
        <v>0</v>
      </c>
      <c r="L630" s="6">
        <v>70.343000000000004</v>
      </c>
      <c r="M630" s="6">
        <v>70.343000000000004</v>
      </c>
      <c r="N630" s="6">
        <v>70.343000000000004</v>
      </c>
      <c r="O630" s="6">
        <v>70.343000000000004</v>
      </c>
      <c r="P630" s="6">
        <v>25</v>
      </c>
      <c r="Q630" s="4" t="s">
        <v>26</v>
      </c>
      <c r="R630" s="4">
        <v>0</v>
      </c>
      <c r="S630" s="6">
        <v>0</v>
      </c>
      <c r="T630" s="6">
        <v>2</v>
      </c>
      <c r="U630" s="6">
        <v>26</v>
      </c>
      <c r="V630" s="6">
        <f>IF(ISERROR(VLOOKUP($S$630,'TAR FIN'!$A$1:$O$85,15,0)),0,VLOOKUP($S$630,'TAR FIN'!$A$1:$O$85,15,0))</f>
        <v>0</v>
      </c>
      <c r="W630" s="6">
        <f>IF(ISERROR(VLOOKUP($T$630,'TAR FIN'!$A$1:$O$85,15,0)),0,VLOOKUP($T$630,'TAR FIN'!$A$1:$O$85,15,0))</f>
        <v>440.1</v>
      </c>
      <c r="X630" s="6">
        <f>IF(ISERROR(VLOOKUP($U$630,'TAR FIN'!$A$1:$O$85,15,0)),0,VLOOKUP($U$630,'TAR FIN'!$A$1:$O$85,15,0))</f>
        <v>223.72</v>
      </c>
      <c r="Y630" s="6"/>
      <c r="Z630" s="6">
        <f ca="1">('TUSD BE'!$AM$48+'TUSD BF'!$AM$48+'TUSD CVA'!$AM$48)*1</f>
        <v>494.3921362494865</v>
      </c>
      <c r="AA630" s="6">
        <f>('TE BE'!$AA$38+'TE BF'!$AA$38+'TE CVA'!$AA$38)*1</f>
        <v>217.62939920622892</v>
      </c>
      <c r="AB630" s="6">
        <f>$K$630*$V$630</f>
        <v>0</v>
      </c>
      <c r="AC630" s="6">
        <f>$M$630*$W$630</f>
        <v>30957.954300000005</v>
      </c>
      <c r="AD630" s="6">
        <f>$O$630*$X$630</f>
        <v>15737.135960000001</v>
      </c>
      <c r="AE630" s="6">
        <f>$K$630*$Y$630</f>
        <v>0</v>
      </c>
      <c r="AF630" s="6">
        <f ca="1">$M$630*$Z$630</f>
        <v>34777.026040197634</v>
      </c>
      <c r="AG630" s="6">
        <f>$O$630*$AA$630</f>
        <v>15308.704828363761</v>
      </c>
    </row>
    <row r="631" spans="1:33" ht="11.25" customHeight="1" x14ac:dyDescent="0.25">
      <c r="A631" s="4" t="s">
        <v>21</v>
      </c>
      <c r="B631" s="4" t="s">
        <v>37</v>
      </c>
      <c r="C631" s="4" t="s">
        <v>23</v>
      </c>
      <c r="D631" s="4" t="s">
        <v>38</v>
      </c>
      <c r="E631" s="4" t="s">
        <v>25</v>
      </c>
      <c r="F631" s="4" t="s">
        <v>25</v>
      </c>
      <c r="G631" s="4" t="s">
        <v>25</v>
      </c>
      <c r="H631" s="4" t="s">
        <v>25</v>
      </c>
      <c r="I631" s="5">
        <v>44348</v>
      </c>
      <c r="J631" s="6">
        <v>0</v>
      </c>
      <c r="K631" s="6">
        <v>0</v>
      </c>
      <c r="L631" s="6">
        <v>51.085999999999999</v>
      </c>
      <c r="M631" s="6">
        <v>51.085999999999999</v>
      </c>
      <c r="N631" s="6">
        <v>51.085999999999999</v>
      </c>
      <c r="O631" s="6">
        <v>51.085999999999999</v>
      </c>
      <c r="P631" s="6">
        <v>25</v>
      </c>
      <c r="Q631" s="4" t="s">
        <v>26</v>
      </c>
      <c r="R631" s="4">
        <v>0</v>
      </c>
      <c r="S631" s="6">
        <v>0</v>
      </c>
      <c r="T631" s="6">
        <v>2</v>
      </c>
      <c r="U631" s="6">
        <v>26</v>
      </c>
      <c r="V631" s="6">
        <f>IF(ISERROR(VLOOKUP($S$631,'TAR FIN'!$A$1:$O$85,15,0)),0,VLOOKUP($S$631,'TAR FIN'!$A$1:$O$85,15,0))</f>
        <v>0</v>
      </c>
      <c r="W631" s="6">
        <f>IF(ISERROR(VLOOKUP($T$631,'TAR FIN'!$A$1:$O$85,15,0)),0,VLOOKUP($T$631,'TAR FIN'!$A$1:$O$85,15,0))</f>
        <v>440.1</v>
      </c>
      <c r="X631" s="6">
        <f>IF(ISERROR(VLOOKUP($U$631,'TAR FIN'!$A$1:$O$85,15,0)),0,VLOOKUP($U$631,'TAR FIN'!$A$1:$O$85,15,0))</f>
        <v>223.72</v>
      </c>
      <c r="Y631" s="6"/>
      <c r="Z631" s="6">
        <f ca="1">('TUSD BE'!$AM$48+'TUSD BF'!$AM$48+'TUSD CVA'!$AM$48)*1</f>
        <v>494.3921362494865</v>
      </c>
      <c r="AA631" s="6">
        <f>('TE BE'!$AA$38+'TE BF'!$AA$38+'TE CVA'!$AA$38)*1</f>
        <v>217.62939920622892</v>
      </c>
      <c r="AB631" s="6">
        <f>$K$631*$V$631</f>
        <v>0</v>
      </c>
      <c r="AC631" s="6">
        <f>$M$631*$W$631</f>
        <v>22482.9486</v>
      </c>
      <c r="AD631" s="6">
        <f>$O$631*$X$631</f>
        <v>11428.959919999999</v>
      </c>
      <c r="AE631" s="6">
        <f>$K$631*$Y$631</f>
        <v>0</v>
      </c>
      <c r="AF631" s="6">
        <f ca="1">$M$631*$Z$631</f>
        <v>25256.516672441267</v>
      </c>
      <c r="AG631" s="6">
        <f>$O$631*$AA$631</f>
        <v>11117.81548784941</v>
      </c>
    </row>
    <row r="632" spans="1:33" ht="11.25" customHeight="1" x14ac:dyDescent="0.25">
      <c r="A632" s="4" t="s">
        <v>21</v>
      </c>
      <c r="B632" s="4" t="s">
        <v>37</v>
      </c>
      <c r="C632" s="4" t="s">
        <v>23</v>
      </c>
      <c r="D632" s="4" t="s">
        <v>38</v>
      </c>
      <c r="E632" s="4" t="s">
        <v>25</v>
      </c>
      <c r="F632" s="4" t="s">
        <v>25</v>
      </c>
      <c r="G632" s="4" t="s">
        <v>25</v>
      </c>
      <c r="H632" s="4" t="s">
        <v>25</v>
      </c>
      <c r="I632" s="5">
        <v>44378</v>
      </c>
      <c r="J632" s="6">
        <v>0</v>
      </c>
      <c r="K632" s="6">
        <v>0</v>
      </c>
      <c r="L632" s="6">
        <v>50.176000000000002</v>
      </c>
      <c r="M632" s="6">
        <v>50.176000000000002</v>
      </c>
      <c r="N632" s="6">
        <v>50.176000000000002</v>
      </c>
      <c r="O632" s="6">
        <v>50.176000000000002</v>
      </c>
      <c r="P632" s="6">
        <v>25</v>
      </c>
      <c r="Q632" s="4" t="s">
        <v>26</v>
      </c>
      <c r="R632" s="4">
        <v>0</v>
      </c>
      <c r="S632" s="6">
        <v>0</v>
      </c>
      <c r="T632" s="6">
        <v>2</v>
      </c>
      <c r="U632" s="6">
        <v>26</v>
      </c>
      <c r="V632" s="6">
        <f>IF(ISERROR(VLOOKUP($S$632,'TAR FIN'!$A$1:$O$85,15,0)),0,VLOOKUP($S$632,'TAR FIN'!$A$1:$O$85,15,0))</f>
        <v>0</v>
      </c>
      <c r="W632" s="6">
        <f>IF(ISERROR(VLOOKUP($T$632,'TAR FIN'!$A$1:$O$85,15,0)),0,VLOOKUP($T$632,'TAR FIN'!$A$1:$O$85,15,0))</f>
        <v>440.1</v>
      </c>
      <c r="X632" s="6">
        <f>IF(ISERROR(VLOOKUP($U$632,'TAR FIN'!$A$1:$O$85,15,0)),0,VLOOKUP($U$632,'TAR FIN'!$A$1:$O$85,15,0))</f>
        <v>223.72</v>
      </c>
      <c r="Y632" s="6"/>
      <c r="Z632" s="6">
        <f ca="1">('TUSD BE'!$AM$48+'TUSD BF'!$AM$48+'TUSD CVA'!$AM$48)*1</f>
        <v>494.3921362494865</v>
      </c>
      <c r="AA632" s="6">
        <f>('TE BE'!$AA$38+'TE BF'!$AA$38+'TE CVA'!$AA$38)*1</f>
        <v>217.62939920622892</v>
      </c>
      <c r="AB632" s="6">
        <f>$K$632*$V$632</f>
        <v>0</v>
      </c>
      <c r="AC632" s="6">
        <f>$M$632*$W$632</f>
        <v>22082.457600000002</v>
      </c>
      <c r="AD632" s="6">
        <f>$O$632*$X$632</f>
        <v>11225.37472</v>
      </c>
      <c r="AE632" s="6">
        <f>$K$632*$Y$632</f>
        <v>0</v>
      </c>
      <c r="AF632" s="6">
        <f ca="1">$M$632*$Z$632</f>
        <v>24806.619828454237</v>
      </c>
      <c r="AG632" s="6">
        <f>$O$632*$AA$632</f>
        <v>10919.772734571743</v>
      </c>
    </row>
    <row r="633" spans="1:33" ht="11.25" customHeight="1" x14ac:dyDescent="0.25">
      <c r="A633" s="4" t="s">
        <v>21</v>
      </c>
      <c r="B633" s="4" t="s">
        <v>37</v>
      </c>
      <c r="C633" s="4" t="s">
        <v>23</v>
      </c>
      <c r="D633" s="4" t="s">
        <v>38</v>
      </c>
      <c r="E633" s="4" t="s">
        <v>25</v>
      </c>
      <c r="F633" s="4" t="s">
        <v>25</v>
      </c>
      <c r="G633" s="4" t="s">
        <v>25</v>
      </c>
      <c r="H633" s="4" t="s">
        <v>25</v>
      </c>
      <c r="I633" s="5">
        <v>44409</v>
      </c>
      <c r="J633" s="6">
        <v>0</v>
      </c>
      <c r="K633" s="6">
        <v>0</v>
      </c>
      <c r="L633" s="6">
        <v>56.345999999999997</v>
      </c>
      <c r="M633" s="6">
        <v>56.345999999999997</v>
      </c>
      <c r="N633" s="6">
        <v>56.345999999999997</v>
      </c>
      <c r="O633" s="6">
        <v>56.345999999999997</v>
      </c>
      <c r="P633" s="6">
        <v>25</v>
      </c>
      <c r="Q633" s="4" t="s">
        <v>26</v>
      </c>
      <c r="R633" s="4">
        <v>0</v>
      </c>
      <c r="S633" s="6">
        <v>0</v>
      </c>
      <c r="T633" s="6">
        <v>2</v>
      </c>
      <c r="U633" s="6">
        <v>26</v>
      </c>
      <c r="V633" s="6">
        <f>IF(ISERROR(VLOOKUP($S$633,'TAR FIN'!$A$1:$O$85,15,0)),0,VLOOKUP($S$633,'TAR FIN'!$A$1:$O$85,15,0))</f>
        <v>0</v>
      </c>
      <c r="W633" s="6">
        <f>IF(ISERROR(VLOOKUP($T$633,'TAR FIN'!$A$1:$O$85,15,0)),0,VLOOKUP($T$633,'TAR FIN'!$A$1:$O$85,15,0))</f>
        <v>440.1</v>
      </c>
      <c r="X633" s="6">
        <f>IF(ISERROR(VLOOKUP($U$633,'TAR FIN'!$A$1:$O$85,15,0)),0,VLOOKUP($U$633,'TAR FIN'!$A$1:$O$85,15,0))</f>
        <v>223.72</v>
      </c>
      <c r="Y633" s="6"/>
      <c r="Z633" s="6">
        <f ca="1">('TUSD BE'!$AM$48+'TUSD BF'!$AM$48+'TUSD CVA'!$AM$48)*1</f>
        <v>494.3921362494865</v>
      </c>
      <c r="AA633" s="6">
        <f>('TE BE'!$AA$38+'TE BF'!$AA$38+'TE CVA'!$AA$38)*1</f>
        <v>217.62939920622892</v>
      </c>
      <c r="AB633" s="6">
        <f>$K$633*$V$633</f>
        <v>0</v>
      </c>
      <c r="AC633" s="6">
        <f>$M$633*$W$633</f>
        <v>24797.874599999999</v>
      </c>
      <c r="AD633" s="6">
        <f>$O$633*$X$633</f>
        <v>12605.72712</v>
      </c>
      <c r="AE633" s="6">
        <f>$K$633*$Y$633</f>
        <v>0</v>
      </c>
      <c r="AF633" s="6">
        <f ca="1">$M$633*$Z$633</f>
        <v>27857.019309113566</v>
      </c>
      <c r="AG633" s="6">
        <f>$O$633*$AA$633</f>
        <v>12262.546127674173</v>
      </c>
    </row>
    <row r="634" spans="1:33" ht="11.25" customHeight="1" x14ac:dyDescent="0.25">
      <c r="A634" s="4" t="s">
        <v>21</v>
      </c>
      <c r="B634" s="4" t="s">
        <v>37</v>
      </c>
      <c r="C634" s="4" t="s">
        <v>23</v>
      </c>
      <c r="D634" s="4" t="s">
        <v>38</v>
      </c>
      <c r="E634" s="4" t="s">
        <v>25</v>
      </c>
      <c r="F634" s="4" t="s">
        <v>25</v>
      </c>
      <c r="G634" s="4" t="s">
        <v>25</v>
      </c>
      <c r="H634" s="4" t="s">
        <v>25</v>
      </c>
      <c r="I634" s="5">
        <v>44440</v>
      </c>
      <c r="J634" s="6">
        <v>0</v>
      </c>
      <c r="K634" s="6">
        <v>0</v>
      </c>
      <c r="L634" s="6">
        <v>62.942999999999998</v>
      </c>
      <c r="M634" s="6">
        <v>62.942999999999998</v>
      </c>
      <c r="N634" s="6">
        <v>62.942999999999998</v>
      </c>
      <c r="O634" s="6">
        <v>62.942999999999998</v>
      </c>
      <c r="P634" s="6">
        <v>25</v>
      </c>
      <c r="Q634" s="4" t="s">
        <v>26</v>
      </c>
      <c r="R634" s="4">
        <v>0</v>
      </c>
      <c r="S634" s="6">
        <v>0</v>
      </c>
      <c r="T634" s="6">
        <v>2</v>
      </c>
      <c r="U634" s="6">
        <v>26</v>
      </c>
      <c r="V634" s="6">
        <f>IF(ISERROR(VLOOKUP($S$634,'TAR FIN'!$A$1:$O$85,15,0)),0,VLOOKUP($S$634,'TAR FIN'!$A$1:$O$85,15,0))</f>
        <v>0</v>
      </c>
      <c r="W634" s="6">
        <f>IF(ISERROR(VLOOKUP($T$634,'TAR FIN'!$A$1:$O$85,15,0)),0,VLOOKUP($T$634,'TAR FIN'!$A$1:$O$85,15,0))</f>
        <v>440.1</v>
      </c>
      <c r="X634" s="6">
        <f>IF(ISERROR(VLOOKUP($U$634,'TAR FIN'!$A$1:$O$85,15,0)),0,VLOOKUP($U$634,'TAR FIN'!$A$1:$O$85,15,0))</f>
        <v>223.72</v>
      </c>
      <c r="Y634" s="6"/>
      <c r="Z634" s="6">
        <f ca="1">('TUSD BE'!$AM$48+'TUSD BF'!$AM$48+'TUSD CVA'!$AM$48)*1</f>
        <v>494.3921362494865</v>
      </c>
      <c r="AA634" s="6">
        <f>('TE BE'!$AA$38+'TE BF'!$AA$38+'TE CVA'!$AA$38)*1</f>
        <v>217.62939920622892</v>
      </c>
      <c r="AB634" s="6">
        <f>$K$634*$V$634</f>
        <v>0</v>
      </c>
      <c r="AC634" s="6">
        <f>$M$634*$W$634</f>
        <v>27701.2143</v>
      </c>
      <c r="AD634" s="6">
        <f>$O$634*$X$634</f>
        <v>14081.607959999999</v>
      </c>
      <c r="AE634" s="6">
        <f>$K$634*$Y$634</f>
        <v>0</v>
      </c>
      <c r="AF634" s="6">
        <f ca="1">$M$634*$Z$634</f>
        <v>31118.524231951429</v>
      </c>
      <c r="AG634" s="6">
        <f>$O$634*$AA$634</f>
        <v>13698.247274237667</v>
      </c>
    </row>
    <row r="635" spans="1:33" ht="11.25" customHeight="1" x14ac:dyDescent="0.25">
      <c r="A635" s="4" t="s">
        <v>21</v>
      </c>
      <c r="B635" s="4" t="s">
        <v>37</v>
      </c>
      <c r="C635" s="4" t="s">
        <v>23</v>
      </c>
      <c r="D635" s="4" t="s">
        <v>38</v>
      </c>
      <c r="E635" s="4" t="s">
        <v>25</v>
      </c>
      <c r="F635" s="4" t="s">
        <v>25</v>
      </c>
      <c r="G635" s="4" t="s">
        <v>25</v>
      </c>
      <c r="H635" s="4" t="s">
        <v>25</v>
      </c>
      <c r="I635" s="5">
        <v>44470</v>
      </c>
      <c r="J635" s="6">
        <v>0</v>
      </c>
      <c r="K635" s="6">
        <v>0</v>
      </c>
      <c r="L635" s="6">
        <v>54.314</v>
      </c>
      <c r="M635" s="6">
        <v>54.314</v>
      </c>
      <c r="N635" s="6">
        <v>54.314</v>
      </c>
      <c r="O635" s="6">
        <v>54.314</v>
      </c>
      <c r="P635" s="6">
        <v>25</v>
      </c>
      <c r="Q635" s="4" t="s">
        <v>26</v>
      </c>
      <c r="R635" s="4">
        <v>0</v>
      </c>
      <c r="S635" s="6">
        <v>0</v>
      </c>
      <c r="T635" s="6">
        <v>2</v>
      </c>
      <c r="U635" s="6">
        <v>26</v>
      </c>
      <c r="V635" s="6">
        <f>IF(ISERROR(VLOOKUP($S$635,'TAR FIN'!$A$1:$O$85,15,0)),0,VLOOKUP($S$635,'TAR FIN'!$A$1:$O$85,15,0))</f>
        <v>0</v>
      </c>
      <c r="W635" s="6">
        <f>IF(ISERROR(VLOOKUP($T$635,'TAR FIN'!$A$1:$O$85,15,0)),0,VLOOKUP($T$635,'TAR FIN'!$A$1:$O$85,15,0))</f>
        <v>440.1</v>
      </c>
      <c r="X635" s="6">
        <f>IF(ISERROR(VLOOKUP($U$635,'TAR FIN'!$A$1:$O$85,15,0)),0,VLOOKUP($U$635,'TAR FIN'!$A$1:$O$85,15,0))</f>
        <v>223.72</v>
      </c>
      <c r="Y635" s="6"/>
      <c r="Z635" s="6">
        <f ca="1">('TUSD BE'!$AM$48+'TUSD BF'!$AM$48+'TUSD CVA'!$AM$48)*1</f>
        <v>494.3921362494865</v>
      </c>
      <c r="AA635" s="6">
        <f>('TE BE'!$AA$38+'TE BF'!$AA$38+'TE CVA'!$AA$38)*1</f>
        <v>217.62939920622892</v>
      </c>
      <c r="AB635" s="6">
        <f>$K$635*$V$635</f>
        <v>0</v>
      </c>
      <c r="AC635" s="6">
        <f>$M$635*$W$635</f>
        <v>23903.591400000001</v>
      </c>
      <c r="AD635" s="6">
        <f>$O$635*$X$635</f>
        <v>12151.12808</v>
      </c>
      <c r="AE635" s="6">
        <f>$K$635*$Y$635</f>
        <v>0</v>
      </c>
      <c r="AF635" s="6">
        <f ca="1">$M$635*$Z$635</f>
        <v>26852.41448825461</v>
      </c>
      <c r="AG635" s="6">
        <f>$O$635*$AA$635</f>
        <v>11820.323188487118</v>
      </c>
    </row>
    <row r="636" spans="1:33" ht="11.25" customHeight="1" x14ac:dyDescent="0.25">
      <c r="A636" s="4" t="s">
        <v>21</v>
      </c>
      <c r="B636" s="4" t="s">
        <v>37</v>
      </c>
      <c r="C636" s="4" t="s">
        <v>23</v>
      </c>
      <c r="D636" s="4" t="s">
        <v>38</v>
      </c>
      <c r="E636" s="4" t="s">
        <v>25</v>
      </c>
      <c r="F636" s="4" t="s">
        <v>25</v>
      </c>
      <c r="G636" s="4" t="s">
        <v>25</v>
      </c>
      <c r="H636" s="4" t="s">
        <v>25</v>
      </c>
      <c r="I636" s="5">
        <v>44501</v>
      </c>
      <c r="J636" s="6">
        <v>0</v>
      </c>
      <c r="K636" s="6">
        <v>0</v>
      </c>
      <c r="L636" s="6">
        <v>54.893999999999998</v>
      </c>
      <c r="M636" s="6">
        <v>54.893999999999998</v>
      </c>
      <c r="N636" s="6">
        <v>54.893999999999998</v>
      </c>
      <c r="O636" s="6">
        <v>54.893999999999998</v>
      </c>
      <c r="P636" s="6">
        <v>24</v>
      </c>
      <c r="Q636" s="4" t="s">
        <v>26</v>
      </c>
      <c r="R636" s="4">
        <v>0</v>
      </c>
      <c r="S636" s="6">
        <v>0</v>
      </c>
      <c r="T636" s="6">
        <v>2</v>
      </c>
      <c r="U636" s="6">
        <v>26</v>
      </c>
      <c r="V636" s="6">
        <f>IF(ISERROR(VLOOKUP($S$636,'TAR FIN'!$A$1:$O$85,15,0)),0,VLOOKUP($S$636,'TAR FIN'!$A$1:$O$85,15,0))</f>
        <v>0</v>
      </c>
      <c r="W636" s="6">
        <f>IF(ISERROR(VLOOKUP($T$636,'TAR FIN'!$A$1:$O$85,15,0)),0,VLOOKUP($T$636,'TAR FIN'!$A$1:$O$85,15,0))</f>
        <v>440.1</v>
      </c>
      <c r="X636" s="6">
        <f>IF(ISERROR(VLOOKUP($U$636,'TAR FIN'!$A$1:$O$85,15,0)),0,VLOOKUP($U$636,'TAR FIN'!$A$1:$O$85,15,0))</f>
        <v>223.72</v>
      </c>
      <c r="Y636" s="6"/>
      <c r="Z636" s="6">
        <f ca="1">('TUSD BE'!$AM$48+'TUSD BF'!$AM$48+'TUSD CVA'!$AM$48)*1</f>
        <v>494.3921362494865</v>
      </c>
      <c r="AA636" s="6">
        <f>('TE BE'!$AA$38+'TE BF'!$AA$38+'TE CVA'!$AA$38)*1</f>
        <v>217.62939920622892</v>
      </c>
      <c r="AB636" s="6">
        <f>$K$636*$V$636</f>
        <v>0</v>
      </c>
      <c r="AC636" s="6">
        <f>$M$636*$W$636</f>
        <v>24158.849399999999</v>
      </c>
      <c r="AD636" s="6">
        <f>$O$636*$X$636</f>
        <v>12280.885679999999</v>
      </c>
      <c r="AE636" s="6">
        <f>$K$636*$Y$636</f>
        <v>0</v>
      </c>
      <c r="AF636" s="6">
        <f ca="1">$M$636*$Z$636</f>
        <v>27139.16192727931</v>
      </c>
      <c r="AG636" s="6">
        <f>$O$636*$AA$636</f>
        <v>11946.54824002673</v>
      </c>
    </row>
    <row r="637" spans="1:33" ht="11.25" customHeight="1" x14ac:dyDescent="0.25">
      <c r="A637" s="4" t="s">
        <v>28</v>
      </c>
      <c r="B637" s="4" t="s">
        <v>37</v>
      </c>
      <c r="C637" s="4" t="s">
        <v>23</v>
      </c>
      <c r="D637" s="4" t="s">
        <v>38</v>
      </c>
      <c r="E637" s="4" t="s">
        <v>25</v>
      </c>
      <c r="F637" s="4" t="s">
        <v>25</v>
      </c>
      <c r="G637" s="4" t="s">
        <v>25</v>
      </c>
      <c r="H637" s="4" t="s">
        <v>25</v>
      </c>
      <c r="I637" s="5">
        <v>44501</v>
      </c>
      <c r="J637" s="6">
        <v>0</v>
      </c>
      <c r="K637" s="6">
        <v>0</v>
      </c>
      <c r="L637" s="6">
        <v>0.1</v>
      </c>
      <c r="M637" s="6">
        <v>0.1</v>
      </c>
      <c r="N637" s="6">
        <v>0.1</v>
      </c>
      <c r="O637" s="6">
        <v>0.1</v>
      </c>
      <c r="P637" s="6">
        <v>1</v>
      </c>
      <c r="Q637" s="4" t="s">
        <v>26</v>
      </c>
      <c r="R637" s="4">
        <v>0</v>
      </c>
      <c r="S637" s="6">
        <v>0</v>
      </c>
      <c r="T637" s="6">
        <v>2</v>
      </c>
      <c r="U637" s="6">
        <v>26</v>
      </c>
      <c r="V637" s="6">
        <f>IF(ISERROR(VLOOKUP($S$637,'TAR FIN'!$A$1:$O$85,15,0)),0,VLOOKUP($S$637,'TAR FIN'!$A$1:$O$85,15,0))</f>
        <v>0</v>
      </c>
      <c r="W637" s="6">
        <f>IF(ISERROR(VLOOKUP($T$637,'TAR FIN'!$A$1:$O$85,15,0)),0,VLOOKUP($T$637,'TAR FIN'!$A$1:$O$85,15,0))</f>
        <v>440.1</v>
      </c>
      <c r="X637" s="6">
        <f>IF(ISERROR(VLOOKUP($U$637,'TAR FIN'!$A$1:$O$85,15,0)),0,VLOOKUP($U$637,'TAR FIN'!$A$1:$O$85,15,0))</f>
        <v>223.72</v>
      </c>
      <c r="Y637" s="6"/>
      <c r="Z637" s="6">
        <f ca="1">('TUSD BE'!$AM$48+'TUSD BF'!$AM$48+'TUSD CVA'!$AM$48)*1</f>
        <v>494.3921362494865</v>
      </c>
      <c r="AA637" s="6">
        <f>('TE BE'!$AA$38+'TE BF'!$AA$38+'TE CVA'!$AA$38)*1</f>
        <v>217.62939920622892</v>
      </c>
      <c r="AB637" s="6">
        <f>$K$637*$V$637</f>
        <v>0</v>
      </c>
      <c r="AC637" s="6">
        <f>$M$637*$W$637</f>
        <v>44.010000000000005</v>
      </c>
      <c r="AD637" s="6">
        <f>$O$637*$X$637</f>
        <v>22.372</v>
      </c>
      <c r="AE637" s="6">
        <f>$K$637*$Y$637</f>
        <v>0</v>
      </c>
      <c r="AF637" s="6">
        <f ca="1">$M$637*$Z$637</f>
        <v>49.43921362494865</v>
      </c>
      <c r="AG637" s="6">
        <f>$O$637*$AA$637</f>
        <v>21.762939920622895</v>
      </c>
    </row>
    <row r="638" spans="1:33" ht="11.25" customHeight="1" x14ac:dyDescent="0.25">
      <c r="A638" s="4" t="s">
        <v>21</v>
      </c>
      <c r="B638" s="4" t="s">
        <v>37</v>
      </c>
      <c r="C638" s="4" t="s">
        <v>23</v>
      </c>
      <c r="D638" s="4" t="s">
        <v>38</v>
      </c>
      <c r="E638" s="4" t="s">
        <v>25</v>
      </c>
      <c r="F638" s="4" t="s">
        <v>25</v>
      </c>
      <c r="G638" s="4" t="s">
        <v>25</v>
      </c>
      <c r="H638" s="4" t="s">
        <v>25</v>
      </c>
      <c r="I638" s="5">
        <v>44531</v>
      </c>
      <c r="J638" s="6">
        <v>0</v>
      </c>
      <c r="K638" s="6">
        <v>0</v>
      </c>
      <c r="L638" s="6">
        <v>45.625</v>
      </c>
      <c r="M638" s="6">
        <v>45.625</v>
      </c>
      <c r="N638" s="6">
        <v>45.625</v>
      </c>
      <c r="O638" s="6">
        <v>45.625</v>
      </c>
      <c r="P638" s="6">
        <v>24</v>
      </c>
      <c r="Q638" s="4" t="s">
        <v>26</v>
      </c>
      <c r="R638" s="4">
        <v>0</v>
      </c>
      <c r="S638" s="6">
        <v>0</v>
      </c>
      <c r="T638" s="6">
        <v>2</v>
      </c>
      <c r="U638" s="6">
        <v>26</v>
      </c>
      <c r="V638" s="6">
        <f>IF(ISERROR(VLOOKUP($S$638,'TAR FIN'!$A$1:$O$85,15,0)),0,VLOOKUP($S$638,'TAR FIN'!$A$1:$O$85,15,0))</f>
        <v>0</v>
      </c>
      <c r="W638" s="6">
        <f>IF(ISERROR(VLOOKUP($T$638,'TAR FIN'!$A$1:$O$85,15,0)),0,VLOOKUP($T$638,'TAR FIN'!$A$1:$O$85,15,0))</f>
        <v>440.1</v>
      </c>
      <c r="X638" s="6">
        <f>IF(ISERROR(VLOOKUP($U$638,'TAR FIN'!$A$1:$O$85,15,0)),0,VLOOKUP($U$638,'TAR FIN'!$A$1:$O$85,15,0))</f>
        <v>223.72</v>
      </c>
      <c r="Y638" s="6"/>
      <c r="Z638" s="6">
        <f ca="1">('TUSD BE'!$AM$48+'TUSD BF'!$AM$48+'TUSD CVA'!$AM$48)*1</f>
        <v>494.3921362494865</v>
      </c>
      <c r="AA638" s="6">
        <f>('TE BE'!$AA$38+'TE BF'!$AA$38+'TE CVA'!$AA$38)*1</f>
        <v>217.62939920622892</v>
      </c>
      <c r="AB638" s="6">
        <f>$K$638*$V$638</f>
        <v>0</v>
      </c>
      <c r="AC638" s="6">
        <f>$M$638*$W$638</f>
        <v>20079.5625</v>
      </c>
      <c r="AD638" s="6">
        <f>$O$638*$X$638</f>
        <v>10207.225</v>
      </c>
      <c r="AE638" s="6">
        <f>$K$638*$Y$638</f>
        <v>0</v>
      </c>
      <c r="AF638" s="6">
        <f ca="1">$M$638*$Z$638</f>
        <v>22556.641216382821</v>
      </c>
      <c r="AG638" s="6">
        <f>$O$638*$AA$638</f>
        <v>9929.3413387841938</v>
      </c>
    </row>
    <row r="639" spans="1:33" ht="11.25" customHeight="1" x14ac:dyDescent="0.25">
      <c r="A639" s="4" t="s">
        <v>28</v>
      </c>
      <c r="B639" s="4" t="s">
        <v>37</v>
      </c>
      <c r="C639" s="4" t="s">
        <v>23</v>
      </c>
      <c r="D639" s="4" t="s">
        <v>38</v>
      </c>
      <c r="E639" s="4" t="s">
        <v>25</v>
      </c>
      <c r="F639" s="4" t="s">
        <v>25</v>
      </c>
      <c r="G639" s="4" t="s">
        <v>25</v>
      </c>
      <c r="H639" s="4" t="s">
        <v>25</v>
      </c>
      <c r="I639" s="5">
        <v>44531</v>
      </c>
      <c r="J639" s="6">
        <v>0</v>
      </c>
      <c r="K639" s="6">
        <v>0</v>
      </c>
      <c r="L639" s="6">
        <v>0.1</v>
      </c>
      <c r="M639" s="6">
        <v>0.1</v>
      </c>
      <c r="N639" s="6">
        <v>0.1</v>
      </c>
      <c r="O639" s="6">
        <v>0.1</v>
      </c>
      <c r="P639" s="6">
        <v>1</v>
      </c>
      <c r="Q639" s="4" t="s">
        <v>26</v>
      </c>
      <c r="R639" s="4">
        <v>0</v>
      </c>
      <c r="S639" s="6">
        <v>0</v>
      </c>
      <c r="T639" s="6">
        <v>2</v>
      </c>
      <c r="U639" s="6">
        <v>26</v>
      </c>
      <c r="V639" s="6">
        <f>IF(ISERROR(VLOOKUP($S$639,'TAR FIN'!$A$1:$O$85,15,0)),0,VLOOKUP($S$639,'TAR FIN'!$A$1:$O$85,15,0))</f>
        <v>0</v>
      </c>
      <c r="W639" s="6">
        <f>IF(ISERROR(VLOOKUP($T$639,'TAR FIN'!$A$1:$O$85,15,0)),0,VLOOKUP($T$639,'TAR FIN'!$A$1:$O$85,15,0))</f>
        <v>440.1</v>
      </c>
      <c r="X639" s="6">
        <f>IF(ISERROR(VLOOKUP($U$639,'TAR FIN'!$A$1:$O$85,15,0)),0,VLOOKUP($U$639,'TAR FIN'!$A$1:$O$85,15,0))</f>
        <v>223.72</v>
      </c>
      <c r="Y639" s="6"/>
      <c r="Z639" s="6">
        <f ca="1">('TUSD BE'!$AM$48+'TUSD BF'!$AM$48+'TUSD CVA'!$AM$48)*1</f>
        <v>494.3921362494865</v>
      </c>
      <c r="AA639" s="6">
        <f>('TE BE'!$AA$38+'TE BF'!$AA$38+'TE CVA'!$AA$38)*1</f>
        <v>217.62939920622892</v>
      </c>
      <c r="AB639" s="6">
        <f>$K$639*$V$639</f>
        <v>0</v>
      </c>
      <c r="AC639" s="6">
        <f>$M$639*$W$639</f>
        <v>44.010000000000005</v>
      </c>
      <c r="AD639" s="6">
        <f>$O$639*$X$639</f>
        <v>22.372</v>
      </c>
      <c r="AE639" s="6">
        <f>$K$639*$Y$639</f>
        <v>0</v>
      </c>
      <c r="AF639" s="6">
        <f ca="1">$M$639*$Z$639</f>
        <v>49.43921362494865</v>
      </c>
      <c r="AG639" s="6">
        <f>$O$639*$AA$639</f>
        <v>21.762939920622895</v>
      </c>
    </row>
    <row r="640" spans="1:33" ht="11.25" customHeight="1" x14ac:dyDescent="0.25">
      <c r="A640" s="4" t="s">
        <v>21</v>
      </c>
      <c r="B640" s="4" t="s">
        <v>37</v>
      </c>
      <c r="C640" s="4" t="s">
        <v>23</v>
      </c>
      <c r="D640" s="4" t="s">
        <v>38</v>
      </c>
      <c r="E640" s="4" t="s">
        <v>25</v>
      </c>
      <c r="F640" s="4" t="s">
        <v>25</v>
      </c>
      <c r="G640" s="4" t="s">
        <v>25</v>
      </c>
      <c r="H640" s="4" t="s">
        <v>25</v>
      </c>
      <c r="I640" s="5">
        <v>44562</v>
      </c>
      <c r="J640" s="6">
        <v>0</v>
      </c>
      <c r="K640" s="6">
        <v>0</v>
      </c>
      <c r="L640" s="6">
        <v>56.762999999999998</v>
      </c>
      <c r="M640" s="6">
        <v>56.762999999999998</v>
      </c>
      <c r="N640" s="6">
        <v>56.762999999999998</v>
      </c>
      <c r="O640" s="6">
        <v>56.762999999999998</v>
      </c>
      <c r="P640" s="6">
        <v>24</v>
      </c>
      <c r="Q640" s="4" t="s">
        <v>26</v>
      </c>
      <c r="R640" s="4">
        <v>0</v>
      </c>
      <c r="S640" s="6">
        <v>0</v>
      </c>
      <c r="T640" s="6">
        <v>2</v>
      </c>
      <c r="U640" s="6">
        <v>26</v>
      </c>
      <c r="V640" s="6">
        <f>IF(ISERROR(VLOOKUP($S$640,'TAR FIN'!$A$1:$O$85,15,0)),0,VLOOKUP($S$640,'TAR FIN'!$A$1:$O$85,15,0))</f>
        <v>0</v>
      </c>
      <c r="W640" s="6">
        <f>IF(ISERROR(VLOOKUP($T$640,'TAR FIN'!$A$1:$O$85,15,0)),0,VLOOKUP($T$640,'TAR FIN'!$A$1:$O$85,15,0))</f>
        <v>440.1</v>
      </c>
      <c r="X640" s="6">
        <f>IF(ISERROR(VLOOKUP($U$640,'TAR FIN'!$A$1:$O$85,15,0)),0,VLOOKUP($U$640,'TAR FIN'!$A$1:$O$85,15,0))</f>
        <v>223.72</v>
      </c>
      <c r="Y640" s="6"/>
      <c r="Z640" s="6">
        <f ca="1">('TUSD BE'!$AM$48+'TUSD BF'!$AM$48+'TUSD CVA'!$AM$48)*1</f>
        <v>494.3921362494865</v>
      </c>
      <c r="AA640" s="6">
        <f>('TE BE'!$AA$38+'TE BF'!$AA$38+'TE CVA'!$AA$38)*1</f>
        <v>217.62939920622892</v>
      </c>
      <c r="AB640" s="6">
        <f>$K$640*$V$640</f>
        <v>0</v>
      </c>
      <c r="AC640" s="6">
        <f>$M$640*$W$640</f>
        <v>24981.3963</v>
      </c>
      <c r="AD640" s="6">
        <f>$O$640*$X$640</f>
        <v>12699.01836</v>
      </c>
      <c r="AE640" s="6">
        <f>$K$640*$Y$640</f>
        <v>0</v>
      </c>
      <c r="AF640" s="6">
        <f ca="1">$M$640*$Z$640</f>
        <v>28063.180829929603</v>
      </c>
      <c r="AG640" s="6">
        <f>$O$640*$AA$640</f>
        <v>12353.297587143172</v>
      </c>
    </row>
    <row r="641" spans="1:33" ht="11.25" customHeight="1" x14ac:dyDescent="0.25">
      <c r="A641" s="4" t="s">
        <v>28</v>
      </c>
      <c r="B641" s="4" t="s">
        <v>37</v>
      </c>
      <c r="C641" s="4" t="s">
        <v>23</v>
      </c>
      <c r="D641" s="4" t="s">
        <v>38</v>
      </c>
      <c r="E641" s="4" t="s">
        <v>25</v>
      </c>
      <c r="F641" s="4" t="s">
        <v>25</v>
      </c>
      <c r="G641" s="4" t="s">
        <v>25</v>
      </c>
      <c r="H641" s="4" t="s">
        <v>25</v>
      </c>
      <c r="I641" s="5">
        <v>44562</v>
      </c>
      <c r="J641" s="6">
        <v>0</v>
      </c>
      <c r="K641" s="6">
        <v>0</v>
      </c>
      <c r="L641" s="6">
        <v>0.1</v>
      </c>
      <c r="M641" s="6">
        <v>0.1</v>
      </c>
      <c r="N641" s="6">
        <v>0.1</v>
      </c>
      <c r="O641" s="6">
        <v>0.1</v>
      </c>
      <c r="P641" s="6">
        <v>1</v>
      </c>
      <c r="Q641" s="4" t="s">
        <v>26</v>
      </c>
      <c r="R641" s="4">
        <v>0</v>
      </c>
      <c r="S641" s="6">
        <v>0</v>
      </c>
      <c r="T641" s="6">
        <v>2</v>
      </c>
      <c r="U641" s="6">
        <v>26</v>
      </c>
      <c r="V641" s="6">
        <f>IF(ISERROR(VLOOKUP($S$641,'TAR FIN'!$A$1:$O$85,15,0)),0,VLOOKUP($S$641,'TAR FIN'!$A$1:$O$85,15,0))</f>
        <v>0</v>
      </c>
      <c r="W641" s="6">
        <f>IF(ISERROR(VLOOKUP($T$641,'TAR FIN'!$A$1:$O$85,15,0)),0,VLOOKUP($T$641,'TAR FIN'!$A$1:$O$85,15,0))</f>
        <v>440.1</v>
      </c>
      <c r="X641" s="6">
        <f>IF(ISERROR(VLOOKUP($U$641,'TAR FIN'!$A$1:$O$85,15,0)),0,VLOOKUP($U$641,'TAR FIN'!$A$1:$O$85,15,0))</f>
        <v>223.72</v>
      </c>
      <c r="Y641" s="6"/>
      <c r="Z641" s="6">
        <f ca="1">('TUSD BE'!$AM$48+'TUSD BF'!$AM$48+'TUSD CVA'!$AM$48)*1</f>
        <v>494.3921362494865</v>
      </c>
      <c r="AA641" s="6">
        <f>('TE BE'!$AA$38+'TE BF'!$AA$38+'TE CVA'!$AA$38)*1</f>
        <v>217.62939920622892</v>
      </c>
      <c r="AB641" s="6">
        <f>$K$641*$V$641</f>
        <v>0</v>
      </c>
      <c r="AC641" s="6">
        <f>$M$641*$W$641</f>
        <v>44.010000000000005</v>
      </c>
      <c r="AD641" s="6">
        <f>$O$641*$X$641</f>
        <v>22.372</v>
      </c>
      <c r="AE641" s="6">
        <f>$K$641*$Y$641</f>
        <v>0</v>
      </c>
      <c r="AF641" s="6">
        <f ca="1">$M$641*$Z$641</f>
        <v>49.43921362494865</v>
      </c>
      <c r="AG641" s="6">
        <f>$O$641*$AA$641</f>
        <v>21.762939920622895</v>
      </c>
    </row>
    <row r="642" spans="1:33" ht="11.25" customHeight="1" x14ac:dyDescent="0.25">
      <c r="A642" s="4" t="s">
        <v>21</v>
      </c>
      <c r="B642" s="4" t="s">
        <v>37</v>
      </c>
      <c r="C642" s="4" t="s">
        <v>23</v>
      </c>
      <c r="D642" s="4" t="s">
        <v>38</v>
      </c>
      <c r="E642" s="4" t="s">
        <v>25</v>
      </c>
      <c r="F642" s="4" t="s">
        <v>25</v>
      </c>
      <c r="G642" s="4" t="s">
        <v>25</v>
      </c>
      <c r="H642" s="4" t="s">
        <v>25</v>
      </c>
      <c r="I642" s="5">
        <v>44593</v>
      </c>
      <c r="J642" s="6">
        <v>0</v>
      </c>
      <c r="K642" s="6">
        <v>0</v>
      </c>
      <c r="L642" s="6">
        <v>50.95</v>
      </c>
      <c r="M642" s="6">
        <v>50.95</v>
      </c>
      <c r="N642" s="6">
        <v>50.95</v>
      </c>
      <c r="O642" s="6">
        <v>50.95</v>
      </c>
      <c r="P642" s="6">
        <v>23</v>
      </c>
      <c r="Q642" s="4" t="s">
        <v>26</v>
      </c>
      <c r="R642" s="4">
        <v>0</v>
      </c>
      <c r="S642" s="6">
        <v>0</v>
      </c>
      <c r="T642" s="6">
        <v>2</v>
      </c>
      <c r="U642" s="6">
        <v>26</v>
      </c>
      <c r="V642" s="6">
        <f>IF(ISERROR(VLOOKUP($S$642,'TAR FIN'!$A$1:$O$85,15,0)),0,VLOOKUP($S$642,'TAR FIN'!$A$1:$O$85,15,0))</f>
        <v>0</v>
      </c>
      <c r="W642" s="6">
        <f>IF(ISERROR(VLOOKUP($T$642,'TAR FIN'!$A$1:$O$85,15,0)),0,VLOOKUP($T$642,'TAR FIN'!$A$1:$O$85,15,0))</f>
        <v>440.1</v>
      </c>
      <c r="X642" s="6">
        <f>IF(ISERROR(VLOOKUP($U$642,'TAR FIN'!$A$1:$O$85,15,0)),0,VLOOKUP($U$642,'TAR FIN'!$A$1:$O$85,15,0))</f>
        <v>223.72</v>
      </c>
      <c r="Y642" s="6"/>
      <c r="Z642" s="6">
        <f ca="1">('TUSD BE'!$AM$48+'TUSD BF'!$AM$48+'TUSD CVA'!$AM$48)*1</f>
        <v>494.3921362494865</v>
      </c>
      <c r="AA642" s="6">
        <f>('TE BE'!$AA$38+'TE BF'!$AA$38+'TE CVA'!$AA$38)*1</f>
        <v>217.62939920622892</v>
      </c>
      <c r="AB642" s="6">
        <f>$K$642*$V$642</f>
        <v>0</v>
      </c>
      <c r="AC642" s="6">
        <f>$M$642*$W$642</f>
        <v>22423.095000000001</v>
      </c>
      <c r="AD642" s="6">
        <f>$O$642*$X$642</f>
        <v>11398.534000000001</v>
      </c>
      <c r="AE642" s="6">
        <f>$K$642*$Y$642</f>
        <v>0</v>
      </c>
      <c r="AF642" s="6">
        <f ca="1">$M$642*$Z$642</f>
        <v>25189.279341911337</v>
      </c>
      <c r="AG642" s="6">
        <f>$O$642*$AA$642</f>
        <v>11088.217889557365</v>
      </c>
    </row>
    <row r="643" spans="1:33" ht="11.25" customHeight="1" x14ac:dyDescent="0.25">
      <c r="A643" s="4" t="s">
        <v>28</v>
      </c>
      <c r="B643" s="4" t="s">
        <v>37</v>
      </c>
      <c r="C643" s="4" t="s">
        <v>23</v>
      </c>
      <c r="D643" s="4" t="s">
        <v>38</v>
      </c>
      <c r="E643" s="4" t="s">
        <v>25</v>
      </c>
      <c r="F643" s="4" t="s">
        <v>25</v>
      </c>
      <c r="G643" s="4" t="s">
        <v>25</v>
      </c>
      <c r="H643" s="4" t="s">
        <v>25</v>
      </c>
      <c r="I643" s="5">
        <v>44593</v>
      </c>
      <c r="J643" s="6">
        <v>0</v>
      </c>
      <c r="K643" s="6">
        <v>0</v>
      </c>
      <c r="L643" s="6">
        <v>0.15</v>
      </c>
      <c r="M643" s="6">
        <v>0.15</v>
      </c>
      <c r="N643" s="6">
        <v>0.15</v>
      </c>
      <c r="O643" s="6">
        <v>0.15</v>
      </c>
      <c r="P643" s="6">
        <v>2</v>
      </c>
      <c r="Q643" s="4" t="s">
        <v>26</v>
      </c>
      <c r="R643" s="4">
        <v>0</v>
      </c>
      <c r="S643" s="6">
        <v>0</v>
      </c>
      <c r="T643" s="6">
        <v>2</v>
      </c>
      <c r="U643" s="6">
        <v>26</v>
      </c>
      <c r="V643" s="6">
        <f>IF(ISERROR(VLOOKUP($S$643,'TAR FIN'!$A$1:$O$85,15,0)),0,VLOOKUP($S$643,'TAR FIN'!$A$1:$O$85,15,0))</f>
        <v>0</v>
      </c>
      <c r="W643" s="6">
        <f>IF(ISERROR(VLOOKUP($T$643,'TAR FIN'!$A$1:$O$85,15,0)),0,VLOOKUP($T$643,'TAR FIN'!$A$1:$O$85,15,0))</f>
        <v>440.1</v>
      </c>
      <c r="X643" s="6">
        <f>IF(ISERROR(VLOOKUP($U$643,'TAR FIN'!$A$1:$O$85,15,0)),0,VLOOKUP($U$643,'TAR FIN'!$A$1:$O$85,15,0))</f>
        <v>223.72</v>
      </c>
      <c r="Y643" s="6"/>
      <c r="Z643" s="6">
        <f ca="1">('TUSD BE'!$AM$48+'TUSD BF'!$AM$48+'TUSD CVA'!$AM$48)*1</f>
        <v>494.3921362494865</v>
      </c>
      <c r="AA643" s="6">
        <f>('TE BE'!$AA$38+'TE BF'!$AA$38+'TE CVA'!$AA$38)*1</f>
        <v>217.62939920622892</v>
      </c>
      <c r="AB643" s="6">
        <f>$K$643*$V$643</f>
        <v>0</v>
      </c>
      <c r="AC643" s="6">
        <f>$M$643*$W$643</f>
        <v>66.015000000000001</v>
      </c>
      <c r="AD643" s="6">
        <f>$O$643*$X$643</f>
        <v>33.558</v>
      </c>
      <c r="AE643" s="6">
        <f>$K$643*$Y$643</f>
        <v>0</v>
      </c>
      <c r="AF643" s="6">
        <f ca="1">$M$643*$Z$643</f>
        <v>74.158820437422975</v>
      </c>
      <c r="AG643" s="6">
        <f>$O$643*$AA$643</f>
        <v>32.64440988093434</v>
      </c>
    </row>
    <row r="644" spans="1:33" ht="11.25" customHeight="1" x14ac:dyDescent="0.25">
      <c r="A644" s="4" t="s">
        <v>54</v>
      </c>
      <c r="B644" s="4" t="s">
        <v>37</v>
      </c>
      <c r="C644" s="4" t="s">
        <v>23</v>
      </c>
      <c r="D644" s="4" t="s">
        <v>38</v>
      </c>
      <c r="E644" s="4" t="s">
        <v>25</v>
      </c>
      <c r="F644" s="4" t="s">
        <v>25</v>
      </c>
      <c r="G644" s="4" t="s">
        <v>25</v>
      </c>
      <c r="H644" s="4" t="s">
        <v>25</v>
      </c>
      <c r="I644" s="5">
        <v>44621</v>
      </c>
      <c r="J644" s="6">
        <v>0</v>
      </c>
      <c r="K644" s="6">
        <v>0</v>
      </c>
      <c r="L644" s="6">
        <v>50.95</v>
      </c>
      <c r="M644" s="6">
        <v>50.95</v>
      </c>
      <c r="N644" s="6">
        <v>50.95</v>
      </c>
      <c r="O644" s="6">
        <v>50.95</v>
      </c>
      <c r="P644" s="6">
        <v>23</v>
      </c>
      <c r="Q644" s="4" t="s">
        <v>26</v>
      </c>
      <c r="R644" s="4">
        <v>0</v>
      </c>
      <c r="S644" s="6">
        <v>0</v>
      </c>
      <c r="T644" s="6">
        <v>2</v>
      </c>
      <c r="U644" s="6">
        <v>26</v>
      </c>
      <c r="V644" s="6">
        <f>IF(ISERROR(VLOOKUP($S$644,'TAR FIN'!$A$1:$O$85,15,0)),0,VLOOKUP($S$644,'TAR FIN'!$A$1:$O$85,15,0))</f>
        <v>0</v>
      </c>
      <c r="W644" s="6">
        <f>IF(ISERROR(VLOOKUP($T$644,'TAR FIN'!$A$1:$O$85,15,0)),0,VLOOKUP($T$644,'TAR FIN'!$A$1:$O$85,15,0))</f>
        <v>440.1</v>
      </c>
      <c r="X644" s="6">
        <f>IF(ISERROR(VLOOKUP($U$644,'TAR FIN'!$A$1:$O$85,15,0)),0,VLOOKUP($U$644,'TAR FIN'!$A$1:$O$85,15,0))</f>
        <v>223.72</v>
      </c>
      <c r="Y644" s="6"/>
      <c r="Z644" s="6">
        <f ca="1">('TUSD BE'!$AM$48+'TUSD BF'!$AM$48+'TUSD CVA'!$AM$48)*1</f>
        <v>494.3921362494865</v>
      </c>
      <c r="AA644" s="6">
        <f>('TE BE'!$AA$38+'TE BF'!$AA$38+'TE CVA'!$AA$38)*1</f>
        <v>217.62939920622892</v>
      </c>
      <c r="AB644" s="6">
        <f>$K$644*$V$644</f>
        <v>0</v>
      </c>
      <c r="AC644" s="6">
        <f>$M$644*$W$644</f>
        <v>22423.095000000001</v>
      </c>
      <c r="AD644" s="6">
        <f>$O$644*$X$644</f>
        <v>11398.534000000001</v>
      </c>
      <c r="AE644" s="6">
        <f>$K$644*$Y$644</f>
        <v>0</v>
      </c>
      <c r="AF644" s="6">
        <f ca="1">$M$644*$Z$644</f>
        <v>25189.279341911337</v>
      </c>
      <c r="AG644" s="6">
        <f>$O$644*$AA$644</f>
        <v>11088.217889557365</v>
      </c>
    </row>
    <row r="645" spans="1:33" ht="11.25" customHeight="1" x14ac:dyDescent="0.25">
      <c r="A645" s="4" t="s">
        <v>54</v>
      </c>
      <c r="B645" s="4" t="s">
        <v>37</v>
      </c>
      <c r="C645" s="4" t="s">
        <v>23</v>
      </c>
      <c r="D645" s="4" t="s">
        <v>38</v>
      </c>
      <c r="E645" s="4" t="s">
        <v>25</v>
      </c>
      <c r="F645" s="4" t="s">
        <v>25</v>
      </c>
      <c r="G645" s="4" t="s">
        <v>25</v>
      </c>
      <c r="H645" s="4" t="s">
        <v>25</v>
      </c>
      <c r="I645" s="5">
        <v>44621</v>
      </c>
      <c r="J645" s="6">
        <v>0</v>
      </c>
      <c r="K645" s="6">
        <v>0</v>
      </c>
      <c r="L645" s="6">
        <v>0.15</v>
      </c>
      <c r="M645" s="6">
        <v>0.15</v>
      </c>
      <c r="N645" s="6">
        <v>0.15</v>
      </c>
      <c r="O645" s="6">
        <v>0.15</v>
      </c>
      <c r="P645" s="6">
        <v>2</v>
      </c>
      <c r="Q645" s="4" t="s">
        <v>26</v>
      </c>
      <c r="R645" s="4">
        <v>0</v>
      </c>
      <c r="S645" s="6">
        <v>0</v>
      </c>
      <c r="T645" s="6">
        <v>2</v>
      </c>
      <c r="U645" s="6">
        <v>26</v>
      </c>
      <c r="V645" s="6">
        <f>IF(ISERROR(VLOOKUP($S$645,'TAR FIN'!$A$1:$O$85,15,0)),0,VLOOKUP($S$645,'TAR FIN'!$A$1:$O$85,15,0))</f>
        <v>0</v>
      </c>
      <c r="W645" s="6">
        <f>IF(ISERROR(VLOOKUP($T$645,'TAR FIN'!$A$1:$O$85,15,0)),0,VLOOKUP($T$645,'TAR FIN'!$A$1:$O$85,15,0))</f>
        <v>440.1</v>
      </c>
      <c r="X645" s="6">
        <f>IF(ISERROR(VLOOKUP($U$645,'TAR FIN'!$A$1:$O$85,15,0)),0,VLOOKUP($U$645,'TAR FIN'!$A$1:$O$85,15,0))</f>
        <v>223.72</v>
      </c>
      <c r="Y645" s="6"/>
      <c r="Z645" s="6">
        <f ca="1">('TUSD BE'!$AM$48+'TUSD BF'!$AM$48+'TUSD CVA'!$AM$48)*1</f>
        <v>494.3921362494865</v>
      </c>
      <c r="AA645" s="6">
        <f>('TE BE'!$AA$38+'TE BF'!$AA$38+'TE CVA'!$AA$38)*1</f>
        <v>217.62939920622892</v>
      </c>
      <c r="AB645" s="6">
        <f>$K$645*$V$645</f>
        <v>0</v>
      </c>
      <c r="AC645" s="6">
        <f>$M$645*$W$645</f>
        <v>66.015000000000001</v>
      </c>
      <c r="AD645" s="6">
        <f>$O$645*$X$645</f>
        <v>33.558</v>
      </c>
      <c r="AE645" s="6">
        <f>$K$645*$Y$645</f>
        <v>0</v>
      </c>
      <c r="AF645" s="6">
        <f ca="1">$M$645*$Z$645</f>
        <v>74.158820437422975</v>
      </c>
      <c r="AG645" s="6">
        <f>$O$645*$AA$645</f>
        <v>32.64440988093434</v>
      </c>
    </row>
    <row r="646" spans="1:33" ht="11.25" customHeight="1" x14ac:dyDescent="0.25">
      <c r="A646" s="4" t="s">
        <v>21</v>
      </c>
      <c r="B646" s="4" t="s">
        <v>37</v>
      </c>
      <c r="C646" s="4" t="s">
        <v>23</v>
      </c>
      <c r="D646" s="4" t="s">
        <v>42</v>
      </c>
      <c r="E646" s="4" t="s">
        <v>25</v>
      </c>
      <c r="F646" s="4" t="s">
        <v>25</v>
      </c>
      <c r="G646" s="4" t="s">
        <v>25</v>
      </c>
      <c r="H646" s="4" t="s">
        <v>25</v>
      </c>
      <c r="I646" s="5">
        <v>44287</v>
      </c>
      <c r="J646" s="6">
        <v>0</v>
      </c>
      <c r="K646" s="6">
        <v>0</v>
      </c>
      <c r="L646" s="6">
        <v>31.361999999999998</v>
      </c>
      <c r="M646" s="6">
        <v>31.361999999999998</v>
      </c>
      <c r="N646" s="6">
        <v>31.361999999999998</v>
      </c>
      <c r="O646" s="6">
        <v>31.361999999999998</v>
      </c>
      <c r="P646" s="6">
        <v>52</v>
      </c>
      <c r="Q646" s="4" t="s">
        <v>26</v>
      </c>
      <c r="R646" s="4">
        <v>0</v>
      </c>
      <c r="S646" s="6">
        <v>0</v>
      </c>
      <c r="T646" s="6">
        <v>2</v>
      </c>
      <c r="U646" s="6">
        <v>26</v>
      </c>
      <c r="V646" s="6">
        <f>IF(ISERROR(VLOOKUP($S$646,'TAR FIN'!$A$1:$O$85,15,0)),0,VLOOKUP($S$646,'TAR FIN'!$A$1:$O$85,15,0))</f>
        <v>0</v>
      </c>
      <c r="W646" s="6">
        <f>IF(ISERROR(VLOOKUP($T$646,'TAR FIN'!$A$1:$O$85,15,0)),0,VLOOKUP($T$646,'TAR FIN'!$A$1:$O$85,15,0))</f>
        <v>440.1</v>
      </c>
      <c r="X646" s="6">
        <f>IF(ISERROR(VLOOKUP($U$646,'TAR FIN'!$A$1:$O$85,15,0)),0,VLOOKUP($U$646,'TAR FIN'!$A$1:$O$85,15,0))</f>
        <v>223.72</v>
      </c>
      <c r="Y646" s="6"/>
      <c r="Z646" s="6">
        <f ca="1">('TUSD BE'!$AM$48+'TUSD BF'!$AM$48+'TUSD CVA'!$AM$48)*1</f>
        <v>494.3921362494865</v>
      </c>
      <c r="AA646" s="6">
        <f>('TE BE'!$AA$38+'TE BF'!$AA$38+'TE CVA'!$AA$38)*1</f>
        <v>217.62939920622892</v>
      </c>
      <c r="AB646" s="6">
        <f>$K$646*$V$646</f>
        <v>0</v>
      </c>
      <c r="AC646" s="6">
        <f>$M$646*$W$646</f>
        <v>13802.4162</v>
      </c>
      <c r="AD646" s="6">
        <f>$O$646*$X$646</f>
        <v>7016.3066399999998</v>
      </c>
      <c r="AE646" s="6">
        <f>$K$646*$Y$646</f>
        <v>0</v>
      </c>
      <c r="AF646" s="6">
        <f ca="1">$M$646*$Z$646</f>
        <v>15505.126177056394</v>
      </c>
      <c r="AG646" s="6">
        <f>$O$646*$AA$646</f>
        <v>6825.2932179057516</v>
      </c>
    </row>
    <row r="647" spans="1:33" ht="11.25" customHeight="1" x14ac:dyDescent="0.25">
      <c r="A647" s="4" t="s">
        <v>21</v>
      </c>
      <c r="B647" s="4" t="s">
        <v>37</v>
      </c>
      <c r="C647" s="4" t="s">
        <v>23</v>
      </c>
      <c r="D647" s="4" t="s">
        <v>42</v>
      </c>
      <c r="E647" s="4" t="s">
        <v>25</v>
      </c>
      <c r="F647" s="4" t="s">
        <v>25</v>
      </c>
      <c r="G647" s="4" t="s">
        <v>25</v>
      </c>
      <c r="H647" s="4" t="s">
        <v>25</v>
      </c>
      <c r="I647" s="5">
        <v>44317</v>
      </c>
      <c r="J647" s="6">
        <v>0</v>
      </c>
      <c r="K647" s="6">
        <v>0</v>
      </c>
      <c r="L647" s="6">
        <v>29.183</v>
      </c>
      <c r="M647" s="6">
        <v>29.183</v>
      </c>
      <c r="N647" s="6">
        <v>29.183</v>
      </c>
      <c r="O647" s="6">
        <v>29.183</v>
      </c>
      <c r="P647" s="6">
        <v>52</v>
      </c>
      <c r="Q647" s="4" t="s">
        <v>26</v>
      </c>
      <c r="R647" s="4">
        <v>0</v>
      </c>
      <c r="S647" s="6">
        <v>0</v>
      </c>
      <c r="T647" s="6">
        <v>2</v>
      </c>
      <c r="U647" s="6">
        <v>26</v>
      </c>
      <c r="V647" s="6">
        <f>IF(ISERROR(VLOOKUP($S$647,'TAR FIN'!$A$1:$O$85,15,0)),0,VLOOKUP($S$647,'TAR FIN'!$A$1:$O$85,15,0))</f>
        <v>0</v>
      </c>
      <c r="W647" s="6">
        <f>IF(ISERROR(VLOOKUP($T$647,'TAR FIN'!$A$1:$O$85,15,0)),0,VLOOKUP($T$647,'TAR FIN'!$A$1:$O$85,15,0))</f>
        <v>440.1</v>
      </c>
      <c r="X647" s="6">
        <f>IF(ISERROR(VLOOKUP($U$647,'TAR FIN'!$A$1:$O$85,15,0)),0,VLOOKUP($U$647,'TAR FIN'!$A$1:$O$85,15,0))</f>
        <v>223.72</v>
      </c>
      <c r="Y647" s="6"/>
      <c r="Z647" s="6">
        <f ca="1">('TUSD BE'!$AM$48+'TUSD BF'!$AM$48+'TUSD CVA'!$AM$48)*1</f>
        <v>494.3921362494865</v>
      </c>
      <c r="AA647" s="6">
        <f>('TE BE'!$AA$38+'TE BF'!$AA$38+'TE CVA'!$AA$38)*1</f>
        <v>217.62939920622892</v>
      </c>
      <c r="AB647" s="6">
        <f>$K$647*$V$647</f>
        <v>0</v>
      </c>
      <c r="AC647" s="6">
        <f>$M$647*$W$647</f>
        <v>12843.4383</v>
      </c>
      <c r="AD647" s="6">
        <f>$O$647*$X$647</f>
        <v>6528.8207599999996</v>
      </c>
      <c r="AE647" s="6">
        <f>$K$647*$Y$647</f>
        <v>0</v>
      </c>
      <c r="AF647" s="6">
        <f ca="1">$M$647*$Z$647</f>
        <v>14427.845712168764</v>
      </c>
      <c r="AG647" s="6">
        <f>$O$647*$AA$647</f>
        <v>6351.0787570353787</v>
      </c>
    </row>
    <row r="648" spans="1:33" ht="11.25" customHeight="1" x14ac:dyDescent="0.25">
      <c r="A648" s="4" t="s">
        <v>21</v>
      </c>
      <c r="B648" s="4" t="s">
        <v>37</v>
      </c>
      <c r="C648" s="4" t="s">
        <v>23</v>
      </c>
      <c r="D648" s="4" t="s">
        <v>42</v>
      </c>
      <c r="E648" s="4" t="s">
        <v>25</v>
      </c>
      <c r="F648" s="4" t="s">
        <v>25</v>
      </c>
      <c r="G648" s="4" t="s">
        <v>25</v>
      </c>
      <c r="H648" s="4" t="s">
        <v>25</v>
      </c>
      <c r="I648" s="5">
        <v>44348</v>
      </c>
      <c r="J648" s="6">
        <v>0</v>
      </c>
      <c r="K648" s="6">
        <v>0</v>
      </c>
      <c r="L648" s="6">
        <v>30.219000000000001</v>
      </c>
      <c r="M648" s="6">
        <v>30.219000000000001</v>
      </c>
      <c r="N648" s="6">
        <v>30.219000000000001</v>
      </c>
      <c r="O648" s="6">
        <v>30.219000000000001</v>
      </c>
      <c r="P648" s="6">
        <v>52</v>
      </c>
      <c r="Q648" s="4" t="s">
        <v>26</v>
      </c>
      <c r="R648" s="4">
        <v>0</v>
      </c>
      <c r="S648" s="6">
        <v>0</v>
      </c>
      <c r="T648" s="6">
        <v>2</v>
      </c>
      <c r="U648" s="6">
        <v>26</v>
      </c>
      <c r="V648" s="6">
        <f>IF(ISERROR(VLOOKUP($S$648,'TAR FIN'!$A$1:$O$85,15,0)),0,VLOOKUP($S$648,'TAR FIN'!$A$1:$O$85,15,0))</f>
        <v>0</v>
      </c>
      <c r="W648" s="6">
        <f>IF(ISERROR(VLOOKUP($T$648,'TAR FIN'!$A$1:$O$85,15,0)),0,VLOOKUP($T$648,'TAR FIN'!$A$1:$O$85,15,0))</f>
        <v>440.1</v>
      </c>
      <c r="X648" s="6">
        <f>IF(ISERROR(VLOOKUP($U$648,'TAR FIN'!$A$1:$O$85,15,0)),0,VLOOKUP($U$648,'TAR FIN'!$A$1:$O$85,15,0))</f>
        <v>223.72</v>
      </c>
      <c r="Y648" s="6"/>
      <c r="Z648" s="6">
        <f ca="1">('TUSD BE'!$AM$48+'TUSD BF'!$AM$48+'TUSD CVA'!$AM$48)*1</f>
        <v>494.3921362494865</v>
      </c>
      <c r="AA648" s="6">
        <f>('TE BE'!$AA$38+'TE BF'!$AA$38+'TE CVA'!$AA$38)*1</f>
        <v>217.62939920622892</v>
      </c>
      <c r="AB648" s="6">
        <f>$K$648*$V$648</f>
        <v>0</v>
      </c>
      <c r="AC648" s="6">
        <f>$M$648*$W$648</f>
        <v>13299.3819</v>
      </c>
      <c r="AD648" s="6">
        <f>$O$648*$X$648</f>
        <v>6760.5946800000002</v>
      </c>
      <c r="AE648" s="6">
        <f>$K$648*$Y$648</f>
        <v>0</v>
      </c>
      <c r="AF648" s="6">
        <f ca="1">$M$648*$Z$648</f>
        <v>14940.035965323234</v>
      </c>
      <c r="AG648" s="6">
        <f>$O$648*$AA$648</f>
        <v>6576.5428146130325</v>
      </c>
    </row>
    <row r="649" spans="1:33" ht="11.25" customHeight="1" x14ac:dyDescent="0.25">
      <c r="A649" s="4" t="s">
        <v>21</v>
      </c>
      <c r="B649" s="4" t="s">
        <v>37</v>
      </c>
      <c r="C649" s="4" t="s">
        <v>23</v>
      </c>
      <c r="D649" s="4" t="s">
        <v>42</v>
      </c>
      <c r="E649" s="4" t="s">
        <v>25</v>
      </c>
      <c r="F649" s="4" t="s">
        <v>25</v>
      </c>
      <c r="G649" s="4" t="s">
        <v>25</v>
      </c>
      <c r="H649" s="4" t="s">
        <v>25</v>
      </c>
      <c r="I649" s="5">
        <v>44378</v>
      </c>
      <c r="J649" s="6">
        <v>0</v>
      </c>
      <c r="K649" s="6">
        <v>0</v>
      </c>
      <c r="L649" s="6">
        <v>28.157</v>
      </c>
      <c r="M649" s="6">
        <v>28.157</v>
      </c>
      <c r="N649" s="6">
        <v>28.157</v>
      </c>
      <c r="O649" s="6">
        <v>28.157</v>
      </c>
      <c r="P649" s="6">
        <v>52</v>
      </c>
      <c r="Q649" s="4" t="s">
        <v>26</v>
      </c>
      <c r="R649" s="4">
        <v>0</v>
      </c>
      <c r="S649" s="6">
        <v>0</v>
      </c>
      <c r="T649" s="6">
        <v>2</v>
      </c>
      <c r="U649" s="6">
        <v>26</v>
      </c>
      <c r="V649" s="6">
        <f>IF(ISERROR(VLOOKUP($S$649,'TAR FIN'!$A$1:$O$85,15,0)),0,VLOOKUP($S$649,'TAR FIN'!$A$1:$O$85,15,0))</f>
        <v>0</v>
      </c>
      <c r="W649" s="6">
        <f>IF(ISERROR(VLOOKUP($T$649,'TAR FIN'!$A$1:$O$85,15,0)),0,VLOOKUP($T$649,'TAR FIN'!$A$1:$O$85,15,0))</f>
        <v>440.1</v>
      </c>
      <c r="X649" s="6">
        <f>IF(ISERROR(VLOOKUP($U$649,'TAR FIN'!$A$1:$O$85,15,0)),0,VLOOKUP($U$649,'TAR FIN'!$A$1:$O$85,15,0))</f>
        <v>223.72</v>
      </c>
      <c r="Y649" s="6"/>
      <c r="Z649" s="6">
        <f ca="1">('TUSD BE'!$AM$48+'TUSD BF'!$AM$48+'TUSD CVA'!$AM$48)*1</f>
        <v>494.3921362494865</v>
      </c>
      <c r="AA649" s="6">
        <f>('TE BE'!$AA$38+'TE BF'!$AA$38+'TE CVA'!$AA$38)*1</f>
        <v>217.62939920622892</v>
      </c>
      <c r="AB649" s="6">
        <f>$K$649*$V$649</f>
        <v>0</v>
      </c>
      <c r="AC649" s="6">
        <f>$M$649*$W$649</f>
        <v>12391.895700000001</v>
      </c>
      <c r="AD649" s="6">
        <f>$O$649*$X$649</f>
        <v>6299.2840399999995</v>
      </c>
      <c r="AE649" s="6">
        <f>$K$649*$Y$649</f>
        <v>0</v>
      </c>
      <c r="AF649" s="6">
        <f ca="1">$M$649*$Z$649</f>
        <v>13920.599380376791</v>
      </c>
      <c r="AG649" s="6">
        <f>$O$649*$AA$649</f>
        <v>6127.7909934497875</v>
      </c>
    </row>
    <row r="650" spans="1:33" ht="11.25" customHeight="1" x14ac:dyDescent="0.25">
      <c r="A650" s="4" t="s">
        <v>21</v>
      </c>
      <c r="B650" s="4" t="s">
        <v>37</v>
      </c>
      <c r="C650" s="4" t="s">
        <v>23</v>
      </c>
      <c r="D650" s="4" t="s">
        <v>42</v>
      </c>
      <c r="E650" s="4" t="s">
        <v>25</v>
      </c>
      <c r="F650" s="4" t="s">
        <v>25</v>
      </c>
      <c r="G650" s="4" t="s">
        <v>25</v>
      </c>
      <c r="H650" s="4" t="s">
        <v>25</v>
      </c>
      <c r="I650" s="5">
        <v>44409</v>
      </c>
      <c r="J650" s="6">
        <v>0</v>
      </c>
      <c r="K650" s="6">
        <v>0</v>
      </c>
      <c r="L650" s="6">
        <v>31.911999999999999</v>
      </c>
      <c r="M650" s="6">
        <v>31.911999999999999</v>
      </c>
      <c r="N650" s="6">
        <v>31.911999999999999</v>
      </c>
      <c r="O650" s="6">
        <v>31.911999999999999</v>
      </c>
      <c r="P650" s="6">
        <v>52</v>
      </c>
      <c r="Q650" s="4" t="s">
        <v>26</v>
      </c>
      <c r="R650" s="4">
        <v>0</v>
      </c>
      <c r="S650" s="6">
        <v>0</v>
      </c>
      <c r="T650" s="6">
        <v>2</v>
      </c>
      <c r="U650" s="6">
        <v>26</v>
      </c>
      <c r="V650" s="6">
        <f>IF(ISERROR(VLOOKUP($S$650,'TAR FIN'!$A$1:$O$85,15,0)),0,VLOOKUP($S$650,'TAR FIN'!$A$1:$O$85,15,0))</f>
        <v>0</v>
      </c>
      <c r="W650" s="6">
        <f>IF(ISERROR(VLOOKUP($T$650,'TAR FIN'!$A$1:$O$85,15,0)),0,VLOOKUP($T$650,'TAR FIN'!$A$1:$O$85,15,0))</f>
        <v>440.1</v>
      </c>
      <c r="X650" s="6">
        <f>IF(ISERROR(VLOOKUP($U$650,'TAR FIN'!$A$1:$O$85,15,0)),0,VLOOKUP($U$650,'TAR FIN'!$A$1:$O$85,15,0))</f>
        <v>223.72</v>
      </c>
      <c r="Y650" s="6"/>
      <c r="Z650" s="6">
        <f ca="1">('TUSD BE'!$AM$48+'TUSD BF'!$AM$48+'TUSD CVA'!$AM$48)*1</f>
        <v>494.3921362494865</v>
      </c>
      <c r="AA650" s="6">
        <f>('TE BE'!$AA$38+'TE BF'!$AA$38+'TE CVA'!$AA$38)*1</f>
        <v>217.62939920622892</v>
      </c>
      <c r="AB650" s="6">
        <f>$K$650*$V$650</f>
        <v>0</v>
      </c>
      <c r="AC650" s="6">
        <f>$M$650*$W$650</f>
        <v>14044.4712</v>
      </c>
      <c r="AD650" s="6">
        <f>$O$650*$X$650</f>
        <v>7139.3526400000001</v>
      </c>
      <c r="AE650" s="6">
        <f>$K$650*$Y$650</f>
        <v>0</v>
      </c>
      <c r="AF650" s="6">
        <f ca="1">$M$650*$Z$650</f>
        <v>15777.041851993612</v>
      </c>
      <c r="AG650" s="6">
        <f>$O$650*$AA$650</f>
        <v>6944.989387469177</v>
      </c>
    </row>
    <row r="651" spans="1:33" ht="11.25" customHeight="1" x14ac:dyDescent="0.25">
      <c r="A651" s="4" t="s">
        <v>21</v>
      </c>
      <c r="B651" s="4" t="s">
        <v>37</v>
      </c>
      <c r="C651" s="4" t="s">
        <v>23</v>
      </c>
      <c r="D651" s="4" t="s">
        <v>42</v>
      </c>
      <c r="E651" s="4" t="s">
        <v>25</v>
      </c>
      <c r="F651" s="4" t="s">
        <v>25</v>
      </c>
      <c r="G651" s="4" t="s">
        <v>25</v>
      </c>
      <c r="H651" s="4" t="s">
        <v>25</v>
      </c>
      <c r="I651" s="5">
        <v>44440</v>
      </c>
      <c r="J651" s="6">
        <v>0</v>
      </c>
      <c r="K651" s="6">
        <v>0</v>
      </c>
      <c r="L651" s="6">
        <v>37.844000000000001</v>
      </c>
      <c r="M651" s="6">
        <v>37.844000000000001</v>
      </c>
      <c r="N651" s="6">
        <v>37.844000000000001</v>
      </c>
      <c r="O651" s="6">
        <v>37.844000000000001</v>
      </c>
      <c r="P651" s="6">
        <v>52</v>
      </c>
      <c r="Q651" s="4" t="s">
        <v>26</v>
      </c>
      <c r="R651" s="4">
        <v>0</v>
      </c>
      <c r="S651" s="6">
        <v>0</v>
      </c>
      <c r="T651" s="6">
        <v>2</v>
      </c>
      <c r="U651" s="6">
        <v>26</v>
      </c>
      <c r="V651" s="6">
        <f>IF(ISERROR(VLOOKUP($S$651,'TAR FIN'!$A$1:$O$85,15,0)),0,VLOOKUP($S$651,'TAR FIN'!$A$1:$O$85,15,0))</f>
        <v>0</v>
      </c>
      <c r="W651" s="6">
        <f>IF(ISERROR(VLOOKUP($T$651,'TAR FIN'!$A$1:$O$85,15,0)),0,VLOOKUP($T$651,'TAR FIN'!$A$1:$O$85,15,0))</f>
        <v>440.1</v>
      </c>
      <c r="X651" s="6">
        <f>IF(ISERROR(VLOOKUP($U$651,'TAR FIN'!$A$1:$O$85,15,0)),0,VLOOKUP($U$651,'TAR FIN'!$A$1:$O$85,15,0))</f>
        <v>223.72</v>
      </c>
      <c r="Y651" s="6"/>
      <c r="Z651" s="6">
        <f ca="1">('TUSD BE'!$AM$48+'TUSD BF'!$AM$48+'TUSD CVA'!$AM$48)*1</f>
        <v>494.3921362494865</v>
      </c>
      <c r="AA651" s="6">
        <f>('TE BE'!$AA$38+'TE BF'!$AA$38+'TE CVA'!$AA$38)*1</f>
        <v>217.62939920622892</v>
      </c>
      <c r="AB651" s="6">
        <f>$K$651*$V$651</f>
        <v>0</v>
      </c>
      <c r="AC651" s="6">
        <f>$M$651*$W$651</f>
        <v>16655.144400000001</v>
      </c>
      <c r="AD651" s="6">
        <f>$O$651*$X$651</f>
        <v>8466.4596799999999</v>
      </c>
      <c r="AE651" s="6">
        <f>$K$651*$Y$651</f>
        <v>0</v>
      </c>
      <c r="AF651" s="6">
        <f ca="1">$M$651*$Z$651</f>
        <v>18709.776004225569</v>
      </c>
      <c r="AG651" s="6">
        <f>$O$651*$AA$651</f>
        <v>8235.9669835605273</v>
      </c>
    </row>
    <row r="652" spans="1:33" ht="11.25" customHeight="1" x14ac:dyDescent="0.25">
      <c r="A652" s="4" t="s">
        <v>21</v>
      </c>
      <c r="B652" s="4" t="s">
        <v>37</v>
      </c>
      <c r="C652" s="4" t="s">
        <v>23</v>
      </c>
      <c r="D652" s="4" t="s">
        <v>42</v>
      </c>
      <c r="E652" s="4" t="s">
        <v>25</v>
      </c>
      <c r="F652" s="4" t="s">
        <v>25</v>
      </c>
      <c r="G652" s="4" t="s">
        <v>25</v>
      </c>
      <c r="H652" s="4" t="s">
        <v>25</v>
      </c>
      <c r="I652" s="5">
        <v>44470</v>
      </c>
      <c r="J652" s="6">
        <v>0</v>
      </c>
      <c r="K652" s="6">
        <v>0</v>
      </c>
      <c r="L652" s="6">
        <v>35.908999999999999</v>
      </c>
      <c r="M652" s="6">
        <v>35.908999999999999</v>
      </c>
      <c r="N652" s="6">
        <v>35.908999999999999</v>
      </c>
      <c r="O652" s="6">
        <v>35.908999999999999</v>
      </c>
      <c r="P652" s="6">
        <v>53</v>
      </c>
      <c r="Q652" s="4" t="s">
        <v>26</v>
      </c>
      <c r="R652" s="4">
        <v>0</v>
      </c>
      <c r="S652" s="6">
        <v>0</v>
      </c>
      <c r="T652" s="6">
        <v>2</v>
      </c>
      <c r="U652" s="6">
        <v>26</v>
      </c>
      <c r="V652" s="6">
        <f>IF(ISERROR(VLOOKUP($S$652,'TAR FIN'!$A$1:$O$85,15,0)),0,VLOOKUP($S$652,'TAR FIN'!$A$1:$O$85,15,0))</f>
        <v>0</v>
      </c>
      <c r="W652" s="6">
        <f>IF(ISERROR(VLOOKUP($T$652,'TAR FIN'!$A$1:$O$85,15,0)),0,VLOOKUP($T$652,'TAR FIN'!$A$1:$O$85,15,0))</f>
        <v>440.1</v>
      </c>
      <c r="X652" s="6">
        <f>IF(ISERROR(VLOOKUP($U$652,'TAR FIN'!$A$1:$O$85,15,0)),0,VLOOKUP($U$652,'TAR FIN'!$A$1:$O$85,15,0))</f>
        <v>223.72</v>
      </c>
      <c r="Y652" s="6"/>
      <c r="Z652" s="6">
        <f ca="1">('TUSD BE'!$AM$48+'TUSD BF'!$AM$48+'TUSD CVA'!$AM$48)*1</f>
        <v>494.3921362494865</v>
      </c>
      <c r="AA652" s="6">
        <f>('TE BE'!$AA$38+'TE BF'!$AA$38+'TE CVA'!$AA$38)*1</f>
        <v>217.62939920622892</v>
      </c>
      <c r="AB652" s="6">
        <f>$K$652*$V$652</f>
        <v>0</v>
      </c>
      <c r="AC652" s="6">
        <f>$M$652*$W$652</f>
        <v>15803.5509</v>
      </c>
      <c r="AD652" s="6">
        <f>$O$652*$X$652</f>
        <v>8033.5614799999994</v>
      </c>
      <c r="AE652" s="6">
        <f>$K$652*$Y$652</f>
        <v>0</v>
      </c>
      <c r="AF652" s="6">
        <f ca="1">$M$652*$Z$652</f>
        <v>17753.12722058281</v>
      </c>
      <c r="AG652" s="6">
        <f>$O$652*$AA$652</f>
        <v>7814.8540960964747</v>
      </c>
    </row>
    <row r="653" spans="1:33" ht="11.25" customHeight="1" x14ac:dyDescent="0.25">
      <c r="A653" s="4" t="s">
        <v>21</v>
      </c>
      <c r="B653" s="4" t="s">
        <v>37</v>
      </c>
      <c r="C653" s="4" t="s">
        <v>23</v>
      </c>
      <c r="D653" s="4" t="s">
        <v>42</v>
      </c>
      <c r="E653" s="4" t="s">
        <v>25</v>
      </c>
      <c r="F653" s="4" t="s">
        <v>25</v>
      </c>
      <c r="G653" s="4" t="s">
        <v>25</v>
      </c>
      <c r="H653" s="4" t="s">
        <v>25</v>
      </c>
      <c r="I653" s="5">
        <v>44501</v>
      </c>
      <c r="J653" s="6">
        <v>0</v>
      </c>
      <c r="K653" s="6">
        <v>0</v>
      </c>
      <c r="L653" s="6">
        <v>36.732999999999997</v>
      </c>
      <c r="M653" s="6">
        <v>36.732999999999997</v>
      </c>
      <c r="N653" s="6">
        <v>36.732999999999997</v>
      </c>
      <c r="O653" s="6">
        <v>36.732999999999997</v>
      </c>
      <c r="P653" s="6">
        <v>53</v>
      </c>
      <c r="Q653" s="4" t="s">
        <v>26</v>
      </c>
      <c r="R653" s="4">
        <v>0</v>
      </c>
      <c r="S653" s="6">
        <v>0</v>
      </c>
      <c r="T653" s="6">
        <v>2</v>
      </c>
      <c r="U653" s="6">
        <v>26</v>
      </c>
      <c r="V653" s="6">
        <f>IF(ISERROR(VLOOKUP($S$653,'TAR FIN'!$A$1:$O$85,15,0)),0,VLOOKUP($S$653,'TAR FIN'!$A$1:$O$85,15,0))</f>
        <v>0</v>
      </c>
      <c r="W653" s="6">
        <f>IF(ISERROR(VLOOKUP($T$653,'TAR FIN'!$A$1:$O$85,15,0)),0,VLOOKUP($T$653,'TAR FIN'!$A$1:$O$85,15,0))</f>
        <v>440.1</v>
      </c>
      <c r="X653" s="6">
        <f>IF(ISERROR(VLOOKUP($U$653,'TAR FIN'!$A$1:$O$85,15,0)),0,VLOOKUP($U$653,'TAR FIN'!$A$1:$O$85,15,0))</f>
        <v>223.72</v>
      </c>
      <c r="Y653" s="6"/>
      <c r="Z653" s="6">
        <f ca="1">('TUSD BE'!$AM$48+'TUSD BF'!$AM$48+'TUSD CVA'!$AM$48)*1</f>
        <v>494.3921362494865</v>
      </c>
      <c r="AA653" s="6">
        <f>('TE BE'!$AA$38+'TE BF'!$AA$38+'TE CVA'!$AA$38)*1</f>
        <v>217.62939920622892</v>
      </c>
      <c r="AB653" s="6">
        <f>$K$653*$V$653</f>
        <v>0</v>
      </c>
      <c r="AC653" s="6">
        <f>$M$653*$W$653</f>
        <v>16166.193299999999</v>
      </c>
      <c r="AD653" s="6">
        <f>$O$653*$X$653</f>
        <v>8217.9067599999998</v>
      </c>
      <c r="AE653" s="6">
        <f>$K$653*$Y$653</f>
        <v>0</v>
      </c>
      <c r="AF653" s="6">
        <f ca="1">$M$653*$Z$653</f>
        <v>18160.506340852386</v>
      </c>
      <c r="AG653" s="6">
        <f>$O$653*$AA$653</f>
        <v>7994.1807210424067</v>
      </c>
    </row>
    <row r="654" spans="1:33" ht="11.25" customHeight="1" x14ac:dyDescent="0.25">
      <c r="A654" s="4" t="s">
        <v>21</v>
      </c>
      <c r="B654" s="4" t="s">
        <v>37</v>
      </c>
      <c r="C654" s="4" t="s">
        <v>23</v>
      </c>
      <c r="D654" s="4" t="s">
        <v>42</v>
      </c>
      <c r="E654" s="4" t="s">
        <v>25</v>
      </c>
      <c r="F654" s="4" t="s">
        <v>25</v>
      </c>
      <c r="G654" s="4" t="s">
        <v>25</v>
      </c>
      <c r="H654" s="4" t="s">
        <v>25</v>
      </c>
      <c r="I654" s="5">
        <v>44531</v>
      </c>
      <c r="J654" s="6">
        <v>0</v>
      </c>
      <c r="K654" s="6">
        <v>0</v>
      </c>
      <c r="L654" s="6">
        <v>39.914000000000001</v>
      </c>
      <c r="M654" s="6">
        <v>39.914000000000001</v>
      </c>
      <c r="N654" s="6">
        <v>39.914000000000001</v>
      </c>
      <c r="O654" s="6">
        <v>39.914000000000001</v>
      </c>
      <c r="P654" s="6">
        <v>53</v>
      </c>
      <c r="Q654" s="4" t="s">
        <v>26</v>
      </c>
      <c r="R654" s="4">
        <v>0</v>
      </c>
      <c r="S654" s="6">
        <v>0</v>
      </c>
      <c r="T654" s="6">
        <v>2</v>
      </c>
      <c r="U654" s="6">
        <v>26</v>
      </c>
      <c r="V654" s="6">
        <f>IF(ISERROR(VLOOKUP($S$654,'TAR FIN'!$A$1:$O$85,15,0)),0,VLOOKUP($S$654,'TAR FIN'!$A$1:$O$85,15,0))</f>
        <v>0</v>
      </c>
      <c r="W654" s="6">
        <f>IF(ISERROR(VLOOKUP($T$654,'TAR FIN'!$A$1:$O$85,15,0)),0,VLOOKUP($T$654,'TAR FIN'!$A$1:$O$85,15,0))</f>
        <v>440.1</v>
      </c>
      <c r="X654" s="6">
        <f>IF(ISERROR(VLOOKUP($U$654,'TAR FIN'!$A$1:$O$85,15,0)),0,VLOOKUP($U$654,'TAR FIN'!$A$1:$O$85,15,0))</f>
        <v>223.72</v>
      </c>
      <c r="Y654" s="6"/>
      <c r="Z654" s="6">
        <f ca="1">('TUSD BE'!$AM$48+'TUSD BF'!$AM$48+'TUSD CVA'!$AM$48)*1</f>
        <v>494.3921362494865</v>
      </c>
      <c r="AA654" s="6">
        <f>('TE BE'!$AA$38+'TE BF'!$AA$38+'TE CVA'!$AA$38)*1</f>
        <v>217.62939920622892</v>
      </c>
      <c r="AB654" s="6">
        <f>$K$654*$V$654</f>
        <v>0</v>
      </c>
      <c r="AC654" s="6">
        <f>$M$654*$W$654</f>
        <v>17566.151400000002</v>
      </c>
      <c r="AD654" s="6">
        <f>$O$654*$X$654</f>
        <v>8929.5600800000011</v>
      </c>
      <c r="AE654" s="6">
        <f>$K$654*$Y$654</f>
        <v>0</v>
      </c>
      <c r="AF654" s="6">
        <f ca="1">$M$654*$Z$654</f>
        <v>19733.167726262003</v>
      </c>
      <c r="AG654" s="6">
        <f>$O$654*$AA$654</f>
        <v>8686.459839917421</v>
      </c>
    </row>
    <row r="655" spans="1:33" ht="11.25" customHeight="1" x14ac:dyDescent="0.25">
      <c r="A655" s="4" t="s">
        <v>21</v>
      </c>
      <c r="B655" s="4" t="s">
        <v>37</v>
      </c>
      <c r="C655" s="4" t="s">
        <v>23</v>
      </c>
      <c r="D655" s="4" t="s">
        <v>42</v>
      </c>
      <c r="E655" s="4" t="s">
        <v>25</v>
      </c>
      <c r="F655" s="4" t="s">
        <v>25</v>
      </c>
      <c r="G655" s="4" t="s">
        <v>25</v>
      </c>
      <c r="H655" s="4" t="s">
        <v>25</v>
      </c>
      <c r="I655" s="5">
        <v>44562</v>
      </c>
      <c r="J655" s="6">
        <v>0</v>
      </c>
      <c r="K655" s="6">
        <v>0</v>
      </c>
      <c r="L655" s="6">
        <v>33.045000000000002</v>
      </c>
      <c r="M655" s="6">
        <v>33.045000000000002</v>
      </c>
      <c r="N655" s="6">
        <v>33.045000000000002</v>
      </c>
      <c r="O655" s="6">
        <v>33.045000000000002</v>
      </c>
      <c r="P655" s="6">
        <v>52</v>
      </c>
      <c r="Q655" s="4" t="s">
        <v>26</v>
      </c>
      <c r="R655" s="4">
        <v>0</v>
      </c>
      <c r="S655" s="6">
        <v>0</v>
      </c>
      <c r="T655" s="6">
        <v>2</v>
      </c>
      <c r="U655" s="6">
        <v>26</v>
      </c>
      <c r="V655" s="6">
        <f>IF(ISERROR(VLOOKUP($S$655,'TAR FIN'!$A$1:$O$85,15,0)),0,VLOOKUP($S$655,'TAR FIN'!$A$1:$O$85,15,0))</f>
        <v>0</v>
      </c>
      <c r="W655" s="6">
        <f>IF(ISERROR(VLOOKUP($T$655,'TAR FIN'!$A$1:$O$85,15,0)),0,VLOOKUP($T$655,'TAR FIN'!$A$1:$O$85,15,0))</f>
        <v>440.1</v>
      </c>
      <c r="X655" s="6">
        <f>IF(ISERROR(VLOOKUP($U$655,'TAR FIN'!$A$1:$O$85,15,0)),0,VLOOKUP($U$655,'TAR FIN'!$A$1:$O$85,15,0))</f>
        <v>223.72</v>
      </c>
      <c r="Y655" s="6"/>
      <c r="Z655" s="6">
        <f ca="1">('TUSD BE'!$AM$48+'TUSD BF'!$AM$48+'TUSD CVA'!$AM$48)*1</f>
        <v>494.3921362494865</v>
      </c>
      <c r="AA655" s="6">
        <f>('TE BE'!$AA$38+'TE BF'!$AA$38+'TE CVA'!$AA$38)*1</f>
        <v>217.62939920622892</v>
      </c>
      <c r="AB655" s="6">
        <f>$K$655*$V$655</f>
        <v>0</v>
      </c>
      <c r="AC655" s="6">
        <f>$M$655*$W$655</f>
        <v>14543.104500000001</v>
      </c>
      <c r="AD655" s="6">
        <f>$O$655*$X$655</f>
        <v>7392.8274000000001</v>
      </c>
      <c r="AE655" s="6">
        <f>$K$655*$Y$655</f>
        <v>0</v>
      </c>
      <c r="AF655" s="6">
        <f ca="1">$M$655*$Z$655</f>
        <v>16337.188142364283</v>
      </c>
      <c r="AG655" s="6">
        <f>$O$655*$AA$655</f>
        <v>7191.5634967698352</v>
      </c>
    </row>
    <row r="656" spans="1:33" ht="11.25" customHeight="1" x14ac:dyDescent="0.25">
      <c r="A656" s="4" t="s">
        <v>21</v>
      </c>
      <c r="B656" s="4" t="s">
        <v>37</v>
      </c>
      <c r="C656" s="4" t="s">
        <v>23</v>
      </c>
      <c r="D656" s="4" t="s">
        <v>42</v>
      </c>
      <c r="E656" s="4" t="s">
        <v>25</v>
      </c>
      <c r="F656" s="4" t="s">
        <v>25</v>
      </c>
      <c r="G656" s="4" t="s">
        <v>25</v>
      </c>
      <c r="H656" s="4" t="s">
        <v>25</v>
      </c>
      <c r="I656" s="5">
        <v>44593</v>
      </c>
      <c r="J656" s="6">
        <v>0</v>
      </c>
      <c r="K656" s="6">
        <v>0</v>
      </c>
      <c r="L656" s="6">
        <v>35.738</v>
      </c>
      <c r="M656" s="6">
        <v>35.738</v>
      </c>
      <c r="N656" s="6">
        <v>35.738</v>
      </c>
      <c r="O656" s="6">
        <v>35.738</v>
      </c>
      <c r="P656" s="6">
        <v>52</v>
      </c>
      <c r="Q656" s="4" t="s">
        <v>26</v>
      </c>
      <c r="R656" s="4">
        <v>0</v>
      </c>
      <c r="S656" s="6">
        <v>0</v>
      </c>
      <c r="T656" s="6">
        <v>2</v>
      </c>
      <c r="U656" s="6">
        <v>26</v>
      </c>
      <c r="V656" s="6">
        <f>IF(ISERROR(VLOOKUP($S$656,'TAR FIN'!$A$1:$O$85,15,0)),0,VLOOKUP($S$656,'TAR FIN'!$A$1:$O$85,15,0))</f>
        <v>0</v>
      </c>
      <c r="W656" s="6">
        <f>IF(ISERROR(VLOOKUP($T$656,'TAR FIN'!$A$1:$O$85,15,0)),0,VLOOKUP($T$656,'TAR FIN'!$A$1:$O$85,15,0))</f>
        <v>440.1</v>
      </c>
      <c r="X656" s="6">
        <f>IF(ISERROR(VLOOKUP($U$656,'TAR FIN'!$A$1:$O$85,15,0)),0,VLOOKUP($U$656,'TAR FIN'!$A$1:$O$85,15,0))</f>
        <v>223.72</v>
      </c>
      <c r="Y656" s="6"/>
      <c r="Z656" s="6">
        <f ca="1">('TUSD BE'!$AM$48+'TUSD BF'!$AM$48+'TUSD CVA'!$AM$48)*1</f>
        <v>494.3921362494865</v>
      </c>
      <c r="AA656" s="6">
        <f>('TE BE'!$AA$38+'TE BF'!$AA$38+'TE CVA'!$AA$38)*1</f>
        <v>217.62939920622892</v>
      </c>
      <c r="AB656" s="6">
        <f>$K$656*$V$656</f>
        <v>0</v>
      </c>
      <c r="AC656" s="6">
        <f>$M$656*$W$656</f>
        <v>15728.293800000001</v>
      </c>
      <c r="AD656" s="6">
        <f>$O$656*$X$656</f>
        <v>7995.3053600000003</v>
      </c>
      <c r="AE656" s="6">
        <f>$K$656*$Y$656</f>
        <v>0</v>
      </c>
      <c r="AF656" s="6">
        <f ca="1">$M$656*$Z$656</f>
        <v>17668.586165284149</v>
      </c>
      <c r="AG656" s="6">
        <f>$O$656*$AA$656</f>
        <v>7777.6394688322089</v>
      </c>
    </row>
    <row r="657" spans="1:33" ht="11.25" customHeight="1" x14ac:dyDescent="0.25">
      <c r="A657" s="4" t="s">
        <v>54</v>
      </c>
      <c r="B657" s="4" t="s">
        <v>37</v>
      </c>
      <c r="C657" s="4" t="s">
        <v>23</v>
      </c>
      <c r="D657" s="4" t="s">
        <v>42</v>
      </c>
      <c r="E657" s="4" t="s">
        <v>25</v>
      </c>
      <c r="F657" s="4" t="s">
        <v>25</v>
      </c>
      <c r="G657" s="4" t="s">
        <v>25</v>
      </c>
      <c r="H657" s="4" t="s">
        <v>25</v>
      </c>
      <c r="I657" s="5">
        <v>44621</v>
      </c>
      <c r="J657" s="6">
        <v>0</v>
      </c>
      <c r="K657" s="6">
        <v>0</v>
      </c>
      <c r="L657" s="6">
        <v>35.738</v>
      </c>
      <c r="M657" s="6">
        <v>35.738</v>
      </c>
      <c r="N657" s="6">
        <v>35.738</v>
      </c>
      <c r="O657" s="6">
        <v>35.738</v>
      </c>
      <c r="P657" s="6">
        <v>52</v>
      </c>
      <c r="Q657" s="4" t="s">
        <v>26</v>
      </c>
      <c r="R657" s="4">
        <v>0</v>
      </c>
      <c r="S657" s="6">
        <v>0</v>
      </c>
      <c r="T657" s="6">
        <v>2</v>
      </c>
      <c r="U657" s="6">
        <v>26</v>
      </c>
      <c r="V657" s="6">
        <f>IF(ISERROR(VLOOKUP($S$657,'TAR FIN'!$A$1:$O$85,15,0)),0,VLOOKUP($S$657,'TAR FIN'!$A$1:$O$85,15,0))</f>
        <v>0</v>
      </c>
      <c r="W657" s="6">
        <f>IF(ISERROR(VLOOKUP($T$657,'TAR FIN'!$A$1:$O$85,15,0)),0,VLOOKUP($T$657,'TAR FIN'!$A$1:$O$85,15,0))</f>
        <v>440.1</v>
      </c>
      <c r="X657" s="6">
        <f>IF(ISERROR(VLOOKUP($U$657,'TAR FIN'!$A$1:$O$85,15,0)),0,VLOOKUP($U$657,'TAR FIN'!$A$1:$O$85,15,0))</f>
        <v>223.72</v>
      </c>
      <c r="Y657" s="6"/>
      <c r="Z657" s="6">
        <f ca="1">('TUSD BE'!$AM$48+'TUSD BF'!$AM$48+'TUSD CVA'!$AM$48)*1</f>
        <v>494.3921362494865</v>
      </c>
      <c r="AA657" s="6">
        <f>('TE BE'!$AA$38+'TE BF'!$AA$38+'TE CVA'!$AA$38)*1</f>
        <v>217.62939920622892</v>
      </c>
      <c r="AB657" s="6">
        <f>$K$657*$V$657</f>
        <v>0</v>
      </c>
      <c r="AC657" s="6">
        <f>$M$657*$W$657</f>
        <v>15728.293800000001</v>
      </c>
      <c r="AD657" s="6">
        <f>$O$657*$X$657</f>
        <v>7995.3053600000003</v>
      </c>
      <c r="AE657" s="6">
        <f>$K$657*$Y$657</f>
        <v>0</v>
      </c>
      <c r="AF657" s="6">
        <f ca="1">$M$657*$Z$657</f>
        <v>17668.586165284149</v>
      </c>
      <c r="AG657" s="6">
        <f>$O$657*$AA$657</f>
        <v>7777.6394688322089</v>
      </c>
    </row>
    <row r="658" spans="1:33" ht="11.25" customHeight="1" x14ac:dyDescent="0.25">
      <c r="A658" s="4" t="s">
        <v>21</v>
      </c>
      <c r="B658" s="4" t="s">
        <v>37</v>
      </c>
      <c r="C658" s="4" t="s">
        <v>23</v>
      </c>
      <c r="D658" s="4" t="s">
        <v>48</v>
      </c>
      <c r="E658" s="4" t="s">
        <v>49</v>
      </c>
      <c r="F658" s="4" t="s">
        <v>25</v>
      </c>
      <c r="G658" s="4" t="s">
        <v>25</v>
      </c>
      <c r="H658" s="4" t="s">
        <v>25</v>
      </c>
      <c r="I658" s="5">
        <v>44287</v>
      </c>
      <c r="J658" s="6">
        <v>0</v>
      </c>
      <c r="K658" s="70">
        <v>0</v>
      </c>
      <c r="L658" s="6">
        <v>43.765999999999998</v>
      </c>
      <c r="M658" s="70">
        <v>43.765999999999998</v>
      </c>
      <c r="N658" s="6">
        <v>43.765999999999998</v>
      </c>
      <c r="O658" s="70">
        <v>43.765999999999998</v>
      </c>
      <c r="P658" s="6">
        <v>17</v>
      </c>
      <c r="Q658" s="4" t="s">
        <v>26</v>
      </c>
      <c r="R658" s="4">
        <v>0</v>
      </c>
      <c r="S658" s="6">
        <v>0</v>
      </c>
      <c r="T658" s="6">
        <v>2</v>
      </c>
      <c r="U658" s="6">
        <v>26</v>
      </c>
      <c r="V658" s="70">
        <f>IF(ISERROR(VLOOKUP($S$658,'TAR FIN'!$A$1:$O$85,15,0)),0,VLOOKUP($S$658,'TAR FIN'!$A$1:$O$85,15,0))</f>
        <v>0</v>
      </c>
      <c r="W658" s="70">
        <f>IF(ISERROR(VLOOKUP($T$658,'TAR FIN'!$A$1:$O$85,15,0)),0,VLOOKUP($T$658,'TAR FIN'!$A$1:$O$85,15,0))*(1-0.06)</f>
        <v>413.69400000000002</v>
      </c>
      <c r="X658" s="70">
        <f>IF(ISERROR(VLOOKUP($U$658,'TAR FIN'!$A$1:$O$85,15,0)),0,VLOOKUP($U$658,'TAR FIN'!$A$1:$O$85,15,0))*(1-0.06)</f>
        <v>210.29679999999999</v>
      </c>
      <c r="Y658" s="70"/>
      <c r="Z658" s="70">
        <f ca="1">('TUSD BE'!$AM$48+'TUSD BF'!$AM$48+'TUSD CVA'!$AM$48)*1*(1-0.03)</f>
        <v>479.5603721620019</v>
      </c>
      <c r="AA658" s="70">
        <f>('TE BE'!$AA$38+'TE BF'!$AA$38+'TE CVA'!$AA$38)*1*(1-0.03)</f>
        <v>211.10051723004204</v>
      </c>
      <c r="AB658" s="6">
        <f>$K$658*$V$658</f>
        <v>0</v>
      </c>
      <c r="AC658" s="6">
        <f>$M$658*$W$658</f>
        <v>18105.731604000001</v>
      </c>
      <c r="AD658" s="6">
        <f>$O$658*$X$658</f>
        <v>9203.8497487999994</v>
      </c>
      <c r="AE658" s="6">
        <f>$K$658*$Y$658</f>
        <v>0</v>
      </c>
      <c r="AF658" s="6">
        <f ca="1">$M$658*$Z$658</f>
        <v>20988.439248042174</v>
      </c>
      <c r="AG658" s="6">
        <f>$O$658*$AA$658</f>
        <v>9239.0252370900198</v>
      </c>
    </row>
    <row r="659" spans="1:33" ht="11.25" customHeight="1" x14ac:dyDescent="0.25">
      <c r="A659" s="4" t="s">
        <v>21</v>
      </c>
      <c r="B659" s="4" t="s">
        <v>37</v>
      </c>
      <c r="C659" s="4" t="s">
        <v>23</v>
      </c>
      <c r="D659" s="4" t="s">
        <v>48</v>
      </c>
      <c r="E659" s="4" t="s">
        <v>49</v>
      </c>
      <c r="F659" s="4" t="s">
        <v>25</v>
      </c>
      <c r="G659" s="4" t="s">
        <v>25</v>
      </c>
      <c r="H659" s="4" t="s">
        <v>25</v>
      </c>
      <c r="I659" s="5">
        <v>44317</v>
      </c>
      <c r="J659" s="6">
        <v>0</v>
      </c>
      <c r="K659" s="70">
        <v>0</v>
      </c>
      <c r="L659" s="6">
        <v>44.619</v>
      </c>
      <c r="M659" s="70">
        <v>44.619</v>
      </c>
      <c r="N659" s="6">
        <v>44.619</v>
      </c>
      <c r="O659" s="70">
        <v>44.619</v>
      </c>
      <c r="P659" s="6">
        <v>17</v>
      </c>
      <c r="Q659" s="4" t="s">
        <v>26</v>
      </c>
      <c r="R659" s="4">
        <v>0</v>
      </c>
      <c r="S659" s="6">
        <v>0</v>
      </c>
      <c r="T659" s="6">
        <v>2</v>
      </c>
      <c r="U659" s="6">
        <v>26</v>
      </c>
      <c r="V659" s="70">
        <f>IF(ISERROR(VLOOKUP($S$659,'TAR FIN'!$A$1:$O$85,15,0)),0,VLOOKUP($S$659,'TAR FIN'!$A$1:$O$85,15,0))</f>
        <v>0</v>
      </c>
      <c r="W659" s="70">
        <f>IF(ISERROR(VLOOKUP($T$659,'TAR FIN'!$A$1:$O$85,15,0)),0,VLOOKUP($T$659,'TAR FIN'!$A$1:$O$85,15,0))*(1-0.06)</f>
        <v>413.69400000000002</v>
      </c>
      <c r="X659" s="70">
        <f>IF(ISERROR(VLOOKUP($U$659,'TAR FIN'!$A$1:$O$85,15,0)),0,VLOOKUP($U$659,'TAR FIN'!$A$1:$O$85,15,0))*(1-0.06)</f>
        <v>210.29679999999999</v>
      </c>
      <c r="Y659" s="70"/>
      <c r="Z659" s="70">
        <f ca="1">('TUSD BE'!$AM$48+'TUSD BF'!$AM$48+'TUSD CVA'!$AM$48)*1*(1-0.03)</f>
        <v>479.5603721620019</v>
      </c>
      <c r="AA659" s="70">
        <f>('TE BE'!$AA$38+'TE BF'!$AA$38+'TE CVA'!$AA$38)*1*(1-0.03)</f>
        <v>211.10051723004204</v>
      </c>
      <c r="AB659" s="6">
        <f>$K$659*$V$659</f>
        <v>0</v>
      </c>
      <c r="AC659" s="6">
        <f>$M$659*$W$659</f>
        <v>18458.612585999999</v>
      </c>
      <c r="AD659" s="6">
        <f>$O$659*$X$659</f>
        <v>9383.2329191999997</v>
      </c>
      <c r="AE659" s="6">
        <f>$K$659*$Y$659</f>
        <v>0</v>
      </c>
      <c r="AF659" s="6">
        <f ca="1">$M$659*$Z$659</f>
        <v>21397.504245496362</v>
      </c>
      <c r="AG659" s="6">
        <f>$O$659*$AA$659</f>
        <v>9419.0939782872465</v>
      </c>
    </row>
    <row r="660" spans="1:33" ht="11.25" customHeight="1" x14ac:dyDescent="0.25">
      <c r="A660" s="4" t="s">
        <v>21</v>
      </c>
      <c r="B660" s="4" t="s">
        <v>37</v>
      </c>
      <c r="C660" s="4" t="s">
        <v>23</v>
      </c>
      <c r="D660" s="4" t="s">
        <v>48</v>
      </c>
      <c r="E660" s="4" t="s">
        <v>49</v>
      </c>
      <c r="F660" s="4" t="s">
        <v>25</v>
      </c>
      <c r="G660" s="4" t="s">
        <v>25</v>
      </c>
      <c r="H660" s="4" t="s">
        <v>25</v>
      </c>
      <c r="I660" s="5">
        <v>44348</v>
      </c>
      <c r="J660" s="6">
        <v>0</v>
      </c>
      <c r="K660" s="70">
        <v>0</v>
      </c>
      <c r="L660" s="6">
        <v>47.972000000000001</v>
      </c>
      <c r="M660" s="70">
        <v>47.972000000000001</v>
      </c>
      <c r="N660" s="6">
        <v>47.972000000000001</v>
      </c>
      <c r="O660" s="70">
        <v>47.972000000000001</v>
      </c>
      <c r="P660" s="6">
        <v>17</v>
      </c>
      <c r="Q660" s="4" t="s">
        <v>26</v>
      </c>
      <c r="R660" s="4">
        <v>0</v>
      </c>
      <c r="S660" s="6">
        <v>0</v>
      </c>
      <c r="T660" s="6">
        <v>2</v>
      </c>
      <c r="U660" s="6">
        <v>26</v>
      </c>
      <c r="V660" s="70">
        <f>IF(ISERROR(VLOOKUP($S$660,'TAR FIN'!$A$1:$O$85,15,0)),0,VLOOKUP($S$660,'TAR FIN'!$A$1:$O$85,15,0))</f>
        <v>0</v>
      </c>
      <c r="W660" s="70">
        <f>IF(ISERROR(VLOOKUP($T$660,'TAR FIN'!$A$1:$O$85,15,0)),0,VLOOKUP($T$660,'TAR FIN'!$A$1:$O$85,15,0))*(1-0.06)</f>
        <v>413.69400000000002</v>
      </c>
      <c r="X660" s="70">
        <f>IF(ISERROR(VLOOKUP($U$660,'TAR FIN'!$A$1:$O$85,15,0)),0,VLOOKUP($U$660,'TAR FIN'!$A$1:$O$85,15,0))*(1-0.06)</f>
        <v>210.29679999999999</v>
      </c>
      <c r="Y660" s="70"/>
      <c r="Z660" s="70">
        <f ca="1">('TUSD BE'!$AM$48+'TUSD BF'!$AM$48+'TUSD CVA'!$AM$48)*1*(1-0.03)</f>
        <v>479.5603721620019</v>
      </c>
      <c r="AA660" s="70">
        <f>('TE BE'!$AA$38+'TE BF'!$AA$38+'TE CVA'!$AA$38)*1*(1-0.03)</f>
        <v>211.10051723004204</v>
      </c>
      <c r="AB660" s="6">
        <f>$K$660*$V$660</f>
        <v>0</v>
      </c>
      <c r="AC660" s="6">
        <f>$M$660*$W$660</f>
        <v>19845.728568000002</v>
      </c>
      <c r="AD660" s="6">
        <f>$O$660*$X$660</f>
        <v>10088.3580896</v>
      </c>
      <c r="AE660" s="6">
        <f>$K$660*$Y$660</f>
        <v>0</v>
      </c>
      <c r="AF660" s="6">
        <f ca="1">$M$660*$Z$660</f>
        <v>23005.470173355556</v>
      </c>
      <c r="AG660" s="6">
        <f>$O$660*$AA$660</f>
        <v>10126.914012559577</v>
      </c>
    </row>
    <row r="661" spans="1:33" ht="11.25" customHeight="1" x14ac:dyDescent="0.25">
      <c r="A661" s="4" t="s">
        <v>21</v>
      </c>
      <c r="B661" s="4" t="s">
        <v>37</v>
      </c>
      <c r="C661" s="4" t="s">
        <v>23</v>
      </c>
      <c r="D661" s="4" t="s">
        <v>48</v>
      </c>
      <c r="E661" s="4" t="s">
        <v>49</v>
      </c>
      <c r="F661" s="4" t="s">
        <v>25</v>
      </c>
      <c r="G661" s="4" t="s">
        <v>25</v>
      </c>
      <c r="H661" s="4" t="s">
        <v>25</v>
      </c>
      <c r="I661" s="5">
        <v>44378</v>
      </c>
      <c r="J661" s="6">
        <v>0</v>
      </c>
      <c r="K661" s="70">
        <v>0</v>
      </c>
      <c r="L661" s="6">
        <v>36.499000000000002</v>
      </c>
      <c r="M661" s="70">
        <v>36.499000000000002</v>
      </c>
      <c r="N661" s="6">
        <v>36.499000000000002</v>
      </c>
      <c r="O661" s="70">
        <v>36.499000000000002</v>
      </c>
      <c r="P661" s="6">
        <v>17</v>
      </c>
      <c r="Q661" s="4" t="s">
        <v>26</v>
      </c>
      <c r="R661" s="4">
        <v>0</v>
      </c>
      <c r="S661" s="6">
        <v>0</v>
      </c>
      <c r="T661" s="6">
        <v>2</v>
      </c>
      <c r="U661" s="6">
        <v>26</v>
      </c>
      <c r="V661" s="70">
        <f>IF(ISERROR(VLOOKUP($S$661,'TAR FIN'!$A$1:$O$85,15,0)),0,VLOOKUP($S$661,'TAR FIN'!$A$1:$O$85,15,0))</f>
        <v>0</v>
      </c>
      <c r="W661" s="70">
        <f>IF(ISERROR(VLOOKUP($T$661,'TAR FIN'!$A$1:$O$85,15,0)),0,VLOOKUP($T$661,'TAR FIN'!$A$1:$O$85,15,0))*(1-0.06)</f>
        <v>413.69400000000002</v>
      </c>
      <c r="X661" s="70">
        <f>IF(ISERROR(VLOOKUP($U$661,'TAR FIN'!$A$1:$O$85,15,0)),0,VLOOKUP($U$661,'TAR FIN'!$A$1:$O$85,15,0))*(1-0.06)</f>
        <v>210.29679999999999</v>
      </c>
      <c r="Y661" s="70"/>
      <c r="Z661" s="70">
        <f ca="1">('TUSD BE'!$AM$48+'TUSD BF'!$AM$48+'TUSD CVA'!$AM$48)*1*(1-0.03)</f>
        <v>479.5603721620019</v>
      </c>
      <c r="AA661" s="70">
        <f>('TE BE'!$AA$38+'TE BF'!$AA$38+'TE CVA'!$AA$38)*1*(1-0.03)</f>
        <v>211.10051723004204</v>
      </c>
      <c r="AB661" s="6">
        <f>$K$661*$V$661</f>
        <v>0</v>
      </c>
      <c r="AC661" s="6">
        <f>$M$661*$W$661</f>
        <v>15099.417306000001</v>
      </c>
      <c r="AD661" s="6">
        <f>$O$661*$X$661</f>
        <v>7675.6229032000001</v>
      </c>
      <c r="AE661" s="6">
        <f>$K$661*$Y$661</f>
        <v>0</v>
      </c>
      <c r="AF661" s="6">
        <f ca="1">$M$661*$Z$661</f>
        <v>17503.474023540908</v>
      </c>
      <c r="AG661" s="6">
        <f>$O$661*$AA$661</f>
        <v>7704.9577783793047</v>
      </c>
    </row>
    <row r="662" spans="1:33" ht="11.25" customHeight="1" x14ac:dyDescent="0.25">
      <c r="A662" s="4" t="s">
        <v>21</v>
      </c>
      <c r="B662" s="4" t="s">
        <v>37</v>
      </c>
      <c r="C662" s="4" t="s">
        <v>23</v>
      </c>
      <c r="D662" s="4" t="s">
        <v>48</v>
      </c>
      <c r="E662" s="4" t="s">
        <v>49</v>
      </c>
      <c r="F662" s="4" t="s">
        <v>25</v>
      </c>
      <c r="G662" s="4" t="s">
        <v>25</v>
      </c>
      <c r="H662" s="4" t="s">
        <v>25</v>
      </c>
      <c r="I662" s="5">
        <v>44409</v>
      </c>
      <c r="J662" s="6">
        <v>0</v>
      </c>
      <c r="K662" s="70">
        <v>0</v>
      </c>
      <c r="L662" s="6">
        <v>41.853999999999999</v>
      </c>
      <c r="M662" s="70">
        <v>41.853999999999999</v>
      </c>
      <c r="N662" s="6">
        <v>41.853999999999999</v>
      </c>
      <c r="O662" s="70">
        <v>41.853999999999999</v>
      </c>
      <c r="P662" s="6">
        <v>18</v>
      </c>
      <c r="Q662" s="4" t="s">
        <v>26</v>
      </c>
      <c r="R662" s="4">
        <v>0</v>
      </c>
      <c r="S662" s="6">
        <v>0</v>
      </c>
      <c r="T662" s="6">
        <v>2</v>
      </c>
      <c r="U662" s="6">
        <v>26</v>
      </c>
      <c r="V662" s="70">
        <f>IF(ISERROR(VLOOKUP($S$662,'TAR FIN'!$A$1:$O$85,15,0)),0,VLOOKUP($S$662,'TAR FIN'!$A$1:$O$85,15,0))</f>
        <v>0</v>
      </c>
      <c r="W662" s="70">
        <f>IF(ISERROR(VLOOKUP($T$662,'TAR FIN'!$A$1:$O$85,15,0)),0,VLOOKUP($T$662,'TAR FIN'!$A$1:$O$85,15,0))*(1-0.06)</f>
        <v>413.69400000000002</v>
      </c>
      <c r="X662" s="70">
        <f>IF(ISERROR(VLOOKUP($U$662,'TAR FIN'!$A$1:$O$85,15,0)),0,VLOOKUP($U$662,'TAR FIN'!$A$1:$O$85,15,0))*(1-0.06)</f>
        <v>210.29679999999999</v>
      </c>
      <c r="Y662" s="70"/>
      <c r="Z662" s="70">
        <f ca="1">('TUSD BE'!$AM$48+'TUSD BF'!$AM$48+'TUSD CVA'!$AM$48)*1*(1-0.03)</f>
        <v>479.5603721620019</v>
      </c>
      <c r="AA662" s="70">
        <f>('TE BE'!$AA$38+'TE BF'!$AA$38+'TE CVA'!$AA$38)*1*(1-0.03)</f>
        <v>211.10051723004204</v>
      </c>
      <c r="AB662" s="6">
        <f>$K$662*$V$662</f>
        <v>0</v>
      </c>
      <c r="AC662" s="6">
        <f>$M$662*$W$662</f>
        <v>17314.748675999999</v>
      </c>
      <c r="AD662" s="6">
        <f>$O$662*$X$662</f>
        <v>8801.7622671999998</v>
      </c>
      <c r="AE662" s="6">
        <f>$K$662*$Y$662</f>
        <v>0</v>
      </c>
      <c r="AF662" s="6">
        <f ca="1">$M$662*$Z$662</f>
        <v>20071.519816468426</v>
      </c>
      <c r="AG662" s="6">
        <f>$O$662*$AA$662</f>
        <v>8835.4010481461792</v>
      </c>
    </row>
    <row r="663" spans="1:33" ht="11.25" customHeight="1" x14ac:dyDescent="0.25">
      <c r="A663" s="4" t="s">
        <v>21</v>
      </c>
      <c r="B663" s="4" t="s">
        <v>37</v>
      </c>
      <c r="C663" s="4" t="s">
        <v>23</v>
      </c>
      <c r="D663" s="4" t="s">
        <v>48</v>
      </c>
      <c r="E663" s="4" t="s">
        <v>49</v>
      </c>
      <c r="F663" s="4" t="s">
        <v>25</v>
      </c>
      <c r="G663" s="4" t="s">
        <v>25</v>
      </c>
      <c r="H663" s="4" t="s">
        <v>25</v>
      </c>
      <c r="I663" s="5">
        <v>44440</v>
      </c>
      <c r="J663" s="6">
        <v>0</v>
      </c>
      <c r="K663" s="70">
        <v>0</v>
      </c>
      <c r="L663" s="6">
        <v>44.115000000000002</v>
      </c>
      <c r="M663" s="70">
        <v>44.115000000000002</v>
      </c>
      <c r="N663" s="6">
        <v>44.115000000000002</v>
      </c>
      <c r="O663" s="70">
        <v>44.115000000000002</v>
      </c>
      <c r="P663" s="6">
        <v>18</v>
      </c>
      <c r="Q663" s="4" t="s">
        <v>26</v>
      </c>
      <c r="R663" s="4">
        <v>0</v>
      </c>
      <c r="S663" s="6">
        <v>0</v>
      </c>
      <c r="T663" s="6">
        <v>2</v>
      </c>
      <c r="U663" s="6">
        <v>26</v>
      </c>
      <c r="V663" s="70">
        <f>IF(ISERROR(VLOOKUP($S$663,'TAR FIN'!$A$1:$O$85,15,0)),0,VLOOKUP($S$663,'TAR FIN'!$A$1:$O$85,15,0))</f>
        <v>0</v>
      </c>
      <c r="W663" s="70">
        <f>IF(ISERROR(VLOOKUP($T$663,'TAR FIN'!$A$1:$O$85,15,0)),0,VLOOKUP($T$663,'TAR FIN'!$A$1:$O$85,15,0))*(1-0.06)</f>
        <v>413.69400000000002</v>
      </c>
      <c r="X663" s="70">
        <f>IF(ISERROR(VLOOKUP($U$663,'TAR FIN'!$A$1:$O$85,15,0)),0,VLOOKUP($U$663,'TAR FIN'!$A$1:$O$85,15,0))*(1-0.06)</f>
        <v>210.29679999999999</v>
      </c>
      <c r="Y663" s="70"/>
      <c r="Z663" s="70">
        <f ca="1">('TUSD BE'!$AM$48+'TUSD BF'!$AM$48+'TUSD CVA'!$AM$48)*1*(1-0.03)</f>
        <v>479.5603721620019</v>
      </c>
      <c r="AA663" s="70">
        <f>('TE BE'!$AA$38+'TE BF'!$AA$38+'TE CVA'!$AA$38)*1*(1-0.03)</f>
        <v>211.10051723004204</v>
      </c>
      <c r="AB663" s="6">
        <f>$K$663*$V$663</f>
        <v>0</v>
      </c>
      <c r="AC663" s="6">
        <f>$M$663*$W$663</f>
        <v>18250.110810000002</v>
      </c>
      <c r="AD663" s="6">
        <f>$O$663*$X$663</f>
        <v>9277.243332</v>
      </c>
      <c r="AE663" s="6">
        <f>$K$663*$Y$663</f>
        <v>0</v>
      </c>
      <c r="AF663" s="6">
        <f ca="1">$M$663*$Z$663</f>
        <v>21155.805817926714</v>
      </c>
      <c r="AG663" s="6">
        <f>$O$663*$AA$663</f>
        <v>9312.6993176033047</v>
      </c>
    </row>
    <row r="664" spans="1:33" ht="11.25" customHeight="1" x14ac:dyDescent="0.25">
      <c r="A664" s="4" t="s">
        <v>21</v>
      </c>
      <c r="B664" s="4" t="s">
        <v>37</v>
      </c>
      <c r="C664" s="4" t="s">
        <v>23</v>
      </c>
      <c r="D664" s="4" t="s">
        <v>48</v>
      </c>
      <c r="E664" s="4" t="s">
        <v>49</v>
      </c>
      <c r="F664" s="4" t="s">
        <v>25</v>
      </c>
      <c r="G664" s="4" t="s">
        <v>25</v>
      </c>
      <c r="H664" s="4" t="s">
        <v>25</v>
      </c>
      <c r="I664" s="5">
        <v>44470</v>
      </c>
      <c r="J664" s="6">
        <v>0</v>
      </c>
      <c r="K664" s="70">
        <v>0</v>
      </c>
      <c r="L664" s="6">
        <v>40.51</v>
      </c>
      <c r="M664" s="70">
        <v>40.51</v>
      </c>
      <c r="N664" s="6">
        <v>40.51</v>
      </c>
      <c r="O664" s="70">
        <v>40.51</v>
      </c>
      <c r="P664" s="6">
        <v>18</v>
      </c>
      <c r="Q664" s="4" t="s">
        <v>26</v>
      </c>
      <c r="R664" s="4">
        <v>0</v>
      </c>
      <c r="S664" s="6">
        <v>0</v>
      </c>
      <c r="T664" s="6">
        <v>2</v>
      </c>
      <c r="U664" s="6">
        <v>26</v>
      </c>
      <c r="V664" s="70">
        <f>IF(ISERROR(VLOOKUP($S$664,'TAR FIN'!$A$1:$O$85,15,0)),0,VLOOKUP($S$664,'TAR FIN'!$A$1:$O$85,15,0))</f>
        <v>0</v>
      </c>
      <c r="W664" s="70">
        <f>IF(ISERROR(VLOOKUP($T$664,'TAR FIN'!$A$1:$O$85,15,0)),0,VLOOKUP($T$664,'TAR FIN'!$A$1:$O$85,15,0))*(1-0.06)</f>
        <v>413.69400000000002</v>
      </c>
      <c r="X664" s="70">
        <f>IF(ISERROR(VLOOKUP($U$664,'TAR FIN'!$A$1:$O$85,15,0)),0,VLOOKUP($U$664,'TAR FIN'!$A$1:$O$85,15,0))*(1-0.06)</f>
        <v>210.29679999999999</v>
      </c>
      <c r="Y664" s="70"/>
      <c r="Z664" s="70">
        <f ca="1">('TUSD BE'!$AM$48+'TUSD BF'!$AM$48+'TUSD CVA'!$AM$48)*1*(1-0.03)</f>
        <v>479.5603721620019</v>
      </c>
      <c r="AA664" s="70">
        <f>('TE BE'!$AA$38+'TE BF'!$AA$38+'TE CVA'!$AA$38)*1*(1-0.03)</f>
        <v>211.10051723004204</v>
      </c>
      <c r="AB664" s="6">
        <f>$K$664*$V$664</f>
        <v>0</v>
      </c>
      <c r="AC664" s="6">
        <f>$M$664*$W$664</f>
        <v>16758.74394</v>
      </c>
      <c r="AD664" s="6">
        <f>$O$664*$X$664</f>
        <v>8519.1233679999987</v>
      </c>
      <c r="AE664" s="6">
        <f>$K$664*$Y$664</f>
        <v>0</v>
      </c>
      <c r="AF664" s="6">
        <f ca="1">$M$664*$Z$664</f>
        <v>19426.990676282698</v>
      </c>
      <c r="AG664" s="6">
        <f>$O$664*$AA$664</f>
        <v>8551.6819529890035</v>
      </c>
    </row>
    <row r="665" spans="1:33" ht="11.25" customHeight="1" x14ac:dyDescent="0.25">
      <c r="A665" s="4" t="s">
        <v>21</v>
      </c>
      <c r="B665" s="4" t="s">
        <v>37</v>
      </c>
      <c r="C665" s="4" t="s">
        <v>23</v>
      </c>
      <c r="D665" s="4" t="s">
        <v>48</v>
      </c>
      <c r="E665" s="4" t="s">
        <v>49</v>
      </c>
      <c r="F665" s="4" t="s">
        <v>25</v>
      </c>
      <c r="G665" s="4" t="s">
        <v>25</v>
      </c>
      <c r="H665" s="4" t="s">
        <v>25</v>
      </c>
      <c r="I665" s="5">
        <v>44501</v>
      </c>
      <c r="J665" s="6">
        <v>0</v>
      </c>
      <c r="K665" s="70">
        <v>0</v>
      </c>
      <c r="L665" s="6">
        <v>65.736999999999995</v>
      </c>
      <c r="M665" s="70">
        <v>65.736999999999995</v>
      </c>
      <c r="N665" s="6">
        <v>65.736999999999995</v>
      </c>
      <c r="O665" s="70">
        <v>65.736999999999995</v>
      </c>
      <c r="P665" s="6">
        <v>18</v>
      </c>
      <c r="Q665" s="4" t="s">
        <v>26</v>
      </c>
      <c r="R665" s="4">
        <v>0</v>
      </c>
      <c r="S665" s="6">
        <v>0</v>
      </c>
      <c r="T665" s="6">
        <v>2</v>
      </c>
      <c r="U665" s="6">
        <v>26</v>
      </c>
      <c r="V665" s="70">
        <f>IF(ISERROR(VLOOKUP($S$665,'TAR FIN'!$A$1:$O$85,15,0)),0,VLOOKUP($S$665,'TAR FIN'!$A$1:$O$85,15,0))</f>
        <v>0</v>
      </c>
      <c r="W665" s="70">
        <f>IF(ISERROR(VLOOKUP($T$665,'TAR FIN'!$A$1:$O$85,15,0)),0,VLOOKUP($T$665,'TAR FIN'!$A$1:$O$85,15,0))*(1-0.06)</f>
        <v>413.69400000000002</v>
      </c>
      <c r="X665" s="70">
        <f>IF(ISERROR(VLOOKUP($U$665,'TAR FIN'!$A$1:$O$85,15,0)),0,VLOOKUP($U$665,'TAR FIN'!$A$1:$O$85,15,0))*(1-0.06)</f>
        <v>210.29679999999999</v>
      </c>
      <c r="Y665" s="70"/>
      <c r="Z665" s="70">
        <f ca="1">('TUSD BE'!$AM$48+'TUSD BF'!$AM$48+'TUSD CVA'!$AM$48)*1*(1-0.03)</f>
        <v>479.5603721620019</v>
      </c>
      <c r="AA665" s="70">
        <f>('TE BE'!$AA$38+'TE BF'!$AA$38+'TE CVA'!$AA$38)*1*(1-0.03)</f>
        <v>211.10051723004204</v>
      </c>
      <c r="AB665" s="6">
        <f>$K$665*$V$665</f>
        <v>0</v>
      </c>
      <c r="AC665" s="6">
        <f>$M$665*$W$665</f>
        <v>27195.002477999999</v>
      </c>
      <c r="AD665" s="6">
        <f>$O$665*$X$665</f>
        <v>13824.280741599998</v>
      </c>
      <c r="AE665" s="6">
        <f>$K$665*$Y$665</f>
        <v>0</v>
      </c>
      <c r="AF665" s="6">
        <f ca="1">$M$665*$Z$665</f>
        <v>31524.860184813515</v>
      </c>
      <c r="AG665" s="6">
        <f>$O$665*$AA$665</f>
        <v>13877.114701151273</v>
      </c>
    </row>
    <row r="666" spans="1:33" ht="11.25" customHeight="1" x14ac:dyDescent="0.25">
      <c r="A666" s="4" t="s">
        <v>21</v>
      </c>
      <c r="B666" s="4" t="s">
        <v>37</v>
      </c>
      <c r="C666" s="4" t="s">
        <v>23</v>
      </c>
      <c r="D666" s="4" t="s">
        <v>48</v>
      </c>
      <c r="E666" s="4" t="s">
        <v>49</v>
      </c>
      <c r="F666" s="4" t="s">
        <v>25</v>
      </c>
      <c r="G666" s="4" t="s">
        <v>25</v>
      </c>
      <c r="H666" s="4" t="s">
        <v>25</v>
      </c>
      <c r="I666" s="5">
        <v>44531</v>
      </c>
      <c r="J666" s="6">
        <v>0</v>
      </c>
      <c r="K666" s="70">
        <v>0</v>
      </c>
      <c r="L666" s="6">
        <v>51.005000000000003</v>
      </c>
      <c r="M666" s="70">
        <v>51.005000000000003</v>
      </c>
      <c r="N666" s="6">
        <v>51.005000000000003</v>
      </c>
      <c r="O666" s="70">
        <v>51.005000000000003</v>
      </c>
      <c r="P666" s="6">
        <v>18</v>
      </c>
      <c r="Q666" s="4" t="s">
        <v>26</v>
      </c>
      <c r="R666" s="4">
        <v>0</v>
      </c>
      <c r="S666" s="6">
        <v>0</v>
      </c>
      <c r="T666" s="6">
        <v>2</v>
      </c>
      <c r="U666" s="6">
        <v>26</v>
      </c>
      <c r="V666" s="70">
        <f>IF(ISERROR(VLOOKUP($S$666,'TAR FIN'!$A$1:$O$85,15,0)),0,VLOOKUP($S$666,'TAR FIN'!$A$1:$O$85,15,0))</f>
        <v>0</v>
      </c>
      <c r="W666" s="70">
        <f>IF(ISERROR(VLOOKUP($T$666,'TAR FIN'!$A$1:$O$85,15,0)),0,VLOOKUP($T$666,'TAR FIN'!$A$1:$O$85,15,0))*(1-0.06)</f>
        <v>413.69400000000002</v>
      </c>
      <c r="X666" s="70">
        <f>IF(ISERROR(VLOOKUP($U$666,'TAR FIN'!$A$1:$O$85,15,0)),0,VLOOKUP($U$666,'TAR FIN'!$A$1:$O$85,15,0))*(1-0.06)</f>
        <v>210.29679999999999</v>
      </c>
      <c r="Y666" s="70"/>
      <c r="Z666" s="70">
        <f ca="1">('TUSD BE'!$AM$48+'TUSD BF'!$AM$48+'TUSD CVA'!$AM$48)*1*(1-0.03)</f>
        <v>479.5603721620019</v>
      </c>
      <c r="AA666" s="70">
        <f>('TE BE'!$AA$38+'TE BF'!$AA$38+'TE CVA'!$AA$38)*1*(1-0.03)</f>
        <v>211.10051723004204</v>
      </c>
      <c r="AB666" s="6">
        <f>$K$666*$V$666</f>
        <v>0</v>
      </c>
      <c r="AC666" s="6">
        <f>$M$666*$W$666</f>
        <v>21100.462470000002</v>
      </c>
      <c r="AD666" s="6">
        <f>$O$666*$X$666</f>
        <v>10726.188284</v>
      </c>
      <c r="AE666" s="6">
        <f>$K$666*$Y$666</f>
        <v>0</v>
      </c>
      <c r="AF666" s="6">
        <f ca="1">$M$666*$Z$666</f>
        <v>24459.976782122907</v>
      </c>
      <c r="AG666" s="6">
        <f>$O$666*$AA$666</f>
        <v>10767.181881318294</v>
      </c>
    </row>
    <row r="667" spans="1:33" ht="11.25" customHeight="1" x14ac:dyDescent="0.25">
      <c r="A667" s="4" t="s">
        <v>21</v>
      </c>
      <c r="B667" s="4" t="s">
        <v>37</v>
      </c>
      <c r="C667" s="4" t="s">
        <v>23</v>
      </c>
      <c r="D667" s="4" t="s">
        <v>48</v>
      </c>
      <c r="E667" s="4" t="s">
        <v>49</v>
      </c>
      <c r="F667" s="4" t="s">
        <v>25</v>
      </c>
      <c r="G667" s="4" t="s">
        <v>25</v>
      </c>
      <c r="H667" s="4" t="s">
        <v>25</v>
      </c>
      <c r="I667" s="5">
        <v>44562</v>
      </c>
      <c r="J667" s="6">
        <v>0</v>
      </c>
      <c r="K667" s="70">
        <v>0</v>
      </c>
      <c r="L667" s="6">
        <v>55.319000000000003</v>
      </c>
      <c r="M667" s="70">
        <v>55.319000000000003</v>
      </c>
      <c r="N667" s="6">
        <v>55.319000000000003</v>
      </c>
      <c r="O667" s="70">
        <v>55.319000000000003</v>
      </c>
      <c r="P667" s="6">
        <v>18</v>
      </c>
      <c r="Q667" s="4" t="s">
        <v>26</v>
      </c>
      <c r="R667" s="4">
        <v>0</v>
      </c>
      <c r="S667" s="6">
        <v>0</v>
      </c>
      <c r="T667" s="6">
        <v>2</v>
      </c>
      <c r="U667" s="6">
        <v>26</v>
      </c>
      <c r="V667" s="70">
        <f>IF(ISERROR(VLOOKUP($S$667,'TAR FIN'!$A$1:$O$85,15,0)),0,VLOOKUP($S$667,'TAR FIN'!$A$1:$O$85,15,0))</f>
        <v>0</v>
      </c>
      <c r="W667" s="70">
        <f>IF(ISERROR(VLOOKUP($T$667,'TAR FIN'!$A$1:$O$85,15,0)),0,VLOOKUP($T$667,'TAR FIN'!$A$1:$O$85,15,0))*(1-0.06)</f>
        <v>413.69400000000002</v>
      </c>
      <c r="X667" s="70">
        <f>IF(ISERROR(VLOOKUP($U$667,'TAR FIN'!$A$1:$O$85,15,0)),0,VLOOKUP($U$667,'TAR FIN'!$A$1:$O$85,15,0))*(1-0.06)</f>
        <v>210.29679999999999</v>
      </c>
      <c r="Y667" s="70"/>
      <c r="Z667" s="70">
        <f ca="1">('TUSD BE'!$AM$48+'TUSD BF'!$AM$48+'TUSD CVA'!$AM$48)*1*(1-0.03)</f>
        <v>479.5603721620019</v>
      </c>
      <c r="AA667" s="70">
        <f>('TE BE'!$AA$38+'TE BF'!$AA$38+'TE CVA'!$AA$38)*1*(1-0.03)</f>
        <v>211.10051723004204</v>
      </c>
      <c r="AB667" s="6">
        <f>$K$667*$V$667</f>
        <v>0</v>
      </c>
      <c r="AC667" s="6">
        <f>$M$667*$W$667</f>
        <v>22885.138386000002</v>
      </c>
      <c r="AD667" s="6">
        <f>$O$667*$X$667</f>
        <v>11633.4086792</v>
      </c>
      <c r="AE667" s="6">
        <f>$K$667*$Y$667</f>
        <v>0</v>
      </c>
      <c r="AF667" s="6">
        <f ca="1">$M$667*$Z$667</f>
        <v>26528.800227629785</v>
      </c>
      <c r="AG667" s="6">
        <f>$O$667*$AA$667</f>
        <v>11677.869512648696</v>
      </c>
    </row>
    <row r="668" spans="1:33" ht="11.25" customHeight="1" x14ac:dyDescent="0.25">
      <c r="A668" s="4" t="s">
        <v>21</v>
      </c>
      <c r="B668" s="4" t="s">
        <v>37</v>
      </c>
      <c r="C668" s="4" t="s">
        <v>23</v>
      </c>
      <c r="D668" s="4" t="s">
        <v>48</v>
      </c>
      <c r="E668" s="4" t="s">
        <v>49</v>
      </c>
      <c r="F668" s="4" t="s">
        <v>25</v>
      </c>
      <c r="G668" s="4" t="s">
        <v>25</v>
      </c>
      <c r="H668" s="4" t="s">
        <v>25</v>
      </c>
      <c r="I668" s="5">
        <v>44593</v>
      </c>
      <c r="J668" s="6">
        <v>0</v>
      </c>
      <c r="K668" s="70">
        <v>0</v>
      </c>
      <c r="L668" s="6">
        <v>61.372999999999998</v>
      </c>
      <c r="M668" s="70">
        <v>61.372999999999998</v>
      </c>
      <c r="N668" s="6">
        <v>61.372999999999998</v>
      </c>
      <c r="O668" s="70">
        <v>61.372999999999998</v>
      </c>
      <c r="P668" s="6">
        <v>18</v>
      </c>
      <c r="Q668" s="4" t="s">
        <v>26</v>
      </c>
      <c r="R668" s="4">
        <v>0</v>
      </c>
      <c r="S668" s="6">
        <v>0</v>
      </c>
      <c r="T668" s="6">
        <v>2</v>
      </c>
      <c r="U668" s="6">
        <v>26</v>
      </c>
      <c r="V668" s="70">
        <f>IF(ISERROR(VLOOKUP($S$668,'TAR FIN'!$A$1:$O$85,15,0)),0,VLOOKUP($S$668,'TAR FIN'!$A$1:$O$85,15,0))</f>
        <v>0</v>
      </c>
      <c r="W668" s="70">
        <f>IF(ISERROR(VLOOKUP($T$668,'TAR FIN'!$A$1:$O$85,15,0)),0,VLOOKUP($T$668,'TAR FIN'!$A$1:$O$85,15,0))*(1-0.06)</f>
        <v>413.69400000000002</v>
      </c>
      <c r="X668" s="70">
        <f>IF(ISERROR(VLOOKUP($U$668,'TAR FIN'!$A$1:$O$85,15,0)),0,VLOOKUP($U$668,'TAR FIN'!$A$1:$O$85,15,0))*(1-0.06)</f>
        <v>210.29679999999999</v>
      </c>
      <c r="Y668" s="70"/>
      <c r="Z668" s="70">
        <f ca="1">('TUSD BE'!$AM$48+'TUSD BF'!$AM$48+'TUSD CVA'!$AM$48)*1*(1-0.03)</f>
        <v>479.5603721620019</v>
      </c>
      <c r="AA668" s="70">
        <f>('TE BE'!$AA$38+'TE BF'!$AA$38+'TE CVA'!$AA$38)*1*(1-0.03)</f>
        <v>211.10051723004204</v>
      </c>
      <c r="AB668" s="6">
        <f>$K$668*$V$668</f>
        <v>0</v>
      </c>
      <c r="AC668" s="6">
        <f>$M$668*$W$668</f>
        <v>25389.641862</v>
      </c>
      <c r="AD668" s="6">
        <f>$O$668*$X$668</f>
        <v>12906.5455064</v>
      </c>
      <c r="AE668" s="6">
        <f>$K$668*$Y$668</f>
        <v>0</v>
      </c>
      <c r="AF668" s="6">
        <f ca="1">$M$668*$Z$668</f>
        <v>29432.05872069854</v>
      </c>
      <c r="AG668" s="6">
        <f>$O$668*$AA$668</f>
        <v>12955.872043959369</v>
      </c>
    </row>
    <row r="669" spans="1:33" ht="11.25" customHeight="1" x14ac:dyDescent="0.25">
      <c r="A669" s="4" t="s">
        <v>54</v>
      </c>
      <c r="B669" s="4" t="s">
        <v>37</v>
      </c>
      <c r="C669" s="4" t="s">
        <v>23</v>
      </c>
      <c r="D669" s="4" t="s">
        <v>48</v>
      </c>
      <c r="E669" s="4" t="s">
        <v>49</v>
      </c>
      <c r="F669" s="4" t="s">
        <v>25</v>
      </c>
      <c r="G669" s="4" t="s">
        <v>25</v>
      </c>
      <c r="H669" s="4" t="s">
        <v>25</v>
      </c>
      <c r="I669" s="5">
        <v>44621</v>
      </c>
      <c r="J669" s="6">
        <v>0</v>
      </c>
      <c r="K669" s="70">
        <v>0</v>
      </c>
      <c r="L669" s="6">
        <v>61.372999999999998</v>
      </c>
      <c r="M669" s="70">
        <v>61.372999999999998</v>
      </c>
      <c r="N669" s="6">
        <v>61.372999999999998</v>
      </c>
      <c r="O669" s="70">
        <v>61.372999999999998</v>
      </c>
      <c r="P669" s="6">
        <v>18</v>
      </c>
      <c r="Q669" s="4" t="s">
        <v>26</v>
      </c>
      <c r="R669" s="4">
        <v>0</v>
      </c>
      <c r="S669" s="6">
        <v>0</v>
      </c>
      <c r="T669" s="6">
        <v>2</v>
      </c>
      <c r="U669" s="6">
        <v>26</v>
      </c>
      <c r="V669" s="70">
        <f>IF(ISERROR(VLOOKUP($S$669,'TAR FIN'!$A$1:$O$85,15,0)),0,VLOOKUP($S$669,'TAR FIN'!$A$1:$O$85,15,0))</f>
        <v>0</v>
      </c>
      <c r="W669" s="70">
        <f>IF(ISERROR(VLOOKUP($T$669,'TAR FIN'!$A$1:$O$85,15,0)),0,VLOOKUP($T$669,'TAR FIN'!$A$1:$O$85,15,0))*(1-0.06)</f>
        <v>413.69400000000002</v>
      </c>
      <c r="X669" s="70">
        <f>IF(ISERROR(VLOOKUP($U$669,'TAR FIN'!$A$1:$O$85,15,0)),0,VLOOKUP($U$669,'TAR FIN'!$A$1:$O$85,15,0))*(1-0.06)</f>
        <v>210.29679999999999</v>
      </c>
      <c r="Y669" s="70"/>
      <c r="Z669" s="70">
        <f ca="1">('TUSD BE'!$AM$48+'TUSD BF'!$AM$48+'TUSD CVA'!$AM$48)*1*(1-0.03)</f>
        <v>479.5603721620019</v>
      </c>
      <c r="AA669" s="70">
        <f>('TE BE'!$AA$38+'TE BF'!$AA$38+'TE CVA'!$AA$38)*1*(1-0.03)</f>
        <v>211.10051723004204</v>
      </c>
      <c r="AB669" s="6">
        <f>$K$669*$V$669</f>
        <v>0</v>
      </c>
      <c r="AC669" s="6">
        <f>$M$669*$W$669</f>
        <v>25389.641862</v>
      </c>
      <c r="AD669" s="6">
        <f>$O$669*$X$669</f>
        <v>12906.5455064</v>
      </c>
      <c r="AE669" s="6">
        <f>$K$669*$Y$669</f>
        <v>0</v>
      </c>
      <c r="AF669" s="6">
        <f ca="1">$M$669*$Z$669</f>
        <v>29432.05872069854</v>
      </c>
      <c r="AG669" s="6">
        <f>$O$669*$AA$669</f>
        <v>12955.872043959369</v>
      </c>
    </row>
    <row r="670" spans="1:33" ht="11.25" customHeight="1" x14ac:dyDescent="0.25">
      <c r="A670" s="4" t="s">
        <v>21</v>
      </c>
      <c r="B670" s="4" t="s">
        <v>44</v>
      </c>
      <c r="C670" s="4" t="s">
        <v>23</v>
      </c>
      <c r="D670" s="4" t="s">
        <v>45</v>
      </c>
      <c r="E670" s="4" t="s">
        <v>46</v>
      </c>
      <c r="F670" s="4" t="s">
        <v>25</v>
      </c>
      <c r="G670" s="4" t="s">
        <v>25</v>
      </c>
      <c r="H670" s="4" t="s">
        <v>25</v>
      </c>
      <c r="I670" s="5">
        <v>44287</v>
      </c>
      <c r="J670" s="6">
        <v>0</v>
      </c>
      <c r="K670" s="6">
        <v>0</v>
      </c>
      <c r="L670" s="6">
        <v>11.387</v>
      </c>
      <c r="M670" s="6">
        <v>11.387</v>
      </c>
      <c r="N670" s="6">
        <v>11.387</v>
      </c>
      <c r="O670" s="6">
        <v>11.387</v>
      </c>
      <c r="P670" s="6">
        <v>6</v>
      </c>
      <c r="Q670" s="4" t="s">
        <v>26</v>
      </c>
      <c r="R670" s="4">
        <v>0</v>
      </c>
      <c r="S670" s="6">
        <v>0</v>
      </c>
      <c r="T670" s="6">
        <v>4</v>
      </c>
      <c r="U670" s="6">
        <v>41</v>
      </c>
      <c r="V670" s="6">
        <f>IF(ISERROR(VLOOKUP($S$670,'TAR FIN'!$A$1:$O$85,15,0)),0,VLOOKUP($S$670,'TAR FIN'!$A$1:$O$85,15,0))</f>
        <v>0</v>
      </c>
      <c r="W670" s="6">
        <f>IF(ISERROR(VLOOKUP($T$670,'TAR FIN'!$A$1:$O$85,15,0)),0,VLOOKUP($T$670,'TAR FIN'!$A$1:$O$85,15,0))</f>
        <v>242.06</v>
      </c>
      <c r="X670" s="6">
        <f>IF(ISERROR(VLOOKUP($U$670,'TAR FIN'!$A$1:$O$85,15,0)),0,VLOOKUP($U$670,'TAR FIN'!$A$1:$O$85,15,0))</f>
        <v>123.04</v>
      </c>
      <c r="Y670" s="6"/>
      <c r="Z670" s="6">
        <f ca="1">('TUSD BE'!$AM$50+'TUSD BF'!$AM$50+'TUSD CVA'!$AM$50)*1</f>
        <v>271.91567493721766</v>
      </c>
      <c r="AA670" s="6">
        <f>('TE BE'!$AA$40+'TE BF'!$AA$40+'TE CVA'!$AA$40)*1</f>
        <v>119.69616956342591</v>
      </c>
      <c r="AB670" s="6">
        <f>$K$670*$V$670</f>
        <v>0</v>
      </c>
      <c r="AC670" s="6">
        <f>$M$670*$W$670</f>
        <v>2756.3372200000003</v>
      </c>
      <c r="AD670" s="6">
        <f>$O$670*$X$670</f>
        <v>1401.0564800000002</v>
      </c>
      <c r="AE670" s="6">
        <f>$K$670*$Y$670</f>
        <v>0</v>
      </c>
      <c r="AF670" s="6">
        <f ca="1">$M$670*$Z$670</f>
        <v>3096.3037905100978</v>
      </c>
      <c r="AG670" s="6">
        <f>$O$670*$AA$670</f>
        <v>1362.980282818731</v>
      </c>
    </row>
    <row r="671" spans="1:33" ht="11.25" customHeight="1" x14ac:dyDescent="0.25">
      <c r="A671" s="4" t="s">
        <v>21</v>
      </c>
      <c r="B671" s="4" t="s">
        <v>44</v>
      </c>
      <c r="C671" s="4" t="s">
        <v>23</v>
      </c>
      <c r="D671" s="4" t="s">
        <v>45</v>
      </c>
      <c r="E671" s="4" t="s">
        <v>46</v>
      </c>
      <c r="F671" s="4" t="s">
        <v>25</v>
      </c>
      <c r="G671" s="4" t="s">
        <v>25</v>
      </c>
      <c r="H671" s="4" t="s">
        <v>25</v>
      </c>
      <c r="I671" s="5">
        <v>44317</v>
      </c>
      <c r="J671" s="6">
        <v>0</v>
      </c>
      <c r="K671" s="6">
        <v>0</v>
      </c>
      <c r="L671" s="6">
        <v>10.378</v>
      </c>
      <c r="M671" s="6">
        <v>10.378</v>
      </c>
      <c r="N671" s="6">
        <v>10.378</v>
      </c>
      <c r="O671" s="6">
        <v>10.378</v>
      </c>
      <c r="P671" s="6">
        <v>6</v>
      </c>
      <c r="Q671" s="4" t="s">
        <v>26</v>
      </c>
      <c r="R671" s="4">
        <v>0</v>
      </c>
      <c r="S671" s="6">
        <v>0</v>
      </c>
      <c r="T671" s="6">
        <v>4</v>
      </c>
      <c r="U671" s="6">
        <v>41</v>
      </c>
      <c r="V671" s="6">
        <f>IF(ISERROR(VLOOKUP($S$671,'TAR FIN'!$A$1:$O$85,15,0)),0,VLOOKUP($S$671,'TAR FIN'!$A$1:$O$85,15,0))</f>
        <v>0</v>
      </c>
      <c r="W671" s="6">
        <f>IF(ISERROR(VLOOKUP($T$671,'TAR FIN'!$A$1:$O$85,15,0)),0,VLOOKUP($T$671,'TAR FIN'!$A$1:$O$85,15,0))</f>
        <v>242.06</v>
      </c>
      <c r="X671" s="6">
        <f>IF(ISERROR(VLOOKUP($U$671,'TAR FIN'!$A$1:$O$85,15,0)),0,VLOOKUP($U$671,'TAR FIN'!$A$1:$O$85,15,0))</f>
        <v>123.04</v>
      </c>
      <c r="Y671" s="6"/>
      <c r="Z671" s="6">
        <f ca="1">('TUSD BE'!$AM$50+'TUSD BF'!$AM$50+'TUSD CVA'!$AM$50)*1</f>
        <v>271.91567493721766</v>
      </c>
      <c r="AA671" s="6">
        <f>('TE BE'!$AA$40+'TE BF'!$AA$40+'TE CVA'!$AA$40)*1</f>
        <v>119.69616956342591</v>
      </c>
      <c r="AB671" s="6">
        <f>$K$671*$V$671</f>
        <v>0</v>
      </c>
      <c r="AC671" s="6">
        <f>$M$671*$W$671</f>
        <v>2512.0986800000001</v>
      </c>
      <c r="AD671" s="6">
        <f>$O$671*$X$671</f>
        <v>1276.90912</v>
      </c>
      <c r="AE671" s="6">
        <f>$K$671*$Y$671</f>
        <v>0</v>
      </c>
      <c r="AF671" s="6">
        <f ca="1">$M$671*$Z$671</f>
        <v>2821.9408744984448</v>
      </c>
      <c r="AG671" s="6">
        <f>$O$671*$AA$671</f>
        <v>1242.2068477292341</v>
      </c>
    </row>
    <row r="672" spans="1:33" ht="11.25" customHeight="1" x14ac:dyDescent="0.25">
      <c r="A672" s="4" t="s">
        <v>21</v>
      </c>
      <c r="B672" s="4" t="s">
        <v>44</v>
      </c>
      <c r="C672" s="4" t="s">
        <v>23</v>
      </c>
      <c r="D672" s="4" t="s">
        <v>45</v>
      </c>
      <c r="E672" s="4" t="s">
        <v>46</v>
      </c>
      <c r="F672" s="4" t="s">
        <v>25</v>
      </c>
      <c r="G672" s="4" t="s">
        <v>25</v>
      </c>
      <c r="H672" s="4" t="s">
        <v>25</v>
      </c>
      <c r="I672" s="5">
        <v>44348</v>
      </c>
      <c r="J672" s="6">
        <v>0</v>
      </c>
      <c r="K672" s="6">
        <v>0</v>
      </c>
      <c r="L672" s="6">
        <v>10.183999999999999</v>
      </c>
      <c r="M672" s="6">
        <v>10.183999999999999</v>
      </c>
      <c r="N672" s="6">
        <v>10.183999999999999</v>
      </c>
      <c r="O672" s="6">
        <v>10.183999999999999</v>
      </c>
      <c r="P672" s="6">
        <v>6</v>
      </c>
      <c r="Q672" s="4" t="s">
        <v>26</v>
      </c>
      <c r="R672" s="4">
        <v>0</v>
      </c>
      <c r="S672" s="6">
        <v>0</v>
      </c>
      <c r="T672" s="6">
        <v>4</v>
      </c>
      <c r="U672" s="6">
        <v>41</v>
      </c>
      <c r="V672" s="6">
        <f>IF(ISERROR(VLOOKUP($S$672,'TAR FIN'!$A$1:$O$85,15,0)),0,VLOOKUP($S$672,'TAR FIN'!$A$1:$O$85,15,0))</f>
        <v>0</v>
      </c>
      <c r="W672" s="6">
        <f>IF(ISERROR(VLOOKUP($T$672,'TAR FIN'!$A$1:$O$85,15,0)),0,VLOOKUP($T$672,'TAR FIN'!$A$1:$O$85,15,0))</f>
        <v>242.06</v>
      </c>
      <c r="X672" s="6">
        <f>IF(ISERROR(VLOOKUP($U$672,'TAR FIN'!$A$1:$O$85,15,0)),0,VLOOKUP($U$672,'TAR FIN'!$A$1:$O$85,15,0))</f>
        <v>123.04</v>
      </c>
      <c r="Y672" s="6"/>
      <c r="Z672" s="6">
        <f ca="1">('TUSD BE'!$AM$50+'TUSD BF'!$AM$50+'TUSD CVA'!$AM$50)*1</f>
        <v>271.91567493721766</v>
      </c>
      <c r="AA672" s="6">
        <f>('TE BE'!$AA$40+'TE BF'!$AA$40+'TE CVA'!$AA$40)*1</f>
        <v>119.69616956342591</v>
      </c>
      <c r="AB672" s="6">
        <f>$K$672*$V$672</f>
        <v>0</v>
      </c>
      <c r="AC672" s="6">
        <f>$M$672*$W$672</f>
        <v>2465.13904</v>
      </c>
      <c r="AD672" s="6">
        <f>$O$672*$X$672</f>
        <v>1253.03936</v>
      </c>
      <c r="AE672" s="6">
        <f>$K$672*$Y$672</f>
        <v>0</v>
      </c>
      <c r="AF672" s="6">
        <f ca="1">$M$672*$Z$672</f>
        <v>2769.1892335606244</v>
      </c>
      <c r="AG672" s="6">
        <f>$O$672*$AA$672</f>
        <v>1218.9857908339293</v>
      </c>
    </row>
    <row r="673" spans="1:33" ht="11.25" customHeight="1" x14ac:dyDescent="0.25">
      <c r="A673" s="4" t="s">
        <v>21</v>
      </c>
      <c r="B673" s="4" t="s">
        <v>44</v>
      </c>
      <c r="C673" s="4" t="s">
        <v>23</v>
      </c>
      <c r="D673" s="4" t="s">
        <v>45</v>
      </c>
      <c r="E673" s="4" t="s">
        <v>46</v>
      </c>
      <c r="F673" s="4" t="s">
        <v>25</v>
      </c>
      <c r="G673" s="4" t="s">
        <v>25</v>
      </c>
      <c r="H673" s="4" t="s">
        <v>25</v>
      </c>
      <c r="I673" s="5">
        <v>44378</v>
      </c>
      <c r="J673" s="6">
        <v>0</v>
      </c>
      <c r="K673" s="6">
        <v>0</v>
      </c>
      <c r="L673" s="6">
        <v>10.151</v>
      </c>
      <c r="M673" s="6">
        <v>10.151</v>
      </c>
      <c r="N673" s="6">
        <v>10.151</v>
      </c>
      <c r="O673" s="6">
        <v>10.151</v>
      </c>
      <c r="P673" s="6">
        <v>6</v>
      </c>
      <c r="Q673" s="4" t="s">
        <v>26</v>
      </c>
      <c r="R673" s="4">
        <v>0</v>
      </c>
      <c r="S673" s="6">
        <v>0</v>
      </c>
      <c r="T673" s="6">
        <v>4</v>
      </c>
      <c r="U673" s="6">
        <v>41</v>
      </c>
      <c r="V673" s="6">
        <f>IF(ISERROR(VLOOKUP($S$673,'TAR FIN'!$A$1:$O$85,15,0)),0,VLOOKUP($S$673,'TAR FIN'!$A$1:$O$85,15,0))</f>
        <v>0</v>
      </c>
      <c r="W673" s="6">
        <f>IF(ISERROR(VLOOKUP($T$673,'TAR FIN'!$A$1:$O$85,15,0)),0,VLOOKUP($T$673,'TAR FIN'!$A$1:$O$85,15,0))</f>
        <v>242.06</v>
      </c>
      <c r="X673" s="6">
        <f>IF(ISERROR(VLOOKUP($U$673,'TAR FIN'!$A$1:$O$85,15,0)),0,VLOOKUP($U$673,'TAR FIN'!$A$1:$O$85,15,0))</f>
        <v>123.04</v>
      </c>
      <c r="Y673" s="6"/>
      <c r="Z673" s="6">
        <f ca="1">('TUSD BE'!$AM$50+'TUSD BF'!$AM$50+'TUSD CVA'!$AM$50)*1</f>
        <v>271.91567493721766</v>
      </c>
      <c r="AA673" s="6">
        <f>('TE BE'!$AA$40+'TE BF'!$AA$40+'TE CVA'!$AA$40)*1</f>
        <v>119.69616956342591</v>
      </c>
      <c r="AB673" s="6">
        <f>$K$673*$V$673</f>
        <v>0</v>
      </c>
      <c r="AC673" s="6">
        <f>$M$673*$W$673</f>
        <v>2457.1510600000001</v>
      </c>
      <c r="AD673" s="6">
        <f>$O$673*$X$673</f>
        <v>1248.9790399999999</v>
      </c>
      <c r="AE673" s="6">
        <f>$K$673*$Y$673</f>
        <v>0</v>
      </c>
      <c r="AF673" s="6">
        <f ca="1">$M$673*$Z$673</f>
        <v>2760.2160162876962</v>
      </c>
      <c r="AG673" s="6">
        <f>$O$673*$AA$673</f>
        <v>1215.0358172383364</v>
      </c>
    </row>
    <row r="674" spans="1:33" ht="11.25" customHeight="1" x14ac:dyDescent="0.25">
      <c r="A674" s="4" t="s">
        <v>21</v>
      </c>
      <c r="B674" s="4" t="s">
        <v>44</v>
      </c>
      <c r="C674" s="4" t="s">
        <v>23</v>
      </c>
      <c r="D674" s="4" t="s">
        <v>45</v>
      </c>
      <c r="E674" s="4" t="s">
        <v>46</v>
      </c>
      <c r="F674" s="4" t="s">
        <v>25</v>
      </c>
      <c r="G674" s="4" t="s">
        <v>25</v>
      </c>
      <c r="H674" s="4" t="s">
        <v>25</v>
      </c>
      <c r="I674" s="5">
        <v>44409</v>
      </c>
      <c r="J674" s="6">
        <v>0</v>
      </c>
      <c r="K674" s="6">
        <v>0</v>
      </c>
      <c r="L674" s="6">
        <v>10.202</v>
      </c>
      <c r="M674" s="6">
        <v>10.202</v>
      </c>
      <c r="N674" s="6">
        <v>10.202</v>
      </c>
      <c r="O674" s="6">
        <v>10.202</v>
      </c>
      <c r="P674" s="6">
        <v>6</v>
      </c>
      <c r="Q674" s="4" t="s">
        <v>26</v>
      </c>
      <c r="R674" s="4">
        <v>0</v>
      </c>
      <c r="S674" s="6">
        <v>0</v>
      </c>
      <c r="T674" s="6">
        <v>4</v>
      </c>
      <c r="U674" s="6">
        <v>41</v>
      </c>
      <c r="V674" s="6">
        <f>IF(ISERROR(VLOOKUP($S$674,'TAR FIN'!$A$1:$O$85,15,0)),0,VLOOKUP($S$674,'TAR FIN'!$A$1:$O$85,15,0))</f>
        <v>0</v>
      </c>
      <c r="W674" s="6">
        <f>IF(ISERROR(VLOOKUP($T$674,'TAR FIN'!$A$1:$O$85,15,0)),0,VLOOKUP($T$674,'TAR FIN'!$A$1:$O$85,15,0))</f>
        <v>242.06</v>
      </c>
      <c r="X674" s="6">
        <f>IF(ISERROR(VLOOKUP($U$674,'TAR FIN'!$A$1:$O$85,15,0)),0,VLOOKUP($U$674,'TAR FIN'!$A$1:$O$85,15,0))</f>
        <v>123.04</v>
      </c>
      <c r="Y674" s="6"/>
      <c r="Z674" s="6">
        <f ca="1">('TUSD BE'!$AM$50+'TUSD BF'!$AM$50+'TUSD CVA'!$AM$50)*1</f>
        <v>271.91567493721766</v>
      </c>
      <c r="AA674" s="6">
        <f>('TE BE'!$AA$40+'TE BF'!$AA$40+'TE CVA'!$AA$40)*1</f>
        <v>119.69616956342591</v>
      </c>
      <c r="AB674" s="6">
        <f>$K$674*$V$674</f>
        <v>0</v>
      </c>
      <c r="AC674" s="6">
        <f>$M$674*$W$674</f>
        <v>2469.4961199999998</v>
      </c>
      <c r="AD674" s="6">
        <f>$O$674*$X$674</f>
        <v>1255.2540800000002</v>
      </c>
      <c r="AE674" s="6">
        <f>$K$674*$Y$674</f>
        <v>0</v>
      </c>
      <c r="AF674" s="6">
        <f ca="1">$M$674*$Z$674</f>
        <v>2774.0837157094948</v>
      </c>
      <c r="AG674" s="6">
        <f>$O$674*$AA$674</f>
        <v>1221.1403218860712</v>
      </c>
    </row>
    <row r="675" spans="1:33" ht="11.25" customHeight="1" x14ac:dyDescent="0.25">
      <c r="A675" s="4" t="s">
        <v>21</v>
      </c>
      <c r="B675" s="4" t="s">
        <v>44</v>
      </c>
      <c r="C675" s="4" t="s">
        <v>23</v>
      </c>
      <c r="D675" s="4" t="s">
        <v>45</v>
      </c>
      <c r="E675" s="4" t="s">
        <v>46</v>
      </c>
      <c r="F675" s="4" t="s">
        <v>25</v>
      </c>
      <c r="G675" s="4" t="s">
        <v>25</v>
      </c>
      <c r="H675" s="4" t="s">
        <v>25</v>
      </c>
      <c r="I675" s="5">
        <v>44440</v>
      </c>
      <c r="J675" s="6">
        <v>0</v>
      </c>
      <c r="K675" s="6">
        <v>0</v>
      </c>
      <c r="L675" s="6">
        <v>10.85</v>
      </c>
      <c r="M675" s="6">
        <v>10.85</v>
      </c>
      <c r="N675" s="6">
        <v>10.85</v>
      </c>
      <c r="O675" s="6">
        <v>10.85</v>
      </c>
      <c r="P675" s="6">
        <v>6</v>
      </c>
      <c r="Q675" s="4" t="s">
        <v>26</v>
      </c>
      <c r="R675" s="4">
        <v>0</v>
      </c>
      <c r="S675" s="6">
        <v>0</v>
      </c>
      <c r="T675" s="6">
        <v>4</v>
      </c>
      <c r="U675" s="6">
        <v>41</v>
      </c>
      <c r="V675" s="6">
        <f>IF(ISERROR(VLOOKUP($S$675,'TAR FIN'!$A$1:$O$85,15,0)),0,VLOOKUP($S$675,'TAR FIN'!$A$1:$O$85,15,0))</f>
        <v>0</v>
      </c>
      <c r="W675" s="6">
        <f>IF(ISERROR(VLOOKUP($T$675,'TAR FIN'!$A$1:$O$85,15,0)),0,VLOOKUP($T$675,'TAR FIN'!$A$1:$O$85,15,0))</f>
        <v>242.06</v>
      </c>
      <c r="X675" s="6">
        <f>IF(ISERROR(VLOOKUP($U$675,'TAR FIN'!$A$1:$O$85,15,0)),0,VLOOKUP($U$675,'TAR FIN'!$A$1:$O$85,15,0))</f>
        <v>123.04</v>
      </c>
      <c r="Y675" s="6"/>
      <c r="Z675" s="6">
        <f ca="1">('TUSD BE'!$AM$50+'TUSD BF'!$AM$50+'TUSD CVA'!$AM$50)*1</f>
        <v>271.91567493721766</v>
      </c>
      <c r="AA675" s="6">
        <f>('TE BE'!$AA$40+'TE BF'!$AA$40+'TE CVA'!$AA$40)*1</f>
        <v>119.69616956342591</v>
      </c>
      <c r="AB675" s="6">
        <f>$K$675*$V$675</f>
        <v>0</v>
      </c>
      <c r="AC675" s="6">
        <f>$M$675*$W$675</f>
        <v>2626.3510000000001</v>
      </c>
      <c r="AD675" s="6">
        <f>$O$675*$X$675</f>
        <v>1334.9839999999999</v>
      </c>
      <c r="AE675" s="6">
        <f>$K$675*$Y$675</f>
        <v>0</v>
      </c>
      <c r="AF675" s="6">
        <f ca="1">$M$675*$Z$675</f>
        <v>2950.2850730688115</v>
      </c>
      <c r="AG675" s="6">
        <f>$O$675*$AA$675</f>
        <v>1298.703439763171</v>
      </c>
    </row>
    <row r="676" spans="1:33" ht="11.25" customHeight="1" x14ac:dyDescent="0.25">
      <c r="A676" s="4" t="s">
        <v>21</v>
      </c>
      <c r="B676" s="4" t="s">
        <v>44</v>
      </c>
      <c r="C676" s="4" t="s">
        <v>23</v>
      </c>
      <c r="D676" s="4" t="s">
        <v>45</v>
      </c>
      <c r="E676" s="4" t="s">
        <v>46</v>
      </c>
      <c r="F676" s="4" t="s">
        <v>25</v>
      </c>
      <c r="G676" s="4" t="s">
        <v>25</v>
      </c>
      <c r="H676" s="4" t="s">
        <v>25</v>
      </c>
      <c r="I676" s="5">
        <v>44470</v>
      </c>
      <c r="J676" s="6">
        <v>0</v>
      </c>
      <c r="K676" s="6">
        <v>0</v>
      </c>
      <c r="L676" s="6">
        <v>9.0210000000000008</v>
      </c>
      <c r="M676" s="6">
        <v>9.0210000000000008</v>
      </c>
      <c r="N676" s="6">
        <v>9.0210000000000008</v>
      </c>
      <c r="O676" s="6">
        <v>9.0210000000000008</v>
      </c>
      <c r="P676" s="6">
        <v>6</v>
      </c>
      <c r="Q676" s="4" t="s">
        <v>26</v>
      </c>
      <c r="R676" s="4">
        <v>0</v>
      </c>
      <c r="S676" s="6">
        <v>0</v>
      </c>
      <c r="T676" s="6">
        <v>4</v>
      </c>
      <c r="U676" s="6">
        <v>41</v>
      </c>
      <c r="V676" s="6">
        <f>IF(ISERROR(VLOOKUP($S$676,'TAR FIN'!$A$1:$O$85,15,0)),0,VLOOKUP($S$676,'TAR FIN'!$A$1:$O$85,15,0))</f>
        <v>0</v>
      </c>
      <c r="W676" s="6">
        <f>IF(ISERROR(VLOOKUP($T$676,'TAR FIN'!$A$1:$O$85,15,0)),0,VLOOKUP($T$676,'TAR FIN'!$A$1:$O$85,15,0))</f>
        <v>242.06</v>
      </c>
      <c r="X676" s="6">
        <f>IF(ISERROR(VLOOKUP($U$676,'TAR FIN'!$A$1:$O$85,15,0)),0,VLOOKUP($U$676,'TAR FIN'!$A$1:$O$85,15,0))</f>
        <v>123.04</v>
      </c>
      <c r="Y676" s="6"/>
      <c r="Z676" s="6">
        <f ca="1">('TUSD BE'!$AM$50+'TUSD BF'!$AM$50+'TUSD CVA'!$AM$50)*1</f>
        <v>271.91567493721766</v>
      </c>
      <c r="AA676" s="6">
        <f>('TE BE'!$AA$40+'TE BF'!$AA$40+'TE CVA'!$AA$40)*1</f>
        <v>119.69616956342591</v>
      </c>
      <c r="AB676" s="6">
        <f>$K$676*$V$676</f>
        <v>0</v>
      </c>
      <c r="AC676" s="6">
        <f>$M$676*$W$676</f>
        <v>2183.6232600000003</v>
      </c>
      <c r="AD676" s="6">
        <f>$O$676*$X$676</f>
        <v>1109.9438400000001</v>
      </c>
      <c r="AE676" s="6">
        <f>$K$676*$Y$676</f>
        <v>0</v>
      </c>
      <c r="AF676" s="6">
        <f ca="1">$M$676*$Z$676</f>
        <v>2452.9513036086405</v>
      </c>
      <c r="AG676" s="6">
        <f>$O$676*$AA$676</f>
        <v>1079.7791456316652</v>
      </c>
    </row>
    <row r="677" spans="1:33" ht="11.25" customHeight="1" x14ac:dyDescent="0.25">
      <c r="A677" s="4" t="s">
        <v>21</v>
      </c>
      <c r="B677" s="4" t="s">
        <v>44</v>
      </c>
      <c r="C677" s="4" t="s">
        <v>23</v>
      </c>
      <c r="D677" s="4" t="s">
        <v>45</v>
      </c>
      <c r="E677" s="4" t="s">
        <v>46</v>
      </c>
      <c r="F677" s="4" t="s">
        <v>25</v>
      </c>
      <c r="G677" s="4" t="s">
        <v>25</v>
      </c>
      <c r="H677" s="4" t="s">
        <v>25</v>
      </c>
      <c r="I677" s="5">
        <v>44501</v>
      </c>
      <c r="J677" s="6">
        <v>0</v>
      </c>
      <c r="K677" s="6">
        <v>0</v>
      </c>
      <c r="L677" s="6">
        <v>10.260999999999999</v>
      </c>
      <c r="M677" s="6">
        <v>10.260999999999999</v>
      </c>
      <c r="N677" s="6">
        <v>10.260999999999999</v>
      </c>
      <c r="O677" s="6">
        <v>10.260999999999999</v>
      </c>
      <c r="P677" s="6">
        <v>6</v>
      </c>
      <c r="Q677" s="4" t="s">
        <v>26</v>
      </c>
      <c r="R677" s="4">
        <v>0</v>
      </c>
      <c r="S677" s="6">
        <v>0</v>
      </c>
      <c r="T677" s="6">
        <v>4</v>
      </c>
      <c r="U677" s="6">
        <v>41</v>
      </c>
      <c r="V677" s="6">
        <f>IF(ISERROR(VLOOKUP($S$677,'TAR FIN'!$A$1:$O$85,15,0)),0,VLOOKUP($S$677,'TAR FIN'!$A$1:$O$85,15,0))</f>
        <v>0</v>
      </c>
      <c r="W677" s="6">
        <f>IF(ISERROR(VLOOKUP($T$677,'TAR FIN'!$A$1:$O$85,15,0)),0,VLOOKUP($T$677,'TAR FIN'!$A$1:$O$85,15,0))</f>
        <v>242.06</v>
      </c>
      <c r="X677" s="6">
        <f>IF(ISERROR(VLOOKUP($U$677,'TAR FIN'!$A$1:$O$85,15,0)),0,VLOOKUP($U$677,'TAR FIN'!$A$1:$O$85,15,0))</f>
        <v>123.04</v>
      </c>
      <c r="Y677" s="6"/>
      <c r="Z677" s="6">
        <f ca="1">('TUSD BE'!$AM$50+'TUSD BF'!$AM$50+'TUSD CVA'!$AM$50)*1</f>
        <v>271.91567493721766</v>
      </c>
      <c r="AA677" s="6">
        <f>('TE BE'!$AA$40+'TE BF'!$AA$40+'TE CVA'!$AA$40)*1</f>
        <v>119.69616956342591</v>
      </c>
      <c r="AB677" s="6">
        <f>$K$677*$V$677</f>
        <v>0</v>
      </c>
      <c r="AC677" s="6">
        <f>$M$677*$W$677</f>
        <v>2483.7776599999997</v>
      </c>
      <c r="AD677" s="6">
        <f>$O$677*$X$677</f>
        <v>1262.5134399999999</v>
      </c>
      <c r="AE677" s="6">
        <f>$K$677*$Y$677</f>
        <v>0</v>
      </c>
      <c r="AF677" s="6">
        <f ca="1">$M$677*$Z$677</f>
        <v>2790.1267405307904</v>
      </c>
      <c r="AG677" s="6">
        <f>$O$677*$AA$677</f>
        <v>1228.2023958903133</v>
      </c>
    </row>
    <row r="678" spans="1:33" ht="11.25" customHeight="1" x14ac:dyDescent="0.25">
      <c r="A678" s="4" t="s">
        <v>21</v>
      </c>
      <c r="B678" s="4" t="s">
        <v>44</v>
      </c>
      <c r="C678" s="4" t="s">
        <v>23</v>
      </c>
      <c r="D678" s="4" t="s">
        <v>45</v>
      </c>
      <c r="E678" s="4" t="s">
        <v>46</v>
      </c>
      <c r="F678" s="4" t="s">
        <v>25</v>
      </c>
      <c r="G678" s="4" t="s">
        <v>25</v>
      </c>
      <c r="H678" s="4" t="s">
        <v>25</v>
      </c>
      <c r="I678" s="5">
        <v>44531</v>
      </c>
      <c r="J678" s="6">
        <v>0</v>
      </c>
      <c r="K678" s="6">
        <v>0</v>
      </c>
      <c r="L678" s="6">
        <v>9.0459999999999994</v>
      </c>
      <c r="M678" s="6">
        <v>9.0459999999999994</v>
      </c>
      <c r="N678" s="6">
        <v>9.0459999999999994</v>
      </c>
      <c r="O678" s="6">
        <v>9.0459999999999994</v>
      </c>
      <c r="P678" s="6">
        <v>6</v>
      </c>
      <c r="Q678" s="4" t="s">
        <v>26</v>
      </c>
      <c r="R678" s="4">
        <v>0</v>
      </c>
      <c r="S678" s="6">
        <v>0</v>
      </c>
      <c r="T678" s="6">
        <v>4</v>
      </c>
      <c r="U678" s="6">
        <v>41</v>
      </c>
      <c r="V678" s="6">
        <f>IF(ISERROR(VLOOKUP($S$678,'TAR FIN'!$A$1:$O$85,15,0)),0,VLOOKUP($S$678,'TAR FIN'!$A$1:$O$85,15,0))</f>
        <v>0</v>
      </c>
      <c r="W678" s="6">
        <f>IF(ISERROR(VLOOKUP($T$678,'TAR FIN'!$A$1:$O$85,15,0)),0,VLOOKUP($T$678,'TAR FIN'!$A$1:$O$85,15,0))</f>
        <v>242.06</v>
      </c>
      <c r="X678" s="6">
        <f>IF(ISERROR(VLOOKUP($U$678,'TAR FIN'!$A$1:$O$85,15,0)),0,VLOOKUP($U$678,'TAR FIN'!$A$1:$O$85,15,0))</f>
        <v>123.04</v>
      </c>
      <c r="Y678" s="6"/>
      <c r="Z678" s="6">
        <f ca="1">('TUSD BE'!$AM$50+'TUSD BF'!$AM$50+'TUSD CVA'!$AM$50)*1</f>
        <v>271.91567493721766</v>
      </c>
      <c r="AA678" s="6">
        <f>('TE BE'!$AA$40+'TE BF'!$AA$40+'TE CVA'!$AA$40)*1</f>
        <v>119.69616956342591</v>
      </c>
      <c r="AB678" s="6">
        <f>$K$678*$V$678</f>
        <v>0</v>
      </c>
      <c r="AC678" s="6">
        <f>$M$678*$W$678</f>
        <v>2189.6747599999999</v>
      </c>
      <c r="AD678" s="6">
        <f>$O$678*$X$678</f>
        <v>1113.0198399999999</v>
      </c>
      <c r="AE678" s="6">
        <f>$K$678*$Y$678</f>
        <v>0</v>
      </c>
      <c r="AF678" s="6">
        <f ca="1">$M$678*$Z$678</f>
        <v>2459.7491954820707</v>
      </c>
      <c r="AG678" s="6">
        <f>$O$678*$AA$678</f>
        <v>1082.7715498707507</v>
      </c>
    </row>
    <row r="679" spans="1:33" ht="11.25" customHeight="1" x14ac:dyDescent="0.25">
      <c r="A679" s="4" t="s">
        <v>21</v>
      </c>
      <c r="B679" s="4" t="s">
        <v>44</v>
      </c>
      <c r="C679" s="4" t="s">
        <v>23</v>
      </c>
      <c r="D679" s="4" t="s">
        <v>45</v>
      </c>
      <c r="E679" s="4" t="s">
        <v>46</v>
      </c>
      <c r="F679" s="4" t="s">
        <v>25</v>
      </c>
      <c r="G679" s="4" t="s">
        <v>25</v>
      </c>
      <c r="H679" s="4" t="s">
        <v>25</v>
      </c>
      <c r="I679" s="5">
        <v>44562</v>
      </c>
      <c r="J679" s="6">
        <v>0</v>
      </c>
      <c r="K679" s="6">
        <v>0</v>
      </c>
      <c r="L679" s="6">
        <v>9.532</v>
      </c>
      <c r="M679" s="6">
        <v>9.532</v>
      </c>
      <c r="N679" s="6">
        <v>9.532</v>
      </c>
      <c r="O679" s="6">
        <v>9.532</v>
      </c>
      <c r="P679" s="6">
        <v>6</v>
      </c>
      <c r="Q679" s="4" t="s">
        <v>26</v>
      </c>
      <c r="R679" s="4">
        <v>0</v>
      </c>
      <c r="S679" s="6">
        <v>0</v>
      </c>
      <c r="T679" s="6">
        <v>4</v>
      </c>
      <c r="U679" s="6">
        <v>41</v>
      </c>
      <c r="V679" s="6">
        <f>IF(ISERROR(VLOOKUP($S$679,'TAR FIN'!$A$1:$O$85,15,0)),0,VLOOKUP($S$679,'TAR FIN'!$A$1:$O$85,15,0))</f>
        <v>0</v>
      </c>
      <c r="W679" s="6">
        <f>IF(ISERROR(VLOOKUP($T$679,'TAR FIN'!$A$1:$O$85,15,0)),0,VLOOKUP($T$679,'TAR FIN'!$A$1:$O$85,15,0))</f>
        <v>242.06</v>
      </c>
      <c r="X679" s="6">
        <f>IF(ISERROR(VLOOKUP($U$679,'TAR FIN'!$A$1:$O$85,15,0)),0,VLOOKUP($U$679,'TAR FIN'!$A$1:$O$85,15,0))</f>
        <v>123.04</v>
      </c>
      <c r="Y679" s="6"/>
      <c r="Z679" s="6">
        <f ca="1">('TUSD BE'!$AM$50+'TUSD BF'!$AM$50+'TUSD CVA'!$AM$50)*1</f>
        <v>271.91567493721766</v>
      </c>
      <c r="AA679" s="6">
        <f>('TE BE'!$AA$40+'TE BF'!$AA$40+'TE CVA'!$AA$40)*1</f>
        <v>119.69616956342591</v>
      </c>
      <c r="AB679" s="6">
        <f>$K$679*$V$679</f>
        <v>0</v>
      </c>
      <c r="AC679" s="6">
        <f>$M$679*$W$679</f>
        <v>2307.31592</v>
      </c>
      <c r="AD679" s="6">
        <f>$O$679*$X$679</f>
        <v>1172.81728</v>
      </c>
      <c r="AE679" s="6">
        <f>$K$679*$Y$679</f>
        <v>0</v>
      </c>
      <c r="AF679" s="6">
        <f ca="1">$M$679*$Z$679</f>
        <v>2591.9002135015589</v>
      </c>
      <c r="AG679" s="6">
        <f>$O$679*$AA$679</f>
        <v>1140.9438882785757</v>
      </c>
    </row>
    <row r="680" spans="1:33" ht="11.25" customHeight="1" x14ac:dyDescent="0.25">
      <c r="A680" s="4" t="s">
        <v>21</v>
      </c>
      <c r="B680" s="4" t="s">
        <v>44</v>
      </c>
      <c r="C680" s="4" t="s">
        <v>23</v>
      </c>
      <c r="D680" s="4" t="s">
        <v>45</v>
      </c>
      <c r="E680" s="4" t="s">
        <v>46</v>
      </c>
      <c r="F680" s="4" t="s">
        <v>25</v>
      </c>
      <c r="G680" s="4" t="s">
        <v>25</v>
      </c>
      <c r="H680" s="4" t="s">
        <v>25</v>
      </c>
      <c r="I680" s="5">
        <v>44593</v>
      </c>
      <c r="J680" s="6">
        <v>0</v>
      </c>
      <c r="K680" s="6">
        <v>0</v>
      </c>
      <c r="L680" s="6">
        <v>10.298999999999999</v>
      </c>
      <c r="M680" s="6">
        <v>10.298999999999999</v>
      </c>
      <c r="N680" s="6">
        <v>10.298999999999999</v>
      </c>
      <c r="O680" s="6">
        <v>10.298999999999999</v>
      </c>
      <c r="P680" s="6">
        <v>6</v>
      </c>
      <c r="Q680" s="4" t="s">
        <v>26</v>
      </c>
      <c r="R680" s="4">
        <v>0</v>
      </c>
      <c r="S680" s="6">
        <v>0</v>
      </c>
      <c r="T680" s="6">
        <v>4</v>
      </c>
      <c r="U680" s="6">
        <v>41</v>
      </c>
      <c r="V680" s="6">
        <f>IF(ISERROR(VLOOKUP($S$680,'TAR FIN'!$A$1:$O$85,15,0)),0,VLOOKUP($S$680,'TAR FIN'!$A$1:$O$85,15,0))</f>
        <v>0</v>
      </c>
      <c r="W680" s="6">
        <f>IF(ISERROR(VLOOKUP($T$680,'TAR FIN'!$A$1:$O$85,15,0)),0,VLOOKUP($T$680,'TAR FIN'!$A$1:$O$85,15,0))</f>
        <v>242.06</v>
      </c>
      <c r="X680" s="6">
        <f>IF(ISERROR(VLOOKUP($U$680,'TAR FIN'!$A$1:$O$85,15,0)),0,VLOOKUP($U$680,'TAR FIN'!$A$1:$O$85,15,0))</f>
        <v>123.04</v>
      </c>
      <c r="Y680" s="6"/>
      <c r="Z680" s="6">
        <f ca="1">('TUSD BE'!$AM$50+'TUSD BF'!$AM$50+'TUSD CVA'!$AM$50)*1</f>
        <v>271.91567493721766</v>
      </c>
      <c r="AA680" s="6">
        <f>('TE BE'!$AA$40+'TE BF'!$AA$40+'TE CVA'!$AA$40)*1</f>
        <v>119.69616956342591</v>
      </c>
      <c r="AB680" s="6">
        <f>$K$680*$V$680</f>
        <v>0</v>
      </c>
      <c r="AC680" s="6">
        <f>$M$680*$W$680</f>
        <v>2492.9759399999998</v>
      </c>
      <c r="AD680" s="6">
        <f>$O$680*$X$680</f>
        <v>1267.18896</v>
      </c>
      <c r="AE680" s="6">
        <f>$K$680*$Y$680</f>
        <v>0</v>
      </c>
      <c r="AF680" s="6">
        <f ca="1">$M$680*$Z$680</f>
        <v>2800.4595361784045</v>
      </c>
      <c r="AG680" s="6">
        <f>$O$680*$AA$680</f>
        <v>1232.7508503337233</v>
      </c>
    </row>
    <row r="681" spans="1:33" ht="11.25" customHeight="1" x14ac:dyDescent="0.25">
      <c r="A681" s="4" t="s">
        <v>54</v>
      </c>
      <c r="B681" s="4" t="s">
        <v>44</v>
      </c>
      <c r="C681" s="4" t="s">
        <v>23</v>
      </c>
      <c r="D681" s="4" t="s">
        <v>45</v>
      </c>
      <c r="E681" s="4" t="s">
        <v>46</v>
      </c>
      <c r="F681" s="4" t="s">
        <v>25</v>
      </c>
      <c r="G681" s="4" t="s">
        <v>25</v>
      </c>
      <c r="H681" s="4" t="s">
        <v>25</v>
      </c>
      <c r="I681" s="5">
        <v>44621</v>
      </c>
      <c r="J681" s="6">
        <v>0</v>
      </c>
      <c r="K681" s="6">
        <v>0</v>
      </c>
      <c r="L681" s="6">
        <v>10.298999999999999</v>
      </c>
      <c r="M681" s="6">
        <v>10.298999999999999</v>
      </c>
      <c r="N681" s="6">
        <v>10.298999999999999</v>
      </c>
      <c r="O681" s="6">
        <v>10.298999999999999</v>
      </c>
      <c r="P681" s="6">
        <v>6</v>
      </c>
      <c r="Q681" s="4" t="s">
        <v>26</v>
      </c>
      <c r="R681" s="4">
        <v>0</v>
      </c>
      <c r="S681" s="6">
        <v>0</v>
      </c>
      <c r="T681" s="6">
        <v>4</v>
      </c>
      <c r="U681" s="6">
        <v>41</v>
      </c>
      <c r="V681" s="6">
        <f>IF(ISERROR(VLOOKUP($S$681,'TAR FIN'!$A$1:$O$85,15,0)),0,VLOOKUP($S$681,'TAR FIN'!$A$1:$O$85,15,0))</f>
        <v>0</v>
      </c>
      <c r="W681" s="6">
        <f>IF(ISERROR(VLOOKUP($T$681,'TAR FIN'!$A$1:$O$85,15,0)),0,VLOOKUP($T$681,'TAR FIN'!$A$1:$O$85,15,0))</f>
        <v>242.06</v>
      </c>
      <c r="X681" s="6">
        <f>IF(ISERROR(VLOOKUP($U$681,'TAR FIN'!$A$1:$O$85,15,0)),0,VLOOKUP($U$681,'TAR FIN'!$A$1:$O$85,15,0))</f>
        <v>123.04</v>
      </c>
      <c r="Y681" s="6"/>
      <c r="Z681" s="6">
        <f ca="1">('TUSD BE'!$AM$50+'TUSD BF'!$AM$50+'TUSD CVA'!$AM$50)*1</f>
        <v>271.91567493721766</v>
      </c>
      <c r="AA681" s="6">
        <f>('TE BE'!$AA$40+'TE BF'!$AA$40+'TE CVA'!$AA$40)*1</f>
        <v>119.69616956342591</v>
      </c>
      <c r="AB681" s="6">
        <f>$K$681*$V$681</f>
        <v>0</v>
      </c>
      <c r="AC681" s="6">
        <f>$M$681*$W$681</f>
        <v>2492.9759399999998</v>
      </c>
      <c r="AD681" s="6">
        <f>$O$681*$X$681</f>
        <v>1267.18896</v>
      </c>
      <c r="AE681" s="6">
        <f>$K$681*$Y$681</f>
        <v>0</v>
      </c>
      <c r="AF681" s="6">
        <f ca="1">$M$681*$Z$681</f>
        <v>2800.4595361784045</v>
      </c>
      <c r="AG681" s="6">
        <f>$O$681*$AA$681</f>
        <v>1232.7508503337233</v>
      </c>
    </row>
    <row r="682" spans="1:33" ht="11.25" customHeight="1" x14ac:dyDescent="0.25">
      <c r="A682" s="4" t="s">
        <v>21</v>
      </c>
      <c r="B682" s="4" t="s">
        <v>44</v>
      </c>
      <c r="C682" s="4" t="s">
        <v>23</v>
      </c>
      <c r="D682" s="4" t="s">
        <v>45</v>
      </c>
      <c r="E682" s="4" t="s">
        <v>47</v>
      </c>
      <c r="F682" s="4" t="s">
        <v>25</v>
      </c>
      <c r="G682" s="4" t="s">
        <v>25</v>
      </c>
      <c r="H682" s="4" t="s">
        <v>25</v>
      </c>
      <c r="I682" s="5">
        <v>44287</v>
      </c>
      <c r="J682" s="6">
        <v>0</v>
      </c>
      <c r="K682" s="6">
        <v>0</v>
      </c>
      <c r="L682" s="6">
        <v>193.792</v>
      </c>
      <c r="M682" s="6">
        <v>193.792</v>
      </c>
      <c r="N682" s="6">
        <v>193.792</v>
      </c>
      <c r="O682" s="6">
        <v>193.792</v>
      </c>
      <c r="P682" s="6">
        <v>44</v>
      </c>
      <c r="Q682" s="4" t="s">
        <v>26</v>
      </c>
      <c r="R682" s="4">
        <v>0</v>
      </c>
      <c r="S682" s="6">
        <v>0</v>
      </c>
      <c r="T682" s="6">
        <v>5</v>
      </c>
      <c r="U682" s="6">
        <v>42</v>
      </c>
      <c r="V682" s="6">
        <f>IF(ISERROR(VLOOKUP($S$682,'TAR FIN'!$A$1:$O$85,15,0)),0,VLOOKUP($S$682,'TAR FIN'!$A$1:$O$85,15,0))</f>
        <v>0</v>
      </c>
      <c r="W682" s="6">
        <f>IF(ISERROR(VLOOKUP($T$682,'TAR FIN'!$A$1:$O$85,15,0)),0,VLOOKUP($T$682,'TAR FIN'!$A$1:$O$85,15,0))</f>
        <v>264.06</v>
      </c>
      <c r="X682" s="6">
        <f>IF(ISERROR(VLOOKUP($U$682,'TAR FIN'!$A$1:$O$85,15,0)),0,VLOOKUP($U$682,'TAR FIN'!$A$1:$O$85,15,0))</f>
        <v>134.22999999999999</v>
      </c>
      <c r="Y682" s="6"/>
      <c r="Z682" s="6">
        <f ca="1">('TUSD BE'!$AM$51+'TUSD BF'!$AM$51+'TUSD CVA'!$AM$51)*1</f>
        <v>296.6352817496919</v>
      </c>
      <c r="AA682" s="6">
        <f>('TE BE'!$AA$41+'TE BF'!$AA$41+'TE CVA'!$AA$41)*1</f>
        <v>130.57763952373733</v>
      </c>
      <c r="AB682" s="6">
        <f>$K$682*$V$682</f>
        <v>0</v>
      </c>
      <c r="AC682" s="6">
        <f>$M$682*$W$682</f>
        <v>51172.715519999998</v>
      </c>
      <c r="AD682" s="6">
        <f>$O$682*$X$682</f>
        <v>26012.700159999997</v>
      </c>
      <c r="AE682" s="6">
        <f>$K$682*$Y$682</f>
        <v>0</v>
      </c>
      <c r="AF682" s="6">
        <f ca="1">$M$682*$Z$682</f>
        <v>57485.544520836294</v>
      </c>
      <c r="AG682" s="6">
        <f>$O$682*$AA$682</f>
        <v>25304.901918584106</v>
      </c>
    </row>
    <row r="683" spans="1:33" ht="11.25" customHeight="1" x14ac:dyDescent="0.25">
      <c r="A683" s="4" t="s">
        <v>21</v>
      </c>
      <c r="B683" s="4" t="s">
        <v>44</v>
      </c>
      <c r="C683" s="4" t="s">
        <v>23</v>
      </c>
      <c r="D683" s="4" t="s">
        <v>45</v>
      </c>
      <c r="E683" s="4" t="s">
        <v>47</v>
      </c>
      <c r="F683" s="4" t="s">
        <v>25</v>
      </c>
      <c r="G683" s="4" t="s">
        <v>25</v>
      </c>
      <c r="H683" s="4" t="s">
        <v>25</v>
      </c>
      <c r="I683" s="5">
        <v>44317</v>
      </c>
      <c r="J683" s="6">
        <v>0</v>
      </c>
      <c r="K683" s="6">
        <v>0</v>
      </c>
      <c r="L683" s="6">
        <v>196.27199999999999</v>
      </c>
      <c r="M683" s="6">
        <v>196.27199999999999</v>
      </c>
      <c r="N683" s="6">
        <v>196.27199999999999</v>
      </c>
      <c r="O683" s="6">
        <v>196.27199999999999</v>
      </c>
      <c r="P683" s="6">
        <v>44</v>
      </c>
      <c r="Q683" s="4" t="s">
        <v>26</v>
      </c>
      <c r="R683" s="4">
        <v>0</v>
      </c>
      <c r="S683" s="6">
        <v>0</v>
      </c>
      <c r="T683" s="6">
        <v>5</v>
      </c>
      <c r="U683" s="6">
        <v>42</v>
      </c>
      <c r="V683" s="6">
        <f>IF(ISERROR(VLOOKUP($S$683,'TAR FIN'!$A$1:$O$85,15,0)),0,VLOOKUP($S$683,'TAR FIN'!$A$1:$O$85,15,0))</f>
        <v>0</v>
      </c>
      <c r="W683" s="6">
        <f>IF(ISERROR(VLOOKUP($T$683,'TAR FIN'!$A$1:$O$85,15,0)),0,VLOOKUP($T$683,'TAR FIN'!$A$1:$O$85,15,0))</f>
        <v>264.06</v>
      </c>
      <c r="X683" s="6">
        <f>IF(ISERROR(VLOOKUP($U$683,'TAR FIN'!$A$1:$O$85,15,0)),0,VLOOKUP($U$683,'TAR FIN'!$A$1:$O$85,15,0))</f>
        <v>134.22999999999999</v>
      </c>
      <c r="Y683" s="6"/>
      <c r="Z683" s="6">
        <f ca="1">('TUSD BE'!$AM$51+'TUSD BF'!$AM$51+'TUSD CVA'!$AM$51)*1</f>
        <v>296.6352817496919</v>
      </c>
      <c r="AA683" s="6">
        <f>('TE BE'!$AA$41+'TE BF'!$AA$41+'TE CVA'!$AA$41)*1</f>
        <v>130.57763952373733</v>
      </c>
      <c r="AB683" s="6">
        <f>$K$683*$V$683</f>
        <v>0</v>
      </c>
      <c r="AC683" s="6">
        <f>$M$683*$W$683</f>
        <v>51827.584320000002</v>
      </c>
      <c r="AD683" s="6">
        <f>$O$683*$X$683</f>
        <v>26345.590559999997</v>
      </c>
      <c r="AE683" s="6">
        <f>$K$683*$Y$683</f>
        <v>0</v>
      </c>
      <c r="AF683" s="6">
        <f ca="1">$M$683*$Z$683</f>
        <v>58221.200019575524</v>
      </c>
      <c r="AG683" s="6">
        <f>$O$683*$AA$683</f>
        <v>25628.734464602974</v>
      </c>
    </row>
    <row r="684" spans="1:33" ht="11.25" customHeight="1" x14ac:dyDescent="0.25">
      <c r="A684" s="4" t="s">
        <v>21</v>
      </c>
      <c r="B684" s="4" t="s">
        <v>44</v>
      </c>
      <c r="C684" s="4" t="s">
        <v>23</v>
      </c>
      <c r="D684" s="4" t="s">
        <v>45</v>
      </c>
      <c r="E684" s="4" t="s">
        <v>47</v>
      </c>
      <c r="F684" s="4" t="s">
        <v>25</v>
      </c>
      <c r="G684" s="4" t="s">
        <v>25</v>
      </c>
      <c r="H684" s="4" t="s">
        <v>25</v>
      </c>
      <c r="I684" s="5">
        <v>44348</v>
      </c>
      <c r="J684" s="6">
        <v>0</v>
      </c>
      <c r="K684" s="6">
        <v>0</v>
      </c>
      <c r="L684" s="6">
        <v>211.64699999999999</v>
      </c>
      <c r="M684" s="6">
        <v>211.64699999999999</v>
      </c>
      <c r="N684" s="6">
        <v>211.64699999999999</v>
      </c>
      <c r="O684" s="6">
        <v>211.64699999999999</v>
      </c>
      <c r="P684" s="6">
        <v>44</v>
      </c>
      <c r="Q684" s="4" t="s">
        <v>26</v>
      </c>
      <c r="R684" s="4">
        <v>0</v>
      </c>
      <c r="S684" s="6">
        <v>0</v>
      </c>
      <c r="T684" s="6">
        <v>5</v>
      </c>
      <c r="U684" s="6">
        <v>42</v>
      </c>
      <c r="V684" s="6">
        <f>IF(ISERROR(VLOOKUP($S$684,'TAR FIN'!$A$1:$O$85,15,0)),0,VLOOKUP($S$684,'TAR FIN'!$A$1:$O$85,15,0))</f>
        <v>0</v>
      </c>
      <c r="W684" s="6">
        <f>IF(ISERROR(VLOOKUP($T$684,'TAR FIN'!$A$1:$O$85,15,0)),0,VLOOKUP($T$684,'TAR FIN'!$A$1:$O$85,15,0))</f>
        <v>264.06</v>
      </c>
      <c r="X684" s="6">
        <f>IF(ISERROR(VLOOKUP($U$684,'TAR FIN'!$A$1:$O$85,15,0)),0,VLOOKUP($U$684,'TAR FIN'!$A$1:$O$85,15,0))</f>
        <v>134.22999999999999</v>
      </c>
      <c r="Y684" s="6"/>
      <c r="Z684" s="6">
        <f ca="1">('TUSD BE'!$AM$51+'TUSD BF'!$AM$51+'TUSD CVA'!$AM$51)*1</f>
        <v>296.6352817496919</v>
      </c>
      <c r="AA684" s="6">
        <f>('TE BE'!$AA$41+'TE BF'!$AA$41+'TE CVA'!$AA$41)*1</f>
        <v>130.57763952373733</v>
      </c>
      <c r="AB684" s="6">
        <f>$K$684*$V$684</f>
        <v>0</v>
      </c>
      <c r="AC684" s="6">
        <f>$M$684*$W$684</f>
        <v>55887.506819999995</v>
      </c>
      <c r="AD684" s="6">
        <f>$O$684*$X$684</f>
        <v>28409.376809999998</v>
      </c>
      <c r="AE684" s="6">
        <f>$K$684*$Y$684</f>
        <v>0</v>
      </c>
      <c r="AF684" s="6">
        <f ca="1">$M$684*$Z$684</f>
        <v>62781.967476477039</v>
      </c>
      <c r="AG684" s="6">
        <f>$O$684*$AA$684</f>
        <v>27636.365672280434</v>
      </c>
    </row>
    <row r="685" spans="1:33" ht="11.25" customHeight="1" x14ac:dyDescent="0.25">
      <c r="A685" s="4" t="s">
        <v>21</v>
      </c>
      <c r="B685" s="4" t="s">
        <v>44</v>
      </c>
      <c r="C685" s="4" t="s">
        <v>23</v>
      </c>
      <c r="D685" s="4" t="s">
        <v>45</v>
      </c>
      <c r="E685" s="4" t="s">
        <v>47</v>
      </c>
      <c r="F685" s="4" t="s">
        <v>25</v>
      </c>
      <c r="G685" s="4" t="s">
        <v>25</v>
      </c>
      <c r="H685" s="4" t="s">
        <v>25</v>
      </c>
      <c r="I685" s="5">
        <v>44378</v>
      </c>
      <c r="J685" s="6">
        <v>0</v>
      </c>
      <c r="K685" s="6">
        <v>0</v>
      </c>
      <c r="L685" s="6">
        <v>202.92599999999999</v>
      </c>
      <c r="M685" s="6">
        <v>202.92599999999999</v>
      </c>
      <c r="N685" s="6">
        <v>202.92599999999999</v>
      </c>
      <c r="O685" s="6">
        <v>202.92599999999999</v>
      </c>
      <c r="P685" s="6">
        <v>44</v>
      </c>
      <c r="Q685" s="4" t="s">
        <v>26</v>
      </c>
      <c r="R685" s="4">
        <v>0</v>
      </c>
      <c r="S685" s="6">
        <v>0</v>
      </c>
      <c r="T685" s="6">
        <v>5</v>
      </c>
      <c r="U685" s="6">
        <v>42</v>
      </c>
      <c r="V685" s="6">
        <f>IF(ISERROR(VLOOKUP($S$685,'TAR FIN'!$A$1:$O$85,15,0)),0,VLOOKUP($S$685,'TAR FIN'!$A$1:$O$85,15,0))</f>
        <v>0</v>
      </c>
      <c r="W685" s="6">
        <f>IF(ISERROR(VLOOKUP($T$685,'TAR FIN'!$A$1:$O$85,15,0)),0,VLOOKUP($T$685,'TAR FIN'!$A$1:$O$85,15,0))</f>
        <v>264.06</v>
      </c>
      <c r="X685" s="6">
        <f>IF(ISERROR(VLOOKUP($U$685,'TAR FIN'!$A$1:$O$85,15,0)),0,VLOOKUP($U$685,'TAR FIN'!$A$1:$O$85,15,0))</f>
        <v>134.22999999999999</v>
      </c>
      <c r="Y685" s="6"/>
      <c r="Z685" s="6">
        <f ca="1">('TUSD BE'!$AM$51+'TUSD BF'!$AM$51+'TUSD CVA'!$AM$51)*1</f>
        <v>296.6352817496919</v>
      </c>
      <c r="AA685" s="6">
        <f>('TE BE'!$AA$41+'TE BF'!$AA$41+'TE CVA'!$AA$41)*1</f>
        <v>130.57763952373733</v>
      </c>
      <c r="AB685" s="6">
        <f>$K$685*$V$685</f>
        <v>0</v>
      </c>
      <c r="AC685" s="6">
        <f>$M$685*$W$685</f>
        <v>53584.639559999996</v>
      </c>
      <c r="AD685" s="6">
        <f>$O$685*$X$685</f>
        <v>27238.756979999995</v>
      </c>
      <c r="AE685" s="6">
        <f>$K$685*$Y$685</f>
        <v>0</v>
      </c>
      <c r="AF685" s="6">
        <f ca="1">$M$685*$Z$685</f>
        <v>60195.011184337978</v>
      </c>
      <c r="AG685" s="6">
        <f>$O$685*$AA$685</f>
        <v>26497.59807799392</v>
      </c>
    </row>
    <row r="686" spans="1:33" ht="11.25" customHeight="1" x14ac:dyDescent="0.25">
      <c r="A686" s="4" t="s">
        <v>21</v>
      </c>
      <c r="B686" s="4" t="s">
        <v>44</v>
      </c>
      <c r="C686" s="4" t="s">
        <v>23</v>
      </c>
      <c r="D686" s="4" t="s">
        <v>45</v>
      </c>
      <c r="E686" s="4" t="s">
        <v>47</v>
      </c>
      <c r="F686" s="4" t="s">
        <v>25</v>
      </c>
      <c r="G686" s="4" t="s">
        <v>25</v>
      </c>
      <c r="H686" s="4" t="s">
        <v>25</v>
      </c>
      <c r="I686" s="5">
        <v>44409</v>
      </c>
      <c r="J686" s="6">
        <v>0</v>
      </c>
      <c r="K686" s="6">
        <v>0</v>
      </c>
      <c r="L686" s="6">
        <v>201.93</v>
      </c>
      <c r="M686" s="6">
        <v>201.93</v>
      </c>
      <c r="N686" s="6">
        <v>201.93</v>
      </c>
      <c r="O686" s="6">
        <v>201.93</v>
      </c>
      <c r="P686" s="6">
        <v>44</v>
      </c>
      <c r="Q686" s="4" t="s">
        <v>26</v>
      </c>
      <c r="R686" s="4">
        <v>0</v>
      </c>
      <c r="S686" s="6">
        <v>0</v>
      </c>
      <c r="T686" s="6">
        <v>5</v>
      </c>
      <c r="U686" s="6">
        <v>42</v>
      </c>
      <c r="V686" s="6">
        <f>IF(ISERROR(VLOOKUP($S$686,'TAR FIN'!$A$1:$O$85,15,0)),0,VLOOKUP($S$686,'TAR FIN'!$A$1:$O$85,15,0))</f>
        <v>0</v>
      </c>
      <c r="W686" s="6">
        <f>IF(ISERROR(VLOOKUP($T$686,'TAR FIN'!$A$1:$O$85,15,0)),0,VLOOKUP($T$686,'TAR FIN'!$A$1:$O$85,15,0))</f>
        <v>264.06</v>
      </c>
      <c r="X686" s="6">
        <f>IF(ISERROR(VLOOKUP($U$686,'TAR FIN'!$A$1:$O$85,15,0)),0,VLOOKUP($U$686,'TAR FIN'!$A$1:$O$85,15,0))</f>
        <v>134.22999999999999</v>
      </c>
      <c r="Y686" s="6"/>
      <c r="Z686" s="6">
        <f ca="1">('TUSD BE'!$AM$51+'TUSD BF'!$AM$51+'TUSD CVA'!$AM$51)*1</f>
        <v>296.6352817496919</v>
      </c>
      <c r="AA686" s="6">
        <f>('TE BE'!$AA$41+'TE BF'!$AA$41+'TE CVA'!$AA$41)*1</f>
        <v>130.57763952373733</v>
      </c>
      <c r="AB686" s="6">
        <f>$K$686*$V$686</f>
        <v>0</v>
      </c>
      <c r="AC686" s="6">
        <f>$M$686*$W$686</f>
        <v>53321.635800000004</v>
      </c>
      <c r="AD686" s="6">
        <f>$O$686*$X$686</f>
        <v>27105.063899999997</v>
      </c>
      <c r="AE686" s="6">
        <f>$K$686*$Y$686</f>
        <v>0</v>
      </c>
      <c r="AF686" s="6">
        <f ca="1">$M$686*$Z$686</f>
        <v>59899.562443715287</v>
      </c>
      <c r="AG686" s="6">
        <f>$O$686*$AA$686</f>
        <v>26367.542749028282</v>
      </c>
    </row>
    <row r="687" spans="1:33" ht="11.25" customHeight="1" x14ac:dyDescent="0.25">
      <c r="A687" s="4" t="s">
        <v>21</v>
      </c>
      <c r="B687" s="4" t="s">
        <v>44</v>
      </c>
      <c r="C687" s="4" t="s">
        <v>23</v>
      </c>
      <c r="D687" s="4" t="s">
        <v>45</v>
      </c>
      <c r="E687" s="4" t="s">
        <v>47</v>
      </c>
      <c r="F687" s="4" t="s">
        <v>25</v>
      </c>
      <c r="G687" s="4" t="s">
        <v>25</v>
      </c>
      <c r="H687" s="4" t="s">
        <v>25</v>
      </c>
      <c r="I687" s="5">
        <v>44440</v>
      </c>
      <c r="J687" s="6">
        <v>0</v>
      </c>
      <c r="K687" s="6">
        <v>0</v>
      </c>
      <c r="L687" s="6">
        <v>191.06700000000001</v>
      </c>
      <c r="M687" s="6">
        <v>191.06700000000001</v>
      </c>
      <c r="N687" s="6">
        <v>191.06700000000001</v>
      </c>
      <c r="O687" s="6">
        <v>191.06700000000001</v>
      </c>
      <c r="P687" s="6">
        <v>44</v>
      </c>
      <c r="Q687" s="4" t="s">
        <v>26</v>
      </c>
      <c r="R687" s="4">
        <v>0</v>
      </c>
      <c r="S687" s="6">
        <v>0</v>
      </c>
      <c r="T687" s="6">
        <v>5</v>
      </c>
      <c r="U687" s="6">
        <v>42</v>
      </c>
      <c r="V687" s="6">
        <f>IF(ISERROR(VLOOKUP($S$687,'TAR FIN'!$A$1:$O$85,15,0)),0,VLOOKUP($S$687,'TAR FIN'!$A$1:$O$85,15,0))</f>
        <v>0</v>
      </c>
      <c r="W687" s="6">
        <f>IF(ISERROR(VLOOKUP($T$687,'TAR FIN'!$A$1:$O$85,15,0)),0,VLOOKUP($T$687,'TAR FIN'!$A$1:$O$85,15,0))</f>
        <v>264.06</v>
      </c>
      <c r="X687" s="6">
        <f>IF(ISERROR(VLOOKUP($U$687,'TAR FIN'!$A$1:$O$85,15,0)),0,VLOOKUP($U$687,'TAR FIN'!$A$1:$O$85,15,0))</f>
        <v>134.22999999999999</v>
      </c>
      <c r="Y687" s="6"/>
      <c r="Z687" s="6">
        <f ca="1">('TUSD BE'!$AM$51+'TUSD BF'!$AM$51+'TUSD CVA'!$AM$51)*1</f>
        <v>296.6352817496919</v>
      </c>
      <c r="AA687" s="6">
        <f>('TE BE'!$AA$41+'TE BF'!$AA$41+'TE CVA'!$AA$41)*1</f>
        <v>130.57763952373733</v>
      </c>
      <c r="AB687" s="6">
        <f>$K$687*$V$687</f>
        <v>0</v>
      </c>
      <c r="AC687" s="6">
        <f>$M$687*$W$687</f>
        <v>50453.152020000001</v>
      </c>
      <c r="AD687" s="6">
        <f>$O$687*$X$687</f>
        <v>25646.923409999999</v>
      </c>
      <c r="AE687" s="6">
        <f>$K$687*$Y$687</f>
        <v>0</v>
      </c>
      <c r="AF687" s="6">
        <f ca="1">$M$687*$Z$687</f>
        <v>56677.213378068387</v>
      </c>
      <c r="AG687" s="6">
        <f>$O$687*$AA$687</f>
        <v>24949.07785088192</v>
      </c>
    </row>
    <row r="688" spans="1:33" ht="11.25" customHeight="1" x14ac:dyDescent="0.25">
      <c r="A688" s="4" t="s">
        <v>21</v>
      </c>
      <c r="B688" s="4" t="s">
        <v>44</v>
      </c>
      <c r="C688" s="4" t="s">
        <v>23</v>
      </c>
      <c r="D688" s="4" t="s">
        <v>45</v>
      </c>
      <c r="E688" s="4" t="s">
        <v>47</v>
      </c>
      <c r="F688" s="4" t="s">
        <v>25</v>
      </c>
      <c r="G688" s="4" t="s">
        <v>25</v>
      </c>
      <c r="H688" s="4" t="s">
        <v>25</v>
      </c>
      <c r="I688" s="5">
        <v>44470</v>
      </c>
      <c r="J688" s="6">
        <v>0</v>
      </c>
      <c r="K688" s="6">
        <v>0</v>
      </c>
      <c r="L688" s="6">
        <v>173.85</v>
      </c>
      <c r="M688" s="6">
        <v>173.85</v>
      </c>
      <c r="N688" s="6">
        <v>173.85</v>
      </c>
      <c r="O688" s="6">
        <v>173.85</v>
      </c>
      <c r="P688" s="6">
        <v>44</v>
      </c>
      <c r="Q688" s="4" t="s">
        <v>26</v>
      </c>
      <c r="R688" s="4">
        <v>0</v>
      </c>
      <c r="S688" s="6">
        <v>0</v>
      </c>
      <c r="T688" s="6">
        <v>5</v>
      </c>
      <c r="U688" s="6">
        <v>42</v>
      </c>
      <c r="V688" s="6">
        <f>IF(ISERROR(VLOOKUP($S$688,'TAR FIN'!$A$1:$O$85,15,0)),0,VLOOKUP($S$688,'TAR FIN'!$A$1:$O$85,15,0))</f>
        <v>0</v>
      </c>
      <c r="W688" s="6">
        <f>IF(ISERROR(VLOOKUP($T$688,'TAR FIN'!$A$1:$O$85,15,0)),0,VLOOKUP($T$688,'TAR FIN'!$A$1:$O$85,15,0))</f>
        <v>264.06</v>
      </c>
      <c r="X688" s="6">
        <f>IF(ISERROR(VLOOKUP($U$688,'TAR FIN'!$A$1:$O$85,15,0)),0,VLOOKUP($U$688,'TAR FIN'!$A$1:$O$85,15,0))</f>
        <v>134.22999999999999</v>
      </c>
      <c r="Y688" s="6"/>
      <c r="Z688" s="6">
        <f ca="1">('TUSD BE'!$AM$51+'TUSD BF'!$AM$51+'TUSD CVA'!$AM$51)*1</f>
        <v>296.6352817496919</v>
      </c>
      <c r="AA688" s="6">
        <f>('TE BE'!$AA$41+'TE BF'!$AA$41+'TE CVA'!$AA$41)*1</f>
        <v>130.57763952373733</v>
      </c>
      <c r="AB688" s="6">
        <f>$K$688*$V$688</f>
        <v>0</v>
      </c>
      <c r="AC688" s="6">
        <f>$M$688*$W$688</f>
        <v>45906.830999999998</v>
      </c>
      <c r="AD688" s="6">
        <f>$O$688*$X$688</f>
        <v>23335.885499999997</v>
      </c>
      <c r="AE688" s="6">
        <f>$K$688*$Y$688</f>
        <v>0</v>
      </c>
      <c r="AF688" s="6">
        <f ca="1">$M$688*$Z$688</f>
        <v>51570.043732183934</v>
      </c>
      <c r="AG688" s="6">
        <f>$O$688*$AA$688</f>
        <v>22700.922631201734</v>
      </c>
    </row>
    <row r="689" spans="1:33" ht="11.25" customHeight="1" x14ac:dyDescent="0.25">
      <c r="A689" s="4" t="s">
        <v>21</v>
      </c>
      <c r="B689" s="4" t="s">
        <v>44</v>
      </c>
      <c r="C689" s="4" t="s">
        <v>23</v>
      </c>
      <c r="D689" s="4" t="s">
        <v>45</v>
      </c>
      <c r="E689" s="4" t="s">
        <v>47</v>
      </c>
      <c r="F689" s="4" t="s">
        <v>25</v>
      </c>
      <c r="G689" s="4" t="s">
        <v>25</v>
      </c>
      <c r="H689" s="4" t="s">
        <v>25</v>
      </c>
      <c r="I689" s="5">
        <v>44501</v>
      </c>
      <c r="J689" s="6">
        <v>0</v>
      </c>
      <c r="K689" s="6">
        <v>0</v>
      </c>
      <c r="L689" s="6">
        <v>169.73500000000001</v>
      </c>
      <c r="M689" s="6">
        <v>169.73500000000001</v>
      </c>
      <c r="N689" s="6">
        <v>169.73500000000001</v>
      </c>
      <c r="O689" s="6">
        <v>169.73500000000001</v>
      </c>
      <c r="P689" s="6">
        <v>44</v>
      </c>
      <c r="Q689" s="4" t="s">
        <v>26</v>
      </c>
      <c r="R689" s="4">
        <v>0</v>
      </c>
      <c r="S689" s="6">
        <v>0</v>
      </c>
      <c r="T689" s="6">
        <v>5</v>
      </c>
      <c r="U689" s="6">
        <v>42</v>
      </c>
      <c r="V689" s="6">
        <f>IF(ISERROR(VLOOKUP($S$689,'TAR FIN'!$A$1:$O$85,15,0)),0,VLOOKUP($S$689,'TAR FIN'!$A$1:$O$85,15,0))</f>
        <v>0</v>
      </c>
      <c r="W689" s="6">
        <f>IF(ISERROR(VLOOKUP($T$689,'TAR FIN'!$A$1:$O$85,15,0)),0,VLOOKUP($T$689,'TAR FIN'!$A$1:$O$85,15,0))</f>
        <v>264.06</v>
      </c>
      <c r="X689" s="6">
        <f>IF(ISERROR(VLOOKUP($U$689,'TAR FIN'!$A$1:$O$85,15,0)),0,VLOOKUP($U$689,'TAR FIN'!$A$1:$O$85,15,0))</f>
        <v>134.22999999999999</v>
      </c>
      <c r="Y689" s="6"/>
      <c r="Z689" s="6">
        <f ca="1">('TUSD BE'!$AM$51+'TUSD BF'!$AM$51+'TUSD CVA'!$AM$51)*1</f>
        <v>296.6352817496919</v>
      </c>
      <c r="AA689" s="6">
        <f>('TE BE'!$AA$41+'TE BF'!$AA$41+'TE CVA'!$AA$41)*1</f>
        <v>130.57763952373733</v>
      </c>
      <c r="AB689" s="6">
        <f>$K$689*$V$689</f>
        <v>0</v>
      </c>
      <c r="AC689" s="6">
        <f>$M$689*$W$689</f>
        <v>44820.224100000007</v>
      </c>
      <c r="AD689" s="6">
        <f>$O$689*$X$689</f>
        <v>22783.529050000001</v>
      </c>
      <c r="AE689" s="6">
        <f>$K$689*$Y$689</f>
        <v>0</v>
      </c>
      <c r="AF689" s="6">
        <f ca="1">$M$689*$Z$689</f>
        <v>50349.389547783961</v>
      </c>
      <c r="AG689" s="6">
        <f>$O$689*$AA$689</f>
        <v>22163.595644561559</v>
      </c>
    </row>
    <row r="690" spans="1:33" ht="11.25" customHeight="1" x14ac:dyDescent="0.25">
      <c r="A690" s="4" t="s">
        <v>21</v>
      </c>
      <c r="B690" s="4" t="s">
        <v>44</v>
      </c>
      <c r="C690" s="4" t="s">
        <v>23</v>
      </c>
      <c r="D690" s="4" t="s">
        <v>45</v>
      </c>
      <c r="E690" s="4" t="s">
        <v>47</v>
      </c>
      <c r="F690" s="4" t="s">
        <v>25</v>
      </c>
      <c r="G690" s="4" t="s">
        <v>25</v>
      </c>
      <c r="H690" s="4" t="s">
        <v>25</v>
      </c>
      <c r="I690" s="5">
        <v>44531</v>
      </c>
      <c r="J690" s="6">
        <v>0</v>
      </c>
      <c r="K690" s="6">
        <v>0</v>
      </c>
      <c r="L690" s="6">
        <v>159.703</v>
      </c>
      <c r="M690" s="6">
        <v>159.703</v>
      </c>
      <c r="N690" s="6">
        <v>159.703</v>
      </c>
      <c r="O690" s="6">
        <v>159.703</v>
      </c>
      <c r="P690" s="6">
        <v>44</v>
      </c>
      <c r="Q690" s="4" t="s">
        <v>26</v>
      </c>
      <c r="R690" s="4">
        <v>0</v>
      </c>
      <c r="S690" s="6">
        <v>0</v>
      </c>
      <c r="T690" s="6">
        <v>5</v>
      </c>
      <c r="U690" s="6">
        <v>42</v>
      </c>
      <c r="V690" s="6">
        <f>IF(ISERROR(VLOOKUP($S$690,'TAR FIN'!$A$1:$O$85,15,0)),0,VLOOKUP($S$690,'TAR FIN'!$A$1:$O$85,15,0))</f>
        <v>0</v>
      </c>
      <c r="W690" s="6">
        <f>IF(ISERROR(VLOOKUP($T$690,'TAR FIN'!$A$1:$O$85,15,0)),0,VLOOKUP($T$690,'TAR FIN'!$A$1:$O$85,15,0))</f>
        <v>264.06</v>
      </c>
      <c r="X690" s="6">
        <f>IF(ISERROR(VLOOKUP($U$690,'TAR FIN'!$A$1:$O$85,15,0)),0,VLOOKUP($U$690,'TAR FIN'!$A$1:$O$85,15,0))</f>
        <v>134.22999999999999</v>
      </c>
      <c r="Y690" s="6"/>
      <c r="Z690" s="6">
        <f ca="1">('TUSD BE'!$AM$51+'TUSD BF'!$AM$51+'TUSD CVA'!$AM$51)*1</f>
        <v>296.6352817496919</v>
      </c>
      <c r="AA690" s="6">
        <f>('TE BE'!$AA$41+'TE BF'!$AA$41+'TE CVA'!$AA$41)*1</f>
        <v>130.57763952373733</v>
      </c>
      <c r="AB690" s="6">
        <f>$K$690*$V$690</f>
        <v>0</v>
      </c>
      <c r="AC690" s="6">
        <f>$M$690*$W$690</f>
        <v>42171.174180000002</v>
      </c>
      <c r="AD690" s="6">
        <f>$O$690*$X$690</f>
        <v>21436.933689999998</v>
      </c>
      <c r="AE690" s="6">
        <f>$K$690*$Y$690</f>
        <v>0</v>
      </c>
      <c r="AF690" s="6">
        <f ca="1">$M$690*$Z$690</f>
        <v>47373.544401271043</v>
      </c>
      <c r="AG690" s="6">
        <f>$O$690*$AA$690</f>
        <v>20853.640764859425</v>
      </c>
    </row>
    <row r="691" spans="1:33" ht="11.25" customHeight="1" x14ac:dyDescent="0.25">
      <c r="A691" s="4" t="s">
        <v>21</v>
      </c>
      <c r="B691" s="4" t="s">
        <v>44</v>
      </c>
      <c r="C691" s="4" t="s">
        <v>23</v>
      </c>
      <c r="D691" s="4" t="s">
        <v>45</v>
      </c>
      <c r="E691" s="4" t="s">
        <v>47</v>
      </c>
      <c r="F691" s="4" t="s">
        <v>25</v>
      </c>
      <c r="G691" s="4" t="s">
        <v>25</v>
      </c>
      <c r="H691" s="4" t="s">
        <v>25</v>
      </c>
      <c r="I691" s="5">
        <v>44562</v>
      </c>
      <c r="J691" s="6">
        <v>0</v>
      </c>
      <c r="K691" s="6">
        <v>0</v>
      </c>
      <c r="L691" s="6">
        <v>167.80500000000001</v>
      </c>
      <c r="M691" s="6">
        <v>167.80500000000001</v>
      </c>
      <c r="N691" s="6">
        <v>167.80500000000001</v>
      </c>
      <c r="O691" s="6">
        <v>167.80500000000001</v>
      </c>
      <c r="P691" s="6">
        <v>44</v>
      </c>
      <c r="Q691" s="4" t="s">
        <v>26</v>
      </c>
      <c r="R691" s="4">
        <v>0</v>
      </c>
      <c r="S691" s="6">
        <v>0</v>
      </c>
      <c r="T691" s="6">
        <v>5</v>
      </c>
      <c r="U691" s="6">
        <v>42</v>
      </c>
      <c r="V691" s="6">
        <f>IF(ISERROR(VLOOKUP($S$691,'TAR FIN'!$A$1:$O$85,15,0)),0,VLOOKUP($S$691,'TAR FIN'!$A$1:$O$85,15,0))</f>
        <v>0</v>
      </c>
      <c r="W691" s="6">
        <f>IF(ISERROR(VLOOKUP($T$691,'TAR FIN'!$A$1:$O$85,15,0)),0,VLOOKUP($T$691,'TAR FIN'!$A$1:$O$85,15,0))</f>
        <v>264.06</v>
      </c>
      <c r="X691" s="6">
        <f>IF(ISERROR(VLOOKUP($U$691,'TAR FIN'!$A$1:$O$85,15,0)),0,VLOOKUP($U$691,'TAR FIN'!$A$1:$O$85,15,0))</f>
        <v>134.22999999999999</v>
      </c>
      <c r="Y691" s="6"/>
      <c r="Z691" s="6">
        <f ca="1">('TUSD BE'!$AM$51+'TUSD BF'!$AM$51+'TUSD CVA'!$AM$51)*1</f>
        <v>296.6352817496919</v>
      </c>
      <c r="AA691" s="6">
        <f>('TE BE'!$AA$41+'TE BF'!$AA$41+'TE CVA'!$AA$41)*1</f>
        <v>130.57763952373733</v>
      </c>
      <c r="AB691" s="6">
        <f>$K$691*$V$691</f>
        <v>0</v>
      </c>
      <c r="AC691" s="6">
        <f>$M$691*$W$691</f>
        <v>44310.588300000003</v>
      </c>
      <c r="AD691" s="6">
        <f>$O$691*$X$691</f>
        <v>22524.46515</v>
      </c>
      <c r="AE691" s="6">
        <f>$K$691*$Y$691</f>
        <v>0</v>
      </c>
      <c r="AF691" s="6">
        <f ca="1">$M$691*$Z$691</f>
        <v>49776.883454007053</v>
      </c>
      <c r="AG691" s="6">
        <f>$O$691*$AA$691</f>
        <v>21911.580800280743</v>
      </c>
    </row>
    <row r="692" spans="1:33" ht="11.25" customHeight="1" x14ac:dyDescent="0.25">
      <c r="A692" s="4" t="s">
        <v>21</v>
      </c>
      <c r="B692" s="4" t="s">
        <v>44</v>
      </c>
      <c r="C692" s="4" t="s">
        <v>23</v>
      </c>
      <c r="D692" s="4" t="s">
        <v>45</v>
      </c>
      <c r="E692" s="4" t="s">
        <v>47</v>
      </c>
      <c r="F692" s="4" t="s">
        <v>25</v>
      </c>
      <c r="G692" s="4" t="s">
        <v>25</v>
      </c>
      <c r="H692" s="4" t="s">
        <v>25</v>
      </c>
      <c r="I692" s="5">
        <v>44593</v>
      </c>
      <c r="J692" s="6">
        <v>0</v>
      </c>
      <c r="K692" s="6">
        <v>0</v>
      </c>
      <c r="L692" s="6">
        <v>176.07</v>
      </c>
      <c r="M692" s="6">
        <v>176.07</v>
      </c>
      <c r="N692" s="6">
        <v>176.07</v>
      </c>
      <c r="O692" s="6">
        <v>176.07</v>
      </c>
      <c r="P692" s="6">
        <v>44</v>
      </c>
      <c r="Q692" s="4" t="s">
        <v>26</v>
      </c>
      <c r="R692" s="4">
        <v>0</v>
      </c>
      <c r="S692" s="6">
        <v>0</v>
      </c>
      <c r="T692" s="6">
        <v>5</v>
      </c>
      <c r="U692" s="6">
        <v>42</v>
      </c>
      <c r="V692" s="6">
        <f>IF(ISERROR(VLOOKUP($S$692,'TAR FIN'!$A$1:$O$85,15,0)),0,VLOOKUP($S$692,'TAR FIN'!$A$1:$O$85,15,0))</f>
        <v>0</v>
      </c>
      <c r="W692" s="6">
        <f>IF(ISERROR(VLOOKUP($T$692,'TAR FIN'!$A$1:$O$85,15,0)),0,VLOOKUP($T$692,'TAR FIN'!$A$1:$O$85,15,0))</f>
        <v>264.06</v>
      </c>
      <c r="X692" s="6">
        <f>IF(ISERROR(VLOOKUP($U$692,'TAR FIN'!$A$1:$O$85,15,0)),0,VLOOKUP($U$692,'TAR FIN'!$A$1:$O$85,15,0))</f>
        <v>134.22999999999999</v>
      </c>
      <c r="Y692" s="6"/>
      <c r="Z692" s="6">
        <f ca="1">('TUSD BE'!$AM$51+'TUSD BF'!$AM$51+'TUSD CVA'!$AM$51)*1</f>
        <v>296.6352817496919</v>
      </c>
      <c r="AA692" s="6">
        <f>('TE BE'!$AA$41+'TE BF'!$AA$41+'TE CVA'!$AA$41)*1</f>
        <v>130.57763952373733</v>
      </c>
      <c r="AB692" s="6">
        <f>$K$692*$V$692</f>
        <v>0</v>
      </c>
      <c r="AC692" s="6">
        <f>$M$692*$W$692</f>
        <v>46493.044199999997</v>
      </c>
      <c r="AD692" s="6">
        <f>$O$692*$X$692</f>
        <v>23633.876099999998</v>
      </c>
      <c r="AE692" s="6">
        <f>$K$692*$Y$692</f>
        <v>0</v>
      </c>
      <c r="AF692" s="6">
        <f ca="1">$M$692*$Z$692</f>
        <v>52228.574057668251</v>
      </c>
      <c r="AG692" s="6">
        <f>$O$692*$AA$692</f>
        <v>22990.804990944431</v>
      </c>
    </row>
    <row r="693" spans="1:33" ht="11.25" customHeight="1" x14ac:dyDescent="0.25">
      <c r="A693" s="4" t="s">
        <v>54</v>
      </c>
      <c r="B693" s="4" t="s">
        <v>44</v>
      </c>
      <c r="C693" s="4" t="s">
        <v>23</v>
      </c>
      <c r="D693" s="4" t="s">
        <v>45</v>
      </c>
      <c r="E693" s="4" t="s">
        <v>47</v>
      </c>
      <c r="F693" s="4" t="s">
        <v>25</v>
      </c>
      <c r="G693" s="4" t="s">
        <v>25</v>
      </c>
      <c r="H693" s="4" t="s">
        <v>25</v>
      </c>
      <c r="I693" s="5">
        <v>44621</v>
      </c>
      <c r="J693" s="6">
        <v>0</v>
      </c>
      <c r="K693" s="6">
        <v>0</v>
      </c>
      <c r="L693" s="6">
        <v>176.07</v>
      </c>
      <c r="M693" s="6">
        <v>176.07</v>
      </c>
      <c r="N693" s="6">
        <v>176.07</v>
      </c>
      <c r="O693" s="6">
        <v>176.07</v>
      </c>
      <c r="P693" s="6">
        <v>44</v>
      </c>
      <c r="Q693" s="4" t="s">
        <v>26</v>
      </c>
      <c r="R693" s="4">
        <v>0</v>
      </c>
      <c r="S693" s="6">
        <v>0</v>
      </c>
      <c r="T693" s="6">
        <v>5</v>
      </c>
      <c r="U693" s="6">
        <v>42</v>
      </c>
      <c r="V693" s="6">
        <f>IF(ISERROR(VLOOKUP($S$693,'TAR FIN'!$A$1:$O$85,15,0)),0,VLOOKUP($S$693,'TAR FIN'!$A$1:$O$85,15,0))</f>
        <v>0</v>
      </c>
      <c r="W693" s="6">
        <f>IF(ISERROR(VLOOKUP($T$693,'TAR FIN'!$A$1:$O$85,15,0)),0,VLOOKUP($T$693,'TAR FIN'!$A$1:$O$85,15,0))</f>
        <v>264.06</v>
      </c>
      <c r="X693" s="6">
        <f>IF(ISERROR(VLOOKUP($U$693,'TAR FIN'!$A$1:$O$85,15,0)),0,VLOOKUP($U$693,'TAR FIN'!$A$1:$O$85,15,0))</f>
        <v>134.22999999999999</v>
      </c>
      <c r="Y693" s="6"/>
      <c r="Z693" s="6">
        <f ca="1">('TUSD BE'!$AM$51+'TUSD BF'!$AM$51+'TUSD CVA'!$AM$51)*1</f>
        <v>296.6352817496919</v>
      </c>
      <c r="AA693" s="6">
        <f>('TE BE'!$AA$41+'TE BF'!$AA$41+'TE CVA'!$AA$41)*1</f>
        <v>130.57763952373733</v>
      </c>
      <c r="AB693" s="6">
        <f>$K$693*$V$693</f>
        <v>0</v>
      </c>
      <c r="AC693" s="6">
        <f>$M$693*$W$693</f>
        <v>46493.044199999997</v>
      </c>
      <c r="AD693" s="6">
        <f>$O$693*$X$693</f>
        <v>23633.876099999998</v>
      </c>
      <c r="AE693" s="6">
        <f>$K$693*$Y$693</f>
        <v>0</v>
      </c>
      <c r="AF693" s="6">
        <f ca="1">$M$693*$Z$693</f>
        <v>52228.574057668251</v>
      </c>
      <c r="AG693" s="6">
        <f>$O$693*$AA$693</f>
        <v>22990.804990944431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752D9-F117-48D0-BC8B-B06990D32957}">
  <sheetPr codeName="Planilha17"/>
  <dimension ref="A1:AJ694"/>
  <sheetViews>
    <sheetView showGridLines="0" topLeftCell="AF1" workbookViewId="0">
      <selection activeCell="AJ14" sqref="AJ14"/>
    </sheetView>
  </sheetViews>
  <sheetFormatPr defaultColWidth="9.140625"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5" width="10" style="4" bestFit="1" customWidth="1"/>
    <col min="36" max="36" width="10.85546875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526</v>
      </c>
      <c r="W1" s="1" t="s">
        <v>527</v>
      </c>
      <c r="X1" s="1" t="s">
        <v>528</v>
      </c>
      <c r="Y1" s="1" t="s">
        <v>529</v>
      </c>
      <c r="Z1" s="1" t="s">
        <v>530</v>
      </c>
      <c r="AA1" s="1" t="s">
        <v>531</v>
      </c>
      <c r="AB1" s="1" t="s">
        <v>557</v>
      </c>
      <c r="AC1" s="1" t="s">
        <v>558</v>
      </c>
      <c r="AD1" s="1" t="s">
        <v>559</v>
      </c>
      <c r="AE1" s="1" t="s">
        <v>560</v>
      </c>
      <c r="AF1" s="1" t="s">
        <v>561</v>
      </c>
      <c r="AH1" s="64" t="s">
        <v>561</v>
      </c>
      <c r="AI1" s="64" t="s">
        <v>567</v>
      </c>
      <c r="AJ1" s="64" t="s">
        <v>568</v>
      </c>
    </row>
    <row r="2" spans="1:36" ht="11.25" customHeight="1" x14ac:dyDescent="0.25">
      <c r="A2" s="4" t="s">
        <v>21</v>
      </c>
      <c r="B2" s="4" t="s">
        <v>33</v>
      </c>
      <c r="C2" s="4" t="s">
        <v>34</v>
      </c>
      <c r="D2" s="4" t="s">
        <v>38</v>
      </c>
      <c r="E2" s="4" t="s">
        <v>25</v>
      </c>
      <c r="F2" s="4" t="s">
        <v>55</v>
      </c>
      <c r="G2" s="4" t="s">
        <v>25</v>
      </c>
      <c r="H2" s="4" t="s">
        <v>36</v>
      </c>
      <c r="I2" s="5">
        <v>44287</v>
      </c>
      <c r="J2" s="6">
        <v>0</v>
      </c>
      <c r="K2" s="6">
        <v>0</v>
      </c>
      <c r="L2" s="6">
        <v>183.053</v>
      </c>
      <c r="M2" s="6">
        <v>91.526499999999999</v>
      </c>
      <c r="N2" s="6">
        <v>0</v>
      </c>
      <c r="O2" s="6">
        <v>0</v>
      </c>
      <c r="P2" s="6">
        <v>0</v>
      </c>
      <c r="Q2" s="4" t="s">
        <v>56</v>
      </c>
      <c r="R2" s="4">
        <v>0</v>
      </c>
      <c r="S2" s="4">
        <v>0</v>
      </c>
      <c r="T2" s="4">
        <v>47</v>
      </c>
      <c r="U2" s="4">
        <v>0</v>
      </c>
      <c r="V2" s="6">
        <f>IF(ISERROR(VLOOKUP($S$2,'TAR FIN'!$A$1:$O$85,15,0)),0,VLOOKUP($S$2,'TAR FIN'!$A$1:$O$85,15,0))</f>
        <v>0</v>
      </c>
      <c r="W2" s="6">
        <f>IF(ISERROR(VLOOKUP($T$2,'TAR FIN'!$A$1:$O$85,15,0)),0,VLOOKUP($T$2,'TAR FIN'!$A$1:$O$85,15,0))</f>
        <v>72.23</v>
      </c>
      <c r="X2" s="6">
        <f>IF(ISERROR(VLOOKUP($U$2,'TAR FIN'!$A$1:$O$85,15,0)),0,VLOOKUP($U$2,'TAR FIN'!$A$1:$O$85,15,0))</f>
        <v>0</v>
      </c>
      <c r="Y2" s="6"/>
      <c r="Z2" s="6">
        <f ca="1">('TUSD BE'!$AM$12+'TUSD BF'!$AM$12+'TUSD CVA'!$AM$12)*1</f>
        <v>103.30505917577378</v>
      </c>
      <c r="AA2" s="6"/>
      <c r="AB2" s="6">
        <f t="shared" ref="AB2:AB49" si="0">(J2-K2)*V2</f>
        <v>0</v>
      </c>
      <c r="AC2" s="6">
        <f t="shared" ref="AC2:AC33" si="1">(L2-M2)*W2+(N2-O2)*X2</f>
        <v>6610.9590950000002</v>
      </c>
      <c r="AD2" s="6">
        <f t="shared" ref="AD2:AD49" si="2">(J2-K2)*Y2</f>
        <v>0</v>
      </c>
      <c r="AE2" s="6">
        <f t="shared" ref="AE2:AE33" ca="1" si="3">(L2-M2)*Z2+(N2-O2)*AA2</f>
        <v>9455.1504986514592</v>
      </c>
      <c r="AF2" s="4" t="s">
        <v>562</v>
      </c>
      <c r="AH2" s="65" t="s">
        <v>562</v>
      </c>
      <c r="AI2" s="66">
        <f t="shared" ref="AI2:AI9" si="4">SUMIF($AF$2:$AF$694,AH2,$AB$2:$AB$694)+SUMIF($AF$2:$AF$694,AH2,$AC$2:$AC$694)</f>
        <v>2248119.47162</v>
      </c>
      <c r="AJ2" s="66">
        <f t="shared" ref="AJ2:AJ9" ca="1" si="5">SUMIF($AF$2:$AF$694,AH2,$AD$2:$AD$694)+SUMIF($AF$2:$AF$694,AH2,$AE$2:$AE$694)</f>
        <v>2478669.0463108639</v>
      </c>
    </row>
    <row r="3" spans="1:36" ht="11.25" customHeight="1" x14ac:dyDescent="0.25">
      <c r="A3" s="4" t="s">
        <v>21</v>
      </c>
      <c r="B3" s="4" t="s">
        <v>33</v>
      </c>
      <c r="C3" s="4" t="s">
        <v>34</v>
      </c>
      <c r="D3" s="4" t="s">
        <v>38</v>
      </c>
      <c r="E3" s="4" t="s">
        <v>25</v>
      </c>
      <c r="F3" s="4" t="s">
        <v>55</v>
      </c>
      <c r="G3" s="4" t="s">
        <v>25</v>
      </c>
      <c r="H3" s="4" t="s">
        <v>36</v>
      </c>
      <c r="I3" s="5">
        <v>44317</v>
      </c>
      <c r="J3" s="6">
        <v>0</v>
      </c>
      <c r="K3" s="6">
        <v>0</v>
      </c>
      <c r="L3" s="6">
        <v>167.06399999999999</v>
      </c>
      <c r="M3" s="6">
        <v>83.531999999999996</v>
      </c>
      <c r="N3" s="6">
        <v>0</v>
      </c>
      <c r="O3" s="6">
        <v>0</v>
      </c>
      <c r="P3" s="6">
        <v>0</v>
      </c>
      <c r="Q3" s="4" t="s">
        <v>56</v>
      </c>
      <c r="R3" s="4">
        <v>0</v>
      </c>
      <c r="S3" s="4">
        <v>0</v>
      </c>
      <c r="T3" s="4">
        <v>47</v>
      </c>
      <c r="U3" s="4">
        <v>0</v>
      </c>
      <c r="V3" s="6">
        <f>IF(ISERROR(VLOOKUP($S$3,'TAR FIN'!$A$1:$O$85,15,0)),0,VLOOKUP($S$3,'TAR FIN'!$A$1:$O$85,15,0))</f>
        <v>0</v>
      </c>
      <c r="W3" s="6">
        <f>IF(ISERROR(VLOOKUP($T$3,'TAR FIN'!$A$1:$O$85,15,0)),0,VLOOKUP($T$3,'TAR FIN'!$A$1:$O$85,15,0))</f>
        <v>72.23</v>
      </c>
      <c r="X3" s="6">
        <f>IF(ISERROR(VLOOKUP($U$3,'TAR FIN'!$A$1:$O$85,15,0)),0,VLOOKUP($U$3,'TAR FIN'!$A$1:$O$85,15,0))</f>
        <v>0</v>
      </c>
      <c r="Y3" s="6"/>
      <c r="Z3" s="6">
        <f ca="1">('TUSD BE'!$AM$12+'TUSD BF'!$AM$12+'TUSD CVA'!$AM$12)*1</f>
        <v>103.30505917577378</v>
      </c>
      <c r="AA3" s="6"/>
      <c r="AB3" s="6">
        <f t="shared" si="0"/>
        <v>0</v>
      </c>
      <c r="AC3" s="6">
        <f t="shared" si="1"/>
        <v>6033.5163600000005</v>
      </c>
      <c r="AD3" s="6">
        <f t="shared" si="2"/>
        <v>0</v>
      </c>
      <c r="AE3" s="6">
        <f t="shared" ca="1" si="3"/>
        <v>8629.2782030707349</v>
      </c>
      <c r="AF3" s="4" t="s">
        <v>562</v>
      </c>
      <c r="AH3" s="65" t="s">
        <v>569</v>
      </c>
      <c r="AI3" s="66">
        <f t="shared" si="4"/>
        <v>0</v>
      </c>
      <c r="AJ3" s="66">
        <f t="shared" si="5"/>
        <v>0</v>
      </c>
    </row>
    <row r="4" spans="1:36" ht="11.25" customHeight="1" x14ac:dyDescent="0.25">
      <c r="A4" s="4" t="s">
        <v>21</v>
      </c>
      <c r="B4" s="4" t="s">
        <v>33</v>
      </c>
      <c r="C4" s="4" t="s">
        <v>34</v>
      </c>
      <c r="D4" s="4" t="s">
        <v>38</v>
      </c>
      <c r="E4" s="4" t="s">
        <v>25</v>
      </c>
      <c r="F4" s="4" t="s">
        <v>55</v>
      </c>
      <c r="G4" s="4" t="s">
        <v>25</v>
      </c>
      <c r="H4" s="4" t="s">
        <v>36</v>
      </c>
      <c r="I4" s="5">
        <v>44348</v>
      </c>
      <c r="J4" s="6">
        <v>0</v>
      </c>
      <c r="K4" s="6">
        <v>0</v>
      </c>
      <c r="L4" s="6">
        <v>1205.672</v>
      </c>
      <c r="M4" s="6">
        <v>602.83600000000001</v>
      </c>
      <c r="N4" s="6">
        <v>0</v>
      </c>
      <c r="O4" s="6">
        <v>0</v>
      </c>
      <c r="P4" s="6">
        <v>0</v>
      </c>
      <c r="Q4" s="4" t="s">
        <v>56</v>
      </c>
      <c r="R4" s="4">
        <v>0</v>
      </c>
      <c r="S4" s="4">
        <v>0</v>
      </c>
      <c r="T4" s="4">
        <v>47</v>
      </c>
      <c r="U4" s="4">
        <v>0</v>
      </c>
      <c r="V4" s="6">
        <f>IF(ISERROR(VLOOKUP($S$4,'TAR FIN'!$A$1:$O$85,15,0)),0,VLOOKUP($S$4,'TAR FIN'!$A$1:$O$85,15,0))</f>
        <v>0</v>
      </c>
      <c r="W4" s="6">
        <f>IF(ISERROR(VLOOKUP($T$4,'TAR FIN'!$A$1:$O$85,15,0)),0,VLOOKUP($T$4,'TAR FIN'!$A$1:$O$85,15,0))</f>
        <v>72.23</v>
      </c>
      <c r="X4" s="6">
        <f>IF(ISERROR(VLOOKUP($U$4,'TAR FIN'!$A$1:$O$85,15,0)),0,VLOOKUP($U$4,'TAR FIN'!$A$1:$O$85,15,0))</f>
        <v>0</v>
      </c>
      <c r="Y4" s="6"/>
      <c r="Z4" s="6">
        <f ca="1">('TUSD BE'!$AM$12+'TUSD BF'!$AM$12+'TUSD CVA'!$AM$12)*1</f>
        <v>103.30505917577378</v>
      </c>
      <c r="AA4" s="6"/>
      <c r="AB4" s="6">
        <f t="shared" si="0"/>
        <v>0</v>
      </c>
      <c r="AC4" s="6">
        <f t="shared" si="1"/>
        <v>43542.844280000005</v>
      </c>
      <c r="AD4" s="6">
        <f t="shared" si="2"/>
        <v>0</v>
      </c>
      <c r="AE4" s="6">
        <f t="shared" ca="1" si="3"/>
        <v>62276.008653286764</v>
      </c>
      <c r="AF4" s="4" t="s">
        <v>562</v>
      </c>
      <c r="AH4" s="65" t="s">
        <v>570</v>
      </c>
      <c r="AI4" s="66">
        <f t="shared" si="4"/>
        <v>0</v>
      </c>
      <c r="AJ4" s="66">
        <f t="shared" si="5"/>
        <v>0</v>
      </c>
    </row>
    <row r="5" spans="1:36" ht="11.25" customHeight="1" x14ac:dyDescent="0.25">
      <c r="A5" s="4" t="s">
        <v>21</v>
      </c>
      <c r="B5" s="4" t="s">
        <v>33</v>
      </c>
      <c r="C5" s="4" t="s">
        <v>34</v>
      </c>
      <c r="D5" s="4" t="s">
        <v>38</v>
      </c>
      <c r="E5" s="4" t="s">
        <v>25</v>
      </c>
      <c r="F5" s="4" t="s">
        <v>55</v>
      </c>
      <c r="G5" s="4" t="s">
        <v>25</v>
      </c>
      <c r="H5" s="4" t="s">
        <v>36</v>
      </c>
      <c r="I5" s="5">
        <v>44378</v>
      </c>
      <c r="J5" s="6">
        <v>0</v>
      </c>
      <c r="K5" s="6">
        <v>0</v>
      </c>
      <c r="L5" s="6">
        <v>1782.691</v>
      </c>
      <c r="M5" s="6">
        <v>891.34550000000002</v>
      </c>
      <c r="N5" s="6">
        <v>0</v>
      </c>
      <c r="O5" s="6">
        <v>0</v>
      </c>
      <c r="P5" s="6">
        <v>0</v>
      </c>
      <c r="Q5" s="4" t="s">
        <v>56</v>
      </c>
      <c r="R5" s="4">
        <v>0</v>
      </c>
      <c r="S5" s="4">
        <v>0</v>
      </c>
      <c r="T5" s="4">
        <v>47</v>
      </c>
      <c r="U5" s="4">
        <v>0</v>
      </c>
      <c r="V5" s="6">
        <f>IF(ISERROR(VLOOKUP($S$5,'TAR FIN'!$A$1:$O$85,15,0)),0,VLOOKUP($S$5,'TAR FIN'!$A$1:$O$85,15,0))</f>
        <v>0</v>
      </c>
      <c r="W5" s="6">
        <f>IF(ISERROR(VLOOKUP($T$5,'TAR FIN'!$A$1:$O$85,15,0)),0,VLOOKUP($T$5,'TAR FIN'!$A$1:$O$85,15,0))</f>
        <v>72.23</v>
      </c>
      <c r="X5" s="6">
        <f>IF(ISERROR(VLOOKUP($U$5,'TAR FIN'!$A$1:$O$85,15,0)),0,VLOOKUP($U$5,'TAR FIN'!$A$1:$O$85,15,0))</f>
        <v>0</v>
      </c>
      <c r="Y5" s="6"/>
      <c r="Z5" s="6">
        <f ca="1">('TUSD BE'!$AM$12+'TUSD BF'!$AM$12+'TUSD CVA'!$AM$12)*1</f>
        <v>103.30505917577378</v>
      </c>
      <c r="AA5" s="6"/>
      <c r="AB5" s="6">
        <f t="shared" si="0"/>
        <v>0</v>
      </c>
      <c r="AC5" s="6">
        <f t="shared" si="1"/>
        <v>64381.885465000007</v>
      </c>
      <c r="AD5" s="6">
        <f t="shared" si="2"/>
        <v>0</v>
      </c>
      <c r="AE5" s="6">
        <f t="shared" ca="1" si="3"/>
        <v>92080.499623559663</v>
      </c>
      <c r="AF5" s="4" t="s">
        <v>562</v>
      </c>
      <c r="AH5" s="65" t="s">
        <v>565</v>
      </c>
      <c r="AI5" s="66">
        <f t="shared" si="4"/>
        <v>79288.323803399995</v>
      </c>
      <c r="AJ5" s="66">
        <f t="shared" ca="1" si="5"/>
        <v>42193.513220188892</v>
      </c>
    </row>
    <row r="6" spans="1:36" ht="11.25" customHeight="1" x14ac:dyDescent="0.25">
      <c r="A6" s="4" t="s">
        <v>21</v>
      </c>
      <c r="B6" s="4" t="s">
        <v>33</v>
      </c>
      <c r="C6" s="4" t="s">
        <v>34</v>
      </c>
      <c r="D6" s="4" t="s">
        <v>38</v>
      </c>
      <c r="E6" s="4" t="s">
        <v>25</v>
      </c>
      <c r="F6" s="4" t="s">
        <v>55</v>
      </c>
      <c r="G6" s="4" t="s">
        <v>25</v>
      </c>
      <c r="H6" s="4" t="s">
        <v>36</v>
      </c>
      <c r="I6" s="5">
        <v>44409</v>
      </c>
      <c r="J6" s="6">
        <v>0</v>
      </c>
      <c r="K6" s="6">
        <v>0</v>
      </c>
      <c r="L6" s="6">
        <v>1376.5740000000001</v>
      </c>
      <c r="M6" s="6">
        <v>688.28700000000003</v>
      </c>
      <c r="N6" s="6">
        <v>0</v>
      </c>
      <c r="O6" s="6">
        <v>0</v>
      </c>
      <c r="P6" s="6">
        <v>0</v>
      </c>
      <c r="Q6" s="4" t="s">
        <v>56</v>
      </c>
      <c r="R6" s="4">
        <v>0</v>
      </c>
      <c r="S6" s="4">
        <v>0</v>
      </c>
      <c r="T6" s="4">
        <v>47</v>
      </c>
      <c r="U6" s="4">
        <v>0</v>
      </c>
      <c r="V6" s="6">
        <f>IF(ISERROR(VLOOKUP($S$6,'TAR FIN'!$A$1:$O$85,15,0)),0,VLOOKUP($S$6,'TAR FIN'!$A$1:$O$85,15,0))</f>
        <v>0</v>
      </c>
      <c r="W6" s="6">
        <f>IF(ISERROR(VLOOKUP($T$6,'TAR FIN'!$A$1:$O$85,15,0)),0,VLOOKUP($T$6,'TAR FIN'!$A$1:$O$85,15,0))</f>
        <v>72.23</v>
      </c>
      <c r="X6" s="6">
        <f>IF(ISERROR(VLOOKUP($U$6,'TAR FIN'!$A$1:$O$85,15,0)),0,VLOOKUP($U$6,'TAR FIN'!$A$1:$O$85,15,0))</f>
        <v>0</v>
      </c>
      <c r="Y6" s="6"/>
      <c r="Z6" s="6">
        <f ca="1">('TUSD BE'!$AM$12+'TUSD BF'!$AM$12+'TUSD CVA'!$AM$12)*1</f>
        <v>103.30505917577378</v>
      </c>
      <c r="AA6" s="6"/>
      <c r="AB6" s="6">
        <f t="shared" si="0"/>
        <v>0</v>
      </c>
      <c r="AC6" s="6">
        <f t="shared" si="1"/>
        <v>49714.970010000005</v>
      </c>
      <c r="AD6" s="6">
        <f t="shared" si="2"/>
        <v>0</v>
      </c>
      <c r="AE6" s="6">
        <f t="shared" ca="1" si="3"/>
        <v>71103.529264915807</v>
      </c>
      <c r="AF6" s="4" t="s">
        <v>562</v>
      </c>
      <c r="AH6" s="65" t="s">
        <v>563</v>
      </c>
      <c r="AI6" s="66">
        <f t="shared" si="4"/>
        <v>4696561.0341920005</v>
      </c>
      <c r="AJ6" s="66">
        <f t="shared" ca="1" si="5"/>
        <v>2511551.4033858357</v>
      </c>
    </row>
    <row r="7" spans="1:36" ht="11.25" customHeight="1" x14ac:dyDescent="0.25">
      <c r="A7" s="4" t="s">
        <v>21</v>
      </c>
      <c r="B7" s="4" t="s">
        <v>33</v>
      </c>
      <c r="C7" s="4" t="s">
        <v>34</v>
      </c>
      <c r="D7" s="4" t="s">
        <v>38</v>
      </c>
      <c r="E7" s="4" t="s">
        <v>25</v>
      </c>
      <c r="F7" s="4" t="s">
        <v>55</v>
      </c>
      <c r="G7" s="4" t="s">
        <v>25</v>
      </c>
      <c r="H7" s="4" t="s">
        <v>36</v>
      </c>
      <c r="I7" s="5">
        <v>44440</v>
      </c>
      <c r="J7" s="6">
        <v>0</v>
      </c>
      <c r="K7" s="6">
        <v>0</v>
      </c>
      <c r="L7" s="6">
        <v>891.61500000000001</v>
      </c>
      <c r="M7" s="6">
        <v>445.8075</v>
      </c>
      <c r="N7" s="6">
        <v>0</v>
      </c>
      <c r="O7" s="6">
        <v>0</v>
      </c>
      <c r="P7" s="6">
        <v>0</v>
      </c>
      <c r="Q7" s="4" t="s">
        <v>56</v>
      </c>
      <c r="R7" s="4">
        <v>0</v>
      </c>
      <c r="S7" s="4">
        <v>0</v>
      </c>
      <c r="T7" s="4">
        <v>47</v>
      </c>
      <c r="U7" s="4">
        <v>0</v>
      </c>
      <c r="V7" s="6">
        <f>IF(ISERROR(VLOOKUP($S$7,'TAR FIN'!$A$1:$O$85,15,0)),0,VLOOKUP($S$7,'TAR FIN'!$A$1:$O$85,15,0))</f>
        <v>0</v>
      </c>
      <c r="W7" s="6">
        <f>IF(ISERROR(VLOOKUP($T$7,'TAR FIN'!$A$1:$O$85,15,0)),0,VLOOKUP($T$7,'TAR FIN'!$A$1:$O$85,15,0))</f>
        <v>72.23</v>
      </c>
      <c r="X7" s="6">
        <f>IF(ISERROR(VLOOKUP($U$7,'TAR FIN'!$A$1:$O$85,15,0)),0,VLOOKUP($U$7,'TAR FIN'!$A$1:$O$85,15,0))</f>
        <v>0</v>
      </c>
      <c r="Y7" s="6"/>
      <c r="Z7" s="6">
        <f ca="1">('TUSD BE'!$AM$12+'TUSD BF'!$AM$12+'TUSD CVA'!$AM$12)*1</f>
        <v>103.30505917577378</v>
      </c>
      <c r="AA7" s="6"/>
      <c r="AB7" s="6">
        <f t="shared" si="0"/>
        <v>0</v>
      </c>
      <c r="AC7" s="6">
        <f t="shared" si="1"/>
        <v>32200.675725000001</v>
      </c>
      <c r="AD7" s="6">
        <f t="shared" si="2"/>
        <v>0</v>
      </c>
      <c r="AE7" s="6">
        <f t="shared" ca="1" si="3"/>
        <v>46054.17016850377</v>
      </c>
      <c r="AF7" s="4" t="s">
        <v>562</v>
      </c>
      <c r="AH7" s="65" t="s">
        <v>564</v>
      </c>
      <c r="AI7" s="66">
        <f t="shared" si="4"/>
        <v>9521549.4194660001</v>
      </c>
      <c r="AJ7" s="66">
        <f t="shared" ca="1" si="5"/>
        <v>10109814.194152657</v>
      </c>
    </row>
    <row r="8" spans="1:36" ht="11.25" customHeight="1" x14ac:dyDescent="0.25">
      <c r="A8" s="4" t="s">
        <v>21</v>
      </c>
      <c r="B8" s="4" t="s">
        <v>33</v>
      </c>
      <c r="C8" s="4" t="s">
        <v>34</v>
      </c>
      <c r="D8" s="4" t="s">
        <v>38</v>
      </c>
      <c r="E8" s="4" t="s">
        <v>25</v>
      </c>
      <c r="F8" s="4" t="s">
        <v>55</v>
      </c>
      <c r="G8" s="4" t="s">
        <v>25</v>
      </c>
      <c r="H8" s="4" t="s">
        <v>36</v>
      </c>
      <c r="I8" s="5">
        <v>44470</v>
      </c>
      <c r="J8" s="6">
        <v>0</v>
      </c>
      <c r="K8" s="6">
        <v>0</v>
      </c>
      <c r="L8" s="6">
        <v>730.61900000000003</v>
      </c>
      <c r="M8" s="6">
        <v>365.30950000000001</v>
      </c>
      <c r="N8" s="6">
        <v>0</v>
      </c>
      <c r="O8" s="6">
        <v>0</v>
      </c>
      <c r="P8" s="6">
        <v>0</v>
      </c>
      <c r="Q8" s="4" t="s">
        <v>56</v>
      </c>
      <c r="R8" s="4">
        <v>0</v>
      </c>
      <c r="S8" s="4">
        <v>0</v>
      </c>
      <c r="T8" s="4">
        <v>47</v>
      </c>
      <c r="U8" s="4">
        <v>0</v>
      </c>
      <c r="V8" s="6">
        <f>IF(ISERROR(VLOOKUP($S$8,'TAR FIN'!$A$1:$O$85,15,0)),0,VLOOKUP($S$8,'TAR FIN'!$A$1:$O$85,15,0))</f>
        <v>0</v>
      </c>
      <c r="W8" s="6">
        <f>IF(ISERROR(VLOOKUP($T$8,'TAR FIN'!$A$1:$O$85,15,0)),0,VLOOKUP($T$8,'TAR FIN'!$A$1:$O$85,15,0))</f>
        <v>72.23</v>
      </c>
      <c r="X8" s="6">
        <f>IF(ISERROR(VLOOKUP($U$8,'TAR FIN'!$A$1:$O$85,15,0)),0,VLOOKUP($U$8,'TAR FIN'!$A$1:$O$85,15,0))</f>
        <v>0</v>
      </c>
      <c r="Y8" s="6"/>
      <c r="Z8" s="6">
        <f ca="1">('TUSD BE'!$AM$12+'TUSD BF'!$AM$12+'TUSD CVA'!$AM$12)*1</f>
        <v>103.30505917577378</v>
      </c>
      <c r="AA8" s="6"/>
      <c r="AB8" s="6">
        <f t="shared" si="0"/>
        <v>0</v>
      </c>
      <c r="AC8" s="6">
        <f t="shared" si="1"/>
        <v>26386.305185000001</v>
      </c>
      <c r="AD8" s="6">
        <f t="shared" si="2"/>
        <v>0</v>
      </c>
      <c r="AE8" s="6">
        <f t="shared" ca="1" si="3"/>
        <v>37738.319514972332</v>
      </c>
      <c r="AF8" s="4" t="s">
        <v>562</v>
      </c>
      <c r="AH8" s="65" t="s">
        <v>566</v>
      </c>
      <c r="AI8" s="66">
        <f t="shared" si="4"/>
        <v>17271.48489</v>
      </c>
      <c r="AJ8" s="66">
        <f t="shared" ca="1" si="5"/>
        <v>17678.754502895707</v>
      </c>
    </row>
    <row r="9" spans="1:36" ht="11.25" customHeight="1" x14ac:dyDescent="0.25">
      <c r="A9" s="4" t="s">
        <v>21</v>
      </c>
      <c r="B9" s="4" t="s">
        <v>33</v>
      </c>
      <c r="C9" s="4" t="s">
        <v>34</v>
      </c>
      <c r="D9" s="4" t="s">
        <v>38</v>
      </c>
      <c r="E9" s="4" t="s">
        <v>25</v>
      </c>
      <c r="F9" s="4" t="s">
        <v>55</v>
      </c>
      <c r="G9" s="4" t="s">
        <v>25</v>
      </c>
      <c r="H9" s="4" t="s">
        <v>36</v>
      </c>
      <c r="I9" s="5">
        <v>44501</v>
      </c>
      <c r="J9" s="6">
        <v>0</v>
      </c>
      <c r="K9" s="6">
        <v>0</v>
      </c>
      <c r="L9" s="6">
        <v>392.88499999999999</v>
      </c>
      <c r="M9" s="6">
        <v>196.4425</v>
      </c>
      <c r="N9" s="6">
        <v>0</v>
      </c>
      <c r="O9" s="6">
        <v>0</v>
      </c>
      <c r="P9" s="6">
        <v>0</v>
      </c>
      <c r="Q9" s="4" t="s">
        <v>56</v>
      </c>
      <c r="R9" s="4">
        <v>0</v>
      </c>
      <c r="S9" s="4">
        <v>0</v>
      </c>
      <c r="T9" s="4">
        <v>47</v>
      </c>
      <c r="U9" s="4">
        <v>0</v>
      </c>
      <c r="V9" s="6">
        <f>IF(ISERROR(VLOOKUP($S$9,'TAR FIN'!$A$1:$O$85,15,0)),0,VLOOKUP($S$9,'TAR FIN'!$A$1:$O$85,15,0))</f>
        <v>0</v>
      </c>
      <c r="W9" s="6">
        <f>IF(ISERROR(VLOOKUP($T$9,'TAR FIN'!$A$1:$O$85,15,0)),0,VLOOKUP($T$9,'TAR FIN'!$A$1:$O$85,15,0))</f>
        <v>72.23</v>
      </c>
      <c r="X9" s="6">
        <f>IF(ISERROR(VLOOKUP($U$9,'TAR FIN'!$A$1:$O$85,15,0)),0,VLOOKUP($U$9,'TAR FIN'!$A$1:$O$85,15,0))</f>
        <v>0</v>
      </c>
      <c r="Y9" s="6"/>
      <c r="Z9" s="6">
        <f ca="1">('TUSD BE'!$AM$12+'TUSD BF'!$AM$12+'TUSD CVA'!$AM$12)*1</f>
        <v>103.30505917577378</v>
      </c>
      <c r="AA9" s="6"/>
      <c r="AB9" s="6">
        <f t="shared" si="0"/>
        <v>0</v>
      </c>
      <c r="AC9" s="6">
        <f t="shared" si="1"/>
        <v>14189.041775</v>
      </c>
      <c r="AD9" s="6">
        <f t="shared" si="2"/>
        <v>0</v>
      </c>
      <c r="AE9" s="6">
        <f t="shared" ca="1" si="3"/>
        <v>20293.504087136938</v>
      </c>
      <c r="AF9" s="4" t="s">
        <v>562</v>
      </c>
      <c r="AH9" s="65" t="s">
        <v>571</v>
      </c>
      <c r="AI9" s="66">
        <f t="shared" si="4"/>
        <v>0</v>
      </c>
      <c r="AJ9" s="66">
        <f t="shared" si="5"/>
        <v>0</v>
      </c>
    </row>
    <row r="10" spans="1:36" ht="11.25" customHeight="1" x14ac:dyDescent="0.25">
      <c r="A10" s="4" t="s">
        <v>21</v>
      </c>
      <c r="B10" s="4" t="s">
        <v>33</v>
      </c>
      <c r="C10" s="4" t="s">
        <v>34</v>
      </c>
      <c r="D10" s="4" t="s">
        <v>38</v>
      </c>
      <c r="E10" s="4" t="s">
        <v>25</v>
      </c>
      <c r="F10" s="4" t="s">
        <v>55</v>
      </c>
      <c r="G10" s="4" t="s">
        <v>25</v>
      </c>
      <c r="H10" s="4" t="s">
        <v>36</v>
      </c>
      <c r="I10" s="5">
        <v>44531</v>
      </c>
      <c r="J10" s="6">
        <v>0</v>
      </c>
      <c r="K10" s="6">
        <v>0</v>
      </c>
      <c r="L10" s="6">
        <v>674.35599999999999</v>
      </c>
      <c r="M10" s="6">
        <v>337.178</v>
      </c>
      <c r="N10" s="6">
        <v>0</v>
      </c>
      <c r="O10" s="6">
        <v>0</v>
      </c>
      <c r="P10" s="6">
        <v>0</v>
      </c>
      <c r="Q10" s="4" t="s">
        <v>56</v>
      </c>
      <c r="R10" s="4">
        <v>0</v>
      </c>
      <c r="S10" s="4">
        <v>0</v>
      </c>
      <c r="T10" s="4">
        <v>47</v>
      </c>
      <c r="U10" s="4">
        <v>0</v>
      </c>
      <c r="V10" s="6">
        <f>IF(ISERROR(VLOOKUP($S$10,'TAR FIN'!$A$1:$O$85,15,0)),0,VLOOKUP($S$10,'TAR FIN'!$A$1:$O$85,15,0))</f>
        <v>0</v>
      </c>
      <c r="W10" s="6">
        <f>IF(ISERROR(VLOOKUP($T$10,'TAR FIN'!$A$1:$O$85,15,0)),0,VLOOKUP($T$10,'TAR FIN'!$A$1:$O$85,15,0))</f>
        <v>72.23</v>
      </c>
      <c r="X10" s="6">
        <f>IF(ISERROR(VLOOKUP($U$10,'TAR FIN'!$A$1:$O$85,15,0)),0,VLOOKUP($U$10,'TAR FIN'!$A$1:$O$85,15,0))</f>
        <v>0</v>
      </c>
      <c r="Y10" s="6"/>
      <c r="Z10" s="6">
        <f ca="1">('TUSD BE'!$AM$12+'TUSD BF'!$AM$12+'TUSD CVA'!$AM$12)*1</f>
        <v>103.30505917577378</v>
      </c>
      <c r="AA10" s="6"/>
      <c r="AB10" s="6">
        <f t="shared" si="0"/>
        <v>0</v>
      </c>
      <c r="AC10" s="6">
        <f t="shared" si="1"/>
        <v>24354.36694</v>
      </c>
      <c r="AD10" s="6">
        <f t="shared" si="2"/>
        <v>0</v>
      </c>
      <c r="AE10" s="6">
        <f t="shared" ca="1" si="3"/>
        <v>34832.193242769048</v>
      </c>
      <c r="AF10" s="4" t="s">
        <v>562</v>
      </c>
    </row>
    <row r="11" spans="1:36" ht="11.25" customHeight="1" x14ac:dyDescent="0.25">
      <c r="A11" s="4" t="s">
        <v>21</v>
      </c>
      <c r="B11" s="4" t="s">
        <v>33</v>
      </c>
      <c r="C11" s="4" t="s">
        <v>34</v>
      </c>
      <c r="D11" s="4" t="s">
        <v>38</v>
      </c>
      <c r="E11" s="4" t="s">
        <v>25</v>
      </c>
      <c r="F11" s="4" t="s">
        <v>55</v>
      </c>
      <c r="G11" s="4" t="s">
        <v>25</v>
      </c>
      <c r="H11" s="4" t="s">
        <v>36</v>
      </c>
      <c r="I11" s="5">
        <v>44562</v>
      </c>
      <c r="J11" s="6">
        <v>0</v>
      </c>
      <c r="K11" s="6">
        <v>0</v>
      </c>
      <c r="L11" s="6">
        <v>1234.6990000000001</v>
      </c>
      <c r="M11" s="6">
        <v>617.34950000000003</v>
      </c>
      <c r="N11" s="6">
        <v>0</v>
      </c>
      <c r="O11" s="6">
        <v>0</v>
      </c>
      <c r="P11" s="6">
        <v>0</v>
      </c>
      <c r="Q11" s="4" t="s">
        <v>56</v>
      </c>
      <c r="R11" s="4">
        <v>0</v>
      </c>
      <c r="S11" s="4">
        <v>0</v>
      </c>
      <c r="T11" s="4">
        <v>47</v>
      </c>
      <c r="U11" s="4">
        <v>0</v>
      </c>
      <c r="V11" s="6">
        <f>IF(ISERROR(VLOOKUP($S$11,'TAR FIN'!$A$1:$O$85,15,0)),0,VLOOKUP($S$11,'TAR FIN'!$A$1:$O$85,15,0))</f>
        <v>0</v>
      </c>
      <c r="W11" s="6">
        <f>IF(ISERROR(VLOOKUP($T$11,'TAR FIN'!$A$1:$O$85,15,0)),0,VLOOKUP($T$11,'TAR FIN'!$A$1:$O$85,15,0))</f>
        <v>72.23</v>
      </c>
      <c r="X11" s="6">
        <f>IF(ISERROR(VLOOKUP($U$11,'TAR FIN'!$A$1:$O$85,15,0)),0,VLOOKUP($U$11,'TAR FIN'!$A$1:$O$85,15,0))</f>
        <v>0</v>
      </c>
      <c r="Y11" s="6"/>
      <c r="Z11" s="6">
        <f ca="1">('TUSD BE'!$AM$12+'TUSD BF'!$AM$12+'TUSD CVA'!$AM$12)*1</f>
        <v>103.30505917577378</v>
      </c>
      <c r="AA11" s="6"/>
      <c r="AB11" s="6">
        <f t="shared" si="0"/>
        <v>0</v>
      </c>
      <c r="AC11" s="6">
        <f t="shared" si="1"/>
        <v>44591.154385000002</v>
      </c>
      <c r="AD11" s="6">
        <f t="shared" si="2"/>
        <v>0</v>
      </c>
      <c r="AE11" s="6">
        <f t="shared" ca="1" si="3"/>
        <v>63775.326629634357</v>
      </c>
      <c r="AF11" s="4" t="s">
        <v>562</v>
      </c>
    </row>
    <row r="12" spans="1:36" ht="11.25" customHeight="1" x14ac:dyDescent="0.25">
      <c r="A12" s="4" t="s">
        <v>21</v>
      </c>
      <c r="B12" s="4" t="s">
        <v>33</v>
      </c>
      <c r="C12" s="4" t="s">
        <v>34</v>
      </c>
      <c r="D12" s="4" t="s">
        <v>38</v>
      </c>
      <c r="E12" s="4" t="s">
        <v>25</v>
      </c>
      <c r="F12" s="4" t="s">
        <v>55</v>
      </c>
      <c r="G12" s="4" t="s">
        <v>25</v>
      </c>
      <c r="H12" s="4" t="s">
        <v>36</v>
      </c>
      <c r="I12" s="5">
        <v>44593</v>
      </c>
      <c r="J12" s="6">
        <v>0</v>
      </c>
      <c r="K12" s="6">
        <v>0</v>
      </c>
      <c r="L12" s="6">
        <v>354.33600000000001</v>
      </c>
      <c r="M12" s="6">
        <v>177.16800000000001</v>
      </c>
      <c r="N12" s="6">
        <v>0</v>
      </c>
      <c r="O12" s="6">
        <v>0</v>
      </c>
      <c r="P12" s="6">
        <v>0</v>
      </c>
      <c r="Q12" s="4" t="s">
        <v>56</v>
      </c>
      <c r="R12" s="4">
        <v>0</v>
      </c>
      <c r="S12" s="4">
        <v>0</v>
      </c>
      <c r="T12" s="4">
        <v>47</v>
      </c>
      <c r="U12" s="4">
        <v>0</v>
      </c>
      <c r="V12" s="6">
        <f>IF(ISERROR(VLOOKUP($S$12,'TAR FIN'!$A$1:$O$85,15,0)),0,VLOOKUP($S$12,'TAR FIN'!$A$1:$O$85,15,0))</f>
        <v>0</v>
      </c>
      <c r="W12" s="6">
        <f>IF(ISERROR(VLOOKUP($T$12,'TAR FIN'!$A$1:$O$85,15,0)),0,VLOOKUP($T$12,'TAR FIN'!$A$1:$O$85,15,0))</f>
        <v>72.23</v>
      </c>
      <c r="X12" s="6">
        <f>IF(ISERROR(VLOOKUP($U$12,'TAR FIN'!$A$1:$O$85,15,0)),0,VLOOKUP($U$12,'TAR FIN'!$A$1:$O$85,15,0))</f>
        <v>0</v>
      </c>
      <c r="Y12" s="6"/>
      <c r="Z12" s="6">
        <f ca="1">('TUSD BE'!$AM$12+'TUSD BF'!$AM$12+'TUSD CVA'!$AM$12)*1</f>
        <v>103.30505917577378</v>
      </c>
      <c r="AA12" s="6"/>
      <c r="AB12" s="6">
        <f t="shared" si="0"/>
        <v>0</v>
      </c>
      <c r="AC12" s="6">
        <f t="shared" si="1"/>
        <v>12796.844640000001</v>
      </c>
      <c r="AD12" s="6">
        <f t="shared" si="2"/>
        <v>0</v>
      </c>
      <c r="AE12" s="6">
        <f t="shared" ca="1" si="3"/>
        <v>18302.350724053489</v>
      </c>
      <c r="AF12" s="4" t="s">
        <v>562</v>
      </c>
    </row>
    <row r="13" spans="1:36" ht="11.25" customHeight="1" x14ac:dyDescent="0.25">
      <c r="A13" s="4" t="s">
        <v>54</v>
      </c>
      <c r="B13" s="4" t="s">
        <v>33</v>
      </c>
      <c r="C13" s="4" t="s">
        <v>34</v>
      </c>
      <c r="D13" s="4" t="s">
        <v>38</v>
      </c>
      <c r="E13" s="4" t="s">
        <v>25</v>
      </c>
      <c r="F13" s="4" t="s">
        <v>55</v>
      </c>
      <c r="G13" s="4" t="s">
        <v>25</v>
      </c>
      <c r="H13" s="4" t="s">
        <v>36</v>
      </c>
      <c r="I13" s="5">
        <v>44621</v>
      </c>
      <c r="J13" s="6">
        <v>0</v>
      </c>
      <c r="K13" s="6">
        <v>0</v>
      </c>
      <c r="L13" s="6">
        <v>354.33600000000001</v>
      </c>
      <c r="M13" s="6">
        <v>177.16800000000001</v>
      </c>
      <c r="N13" s="6">
        <v>0</v>
      </c>
      <c r="O13" s="6">
        <v>0</v>
      </c>
      <c r="P13" s="6">
        <v>0</v>
      </c>
      <c r="Q13" s="4" t="s">
        <v>56</v>
      </c>
      <c r="R13" s="4">
        <v>0</v>
      </c>
      <c r="S13" s="4">
        <v>0</v>
      </c>
      <c r="T13" s="4">
        <v>47</v>
      </c>
      <c r="U13" s="4">
        <v>0</v>
      </c>
      <c r="V13" s="6">
        <f>IF(ISERROR(VLOOKUP($S$13,'TAR FIN'!$A$1:$O$85,15,0)),0,VLOOKUP($S$13,'TAR FIN'!$A$1:$O$85,15,0))</f>
        <v>0</v>
      </c>
      <c r="W13" s="6">
        <f>IF(ISERROR(VLOOKUP($T$13,'TAR FIN'!$A$1:$O$85,15,0)),0,VLOOKUP($T$13,'TAR FIN'!$A$1:$O$85,15,0))</f>
        <v>72.23</v>
      </c>
      <c r="X13" s="6">
        <f>IF(ISERROR(VLOOKUP($U$13,'TAR FIN'!$A$1:$O$85,15,0)),0,VLOOKUP($U$13,'TAR FIN'!$A$1:$O$85,15,0))</f>
        <v>0</v>
      </c>
      <c r="Y13" s="6"/>
      <c r="Z13" s="6">
        <f ca="1">('TUSD BE'!$AM$12+'TUSD BF'!$AM$12+'TUSD CVA'!$AM$12)*1</f>
        <v>103.30505917577378</v>
      </c>
      <c r="AA13" s="6"/>
      <c r="AB13" s="6">
        <f t="shared" si="0"/>
        <v>0</v>
      </c>
      <c r="AC13" s="6">
        <f t="shared" si="1"/>
        <v>12796.844640000001</v>
      </c>
      <c r="AD13" s="6">
        <f t="shared" si="2"/>
        <v>0</v>
      </c>
      <c r="AE13" s="6">
        <f t="shared" ca="1" si="3"/>
        <v>18302.350724053489</v>
      </c>
      <c r="AF13" s="4" t="s">
        <v>562</v>
      </c>
      <c r="AJ13" s="6">
        <f ca="1">SUM(AJ2:AJ9)</f>
        <v>15159906.911572441</v>
      </c>
    </row>
    <row r="14" spans="1:36" ht="11.25" customHeight="1" x14ac:dyDescent="0.25">
      <c r="A14" s="4" t="s">
        <v>21</v>
      </c>
      <c r="B14" s="4" t="s">
        <v>33</v>
      </c>
      <c r="C14" s="4" t="s">
        <v>34</v>
      </c>
      <c r="D14" s="4" t="s">
        <v>38</v>
      </c>
      <c r="E14" s="4" t="s">
        <v>25</v>
      </c>
      <c r="F14" s="4" t="s">
        <v>55</v>
      </c>
      <c r="G14" s="4" t="s">
        <v>25</v>
      </c>
      <c r="H14" s="4" t="s">
        <v>25</v>
      </c>
      <c r="I14" s="5">
        <v>44287</v>
      </c>
      <c r="J14" s="6">
        <v>985</v>
      </c>
      <c r="K14" s="6">
        <v>492.5</v>
      </c>
      <c r="L14" s="6">
        <v>0</v>
      </c>
      <c r="M14" s="6">
        <v>0</v>
      </c>
      <c r="N14" s="6">
        <v>0</v>
      </c>
      <c r="O14" s="6">
        <v>0</v>
      </c>
      <c r="P14" s="6">
        <v>1</v>
      </c>
      <c r="Q14" s="4" t="s">
        <v>56</v>
      </c>
      <c r="R14" s="4">
        <v>0</v>
      </c>
      <c r="S14" s="4">
        <v>65</v>
      </c>
      <c r="T14" s="4">
        <v>0</v>
      </c>
      <c r="U14" s="4">
        <v>0</v>
      </c>
      <c r="V14" s="6">
        <f>IF(ISERROR(VLOOKUP($S$14,'TAR FIN'!$A$1:$O$85,15,0)),0,VLOOKUP($S$14,'TAR FIN'!$A$1:$O$85,15,0))</f>
        <v>23.41</v>
      </c>
      <c r="W14" s="6">
        <f>IF(ISERROR(VLOOKUP($T$14,'TAR FIN'!$A$1:$O$85,15,0)),0,VLOOKUP($T$14,'TAR FIN'!$A$1:$O$85,15,0))</f>
        <v>0</v>
      </c>
      <c r="X14" s="6">
        <f>IF(ISERROR(VLOOKUP($U$14,'TAR FIN'!$A$1:$O$85,15,0)),0,VLOOKUP($U$14,'TAR FIN'!$A$1:$O$85,15,0))</f>
        <v>0</v>
      </c>
      <c r="Y14" s="6">
        <f ca="1">('TUSD BE'!$AM$10+'TUSD BF'!$AM$10+'TUSD CVA'!$AM$10)*1</f>
        <v>24.267918723282428</v>
      </c>
      <c r="Z14" s="6"/>
      <c r="AA14" s="6"/>
      <c r="AB14" s="6">
        <f t="shared" si="0"/>
        <v>11529.424999999999</v>
      </c>
      <c r="AC14" s="6">
        <f t="shared" si="1"/>
        <v>0</v>
      </c>
      <c r="AD14" s="6">
        <f t="shared" ca="1" si="2"/>
        <v>11951.949971216596</v>
      </c>
      <c r="AE14" s="6">
        <f t="shared" si="3"/>
        <v>0</v>
      </c>
      <c r="AF14" s="4" t="s">
        <v>562</v>
      </c>
    </row>
    <row r="15" spans="1:36" ht="11.25" customHeight="1" x14ac:dyDescent="0.25">
      <c r="A15" s="4" t="s">
        <v>21</v>
      </c>
      <c r="B15" s="4" t="s">
        <v>33</v>
      </c>
      <c r="C15" s="4" t="s">
        <v>34</v>
      </c>
      <c r="D15" s="4" t="s">
        <v>38</v>
      </c>
      <c r="E15" s="4" t="s">
        <v>25</v>
      </c>
      <c r="F15" s="4" t="s">
        <v>55</v>
      </c>
      <c r="G15" s="4" t="s">
        <v>25</v>
      </c>
      <c r="H15" s="4" t="s">
        <v>25</v>
      </c>
      <c r="I15" s="5">
        <v>44317</v>
      </c>
      <c r="J15" s="6">
        <v>1342</v>
      </c>
      <c r="K15" s="6">
        <v>671</v>
      </c>
      <c r="L15" s="6">
        <v>0</v>
      </c>
      <c r="M15" s="6">
        <v>0</v>
      </c>
      <c r="N15" s="6">
        <v>0</v>
      </c>
      <c r="O15" s="6">
        <v>0</v>
      </c>
      <c r="P15" s="6">
        <v>1</v>
      </c>
      <c r="Q15" s="4" t="s">
        <v>56</v>
      </c>
      <c r="R15" s="4">
        <v>0</v>
      </c>
      <c r="S15" s="4">
        <v>65</v>
      </c>
      <c r="T15" s="4">
        <v>0</v>
      </c>
      <c r="U15" s="4">
        <v>0</v>
      </c>
      <c r="V15" s="6">
        <f>IF(ISERROR(VLOOKUP($S$15,'TAR FIN'!$A$1:$O$85,15,0)),0,VLOOKUP($S$15,'TAR FIN'!$A$1:$O$85,15,0))</f>
        <v>23.41</v>
      </c>
      <c r="W15" s="6">
        <f>IF(ISERROR(VLOOKUP($T$15,'TAR FIN'!$A$1:$O$85,15,0)),0,VLOOKUP($T$15,'TAR FIN'!$A$1:$O$85,15,0))</f>
        <v>0</v>
      </c>
      <c r="X15" s="6">
        <f>IF(ISERROR(VLOOKUP($U$15,'TAR FIN'!$A$1:$O$85,15,0)),0,VLOOKUP($U$15,'TAR FIN'!$A$1:$O$85,15,0))</f>
        <v>0</v>
      </c>
      <c r="Y15" s="6">
        <f ca="1">('TUSD BE'!$AM$10+'TUSD BF'!$AM$10+'TUSD CVA'!$AM$10)*1</f>
        <v>24.267918723282428</v>
      </c>
      <c r="Z15" s="6"/>
      <c r="AA15" s="6"/>
      <c r="AB15" s="6">
        <f t="shared" si="0"/>
        <v>15708.11</v>
      </c>
      <c r="AC15" s="6">
        <f t="shared" si="1"/>
        <v>0</v>
      </c>
      <c r="AD15" s="6">
        <f t="shared" ca="1" si="2"/>
        <v>16283.773463322508</v>
      </c>
      <c r="AE15" s="6">
        <f t="shared" si="3"/>
        <v>0</v>
      </c>
      <c r="AF15" s="4" t="s">
        <v>562</v>
      </c>
    </row>
    <row r="16" spans="1:36" ht="11.25" customHeight="1" x14ac:dyDescent="0.25">
      <c r="A16" s="4" t="s">
        <v>21</v>
      </c>
      <c r="B16" s="4" t="s">
        <v>33</v>
      </c>
      <c r="C16" s="4" t="s">
        <v>34</v>
      </c>
      <c r="D16" s="4" t="s">
        <v>38</v>
      </c>
      <c r="E16" s="4" t="s">
        <v>25</v>
      </c>
      <c r="F16" s="4" t="s">
        <v>55</v>
      </c>
      <c r="G16" s="4" t="s">
        <v>25</v>
      </c>
      <c r="H16" s="4" t="s">
        <v>25</v>
      </c>
      <c r="I16" s="5">
        <v>44348</v>
      </c>
      <c r="J16" s="6">
        <v>8938</v>
      </c>
      <c r="K16" s="6">
        <v>4469</v>
      </c>
      <c r="L16" s="6">
        <v>0</v>
      </c>
      <c r="M16" s="6">
        <v>0</v>
      </c>
      <c r="N16" s="6">
        <v>0</v>
      </c>
      <c r="O16" s="6">
        <v>0</v>
      </c>
      <c r="P16" s="6">
        <v>1</v>
      </c>
      <c r="Q16" s="4" t="s">
        <v>56</v>
      </c>
      <c r="R16" s="4">
        <v>0</v>
      </c>
      <c r="S16" s="4">
        <v>65</v>
      </c>
      <c r="T16" s="4">
        <v>0</v>
      </c>
      <c r="U16" s="4">
        <v>0</v>
      </c>
      <c r="V16" s="6">
        <f>IF(ISERROR(VLOOKUP($S$16,'TAR FIN'!$A$1:$O$85,15,0)),0,VLOOKUP($S$16,'TAR FIN'!$A$1:$O$85,15,0))</f>
        <v>23.41</v>
      </c>
      <c r="W16" s="6">
        <f>IF(ISERROR(VLOOKUP($T$16,'TAR FIN'!$A$1:$O$85,15,0)),0,VLOOKUP($T$16,'TAR FIN'!$A$1:$O$85,15,0))</f>
        <v>0</v>
      </c>
      <c r="X16" s="6">
        <f>IF(ISERROR(VLOOKUP($U$16,'TAR FIN'!$A$1:$O$85,15,0)),0,VLOOKUP($U$16,'TAR FIN'!$A$1:$O$85,15,0))</f>
        <v>0</v>
      </c>
      <c r="Y16" s="6">
        <f ca="1">('TUSD BE'!$AM$10+'TUSD BF'!$AM$10+'TUSD CVA'!$AM$10)*1</f>
        <v>24.267918723282428</v>
      </c>
      <c r="Z16" s="6"/>
      <c r="AA16" s="6"/>
      <c r="AB16" s="6">
        <f t="shared" si="0"/>
        <v>104619.29</v>
      </c>
      <c r="AC16" s="6">
        <f t="shared" si="1"/>
        <v>0</v>
      </c>
      <c r="AD16" s="6">
        <f t="shared" ca="1" si="2"/>
        <v>108453.32877434917</v>
      </c>
      <c r="AE16" s="6">
        <f t="shared" si="3"/>
        <v>0</v>
      </c>
      <c r="AF16" s="4" t="s">
        <v>562</v>
      </c>
    </row>
    <row r="17" spans="1:32" ht="11.25" customHeight="1" x14ac:dyDescent="0.25">
      <c r="A17" s="4" t="s">
        <v>21</v>
      </c>
      <c r="B17" s="4" t="s">
        <v>33</v>
      </c>
      <c r="C17" s="4" t="s">
        <v>34</v>
      </c>
      <c r="D17" s="4" t="s">
        <v>38</v>
      </c>
      <c r="E17" s="4" t="s">
        <v>25</v>
      </c>
      <c r="F17" s="4" t="s">
        <v>55</v>
      </c>
      <c r="G17" s="4" t="s">
        <v>25</v>
      </c>
      <c r="H17" s="4" t="s">
        <v>25</v>
      </c>
      <c r="I17" s="5">
        <v>44378</v>
      </c>
      <c r="J17" s="6">
        <v>2485</v>
      </c>
      <c r="K17" s="6">
        <v>1242.5</v>
      </c>
      <c r="L17" s="6">
        <v>0</v>
      </c>
      <c r="M17" s="6">
        <v>0</v>
      </c>
      <c r="N17" s="6">
        <v>0</v>
      </c>
      <c r="O17" s="6">
        <v>0</v>
      </c>
      <c r="P17" s="6">
        <v>1</v>
      </c>
      <c r="Q17" s="4" t="s">
        <v>56</v>
      </c>
      <c r="R17" s="4">
        <v>0</v>
      </c>
      <c r="S17" s="4">
        <v>65</v>
      </c>
      <c r="T17" s="4">
        <v>0</v>
      </c>
      <c r="U17" s="4">
        <v>0</v>
      </c>
      <c r="V17" s="6">
        <f>IF(ISERROR(VLOOKUP($S$17,'TAR FIN'!$A$1:$O$85,15,0)),0,VLOOKUP($S$17,'TAR FIN'!$A$1:$O$85,15,0))</f>
        <v>23.41</v>
      </c>
      <c r="W17" s="6">
        <f>IF(ISERROR(VLOOKUP($T$17,'TAR FIN'!$A$1:$O$85,15,0)),0,VLOOKUP($T$17,'TAR FIN'!$A$1:$O$85,15,0))</f>
        <v>0</v>
      </c>
      <c r="X17" s="6">
        <f>IF(ISERROR(VLOOKUP($U$17,'TAR FIN'!$A$1:$O$85,15,0)),0,VLOOKUP($U$17,'TAR FIN'!$A$1:$O$85,15,0))</f>
        <v>0</v>
      </c>
      <c r="Y17" s="6">
        <f ca="1">('TUSD BE'!$AM$10+'TUSD BF'!$AM$10+'TUSD CVA'!$AM$10)*1</f>
        <v>24.267918723282428</v>
      </c>
      <c r="Z17" s="6"/>
      <c r="AA17" s="6"/>
      <c r="AB17" s="6">
        <f t="shared" si="0"/>
        <v>29086.924999999999</v>
      </c>
      <c r="AC17" s="6">
        <f t="shared" si="1"/>
        <v>0</v>
      </c>
      <c r="AD17" s="6">
        <f t="shared" ca="1" si="2"/>
        <v>30152.889013678418</v>
      </c>
      <c r="AE17" s="6">
        <f t="shared" si="3"/>
        <v>0</v>
      </c>
      <c r="AF17" s="4" t="s">
        <v>562</v>
      </c>
    </row>
    <row r="18" spans="1:32" ht="11.25" customHeight="1" x14ac:dyDescent="0.25">
      <c r="A18" s="4" t="s">
        <v>21</v>
      </c>
      <c r="B18" s="4" t="s">
        <v>33</v>
      </c>
      <c r="C18" s="4" t="s">
        <v>34</v>
      </c>
      <c r="D18" s="4" t="s">
        <v>38</v>
      </c>
      <c r="E18" s="4" t="s">
        <v>25</v>
      </c>
      <c r="F18" s="4" t="s">
        <v>55</v>
      </c>
      <c r="G18" s="4" t="s">
        <v>25</v>
      </c>
      <c r="H18" s="4" t="s">
        <v>25</v>
      </c>
      <c r="I18" s="5">
        <v>44409</v>
      </c>
      <c r="J18" s="6">
        <v>5051</v>
      </c>
      <c r="K18" s="6">
        <v>2525.5</v>
      </c>
      <c r="L18" s="6">
        <v>0</v>
      </c>
      <c r="M18" s="6">
        <v>0</v>
      </c>
      <c r="N18" s="6">
        <v>0</v>
      </c>
      <c r="O18" s="6">
        <v>0</v>
      </c>
      <c r="P18" s="6">
        <v>1</v>
      </c>
      <c r="Q18" s="4" t="s">
        <v>56</v>
      </c>
      <c r="R18" s="4">
        <v>0</v>
      </c>
      <c r="S18" s="4">
        <v>65</v>
      </c>
      <c r="T18" s="4">
        <v>0</v>
      </c>
      <c r="U18" s="4">
        <v>0</v>
      </c>
      <c r="V18" s="6">
        <f>IF(ISERROR(VLOOKUP($S$18,'TAR FIN'!$A$1:$O$85,15,0)),0,VLOOKUP($S$18,'TAR FIN'!$A$1:$O$85,15,0))</f>
        <v>23.41</v>
      </c>
      <c r="W18" s="6">
        <f>IF(ISERROR(VLOOKUP($T$18,'TAR FIN'!$A$1:$O$85,15,0)),0,VLOOKUP($T$18,'TAR FIN'!$A$1:$O$85,15,0))</f>
        <v>0</v>
      </c>
      <c r="X18" s="6">
        <f>IF(ISERROR(VLOOKUP($U$18,'TAR FIN'!$A$1:$O$85,15,0)),0,VLOOKUP($U$18,'TAR FIN'!$A$1:$O$85,15,0))</f>
        <v>0</v>
      </c>
      <c r="Y18" s="6">
        <f ca="1">('TUSD BE'!$AM$10+'TUSD BF'!$AM$10+'TUSD CVA'!$AM$10)*1</f>
        <v>24.267918723282428</v>
      </c>
      <c r="Z18" s="6"/>
      <c r="AA18" s="6"/>
      <c r="AB18" s="6">
        <f t="shared" si="0"/>
        <v>59121.955000000002</v>
      </c>
      <c r="AC18" s="6">
        <f t="shared" si="1"/>
        <v>0</v>
      </c>
      <c r="AD18" s="6">
        <f t="shared" ca="1" si="2"/>
        <v>61288.628735649771</v>
      </c>
      <c r="AE18" s="6">
        <f t="shared" si="3"/>
        <v>0</v>
      </c>
      <c r="AF18" s="4" t="s">
        <v>562</v>
      </c>
    </row>
    <row r="19" spans="1:32" ht="11.25" customHeight="1" x14ac:dyDescent="0.25">
      <c r="A19" s="4" t="s">
        <v>21</v>
      </c>
      <c r="B19" s="4" t="s">
        <v>33</v>
      </c>
      <c r="C19" s="4" t="s">
        <v>34</v>
      </c>
      <c r="D19" s="4" t="s">
        <v>38</v>
      </c>
      <c r="E19" s="4" t="s">
        <v>25</v>
      </c>
      <c r="F19" s="4" t="s">
        <v>55</v>
      </c>
      <c r="G19" s="4" t="s">
        <v>25</v>
      </c>
      <c r="H19" s="4" t="s">
        <v>25</v>
      </c>
      <c r="I19" s="5">
        <v>44440</v>
      </c>
      <c r="J19" s="6">
        <v>4911</v>
      </c>
      <c r="K19" s="6">
        <v>2455.5</v>
      </c>
      <c r="L19" s="6">
        <v>0</v>
      </c>
      <c r="M19" s="6">
        <v>0</v>
      </c>
      <c r="N19" s="6">
        <v>0</v>
      </c>
      <c r="O19" s="6">
        <v>0</v>
      </c>
      <c r="P19" s="6">
        <v>1</v>
      </c>
      <c r="Q19" s="4" t="s">
        <v>56</v>
      </c>
      <c r="R19" s="4">
        <v>0</v>
      </c>
      <c r="S19" s="4">
        <v>65</v>
      </c>
      <c r="T19" s="4">
        <v>0</v>
      </c>
      <c r="U19" s="4">
        <v>0</v>
      </c>
      <c r="V19" s="6">
        <f>IF(ISERROR(VLOOKUP($S$19,'TAR FIN'!$A$1:$O$85,15,0)),0,VLOOKUP($S$19,'TAR FIN'!$A$1:$O$85,15,0))</f>
        <v>23.41</v>
      </c>
      <c r="W19" s="6">
        <f>IF(ISERROR(VLOOKUP($T$19,'TAR FIN'!$A$1:$O$85,15,0)),0,VLOOKUP($T$19,'TAR FIN'!$A$1:$O$85,15,0))</f>
        <v>0</v>
      </c>
      <c r="X19" s="6">
        <f>IF(ISERROR(VLOOKUP($U$19,'TAR FIN'!$A$1:$O$85,15,0)),0,VLOOKUP($U$19,'TAR FIN'!$A$1:$O$85,15,0))</f>
        <v>0</v>
      </c>
      <c r="Y19" s="6">
        <f ca="1">('TUSD BE'!$AM$10+'TUSD BF'!$AM$10+'TUSD CVA'!$AM$10)*1</f>
        <v>24.267918723282428</v>
      </c>
      <c r="Z19" s="6"/>
      <c r="AA19" s="6"/>
      <c r="AB19" s="6">
        <f t="shared" si="0"/>
        <v>57483.254999999997</v>
      </c>
      <c r="AC19" s="6">
        <f t="shared" si="1"/>
        <v>0</v>
      </c>
      <c r="AD19" s="6">
        <f t="shared" ca="1" si="2"/>
        <v>59589.874425020003</v>
      </c>
      <c r="AE19" s="6">
        <f t="shared" si="3"/>
        <v>0</v>
      </c>
      <c r="AF19" s="4" t="s">
        <v>562</v>
      </c>
    </row>
    <row r="20" spans="1:32" ht="11.25" customHeight="1" x14ac:dyDescent="0.25">
      <c r="A20" s="4" t="s">
        <v>21</v>
      </c>
      <c r="B20" s="4" t="s">
        <v>33</v>
      </c>
      <c r="C20" s="4" t="s">
        <v>34</v>
      </c>
      <c r="D20" s="4" t="s">
        <v>38</v>
      </c>
      <c r="E20" s="4" t="s">
        <v>25</v>
      </c>
      <c r="F20" s="4" t="s">
        <v>55</v>
      </c>
      <c r="G20" s="4" t="s">
        <v>25</v>
      </c>
      <c r="H20" s="4" t="s">
        <v>25</v>
      </c>
      <c r="I20" s="5">
        <v>44470</v>
      </c>
      <c r="J20" s="6">
        <v>5028</v>
      </c>
      <c r="K20" s="6">
        <v>2514</v>
      </c>
      <c r="L20" s="6">
        <v>0</v>
      </c>
      <c r="M20" s="6">
        <v>0</v>
      </c>
      <c r="N20" s="6">
        <v>0</v>
      </c>
      <c r="O20" s="6">
        <v>0</v>
      </c>
      <c r="P20" s="6">
        <v>1</v>
      </c>
      <c r="Q20" s="4" t="s">
        <v>56</v>
      </c>
      <c r="R20" s="4">
        <v>0</v>
      </c>
      <c r="S20" s="4">
        <v>65</v>
      </c>
      <c r="T20" s="4">
        <v>0</v>
      </c>
      <c r="U20" s="4">
        <v>0</v>
      </c>
      <c r="V20" s="6">
        <f>IF(ISERROR(VLOOKUP($S$20,'TAR FIN'!$A$1:$O$85,15,0)),0,VLOOKUP($S$20,'TAR FIN'!$A$1:$O$85,15,0))</f>
        <v>23.41</v>
      </c>
      <c r="W20" s="6">
        <f>IF(ISERROR(VLOOKUP($T$20,'TAR FIN'!$A$1:$O$85,15,0)),0,VLOOKUP($T$20,'TAR FIN'!$A$1:$O$85,15,0))</f>
        <v>0</v>
      </c>
      <c r="X20" s="6">
        <f>IF(ISERROR(VLOOKUP($U$20,'TAR FIN'!$A$1:$O$85,15,0)),0,VLOOKUP($U$20,'TAR FIN'!$A$1:$O$85,15,0))</f>
        <v>0</v>
      </c>
      <c r="Y20" s="6">
        <f ca="1">('TUSD BE'!$AM$10+'TUSD BF'!$AM$10+'TUSD CVA'!$AM$10)*1</f>
        <v>24.267918723282428</v>
      </c>
      <c r="Z20" s="6"/>
      <c r="AA20" s="6"/>
      <c r="AB20" s="6">
        <f t="shared" si="0"/>
        <v>58852.74</v>
      </c>
      <c r="AC20" s="6">
        <f t="shared" si="1"/>
        <v>0</v>
      </c>
      <c r="AD20" s="6">
        <f t="shared" ca="1" si="2"/>
        <v>61009.547670332024</v>
      </c>
      <c r="AE20" s="6">
        <f t="shared" si="3"/>
        <v>0</v>
      </c>
      <c r="AF20" s="4" t="s">
        <v>562</v>
      </c>
    </row>
    <row r="21" spans="1:32" ht="11.25" customHeight="1" x14ac:dyDescent="0.25">
      <c r="A21" s="4" t="s">
        <v>21</v>
      </c>
      <c r="B21" s="4" t="s">
        <v>33</v>
      </c>
      <c r="C21" s="4" t="s">
        <v>34</v>
      </c>
      <c r="D21" s="4" t="s">
        <v>38</v>
      </c>
      <c r="E21" s="4" t="s">
        <v>25</v>
      </c>
      <c r="F21" s="4" t="s">
        <v>55</v>
      </c>
      <c r="G21" s="4" t="s">
        <v>25</v>
      </c>
      <c r="H21" s="4" t="s">
        <v>25</v>
      </c>
      <c r="I21" s="5">
        <v>44501</v>
      </c>
      <c r="J21" s="6">
        <v>5012</v>
      </c>
      <c r="K21" s="6">
        <v>2506</v>
      </c>
      <c r="L21" s="6">
        <v>0</v>
      </c>
      <c r="M21" s="6">
        <v>0</v>
      </c>
      <c r="N21" s="6">
        <v>0</v>
      </c>
      <c r="O21" s="6">
        <v>0</v>
      </c>
      <c r="P21" s="6">
        <v>1</v>
      </c>
      <c r="Q21" s="4" t="s">
        <v>56</v>
      </c>
      <c r="R21" s="4">
        <v>0</v>
      </c>
      <c r="S21" s="4">
        <v>65</v>
      </c>
      <c r="T21" s="4">
        <v>0</v>
      </c>
      <c r="U21" s="4">
        <v>0</v>
      </c>
      <c r="V21" s="6">
        <f>IF(ISERROR(VLOOKUP($S$21,'TAR FIN'!$A$1:$O$85,15,0)),0,VLOOKUP($S$21,'TAR FIN'!$A$1:$O$85,15,0))</f>
        <v>23.41</v>
      </c>
      <c r="W21" s="6">
        <f>IF(ISERROR(VLOOKUP($T$21,'TAR FIN'!$A$1:$O$85,15,0)),0,VLOOKUP($T$21,'TAR FIN'!$A$1:$O$85,15,0))</f>
        <v>0</v>
      </c>
      <c r="X21" s="6">
        <f>IF(ISERROR(VLOOKUP($U$21,'TAR FIN'!$A$1:$O$85,15,0)),0,VLOOKUP($U$21,'TAR FIN'!$A$1:$O$85,15,0))</f>
        <v>0</v>
      </c>
      <c r="Y21" s="6">
        <f ca="1">('TUSD BE'!$AM$10+'TUSD BF'!$AM$10+'TUSD CVA'!$AM$10)*1</f>
        <v>24.267918723282428</v>
      </c>
      <c r="Z21" s="6"/>
      <c r="AA21" s="6"/>
      <c r="AB21" s="6">
        <f t="shared" si="0"/>
        <v>58665.46</v>
      </c>
      <c r="AC21" s="6">
        <f t="shared" si="1"/>
        <v>0</v>
      </c>
      <c r="AD21" s="6">
        <f t="shared" ca="1" si="2"/>
        <v>60815.404320545764</v>
      </c>
      <c r="AE21" s="6">
        <f t="shared" si="3"/>
        <v>0</v>
      </c>
      <c r="AF21" s="4" t="s">
        <v>562</v>
      </c>
    </row>
    <row r="22" spans="1:32" ht="11.25" customHeight="1" x14ac:dyDescent="0.25">
      <c r="A22" s="4" t="s">
        <v>21</v>
      </c>
      <c r="B22" s="4" t="s">
        <v>33</v>
      </c>
      <c r="C22" s="4" t="s">
        <v>34</v>
      </c>
      <c r="D22" s="4" t="s">
        <v>38</v>
      </c>
      <c r="E22" s="4" t="s">
        <v>25</v>
      </c>
      <c r="F22" s="4" t="s">
        <v>55</v>
      </c>
      <c r="G22" s="4" t="s">
        <v>25</v>
      </c>
      <c r="H22" s="4" t="s">
        <v>25</v>
      </c>
      <c r="I22" s="5">
        <v>44531</v>
      </c>
      <c r="J22" s="6">
        <v>5009</v>
      </c>
      <c r="K22" s="6">
        <v>2504.5</v>
      </c>
      <c r="L22" s="6">
        <v>0</v>
      </c>
      <c r="M22" s="6">
        <v>0</v>
      </c>
      <c r="N22" s="6">
        <v>0</v>
      </c>
      <c r="O22" s="6">
        <v>0</v>
      </c>
      <c r="P22" s="6">
        <v>1</v>
      </c>
      <c r="Q22" s="4" t="s">
        <v>56</v>
      </c>
      <c r="R22" s="4">
        <v>0</v>
      </c>
      <c r="S22" s="4">
        <v>65</v>
      </c>
      <c r="T22" s="4">
        <v>0</v>
      </c>
      <c r="U22" s="4">
        <v>0</v>
      </c>
      <c r="V22" s="6">
        <f>IF(ISERROR(VLOOKUP($S$22,'TAR FIN'!$A$1:$O$85,15,0)),0,VLOOKUP($S$22,'TAR FIN'!$A$1:$O$85,15,0))</f>
        <v>23.41</v>
      </c>
      <c r="W22" s="6">
        <f>IF(ISERROR(VLOOKUP($T$22,'TAR FIN'!$A$1:$O$85,15,0)),0,VLOOKUP($T$22,'TAR FIN'!$A$1:$O$85,15,0))</f>
        <v>0</v>
      </c>
      <c r="X22" s="6">
        <f>IF(ISERROR(VLOOKUP($U$22,'TAR FIN'!$A$1:$O$85,15,0)),0,VLOOKUP($U$22,'TAR FIN'!$A$1:$O$85,15,0))</f>
        <v>0</v>
      </c>
      <c r="Y22" s="6">
        <f ca="1">('TUSD BE'!$AM$10+'TUSD BF'!$AM$10+'TUSD CVA'!$AM$10)*1</f>
        <v>24.267918723282428</v>
      </c>
      <c r="Z22" s="6"/>
      <c r="AA22" s="6"/>
      <c r="AB22" s="6">
        <f t="shared" si="0"/>
        <v>58630.345000000001</v>
      </c>
      <c r="AC22" s="6">
        <f t="shared" si="1"/>
        <v>0</v>
      </c>
      <c r="AD22" s="6">
        <f t="shared" ca="1" si="2"/>
        <v>60779.002442460842</v>
      </c>
      <c r="AE22" s="6">
        <f t="shared" si="3"/>
        <v>0</v>
      </c>
      <c r="AF22" s="4" t="s">
        <v>562</v>
      </c>
    </row>
    <row r="23" spans="1:32" ht="11.25" customHeight="1" x14ac:dyDescent="0.25">
      <c r="A23" s="4" t="s">
        <v>21</v>
      </c>
      <c r="B23" s="4" t="s">
        <v>33</v>
      </c>
      <c r="C23" s="4" t="s">
        <v>34</v>
      </c>
      <c r="D23" s="4" t="s">
        <v>38</v>
      </c>
      <c r="E23" s="4" t="s">
        <v>25</v>
      </c>
      <c r="F23" s="4" t="s">
        <v>55</v>
      </c>
      <c r="G23" s="4" t="s">
        <v>25</v>
      </c>
      <c r="H23" s="4" t="s">
        <v>25</v>
      </c>
      <c r="I23" s="5">
        <v>44562</v>
      </c>
      <c r="J23" s="6">
        <v>4969</v>
      </c>
      <c r="K23" s="6">
        <v>2484.5</v>
      </c>
      <c r="L23" s="6">
        <v>0</v>
      </c>
      <c r="M23" s="6">
        <v>0</v>
      </c>
      <c r="N23" s="6">
        <v>0</v>
      </c>
      <c r="O23" s="6">
        <v>0</v>
      </c>
      <c r="P23" s="6">
        <v>1</v>
      </c>
      <c r="Q23" s="4" t="s">
        <v>56</v>
      </c>
      <c r="R23" s="4">
        <v>0</v>
      </c>
      <c r="S23" s="4">
        <v>65</v>
      </c>
      <c r="T23" s="4">
        <v>0</v>
      </c>
      <c r="U23" s="4">
        <v>0</v>
      </c>
      <c r="V23" s="6">
        <f>IF(ISERROR(VLOOKUP($S$23,'TAR FIN'!$A$1:$O$85,15,0)),0,VLOOKUP($S$23,'TAR FIN'!$A$1:$O$85,15,0))</f>
        <v>23.41</v>
      </c>
      <c r="W23" s="6">
        <f>IF(ISERROR(VLOOKUP($T$23,'TAR FIN'!$A$1:$O$85,15,0)),0,VLOOKUP($T$23,'TAR FIN'!$A$1:$O$85,15,0))</f>
        <v>0</v>
      </c>
      <c r="X23" s="6">
        <f>IF(ISERROR(VLOOKUP($U$23,'TAR FIN'!$A$1:$O$85,15,0)),0,VLOOKUP($U$23,'TAR FIN'!$A$1:$O$85,15,0))</f>
        <v>0</v>
      </c>
      <c r="Y23" s="6">
        <f ca="1">('TUSD BE'!$AM$10+'TUSD BF'!$AM$10+'TUSD CVA'!$AM$10)*1</f>
        <v>24.267918723282428</v>
      </c>
      <c r="Z23" s="6"/>
      <c r="AA23" s="6"/>
      <c r="AB23" s="6">
        <f t="shared" si="0"/>
        <v>58162.144999999997</v>
      </c>
      <c r="AC23" s="6">
        <f t="shared" si="1"/>
        <v>0</v>
      </c>
      <c r="AD23" s="6">
        <f t="shared" ca="1" si="2"/>
        <v>60293.644067995192</v>
      </c>
      <c r="AE23" s="6">
        <f t="shared" si="3"/>
        <v>0</v>
      </c>
      <c r="AF23" s="4" t="s">
        <v>562</v>
      </c>
    </row>
    <row r="24" spans="1:32" ht="11.25" customHeight="1" x14ac:dyDescent="0.25">
      <c r="A24" s="4" t="s">
        <v>21</v>
      </c>
      <c r="B24" s="4" t="s">
        <v>33</v>
      </c>
      <c r="C24" s="4" t="s">
        <v>34</v>
      </c>
      <c r="D24" s="4" t="s">
        <v>38</v>
      </c>
      <c r="E24" s="4" t="s">
        <v>25</v>
      </c>
      <c r="F24" s="4" t="s">
        <v>55</v>
      </c>
      <c r="G24" s="4" t="s">
        <v>25</v>
      </c>
      <c r="H24" s="4" t="s">
        <v>25</v>
      </c>
      <c r="I24" s="5">
        <v>44593</v>
      </c>
      <c r="J24" s="6">
        <v>5273</v>
      </c>
      <c r="K24" s="6">
        <v>2636.5</v>
      </c>
      <c r="L24" s="6">
        <v>0</v>
      </c>
      <c r="M24" s="6">
        <v>0</v>
      </c>
      <c r="N24" s="6">
        <v>0</v>
      </c>
      <c r="O24" s="6">
        <v>0</v>
      </c>
      <c r="P24" s="6">
        <v>8</v>
      </c>
      <c r="Q24" s="4" t="s">
        <v>56</v>
      </c>
      <c r="R24" s="4">
        <v>0</v>
      </c>
      <c r="S24" s="4">
        <v>65</v>
      </c>
      <c r="T24" s="4">
        <v>0</v>
      </c>
      <c r="U24" s="4">
        <v>0</v>
      </c>
      <c r="V24" s="6">
        <f>IF(ISERROR(VLOOKUP($S$24,'TAR FIN'!$A$1:$O$85,15,0)),0,VLOOKUP($S$24,'TAR FIN'!$A$1:$O$85,15,0))</f>
        <v>23.41</v>
      </c>
      <c r="W24" s="6">
        <f>IF(ISERROR(VLOOKUP($T$24,'TAR FIN'!$A$1:$O$85,15,0)),0,VLOOKUP($T$24,'TAR FIN'!$A$1:$O$85,15,0))</f>
        <v>0</v>
      </c>
      <c r="X24" s="6">
        <f>IF(ISERROR(VLOOKUP($U$24,'TAR FIN'!$A$1:$O$85,15,0)),0,VLOOKUP($U$24,'TAR FIN'!$A$1:$O$85,15,0))</f>
        <v>0</v>
      </c>
      <c r="Y24" s="6">
        <f ca="1">('TUSD BE'!$AM$10+'TUSD BF'!$AM$10+'TUSD CVA'!$AM$10)*1</f>
        <v>24.267918723282428</v>
      </c>
      <c r="Z24" s="6"/>
      <c r="AA24" s="6"/>
      <c r="AB24" s="6">
        <f t="shared" si="0"/>
        <v>61720.465000000004</v>
      </c>
      <c r="AC24" s="6">
        <f t="shared" si="1"/>
        <v>0</v>
      </c>
      <c r="AD24" s="6">
        <f t="shared" ca="1" si="2"/>
        <v>63982.367713934123</v>
      </c>
      <c r="AE24" s="6">
        <f t="shared" si="3"/>
        <v>0</v>
      </c>
      <c r="AF24" s="4" t="s">
        <v>562</v>
      </c>
    </row>
    <row r="25" spans="1:32" ht="11.25" customHeight="1" x14ac:dyDescent="0.25">
      <c r="A25" s="4" t="s">
        <v>54</v>
      </c>
      <c r="B25" s="4" t="s">
        <v>33</v>
      </c>
      <c r="C25" s="4" t="s">
        <v>34</v>
      </c>
      <c r="D25" s="4" t="s">
        <v>38</v>
      </c>
      <c r="E25" s="4" t="s">
        <v>25</v>
      </c>
      <c r="F25" s="4" t="s">
        <v>55</v>
      </c>
      <c r="G25" s="4" t="s">
        <v>25</v>
      </c>
      <c r="H25" s="4" t="s">
        <v>25</v>
      </c>
      <c r="I25" s="5">
        <v>44621</v>
      </c>
      <c r="J25" s="6">
        <v>5273</v>
      </c>
      <c r="K25" s="6">
        <v>2636.5</v>
      </c>
      <c r="L25" s="6">
        <v>0</v>
      </c>
      <c r="M25" s="6">
        <v>0</v>
      </c>
      <c r="N25" s="6">
        <v>0</v>
      </c>
      <c r="O25" s="6">
        <v>0</v>
      </c>
      <c r="P25" s="6">
        <v>8</v>
      </c>
      <c r="Q25" s="4" t="s">
        <v>56</v>
      </c>
      <c r="R25" s="4">
        <v>0</v>
      </c>
      <c r="S25" s="4">
        <v>65</v>
      </c>
      <c r="T25" s="4">
        <v>0</v>
      </c>
      <c r="U25" s="4">
        <v>0</v>
      </c>
      <c r="V25" s="6">
        <f>IF(ISERROR(VLOOKUP($S$25,'TAR FIN'!$A$1:$O$85,15,0)),0,VLOOKUP($S$25,'TAR FIN'!$A$1:$O$85,15,0))</f>
        <v>23.41</v>
      </c>
      <c r="W25" s="6">
        <f>IF(ISERROR(VLOOKUP($T$25,'TAR FIN'!$A$1:$O$85,15,0)),0,VLOOKUP($T$25,'TAR FIN'!$A$1:$O$85,15,0))</f>
        <v>0</v>
      </c>
      <c r="X25" s="6">
        <f>IF(ISERROR(VLOOKUP($U$25,'TAR FIN'!$A$1:$O$85,15,0)),0,VLOOKUP($U$25,'TAR FIN'!$A$1:$O$85,15,0))</f>
        <v>0</v>
      </c>
      <c r="Y25" s="6">
        <f ca="1">('TUSD BE'!$AM$10+'TUSD BF'!$AM$10+'TUSD CVA'!$AM$10)*1</f>
        <v>24.267918723282428</v>
      </c>
      <c r="Z25" s="6"/>
      <c r="AA25" s="6"/>
      <c r="AB25" s="6">
        <f t="shared" si="0"/>
        <v>61720.465000000004</v>
      </c>
      <c r="AC25" s="6">
        <f t="shared" si="1"/>
        <v>0</v>
      </c>
      <c r="AD25" s="6">
        <f t="shared" ca="1" si="2"/>
        <v>63982.367713934123</v>
      </c>
      <c r="AE25" s="6">
        <f t="shared" si="3"/>
        <v>0</v>
      </c>
      <c r="AF25" s="4" t="s">
        <v>562</v>
      </c>
    </row>
    <row r="26" spans="1:32" ht="11.25" customHeight="1" x14ac:dyDescent="0.25">
      <c r="A26" s="4" t="s">
        <v>21</v>
      </c>
      <c r="B26" s="4" t="s">
        <v>33</v>
      </c>
      <c r="C26" s="4" t="s">
        <v>34</v>
      </c>
      <c r="D26" s="4" t="s">
        <v>38</v>
      </c>
      <c r="E26" s="4" t="s">
        <v>25</v>
      </c>
      <c r="F26" s="4" t="s">
        <v>55</v>
      </c>
      <c r="G26" s="4" t="s">
        <v>25</v>
      </c>
      <c r="H26" s="4" t="s">
        <v>35</v>
      </c>
      <c r="I26" s="5">
        <v>44287</v>
      </c>
      <c r="J26" s="6">
        <v>0</v>
      </c>
      <c r="K26" s="6">
        <v>0</v>
      </c>
      <c r="L26" s="6">
        <v>19.989000000000001</v>
      </c>
      <c r="M26" s="6">
        <v>9.9945000000000004</v>
      </c>
      <c r="N26" s="6">
        <v>0</v>
      </c>
      <c r="O26" s="6">
        <v>0</v>
      </c>
      <c r="P26" s="6">
        <v>0</v>
      </c>
      <c r="Q26" s="4" t="s">
        <v>56</v>
      </c>
      <c r="R26" s="4">
        <v>0</v>
      </c>
      <c r="S26" s="4">
        <v>0</v>
      </c>
      <c r="T26" s="4">
        <v>66</v>
      </c>
      <c r="U26" s="4">
        <v>0</v>
      </c>
      <c r="V26" s="6">
        <f>IF(ISERROR(VLOOKUP($S$26,'TAR FIN'!$A$1:$O$85,15,0)),0,VLOOKUP($S$26,'TAR FIN'!$A$1:$O$85,15,0))</f>
        <v>0</v>
      </c>
      <c r="W26" s="6">
        <f>IF(ISERROR(VLOOKUP($T$26,'TAR FIN'!$A$1:$O$85,15,0)),0,VLOOKUP($T$26,'TAR FIN'!$A$1:$O$85,15,0))</f>
        <v>2263.58</v>
      </c>
      <c r="X26" s="6">
        <f>IF(ISERROR(VLOOKUP($U$26,'TAR FIN'!$A$1:$O$85,15,0)),0,VLOOKUP($U$26,'TAR FIN'!$A$1:$O$85,15,0))</f>
        <v>0</v>
      </c>
      <c r="Y26" s="6"/>
      <c r="Z26" s="6">
        <f ca="1">('TUSD BE'!$AM$11+'TUSD BF'!$AM$11+'TUSD CVA'!$AM$11)*1</f>
        <v>2373.6759655636811</v>
      </c>
      <c r="AA26" s="6"/>
      <c r="AB26" s="6">
        <f t="shared" si="0"/>
        <v>0</v>
      </c>
      <c r="AC26" s="6">
        <f t="shared" si="1"/>
        <v>22623.350310000002</v>
      </c>
      <c r="AD26" s="6">
        <f t="shared" si="2"/>
        <v>0</v>
      </c>
      <c r="AE26" s="6">
        <f t="shared" ca="1" si="3"/>
        <v>23723.704437826211</v>
      </c>
      <c r="AF26" s="4" t="s">
        <v>562</v>
      </c>
    </row>
    <row r="27" spans="1:32" ht="11.25" customHeight="1" x14ac:dyDescent="0.25">
      <c r="A27" s="4" t="s">
        <v>21</v>
      </c>
      <c r="B27" s="4" t="s">
        <v>33</v>
      </c>
      <c r="C27" s="4" t="s">
        <v>34</v>
      </c>
      <c r="D27" s="4" t="s">
        <v>38</v>
      </c>
      <c r="E27" s="4" t="s">
        <v>25</v>
      </c>
      <c r="F27" s="4" t="s">
        <v>55</v>
      </c>
      <c r="G27" s="4" t="s">
        <v>25</v>
      </c>
      <c r="H27" s="4" t="s">
        <v>35</v>
      </c>
      <c r="I27" s="5">
        <v>44317</v>
      </c>
      <c r="J27" s="6">
        <v>0</v>
      </c>
      <c r="K27" s="6">
        <v>0</v>
      </c>
      <c r="L27" s="6">
        <v>23.256</v>
      </c>
      <c r="M27" s="6">
        <v>11.628</v>
      </c>
      <c r="N27" s="6">
        <v>0</v>
      </c>
      <c r="O27" s="6">
        <v>0</v>
      </c>
      <c r="P27" s="6">
        <v>0</v>
      </c>
      <c r="Q27" s="4" t="s">
        <v>56</v>
      </c>
      <c r="R27" s="4">
        <v>0</v>
      </c>
      <c r="S27" s="4">
        <v>0</v>
      </c>
      <c r="T27" s="4">
        <v>66</v>
      </c>
      <c r="U27" s="4">
        <v>0</v>
      </c>
      <c r="V27" s="6">
        <f>IF(ISERROR(VLOOKUP($S$27,'TAR FIN'!$A$1:$O$85,15,0)),0,VLOOKUP($S$27,'TAR FIN'!$A$1:$O$85,15,0))</f>
        <v>0</v>
      </c>
      <c r="W27" s="6">
        <f>IF(ISERROR(VLOOKUP($T$27,'TAR FIN'!$A$1:$O$85,15,0)),0,VLOOKUP($T$27,'TAR FIN'!$A$1:$O$85,15,0))</f>
        <v>2263.58</v>
      </c>
      <c r="X27" s="6">
        <f>IF(ISERROR(VLOOKUP($U$27,'TAR FIN'!$A$1:$O$85,15,0)),0,VLOOKUP($U$27,'TAR FIN'!$A$1:$O$85,15,0))</f>
        <v>0</v>
      </c>
      <c r="Y27" s="6"/>
      <c r="Z27" s="6">
        <f ca="1">('TUSD BE'!$AM$11+'TUSD BF'!$AM$11+'TUSD CVA'!$AM$11)*1</f>
        <v>2373.6759655636811</v>
      </c>
      <c r="AA27" s="6"/>
      <c r="AB27" s="6">
        <f t="shared" si="0"/>
        <v>0</v>
      </c>
      <c r="AC27" s="6">
        <f t="shared" si="1"/>
        <v>26320.908240000001</v>
      </c>
      <c r="AD27" s="6">
        <f t="shared" si="2"/>
        <v>0</v>
      </c>
      <c r="AE27" s="6">
        <f t="shared" ca="1" si="3"/>
        <v>27601.104127574483</v>
      </c>
      <c r="AF27" s="4" t="s">
        <v>562</v>
      </c>
    </row>
    <row r="28" spans="1:32" ht="11.25" customHeight="1" x14ac:dyDescent="0.25">
      <c r="A28" s="4" t="s">
        <v>21</v>
      </c>
      <c r="B28" s="4" t="s">
        <v>33</v>
      </c>
      <c r="C28" s="4" t="s">
        <v>34</v>
      </c>
      <c r="D28" s="4" t="s">
        <v>38</v>
      </c>
      <c r="E28" s="4" t="s">
        <v>25</v>
      </c>
      <c r="F28" s="4" t="s">
        <v>55</v>
      </c>
      <c r="G28" s="4" t="s">
        <v>25</v>
      </c>
      <c r="H28" s="4" t="s">
        <v>35</v>
      </c>
      <c r="I28" s="5">
        <v>44348</v>
      </c>
      <c r="J28" s="6">
        <v>0</v>
      </c>
      <c r="K28" s="6">
        <v>0</v>
      </c>
      <c r="L28" s="6">
        <v>107.532</v>
      </c>
      <c r="M28" s="6">
        <v>53.765999999999998</v>
      </c>
      <c r="N28" s="6">
        <v>0</v>
      </c>
      <c r="O28" s="6">
        <v>0</v>
      </c>
      <c r="P28" s="6">
        <v>0</v>
      </c>
      <c r="Q28" s="4" t="s">
        <v>56</v>
      </c>
      <c r="R28" s="4">
        <v>0</v>
      </c>
      <c r="S28" s="4">
        <v>0</v>
      </c>
      <c r="T28" s="4">
        <v>66</v>
      </c>
      <c r="U28" s="4">
        <v>0</v>
      </c>
      <c r="V28" s="6">
        <f>IF(ISERROR(VLOOKUP($S$28,'TAR FIN'!$A$1:$O$85,15,0)),0,VLOOKUP($S$28,'TAR FIN'!$A$1:$O$85,15,0))</f>
        <v>0</v>
      </c>
      <c r="W28" s="6">
        <f>IF(ISERROR(VLOOKUP($T$28,'TAR FIN'!$A$1:$O$85,15,0)),0,VLOOKUP($T$28,'TAR FIN'!$A$1:$O$85,15,0))</f>
        <v>2263.58</v>
      </c>
      <c r="X28" s="6">
        <f>IF(ISERROR(VLOOKUP($U$28,'TAR FIN'!$A$1:$O$85,15,0)),0,VLOOKUP($U$28,'TAR FIN'!$A$1:$O$85,15,0))</f>
        <v>0</v>
      </c>
      <c r="Y28" s="6"/>
      <c r="Z28" s="6">
        <f ca="1">('TUSD BE'!$AM$11+'TUSD BF'!$AM$11+'TUSD CVA'!$AM$11)*1</f>
        <v>2373.6759655636811</v>
      </c>
      <c r="AA28" s="6"/>
      <c r="AB28" s="6">
        <f t="shared" si="0"/>
        <v>0</v>
      </c>
      <c r="AC28" s="6">
        <f t="shared" si="1"/>
        <v>121703.64227999999</v>
      </c>
      <c r="AD28" s="6">
        <f t="shared" si="2"/>
        <v>0</v>
      </c>
      <c r="AE28" s="6">
        <f t="shared" ca="1" si="3"/>
        <v>127623.06196449687</v>
      </c>
      <c r="AF28" s="4" t="s">
        <v>562</v>
      </c>
    </row>
    <row r="29" spans="1:32" ht="11.25" customHeight="1" x14ac:dyDescent="0.25">
      <c r="A29" s="4" t="s">
        <v>21</v>
      </c>
      <c r="B29" s="4" t="s">
        <v>33</v>
      </c>
      <c r="C29" s="4" t="s">
        <v>34</v>
      </c>
      <c r="D29" s="4" t="s">
        <v>38</v>
      </c>
      <c r="E29" s="4" t="s">
        <v>25</v>
      </c>
      <c r="F29" s="4" t="s">
        <v>55</v>
      </c>
      <c r="G29" s="4" t="s">
        <v>25</v>
      </c>
      <c r="H29" s="4" t="s">
        <v>35</v>
      </c>
      <c r="I29" s="5">
        <v>44378</v>
      </c>
      <c r="J29" s="6">
        <v>0</v>
      </c>
      <c r="K29" s="6">
        <v>0</v>
      </c>
      <c r="L29" s="6">
        <v>171.18299999999999</v>
      </c>
      <c r="M29" s="6">
        <v>85.591499999999996</v>
      </c>
      <c r="N29" s="6">
        <v>0</v>
      </c>
      <c r="O29" s="6">
        <v>0</v>
      </c>
      <c r="P29" s="6">
        <v>0</v>
      </c>
      <c r="Q29" s="4" t="s">
        <v>56</v>
      </c>
      <c r="R29" s="4">
        <v>0</v>
      </c>
      <c r="S29" s="4">
        <v>0</v>
      </c>
      <c r="T29" s="4">
        <v>66</v>
      </c>
      <c r="U29" s="4">
        <v>0</v>
      </c>
      <c r="V29" s="6">
        <f>IF(ISERROR(VLOOKUP($S$29,'TAR FIN'!$A$1:$O$85,15,0)),0,VLOOKUP($S$29,'TAR FIN'!$A$1:$O$85,15,0))</f>
        <v>0</v>
      </c>
      <c r="W29" s="6">
        <f>IF(ISERROR(VLOOKUP($T$29,'TAR FIN'!$A$1:$O$85,15,0)),0,VLOOKUP($T$29,'TAR FIN'!$A$1:$O$85,15,0))</f>
        <v>2263.58</v>
      </c>
      <c r="X29" s="6">
        <f>IF(ISERROR(VLOOKUP($U$29,'TAR FIN'!$A$1:$O$85,15,0)),0,VLOOKUP($U$29,'TAR FIN'!$A$1:$O$85,15,0))</f>
        <v>0</v>
      </c>
      <c r="Y29" s="6"/>
      <c r="Z29" s="6">
        <f ca="1">('TUSD BE'!$AM$11+'TUSD BF'!$AM$11+'TUSD CVA'!$AM$11)*1</f>
        <v>2373.6759655636811</v>
      </c>
      <c r="AA29" s="6"/>
      <c r="AB29" s="6">
        <f t="shared" si="0"/>
        <v>0</v>
      </c>
      <c r="AC29" s="6">
        <f t="shared" si="1"/>
        <v>193743.20757</v>
      </c>
      <c r="AD29" s="6">
        <f t="shared" si="2"/>
        <v>0</v>
      </c>
      <c r="AE29" s="6">
        <f t="shared" ca="1" si="3"/>
        <v>203166.48640654379</v>
      </c>
      <c r="AF29" s="4" t="s">
        <v>562</v>
      </c>
    </row>
    <row r="30" spans="1:32" ht="11.25" customHeight="1" x14ac:dyDescent="0.25">
      <c r="A30" s="4" t="s">
        <v>21</v>
      </c>
      <c r="B30" s="4" t="s">
        <v>33</v>
      </c>
      <c r="C30" s="4" t="s">
        <v>34</v>
      </c>
      <c r="D30" s="4" t="s">
        <v>38</v>
      </c>
      <c r="E30" s="4" t="s">
        <v>25</v>
      </c>
      <c r="F30" s="4" t="s">
        <v>55</v>
      </c>
      <c r="G30" s="4" t="s">
        <v>25</v>
      </c>
      <c r="H30" s="4" t="s">
        <v>35</v>
      </c>
      <c r="I30" s="5">
        <v>44409</v>
      </c>
      <c r="J30" s="6">
        <v>0</v>
      </c>
      <c r="K30" s="6">
        <v>0</v>
      </c>
      <c r="L30" s="6">
        <v>123.505</v>
      </c>
      <c r="M30" s="6">
        <v>61.752499999999998</v>
      </c>
      <c r="N30" s="6">
        <v>0</v>
      </c>
      <c r="O30" s="6">
        <v>0</v>
      </c>
      <c r="P30" s="6">
        <v>0</v>
      </c>
      <c r="Q30" s="4" t="s">
        <v>56</v>
      </c>
      <c r="R30" s="4">
        <v>0</v>
      </c>
      <c r="S30" s="4">
        <v>0</v>
      </c>
      <c r="T30" s="4">
        <v>66</v>
      </c>
      <c r="U30" s="4">
        <v>0</v>
      </c>
      <c r="V30" s="6">
        <f>IF(ISERROR(VLOOKUP($S$30,'TAR FIN'!$A$1:$O$85,15,0)),0,VLOOKUP($S$30,'TAR FIN'!$A$1:$O$85,15,0))</f>
        <v>0</v>
      </c>
      <c r="W30" s="6">
        <f>IF(ISERROR(VLOOKUP($T$30,'TAR FIN'!$A$1:$O$85,15,0)),0,VLOOKUP($T$30,'TAR FIN'!$A$1:$O$85,15,0))</f>
        <v>2263.58</v>
      </c>
      <c r="X30" s="6">
        <f>IF(ISERROR(VLOOKUP($U$30,'TAR FIN'!$A$1:$O$85,15,0)),0,VLOOKUP($U$30,'TAR FIN'!$A$1:$O$85,15,0))</f>
        <v>0</v>
      </c>
      <c r="Y30" s="6"/>
      <c r="Z30" s="6">
        <f ca="1">('TUSD BE'!$AM$11+'TUSD BF'!$AM$11+'TUSD CVA'!$AM$11)*1</f>
        <v>2373.6759655636811</v>
      </c>
      <c r="AA30" s="6"/>
      <c r="AB30" s="6">
        <f t="shared" si="0"/>
        <v>0</v>
      </c>
      <c r="AC30" s="6">
        <f t="shared" si="1"/>
        <v>139781.72394999999</v>
      </c>
      <c r="AD30" s="6">
        <f t="shared" si="2"/>
        <v>0</v>
      </c>
      <c r="AE30" s="6">
        <f t="shared" ca="1" si="3"/>
        <v>146580.42506347122</v>
      </c>
      <c r="AF30" s="4" t="s">
        <v>562</v>
      </c>
    </row>
    <row r="31" spans="1:32" ht="11.25" customHeight="1" x14ac:dyDescent="0.25">
      <c r="A31" s="4" t="s">
        <v>21</v>
      </c>
      <c r="B31" s="4" t="s">
        <v>33</v>
      </c>
      <c r="C31" s="4" t="s">
        <v>34</v>
      </c>
      <c r="D31" s="4" t="s">
        <v>38</v>
      </c>
      <c r="E31" s="4" t="s">
        <v>25</v>
      </c>
      <c r="F31" s="4" t="s">
        <v>55</v>
      </c>
      <c r="G31" s="4" t="s">
        <v>25</v>
      </c>
      <c r="H31" s="4" t="s">
        <v>35</v>
      </c>
      <c r="I31" s="5">
        <v>44440</v>
      </c>
      <c r="J31" s="6">
        <v>0</v>
      </c>
      <c r="K31" s="6">
        <v>0</v>
      </c>
      <c r="L31" s="6">
        <v>77.082999999999998</v>
      </c>
      <c r="M31" s="6">
        <v>38.541499999999999</v>
      </c>
      <c r="N31" s="6">
        <v>0</v>
      </c>
      <c r="O31" s="6">
        <v>0</v>
      </c>
      <c r="P31" s="6">
        <v>0</v>
      </c>
      <c r="Q31" s="4" t="s">
        <v>56</v>
      </c>
      <c r="R31" s="4">
        <v>0</v>
      </c>
      <c r="S31" s="4">
        <v>0</v>
      </c>
      <c r="T31" s="4">
        <v>66</v>
      </c>
      <c r="U31" s="4">
        <v>0</v>
      </c>
      <c r="V31" s="6">
        <f>IF(ISERROR(VLOOKUP($S$31,'TAR FIN'!$A$1:$O$85,15,0)),0,VLOOKUP($S$31,'TAR FIN'!$A$1:$O$85,15,0))</f>
        <v>0</v>
      </c>
      <c r="W31" s="6">
        <f>IF(ISERROR(VLOOKUP($T$31,'TAR FIN'!$A$1:$O$85,15,0)),0,VLOOKUP($T$31,'TAR FIN'!$A$1:$O$85,15,0))</f>
        <v>2263.58</v>
      </c>
      <c r="X31" s="6">
        <f>IF(ISERROR(VLOOKUP($U$31,'TAR FIN'!$A$1:$O$85,15,0)),0,VLOOKUP($U$31,'TAR FIN'!$A$1:$O$85,15,0))</f>
        <v>0</v>
      </c>
      <c r="Y31" s="6"/>
      <c r="Z31" s="6">
        <f ca="1">('TUSD BE'!$AM$11+'TUSD BF'!$AM$11+'TUSD CVA'!$AM$11)*1</f>
        <v>2373.6759655636811</v>
      </c>
      <c r="AA31" s="6"/>
      <c r="AB31" s="6">
        <f t="shared" si="0"/>
        <v>0</v>
      </c>
      <c r="AC31" s="6">
        <f t="shared" si="1"/>
        <v>87241.76857</v>
      </c>
      <c r="AD31" s="6">
        <f t="shared" si="2"/>
        <v>0</v>
      </c>
      <c r="AE31" s="6">
        <f t="shared" ca="1" si="3"/>
        <v>91485.032226772615</v>
      </c>
      <c r="AF31" s="4" t="s">
        <v>562</v>
      </c>
    </row>
    <row r="32" spans="1:32" ht="11.25" customHeight="1" x14ac:dyDescent="0.25">
      <c r="A32" s="4" t="s">
        <v>21</v>
      </c>
      <c r="B32" s="4" t="s">
        <v>33</v>
      </c>
      <c r="C32" s="4" t="s">
        <v>34</v>
      </c>
      <c r="D32" s="4" t="s">
        <v>38</v>
      </c>
      <c r="E32" s="4" t="s">
        <v>25</v>
      </c>
      <c r="F32" s="4" t="s">
        <v>55</v>
      </c>
      <c r="G32" s="4" t="s">
        <v>25</v>
      </c>
      <c r="H32" s="4" t="s">
        <v>35</v>
      </c>
      <c r="I32" s="5">
        <v>44470</v>
      </c>
      <c r="J32" s="6">
        <v>0</v>
      </c>
      <c r="K32" s="6">
        <v>0</v>
      </c>
      <c r="L32" s="6">
        <v>61.756999999999998</v>
      </c>
      <c r="M32" s="6">
        <v>30.878499999999999</v>
      </c>
      <c r="N32" s="6">
        <v>0</v>
      </c>
      <c r="O32" s="6">
        <v>0</v>
      </c>
      <c r="P32" s="6">
        <v>0</v>
      </c>
      <c r="Q32" s="4" t="s">
        <v>56</v>
      </c>
      <c r="R32" s="4">
        <v>0</v>
      </c>
      <c r="S32" s="4">
        <v>0</v>
      </c>
      <c r="T32" s="4">
        <v>66</v>
      </c>
      <c r="U32" s="4">
        <v>0</v>
      </c>
      <c r="V32" s="6">
        <f>IF(ISERROR(VLOOKUP($S$32,'TAR FIN'!$A$1:$O$85,15,0)),0,VLOOKUP($S$32,'TAR FIN'!$A$1:$O$85,15,0))</f>
        <v>0</v>
      </c>
      <c r="W32" s="6">
        <f>IF(ISERROR(VLOOKUP($T$32,'TAR FIN'!$A$1:$O$85,15,0)),0,VLOOKUP($T$32,'TAR FIN'!$A$1:$O$85,15,0))</f>
        <v>2263.58</v>
      </c>
      <c r="X32" s="6">
        <f>IF(ISERROR(VLOOKUP($U$32,'TAR FIN'!$A$1:$O$85,15,0)),0,VLOOKUP($U$32,'TAR FIN'!$A$1:$O$85,15,0))</f>
        <v>0</v>
      </c>
      <c r="Y32" s="6"/>
      <c r="Z32" s="6">
        <f ca="1">('TUSD BE'!$AM$11+'TUSD BF'!$AM$11+'TUSD CVA'!$AM$11)*1</f>
        <v>2373.6759655636811</v>
      </c>
      <c r="AA32" s="6"/>
      <c r="AB32" s="6">
        <f t="shared" si="0"/>
        <v>0</v>
      </c>
      <c r="AC32" s="6">
        <f t="shared" si="1"/>
        <v>69895.955029999997</v>
      </c>
      <c r="AD32" s="6">
        <f t="shared" si="2"/>
        <v>0</v>
      </c>
      <c r="AE32" s="6">
        <f t="shared" ca="1" si="3"/>
        <v>73295.553302658125</v>
      </c>
      <c r="AF32" s="4" t="s">
        <v>562</v>
      </c>
    </row>
    <row r="33" spans="1:32" ht="11.25" customHeight="1" x14ac:dyDescent="0.25">
      <c r="A33" s="4" t="s">
        <v>21</v>
      </c>
      <c r="B33" s="4" t="s">
        <v>33</v>
      </c>
      <c r="C33" s="4" t="s">
        <v>34</v>
      </c>
      <c r="D33" s="4" t="s">
        <v>38</v>
      </c>
      <c r="E33" s="4" t="s">
        <v>25</v>
      </c>
      <c r="F33" s="4" t="s">
        <v>55</v>
      </c>
      <c r="G33" s="4" t="s">
        <v>25</v>
      </c>
      <c r="H33" s="4" t="s">
        <v>35</v>
      </c>
      <c r="I33" s="5">
        <v>44501</v>
      </c>
      <c r="J33" s="6">
        <v>0</v>
      </c>
      <c r="K33" s="6">
        <v>0</v>
      </c>
      <c r="L33" s="6">
        <v>38.241999999999997</v>
      </c>
      <c r="M33" s="6">
        <v>19.120999999999999</v>
      </c>
      <c r="N33" s="6">
        <v>0</v>
      </c>
      <c r="O33" s="6">
        <v>0</v>
      </c>
      <c r="P33" s="6">
        <v>0</v>
      </c>
      <c r="Q33" s="4" t="s">
        <v>56</v>
      </c>
      <c r="R33" s="4">
        <v>0</v>
      </c>
      <c r="S33" s="4">
        <v>0</v>
      </c>
      <c r="T33" s="4">
        <v>66</v>
      </c>
      <c r="U33" s="4">
        <v>0</v>
      </c>
      <c r="V33" s="6">
        <f>IF(ISERROR(VLOOKUP($S$33,'TAR FIN'!$A$1:$O$85,15,0)),0,VLOOKUP($S$33,'TAR FIN'!$A$1:$O$85,15,0))</f>
        <v>0</v>
      </c>
      <c r="W33" s="6">
        <f>IF(ISERROR(VLOOKUP($T$33,'TAR FIN'!$A$1:$O$85,15,0)),0,VLOOKUP($T$33,'TAR FIN'!$A$1:$O$85,15,0))</f>
        <v>2263.58</v>
      </c>
      <c r="X33" s="6">
        <f>IF(ISERROR(VLOOKUP($U$33,'TAR FIN'!$A$1:$O$85,15,0)),0,VLOOKUP($U$33,'TAR FIN'!$A$1:$O$85,15,0))</f>
        <v>0</v>
      </c>
      <c r="Y33" s="6"/>
      <c r="Z33" s="6">
        <f ca="1">('TUSD BE'!$AM$11+'TUSD BF'!$AM$11+'TUSD CVA'!$AM$11)*1</f>
        <v>2373.6759655636811</v>
      </c>
      <c r="AA33" s="6"/>
      <c r="AB33" s="6">
        <f t="shared" si="0"/>
        <v>0</v>
      </c>
      <c r="AC33" s="6">
        <f t="shared" si="1"/>
        <v>43281.913179999996</v>
      </c>
      <c r="AD33" s="6">
        <f t="shared" si="2"/>
        <v>0</v>
      </c>
      <c r="AE33" s="6">
        <f t="shared" ca="1" si="3"/>
        <v>45387.058137543143</v>
      </c>
      <c r="AF33" s="4" t="s">
        <v>562</v>
      </c>
    </row>
    <row r="34" spans="1:32" ht="11.25" customHeight="1" x14ac:dyDescent="0.25">
      <c r="A34" s="4" t="s">
        <v>21</v>
      </c>
      <c r="B34" s="4" t="s">
        <v>33</v>
      </c>
      <c r="C34" s="4" t="s">
        <v>34</v>
      </c>
      <c r="D34" s="4" t="s">
        <v>38</v>
      </c>
      <c r="E34" s="4" t="s">
        <v>25</v>
      </c>
      <c r="F34" s="4" t="s">
        <v>55</v>
      </c>
      <c r="G34" s="4" t="s">
        <v>25</v>
      </c>
      <c r="H34" s="4" t="s">
        <v>35</v>
      </c>
      <c r="I34" s="5">
        <v>44531</v>
      </c>
      <c r="J34" s="6">
        <v>0</v>
      </c>
      <c r="K34" s="6">
        <v>0</v>
      </c>
      <c r="L34" s="6">
        <v>69.284999999999997</v>
      </c>
      <c r="M34" s="6">
        <v>34.642499999999998</v>
      </c>
      <c r="N34" s="6">
        <v>0</v>
      </c>
      <c r="O34" s="6">
        <v>0</v>
      </c>
      <c r="P34" s="6">
        <v>0</v>
      </c>
      <c r="Q34" s="4" t="s">
        <v>56</v>
      </c>
      <c r="R34" s="4">
        <v>0</v>
      </c>
      <c r="S34" s="4">
        <v>0</v>
      </c>
      <c r="T34" s="4">
        <v>66</v>
      </c>
      <c r="U34" s="4">
        <v>0</v>
      </c>
      <c r="V34" s="6">
        <f>IF(ISERROR(VLOOKUP($S$34,'TAR FIN'!$A$1:$O$85,15,0)),0,VLOOKUP($S$34,'TAR FIN'!$A$1:$O$85,15,0))</f>
        <v>0</v>
      </c>
      <c r="W34" s="6">
        <f>IF(ISERROR(VLOOKUP($T$34,'TAR FIN'!$A$1:$O$85,15,0)),0,VLOOKUP($T$34,'TAR FIN'!$A$1:$O$85,15,0))</f>
        <v>2263.58</v>
      </c>
      <c r="X34" s="6">
        <f>IF(ISERROR(VLOOKUP($U$34,'TAR FIN'!$A$1:$O$85,15,0)),0,VLOOKUP($U$34,'TAR FIN'!$A$1:$O$85,15,0))</f>
        <v>0</v>
      </c>
      <c r="Y34" s="6"/>
      <c r="Z34" s="6">
        <f ca="1">('TUSD BE'!$AM$11+'TUSD BF'!$AM$11+'TUSD CVA'!$AM$11)*1</f>
        <v>2373.6759655636811</v>
      </c>
      <c r="AA34" s="6"/>
      <c r="AB34" s="6">
        <f t="shared" si="0"/>
        <v>0</v>
      </c>
      <c r="AC34" s="6">
        <f t="shared" ref="AC34:AC49" si="6">(L34-M34)*W34+(N34-O34)*X34</f>
        <v>78416.07015</v>
      </c>
      <c r="AD34" s="6">
        <f t="shared" si="2"/>
        <v>0</v>
      </c>
      <c r="AE34" s="6">
        <f t="shared" ref="AE34:AE49" ca="1" si="7">(L34-M34)*Z34+(N34-O34)*AA34</f>
        <v>82230.069637039822</v>
      </c>
      <c r="AF34" s="4" t="s">
        <v>562</v>
      </c>
    </row>
    <row r="35" spans="1:32" ht="11.25" customHeight="1" x14ac:dyDescent="0.25">
      <c r="A35" s="4" t="s">
        <v>21</v>
      </c>
      <c r="B35" s="4" t="s">
        <v>33</v>
      </c>
      <c r="C35" s="4" t="s">
        <v>34</v>
      </c>
      <c r="D35" s="4" t="s">
        <v>38</v>
      </c>
      <c r="E35" s="4" t="s">
        <v>25</v>
      </c>
      <c r="F35" s="4" t="s">
        <v>55</v>
      </c>
      <c r="G35" s="4" t="s">
        <v>25</v>
      </c>
      <c r="H35" s="4" t="s">
        <v>35</v>
      </c>
      <c r="I35" s="5">
        <v>44562</v>
      </c>
      <c r="J35" s="6">
        <v>0</v>
      </c>
      <c r="K35" s="6">
        <v>0</v>
      </c>
      <c r="L35" s="6">
        <v>118.67</v>
      </c>
      <c r="M35" s="6">
        <v>59.335000000000001</v>
      </c>
      <c r="N35" s="6">
        <v>0</v>
      </c>
      <c r="O35" s="6">
        <v>0</v>
      </c>
      <c r="P35" s="6">
        <v>0</v>
      </c>
      <c r="Q35" s="4" t="s">
        <v>56</v>
      </c>
      <c r="R35" s="4">
        <v>0</v>
      </c>
      <c r="S35" s="4">
        <v>0</v>
      </c>
      <c r="T35" s="4">
        <v>66</v>
      </c>
      <c r="U35" s="4">
        <v>0</v>
      </c>
      <c r="V35" s="6">
        <f>IF(ISERROR(VLOOKUP($S$35,'TAR FIN'!$A$1:$O$85,15,0)),0,VLOOKUP($S$35,'TAR FIN'!$A$1:$O$85,15,0))</f>
        <v>0</v>
      </c>
      <c r="W35" s="6">
        <f>IF(ISERROR(VLOOKUP($T$35,'TAR FIN'!$A$1:$O$85,15,0)),0,VLOOKUP($T$35,'TAR FIN'!$A$1:$O$85,15,0))</f>
        <v>2263.58</v>
      </c>
      <c r="X35" s="6">
        <f>IF(ISERROR(VLOOKUP($U$35,'TAR FIN'!$A$1:$O$85,15,0)),0,VLOOKUP($U$35,'TAR FIN'!$A$1:$O$85,15,0))</f>
        <v>0</v>
      </c>
      <c r="Y35" s="6"/>
      <c r="Z35" s="6">
        <f ca="1">('TUSD BE'!$AM$11+'TUSD BF'!$AM$11+'TUSD CVA'!$AM$11)*1</f>
        <v>2373.6759655636811</v>
      </c>
      <c r="AA35" s="6"/>
      <c r="AB35" s="6">
        <f t="shared" si="0"/>
        <v>0</v>
      </c>
      <c r="AC35" s="6">
        <f t="shared" si="6"/>
        <v>134309.51929999999</v>
      </c>
      <c r="AD35" s="6">
        <f t="shared" si="2"/>
        <v>0</v>
      </c>
      <c r="AE35" s="6">
        <f t="shared" ca="1" si="7"/>
        <v>140842.06341672101</v>
      </c>
      <c r="AF35" s="4" t="s">
        <v>562</v>
      </c>
    </row>
    <row r="36" spans="1:32" ht="11.25" customHeight="1" x14ac:dyDescent="0.25">
      <c r="A36" s="4" t="s">
        <v>21</v>
      </c>
      <c r="B36" s="4" t="s">
        <v>33</v>
      </c>
      <c r="C36" s="4" t="s">
        <v>34</v>
      </c>
      <c r="D36" s="4" t="s">
        <v>38</v>
      </c>
      <c r="E36" s="4" t="s">
        <v>25</v>
      </c>
      <c r="F36" s="4" t="s">
        <v>55</v>
      </c>
      <c r="G36" s="4" t="s">
        <v>25</v>
      </c>
      <c r="H36" s="4" t="s">
        <v>35</v>
      </c>
      <c r="I36" s="5">
        <v>44593</v>
      </c>
      <c r="J36" s="6">
        <v>0</v>
      </c>
      <c r="K36" s="6">
        <v>0</v>
      </c>
      <c r="L36" s="6">
        <v>158.113</v>
      </c>
      <c r="M36" s="6">
        <v>79.0565</v>
      </c>
      <c r="N36" s="6">
        <v>0</v>
      </c>
      <c r="O36" s="6">
        <v>0</v>
      </c>
      <c r="P36" s="6">
        <v>0</v>
      </c>
      <c r="Q36" s="4" t="s">
        <v>56</v>
      </c>
      <c r="R36" s="4">
        <v>0</v>
      </c>
      <c r="S36" s="4">
        <v>0</v>
      </c>
      <c r="T36" s="4">
        <v>66</v>
      </c>
      <c r="U36" s="4">
        <v>0</v>
      </c>
      <c r="V36" s="6">
        <f>IF(ISERROR(VLOOKUP($S$36,'TAR FIN'!$A$1:$O$85,15,0)),0,VLOOKUP($S$36,'TAR FIN'!$A$1:$O$85,15,0))</f>
        <v>0</v>
      </c>
      <c r="W36" s="6">
        <f>IF(ISERROR(VLOOKUP($T$36,'TAR FIN'!$A$1:$O$85,15,0)),0,VLOOKUP($T$36,'TAR FIN'!$A$1:$O$85,15,0))</f>
        <v>2263.58</v>
      </c>
      <c r="X36" s="6">
        <f>IF(ISERROR(VLOOKUP($U$36,'TAR FIN'!$A$1:$O$85,15,0)),0,VLOOKUP($U$36,'TAR FIN'!$A$1:$O$85,15,0))</f>
        <v>0</v>
      </c>
      <c r="Y36" s="6"/>
      <c r="Z36" s="6">
        <f ca="1">('TUSD BE'!$AM$11+'TUSD BF'!$AM$11+'TUSD CVA'!$AM$11)*1</f>
        <v>2373.6759655636811</v>
      </c>
      <c r="AA36" s="6"/>
      <c r="AB36" s="6">
        <f t="shared" si="0"/>
        <v>0</v>
      </c>
      <c r="AC36" s="6">
        <f t="shared" si="6"/>
        <v>178950.71226999999</v>
      </c>
      <c r="AD36" s="6">
        <f t="shared" si="2"/>
        <v>0</v>
      </c>
      <c r="AE36" s="6">
        <f t="shared" ca="1" si="7"/>
        <v>187654.51397158514</v>
      </c>
      <c r="AF36" s="4" t="s">
        <v>562</v>
      </c>
    </row>
    <row r="37" spans="1:32" ht="11.25" customHeight="1" x14ac:dyDescent="0.25">
      <c r="A37" s="4" t="s">
        <v>54</v>
      </c>
      <c r="B37" s="4" t="s">
        <v>33</v>
      </c>
      <c r="C37" s="4" t="s">
        <v>34</v>
      </c>
      <c r="D37" s="4" t="s">
        <v>38</v>
      </c>
      <c r="E37" s="4" t="s">
        <v>25</v>
      </c>
      <c r="F37" s="4" t="s">
        <v>55</v>
      </c>
      <c r="G37" s="4" t="s">
        <v>25</v>
      </c>
      <c r="H37" s="4" t="s">
        <v>35</v>
      </c>
      <c r="I37" s="5">
        <v>44621</v>
      </c>
      <c r="J37" s="6">
        <v>0</v>
      </c>
      <c r="K37" s="6">
        <v>0</v>
      </c>
      <c r="L37" s="6">
        <v>158.113</v>
      </c>
      <c r="M37" s="6">
        <v>79.0565</v>
      </c>
      <c r="N37" s="6">
        <v>0</v>
      </c>
      <c r="O37" s="6">
        <v>0</v>
      </c>
      <c r="P37" s="6">
        <v>0</v>
      </c>
      <c r="Q37" s="4" t="s">
        <v>56</v>
      </c>
      <c r="R37" s="4">
        <v>0</v>
      </c>
      <c r="S37" s="4">
        <v>0</v>
      </c>
      <c r="T37" s="4">
        <v>66</v>
      </c>
      <c r="U37" s="4">
        <v>0</v>
      </c>
      <c r="V37" s="6">
        <f>IF(ISERROR(VLOOKUP($S$37,'TAR FIN'!$A$1:$O$85,15,0)),0,VLOOKUP($S$37,'TAR FIN'!$A$1:$O$85,15,0))</f>
        <v>0</v>
      </c>
      <c r="W37" s="6">
        <f>IF(ISERROR(VLOOKUP($T$37,'TAR FIN'!$A$1:$O$85,15,0)),0,VLOOKUP($T$37,'TAR FIN'!$A$1:$O$85,15,0))</f>
        <v>2263.58</v>
      </c>
      <c r="X37" s="6">
        <f>IF(ISERROR(VLOOKUP($U$37,'TAR FIN'!$A$1:$O$85,15,0)),0,VLOOKUP($U$37,'TAR FIN'!$A$1:$O$85,15,0))</f>
        <v>0</v>
      </c>
      <c r="Y37" s="6"/>
      <c r="Z37" s="6">
        <f ca="1">('TUSD BE'!$AM$11+'TUSD BF'!$AM$11+'TUSD CVA'!$AM$11)*1</f>
        <v>2373.6759655636811</v>
      </c>
      <c r="AA37" s="6"/>
      <c r="AB37" s="6">
        <f t="shared" si="0"/>
        <v>0</v>
      </c>
      <c r="AC37" s="6">
        <f t="shared" si="6"/>
        <v>178950.71226999999</v>
      </c>
      <c r="AD37" s="6">
        <f t="shared" si="2"/>
        <v>0</v>
      </c>
      <c r="AE37" s="6">
        <f t="shared" ca="1" si="7"/>
        <v>187654.51397158514</v>
      </c>
      <c r="AF37" s="4" t="s">
        <v>562</v>
      </c>
    </row>
    <row r="38" spans="1:32" ht="11.25" customHeight="1" x14ac:dyDescent="0.25">
      <c r="A38" s="4" t="s">
        <v>21</v>
      </c>
      <c r="B38" s="4" t="s">
        <v>33</v>
      </c>
      <c r="C38" s="4" t="s">
        <v>34</v>
      </c>
      <c r="D38" s="4" t="s">
        <v>41</v>
      </c>
      <c r="E38" s="4" t="s">
        <v>50</v>
      </c>
      <c r="F38" s="4" t="s">
        <v>52</v>
      </c>
      <c r="G38" s="4" t="s">
        <v>25</v>
      </c>
      <c r="H38" s="4" t="s">
        <v>36</v>
      </c>
      <c r="I38" s="5">
        <v>44287</v>
      </c>
      <c r="J38" s="6">
        <v>0</v>
      </c>
      <c r="K38" s="6">
        <v>0</v>
      </c>
      <c r="L38" s="6">
        <v>2758.2179999999998</v>
      </c>
      <c r="M38" s="6">
        <v>827.46540000000005</v>
      </c>
      <c r="N38" s="6">
        <v>2758.2179999999998</v>
      </c>
      <c r="O38" s="6">
        <v>827.46540000000005</v>
      </c>
      <c r="P38" s="6">
        <v>0</v>
      </c>
      <c r="Q38" s="4" t="s">
        <v>26</v>
      </c>
      <c r="R38" s="4">
        <v>0</v>
      </c>
      <c r="S38" s="4">
        <v>0</v>
      </c>
      <c r="T38" s="4">
        <v>47</v>
      </c>
      <c r="U38" s="4">
        <v>27</v>
      </c>
      <c r="V38" s="6">
        <f>IF(ISERROR(VLOOKUP($S$38,'TAR FIN'!$A$1:$O$85,15,0)),0,VLOOKUP($S$38,'TAR FIN'!$A$1:$O$85,15,0))</f>
        <v>0</v>
      </c>
      <c r="W38" s="6">
        <f>IF(ISERROR(VLOOKUP($T$38,'TAR FIN'!$A$1:$O$85,15,0)),0,VLOOKUP($T$38,'TAR FIN'!$A$1:$O$85,15,0))</f>
        <v>72.23</v>
      </c>
      <c r="X38" s="6">
        <f>IF(ISERROR(VLOOKUP($U$38,'TAR FIN'!$A$1:$O$85,15,0)),0,VLOOKUP($U$38,'TAR FIN'!$A$1:$O$85,15,0))</f>
        <v>223.72</v>
      </c>
      <c r="Y38" s="6"/>
      <c r="Z38" s="6">
        <f ca="1">('TUSD BE'!$AM$12+'TUSD BF'!$AM$12+'TUSD CVA'!$AM$12)*1</f>
        <v>103.30505917577378</v>
      </c>
      <c r="AA38" s="6">
        <f>('TE BE'!$AA$6+'TE BF'!$AA$6+'TE CVA'!$AA$6)*1</f>
        <v>217.62939920622892</v>
      </c>
      <c r="AB38" s="6">
        <f t="shared" si="0"/>
        <v>0</v>
      </c>
      <c r="AC38" s="6">
        <f t="shared" si="6"/>
        <v>571406.23196999996</v>
      </c>
      <c r="AD38" s="6">
        <f t="shared" si="2"/>
        <v>0</v>
      </c>
      <c r="AE38" s="6">
        <f t="shared" ca="1" si="7"/>
        <v>619645.03995064343</v>
      </c>
      <c r="AF38" s="4" t="s">
        <v>564</v>
      </c>
    </row>
    <row r="39" spans="1:32" ht="11.25" customHeight="1" x14ac:dyDescent="0.25">
      <c r="A39" s="4" t="s">
        <v>21</v>
      </c>
      <c r="B39" s="4" t="s">
        <v>33</v>
      </c>
      <c r="C39" s="4" t="s">
        <v>34</v>
      </c>
      <c r="D39" s="4" t="s">
        <v>41</v>
      </c>
      <c r="E39" s="4" t="s">
        <v>50</v>
      </c>
      <c r="F39" s="4" t="s">
        <v>52</v>
      </c>
      <c r="G39" s="4" t="s">
        <v>25</v>
      </c>
      <c r="H39" s="4" t="s">
        <v>36</v>
      </c>
      <c r="I39" s="5">
        <v>44317</v>
      </c>
      <c r="J39" s="6">
        <v>0</v>
      </c>
      <c r="K39" s="6">
        <v>0</v>
      </c>
      <c r="L39" s="6">
        <v>2399.1280000000002</v>
      </c>
      <c r="M39" s="6">
        <v>719.73839999999996</v>
      </c>
      <c r="N39" s="6">
        <v>2399.1280000000002</v>
      </c>
      <c r="O39" s="6">
        <v>719.73839999999996</v>
      </c>
      <c r="P39" s="6">
        <v>0</v>
      </c>
      <c r="Q39" s="4" t="s">
        <v>26</v>
      </c>
      <c r="R39" s="4">
        <v>0</v>
      </c>
      <c r="S39" s="4">
        <v>0</v>
      </c>
      <c r="T39" s="4">
        <v>47</v>
      </c>
      <c r="U39" s="4">
        <v>27</v>
      </c>
      <c r="V39" s="6">
        <f>IF(ISERROR(VLOOKUP($S$39,'TAR FIN'!$A$1:$O$85,15,0)),0,VLOOKUP($S$39,'TAR FIN'!$A$1:$O$85,15,0))</f>
        <v>0</v>
      </c>
      <c r="W39" s="6">
        <f>IF(ISERROR(VLOOKUP($T$39,'TAR FIN'!$A$1:$O$85,15,0)),0,VLOOKUP($T$39,'TAR FIN'!$A$1:$O$85,15,0))</f>
        <v>72.23</v>
      </c>
      <c r="X39" s="6">
        <f>IF(ISERROR(VLOOKUP($U$39,'TAR FIN'!$A$1:$O$85,15,0)),0,VLOOKUP($U$39,'TAR FIN'!$A$1:$O$85,15,0))</f>
        <v>223.72</v>
      </c>
      <c r="Y39" s="6"/>
      <c r="Z39" s="6">
        <f ca="1">('TUSD BE'!$AM$12+'TUSD BF'!$AM$12+'TUSD CVA'!$AM$12)*1</f>
        <v>103.30505917577378</v>
      </c>
      <c r="AA39" s="6">
        <f>('TE BE'!$AA$6+'TE BF'!$AA$6+'TE CVA'!$AA$6)*1</f>
        <v>217.62939920622892</v>
      </c>
      <c r="AB39" s="6">
        <f t="shared" si="0"/>
        <v>0</v>
      </c>
      <c r="AC39" s="6">
        <f t="shared" si="6"/>
        <v>497015.35212000005</v>
      </c>
      <c r="AD39" s="6">
        <f t="shared" si="2"/>
        <v>0</v>
      </c>
      <c r="AE39" s="6">
        <f t="shared" ca="1" si="7"/>
        <v>538973.99168836826</v>
      </c>
      <c r="AF39" s="4" t="s">
        <v>564</v>
      </c>
    </row>
    <row r="40" spans="1:32" ht="11.25" customHeight="1" x14ac:dyDescent="0.25">
      <c r="A40" s="4" t="s">
        <v>21</v>
      </c>
      <c r="B40" s="4" t="s">
        <v>33</v>
      </c>
      <c r="C40" s="4" t="s">
        <v>34</v>
      </c>
      <c r="D40" s="4" t="s">
        <v>41</v>
      </c>
      <c r="E40" s="4" t="s">
        <v>50</v>
      </c>
      <c r="F40" s="4" t="s">
        <v>52</v>
      </c>
      <c r="G40" s="4" t="s">
        <v>25</v>
      </c>
      <c r="H40" s="4" t="s">
        <v>36</v>
      </c>
      <c r="I40" s="5">
        <v>44348</v>
      </c>
      <c r="J40" s="6">
        <v>0</v>
      </c>
      <c r="K40" s="6">
        <v>0</v>
      </c>
      <c r="L40" s="6">
        <v>622.09799999999996</v>
      </c>
      <c r="M40" s="6">
        <v>186.6294</v>
      </c>
      <c r="N40" s="6">
        <v>622.09799999999996</v>
      </c>
      <c r="O40" s="6">
        <v>186.6294</v>
      </c>
      <c r="P40" s="6">
        <v>0</v>
      </c>
      <c r="Q40" s="4" t="s">
        <v>26</v>
      </c>
      <c r="R40" s="4">
        <v>0</v>
      </c>
      <c r="S40" s="4">
        <v>0</v>
      </c>
      <c r="T40" s="4">
        <v>47</v>
      </c>
      <c r="U40" s="4">
        <v>27</v>
      </c>
      <c r="V40" s="6">
        <f>IF(ISERROR(VLOOKUP($S$40,'TAR FIN'!$A$1:$O$85,15,0)),0,VLOOKUP($S$40,'TAR FIN'!$A$1:$O$85,15,0))</f>
        <v>0</v>
      </c>
      <c r="W40" s="6">
        <f>IF(ISERROR(VLOOKUP($T$40,'TAR FIN'!$A$1:$O$85,15,0)),0,VLOOKUP($T$40,'TAR FIN'!$A$1:$O$85,15,0))</f>
        <v>72.23</v>
      </c>
      <c r="X40" s="6">
        <f>IF(ISERROR(VLOOKUP($U$40,'TAR FIN'!$A$1:$O$85,15,0)),0,VLOOKUP($U$40,'TAR FIN'!$A$1:$O$85,15,0))</f>
        <v>223.72</v>
      </c>
      <c r="Y40" s="6"/>
      <c r="Z40" s="6">
        <f ca="1">('TUSD BE'!$AM$12+'TUSD BF'!$AM$12+'TUSD CVA'!$AM$12)*1</f>
        <v>103.30505917577378</v>
      </c>
      <c r="AA40" s="6">
        <f>('TE BE'!$AA$6+'TE BF'!$AA$6+'TE CVA'!$AA$6)*1</f>
        <v>217.62939920622892</v>
      </c>
      <c r="AB40" s="6">
        <f t="shared" si="0"/>
        <v>0</v>
      </c>
      <c r="AC40" s="6">
        <f t="shared" si="6"/>
        <v>128876.93216999999</v>
      </c>
      <c r="AD40" s="6">
        <f t="shared" si="2"/>
        <v>0</v>
      </c>
      <c r="AE40" s="6">
        <f t="shared" ca="1" si="7"/>
        <v>139756.87928336897</v>
      </c>
      <c r="AF40" s="4" t="s">
        <v>564</v>
      </c>
    </row>
    <row r="41" spans="1:32" ht="11.25" customHeight="1" x14ac:dyDescent="0.25">
      <c r="A41" s="4" t="s">
        <v>21</v>
      </c>
      <c r="B41" s="4" t="s">
        <v>33</v>
      </c>
      <c r="C41" s="4" t="s">
        <v>34</v>
      </c>
      <c r="D41" s="4" t="s">
        <v>41</v>
      </c>
      <c r="E41" s="4" t="s">
        <v>50</v>
      </c>
      <c r="F41" s="4" t="s">
        <v>52</v>
      </c>
      <c r="G41" s="4" t="s">
        <v>25</v>
      </c>
      <c r="H41" s="4" t="s">
        <v>36</v>
      </c>
      <c r="I41" s="5">
        <v>44378</v>
      </c>
      <c r="J41" s="6">
        <v>0</v>
      </c>
      <c r="K41" s="6">
        <v>0</v>
      </c>
      <c r="L41" s="6">
        <v>1602.904</v>
      </c>
      <c r="M41" s="6">
        <v>480.87119999999999</v>
      </c>
      <c r="N41" s="6">
        <v>1602.904</v>
      </c>
      <c r="O41" s="6">
        <v>480.87119999999999</v>
      </c>
      <c r="P41" s="6">
        <v>0</v>
      </c>
      <c r="Q41" s="4" t="s">
        <v>26</v>
      </c>
      <c r="R41" s="4">
        <v>0</v>
      </c>
      <c r="S41" s="4">
        <v>0</v>
      </c>
      <c r="T41" s="4">
        <v>47</v>
      </c>
      <c r="U41" s="4">
        <v>27</v>
      </c>
      <c r="V41" s="6">
        <f>IF(ISERROR(VLOOKUP($S$41,'TAR FIN'!$A$1:$O$85,15,0)),0,VLOOKUP($S$41,'TAR FIN'!$A$1:$O$85,15,0))</f>
        <v>0</v>
      </c>
      <c r="W41" s="6">
        <f>IF(ISERROR(VLOOKUP($T$41,'TAR FIN'!$A$1:$O$85,15,0)),0,VLOOKUP($T$41,'TAR FIN'!$A$1:$O$85,15,0))</f>
        <v>72.23</v>
      </c>
      <c r="X41" s="6">
        <f>IF(ISERROR(VLOOKUP($U$41,'TAR FIN'!$A$1:$O$85,15,0)),0,VLOOKUP($U$41,'TAR FIN'!$A$1:$O$85,15,0))</f>
        <v>223.72</v>
      </c>
      <c r="Y41" s="6"/>
      <c r="Z41" s="6">
        <f ca="1">('TUSD BE'!$AM$12+'TUSD BF'!$AM$12+'TUSD CVA'!$AM$12)*1</f>
        <v>103.30505917577378</v>
      </c>
      <c r="AA41" s="6">
        <f>('TE BE'!$AA$6+'TE BF'!$AA$6+'TE CVA'!$AA$6)*1</f>
        <v>217.62939920622892</v>
      </c>
      <c r="AB41" s="6">
        <f t="shared" si="0"/>
        <v>0</v>
      </c>
      <c r="AC41" s="6">
        <f t="shared" si="6"/>
        <v>332065.60716000001</v>
      </c>
      <c r="AD41" s="6">
        <f t="shared" si="2"/>
        <v>0</v>
      </c>
      <c r="AE41" s="6">
        <f t="shared" ca="1" si="7"/>
        <v>360098.98895484197</v>
      </c>
      <c r="AF41" s="4" t="s">
        <v>564</v>
      </c>
    </row>
    <row r="42" spans="1:32" ht="11.25" customHeight="1" x14ac:dyDescent="0.25">
      <c r="A42" s="4" t="s">
        <v>21</v>
      </c>
      <c r="B42" s="4" t="s">
        <v>33</v>
      </c>
      <c r="C42" s="4" t="s">
        <v>34</v>
      </c>
      <c r="D42" s="4" t="s">
        <v>41</v>
      </c>
      <c r="E42" s="4" t="s">
        <v>50</v>
      </c>
      <c r="F42" s="4" t="s">
        <v>52</v>
      </c>
      <c r="G42" s="4" t="s">
        <v>25</v>
      </c>
      <c r="H42" s="4" t="s">
        <v>36</v>
      </c>
      <c r="I42" s="5">
        <v>44409</v>
      </c>
      <c r="J42" s="6">
        <v>0</v>
      </c>
      <c r="K42" s="6">
        <v>0</v>
      </c>
      <c r="L42" s="6">
        <v>2331.518</v>
      </c>
      <c r="M42" s="6">
        <v>699.45540000000005</v>
      </c>
      <c r="N42" s="6">
        <v>2331.518</v>
      </c>
      <c r="O42" s="6">
        <v>699.45540000000005</v>
      </c>
      <c r="P42" s="6">
        <v>0</v>
      </c>
      <c r="Q42" s="4" t="s">
        <v>26</v>
      </c>
      <c r="R42" s="4">
        <v>0</v>
      </c>
      <c r="S42" s="4">
        <v>0</v>
      </c>
      <c r="T42" s="4">
        <v>47</v>
      </c>
      <c r="U42" s="4">
        <v>27</v>
      </c>
      <c r="V42" s="6">
        <f>IF(ISERROR(VLOOKUP($S$42,'TAR FIN'!$A$1:$O$85,15,0)),0,VLOOKUP($S$42,'TAR FIN'!$A$1:$O$85,15,0))</f>
        <v>0</v>
      </c>
      <c r="W42" s="6">
        <f>IF(ISERROR(VLOOKUP($T$42,'TAR FIN'!$A$1:$O$85,15,0)),0,VLOOKUP($T$42,'TAR FIN'!$A$1:$O$85,15,0))</f>
        <v>72.23</v>
      </c>
      <c r="X42" s="6">
        <f>IF(ISERROR(VLOOKUP($U$42,'TAR FIN'!$A$1:$O$85,15,0)),0,VLOOKUP($U$42,'TAR FIN'!$A$1:$O$85,15,0))</f>
        <v>223.72</v>
      </c>
      <c r="Y42" s="6"/>
      <c r="Z42" s="6">
        <f ca="1">('TUSD BE'!$AM$12+'TUSD BF'!$AM$12+'TUSD CVA'!$AM$12)*1</f>
        <v>103.30505917577378</v>
      </c>
      <c r="AA42" s="6">
        <f>('TE BE'!$AA$6+'TE BF'!$AA$6+'TE CVA'!$AA$6)*1</f>
        <v>217.62939920622892</v>
      </c>
      <c r="AB42" s="6">
        <f t="shared" si="0"/>
        <v>0</v>
      </c>
      <c r="AC42" s="6">
        <f t="shared" si="6"/>
        <v>483008.92647000001</v>
      </c>
      <c r="AD42" s="6">
        <f t="shared" si="2"/>
        <v>0</v>
      </c>
      <c r="AE42" s="6">
        <f t="shared" ca="1" si="7"/>
        <v>523785.12657652318</v>
      </c>
      <c r="AF42" s="4" t="s">
        <v>564</v>
      </c>
    </row>
    <row r="43" spans="1:32" ht="11.25" customHeight="1" x14ac:dyDescent="0.25">
      <c r="A43" s="4" t="s">
        <v>21</v>
      </c>
      <c r="B43" s="4" t="s">
        <v>33</v>
      </c>
      <c r="C43" s="4" t="s">
        <v>34</v>
      </c>
      <c r="D43" s="4" t="s">
        <v>41</v>
      </c>
      <c r="E43" s="4" t="s">
        <v>50</v>
      </c>
      <c r="F43" s="4" t="s">
        <v>52</v>
      </c>
      <c r="G43" s="4" t="s">
        <v>25</v>
      </c>
      <c r="H43" s="4" t="s">
        <v>36</v>
      </c>
      <c r="I43" s="5">
        <v>44440</v>
      </c>
      <c r="J43" s="6">
        <v>0</v>
      </c>
      <c r="K43" s="6">
        <v>0</v>
      </c>
      <c r="L43" s="6">
        <v>2273.6559999999999</v>
      </c>
      <c r="M43" s="6">
        <v>682.09680000000003</v>
      </c>
      <c r="N43" s="6">
        <v>2273.6559999999999</v>
      </c>
      <c r="O43" s="6">
        <v>682.09680000000003</v>
      </c>
      <c r="P43" s="6">
        <v>0</v>
      </c>
      <c r="Q43" s="4" t="s">
        <v>26</v>
      </c>
      <c r="R43" s="4">
        <v>0</v>
      </c>
      <c r="S43" s="4">
        <v>0</v>
      </c>
      <c r="T43" s="4">
        <v>47</v>
      </c>
      <c r="U43" s="4">
        <v>27</v>
      </c>
      <c r="V43" s="6">
        <f>IF(ISERROR(VLOOKUP($S$43,'TAR FIN'!$A$1:$O$85,15,0)),0,VLOOKUP($S$43,'TAR FIN'!$A$1:$O$85,15,0))</f>
        <v>0</v>
      </c>
      <c r="W43" s="6">
        <f>IF(ISERROR(VLOOKUP($T$43,'TAR FIN'!$A$1:$O$85,15,0)),0,VLOOKUP($T$43,'TAR FIN'!$A$1:$O$85,15,0))</f>
        <v>72.23</v>
      </c>
      <c r="X43" s="6">
        <f>IF(ISERROR(VLOOKUP($U$43,'TAR FIN'!$A$1:$O$85,15,0)),0,VLOOKUP($U$43,'TAR FIN'!$A$1:$O$85,15,0))</f>
        <v>223.72</v>
      </c>
      <c r="Y43" s="6"/>
      <c r="Z43" s="6">
        <f ca="1">('TUSD BE'!$AM$12+'TUSD BF'!$AM$12+'TUSD CVA'!$AM$12)*1</f>
        <v>103.30505917577378</v>
      </c>
      <c r="AA43" s="6">
        <f>('TE BE'!$AA$6+'TE BF'!$AA$6+'TE CVA'!$AA$6)*1</f>
        <v>217.62939920622892</v>
      </c>
      <c r="AB43" s="6">
        <f t="shared" si="0"/>
        <v>0</v>
      </c>
      <c r="AC43" s="6">
        <f t="shared" si="6"/>
        <v>471021.94523999997</v>
      </c>
      <c r="AD43" s="6">
        <f t="shared" si="2"/>
        <v>0</v>
      </c>
      <c r="AE43" s="6">
        <f t="shared" ca="1" si="7"/>
        <v>510786.18983489345</v>
      </c>
      <c r="AF43" s="4" t="s">
        <v>564</v>
      </c>
    </row>
    <row r="44" spans="1:32" ht="11.25" customHeight="1" x14ac:dyDescent="0.25">
      <c r="A44" s="4" t="s">
        <v>21</v>
      </c>
      <c r="B44" s="4" t="s">
        <v>33</v>
      </c>
      <c r="C44" s="4" t="s">
        <v>34</v>
      </c>
      <c r="D44" s="4" t="s">
        <v>41</v>
      </c>
      <c r="E44" s="4" t="s">
        <v>50</v>
      </c>
      <c r="F44" s="4" t="s">
        <v>52</v>
      </c>
      <c r="G44" s="4" t="s">
        <v>25</v>
      </c>
      <c r="H44" s="4" t="s">
        <v>36</v>
      </c>
      <c r="I44" s="5">
        <v>44470</v>
      </c>
      <c r="J44" s="6">
        <v>0</v>
      </c>
      <c r="K44" s="6">
        <v>0</v>
      </c>
      <c r="L44" s="6">
        <v>1691.5060000000001</v>
      </c>
      <c r="M44" s="6">
        <v>507.45179999999999</v>
      </c>
      <c r="N44" s="6">
        <v>1691.5060000000001</v>
      </c>
      <c r="O44" s="6">
        <v>507.45179999999999</v>
      </c>
      <c r="P44" s="6">
        <v>0</v>
      </c>
      <c r="Q44" s="4" t="s">
        <v>26</v>
      </c>
      <c r="R44" s="4">
        <v>0</v>
      </c>
      <c r="S44" s="4">
        <v>0</v>
      </c>
      <c r="T44" s="4">
        <v>47</v>
      </c>
      <c r="U44" s="4">
        <v>27</v>
      </c>
      <c r="V44" s="6">
        <f>IF(ISERROR(VLOOKUP($S$44,'TAR FIN'!$A$1:$O$85,15,0)),0,VLOOKUP($S$44,'TAR FIN'!$A$1:$O$85,15,0))</f>
        <v>0</v>
      </c>
      <c r="W44" s="6">
        <f>IF(ISERROR(VLOOKUP($T$44,'TAR FIN'!$A$1:$O$85,15,0)),0,VLOOKUP($T$44,'TAR FIN'!$A$1:$O$85,15,0))</f>
        <v>72.23</v>
      </c>
      <c r="X44" s="6">
        <f>IF(ISERROR(VLOOKUP($U$44,'TAR FIN'!$A$1:$O$85,15,0)),0,VLOOKUP($U$44,'TAR FIN'!$A$1:$O$85,15,0))</f>
        <v>223.72</v>
      </c>
      <c r="Y44" s="6"/>
      <c r="Z44" s="6">
        <f ca="1">('TUSD BE'!$AM$12+'TUSD BF'!$AM$12+'TUSD CVA'!$AM$12)*1</f>
        <v>103.30505917577378</v>
      </c>
      <c r="AA44" s="6">
        <f>('TE BE'!$AA$6+'TE BF'!$AA$6+'TE CVA'!$AA$6)*1</f>
        <v>217.62939920622892</v>
      </c>
      <c r="AB44" s="6">
        <f t="shared" si="0"/>
        <v>0</v>
      </c>
      <c r="AC44" s="6">
        <f t="shared" si="6"/>
        <v>350420.84049000003</v>
      </c>
      <c r="AD44" s="6">
        <f t="shared" si="2"/>
        <v>0</v>
      </c>
      <c r="AE44" s="6">
        <f t="shared" ca="1" si="7"/>
        <v>380003.79337193549</v>
      </c>
      <c r="AF44" s="4" t="s">
        <v>564</v>
      </c>
    </row>
    <row r="45" spans="1:32" ht="11.25" customHeight="1" x14ac:dyDescent="0.25">
      <c r="A45" s="4" t="s">
        <v>21</v>
      </c>
      <c r="B45" s="4" t="s">
        <v>33</v>
      </c>
      <c r="C45" s="4" t="s">
        <v>34</v>
      </c>
      <c r="D45" s="4" t="s">
        <v>41</v>
      </c>
      <c r="E45" s="4" t="s">
        <v>50</v>
      </c>
      <c r="F45" s="4" t="s">
        <v>52</v>
      </c>
      <c r="G45" s="4" t="s">
        <v>25</v>
      </c>
      <c r="H45" s="4" t="s">
        <v>36</v>
      </c>
      <c r="I45" s="5">
        <v>44501</v>
      </c>
      <c r="J45" s="6">
        <v>0</v>
      </c>
      <c r="K45" s="6">
        <v>0</v>
      </c>
      <c r="L45" s="6">
        <v>3128.319</v>
      </c>
      <c r="M45" s="6">
        <v>938.49570000000006</v>
      </c>
      <c r="N45" s="6">
        <v>3128.319</v>
      </c>
      <c r="O45" s="6">
        <v>938.49570000000006</v>
      </c>
      <c r="P45" s="6">
        <v>0</v>
      </c>
      <c r="Q45" s="4" t="s">
        <v>26</v>
      </c>
      <c r="R45" s="4">
        <v>0</v>
      </c>
      <c r="S45" s="4">
        <v>0</v>
      </c>
      <c r="T45" s="4">
        <v>47</v>
      </c>
      <c r="U45" s="4">
        <v>27</v>
      </c>
      <c r="V45" s="6">
        <f>IF(ISERROR(VLOOKUP($S$45,'TAR FIN'!$A$1:$O$85,15,0)),0,VLOOKUP($S$45,'TAR FIN'!$A$1:$O$85,15,0))</f>
        <v>0</v>
      </c>
      <c r="W45" s="6">
        <f>IF(ISERROR(VLOOKUP($T$45,'TAR FIN'!$A$1:$O$85,15,0)),0,VLOOKUP($T$45,'TAR FIN'!$A$1:$O$85,15,0))</f>
        <v>72.23</v>
      </c>
      <c r="X45" s="6">
        <f>IF(ISERROR(VLOOKUP($U$45,'TAR FIN'!$A$1:$O$85,15,0)),0,VLOOKUP($U$45,'TAR FIN'!$A$1:$O$85,15,0))</f>
        <v>223.72</v>
      </c>
      <c r="Y45" s="6"/>
      <c r="Z45" s="6">
        <f ca="1">('TUSD BE'!$AM$12+'TUSD BF'!$AM$12+'TUSD CVA'!$AM$12)*1</f>
        <v>103.30505917577378</v>
      </c>
      <c r="AA45" s="6">
        <f>('TE BE'!$AA$6+'TE BF'!$AA$6+'TE CVA'!$AA$6)*1</f>
        <v>217.62939920622892</v>
      </c>
      <c r="AB45" s="6">
        <f t="shared" si="0"/>
        <v>0</v>
      </c>
      <c r="AC45" s="6">
        <f t="shared" si="6"/>
        <v>648078.20563500002</v>
      </c>
      <c r="AD45" s="6">
        <f t="shared" si="2"/>
        <v>0</v>
      </c>
      <c r="AE45" s="6">
        <f t="shared" ca="1" si="7"/>
        <v>702789.75473778974</v>
      </c>
      <c r="AF45" s="4" t="s">
        <v>564</v>
      </c>
    </row>
    <row r="46" spans="1:32" ht="11.25" customHeight="1" x14ac:dyDescent="0.25">
      <c r="A46" s="4" t="s">
        <v>21</v>
      </c>
      <c r="B46" s="4" t="s">
        <v>33</v>
      </c>
      <c r="C46" s="4" t="s">
        <v>34</v>
      </c>
      <c r="D46" s="4" t="s">
        <v>41</v>
      </c>
      <c r="E46" s="4" t="s">
        <v>50</v>
      </c>
      <c r="F46" s="4" t="s">
        <v>52</v>
      </c>
      <c r="G46" s="4" t="s">
        <v>25</v>
      </c>
      <c r="H46" s="4" t="s">
        <v>36</v>
      </c>
      <c r="I46" s="5">
        <v>44531</v>
      </c>
      <c r="J46" s="6">
        <v>0</v>
      </c>
      <c r="K46" s="6">
        <v>0</v>
      </c>
      <c r="L46" s="6">
        <v>2618.0569999999998</v>
      </c>
      <c r="M46" s="6">
        <v>785.4171</v>
      </c>
      <c r="N46" s="6">
        <v>2618.0569999999998</v>
      </c>
      <c r="O46" s="6">
        <v>785.4171</v>
      </c>
      <c r="P46" s="6">
        <v>0</v>
      </c>
      <c r="Q46" s="4" t="s">
        <v>26</v>
      </c>
      <c r="R46" s="4">
        <v>0</v>
      </c>
      <c r="S46" s="4">
        <v>0</v>
      </c>
      <c r="T46" s="4">
        <v>47</v>
      </c>
      <c r="U46" s="4">
        <v>27</v>
      </c>
      <c r="V46" s="6">
        <f>IF(ISERROR(VLOOKUP($S$46,'TAR FIN'!$A$1:$O$85,15,0)),0,VLOOKUP($S$46,'TAR FIN'!$A$1:$O$85,15,0))</f>
        <v>0</v>
      </c>
      <c r="W46" s="6">
        <f>IF(ISERROR(VLOOKUP($T$46,'TAR FIN'!$A$1:$O$85,15,0)),0,VLOOKUP($T$46,'TAR FIN'!$A$1:$O$85,15,0))</f>
        <v>72.23</v>
      </c>
      <c r="X46" s="6">
        <f>IF(ISERROR(VLOOKUP($U$46,'TAR FIN'!$A$1:$O$85,15,0)),0,VLOOKUP($U$46,'TAR FIN'!$A$1:$O$85,15,0))</f>
        <v>223.72</v>
      </c>
      <c r="Y46" s="6"/>
      <c r="Z46" s="6">
        <f ca="1">('TUSD BE'!$AM$12+'TUSD BF'!$AM$12+'TUSD CVA'!$AM$12)*1</f>
        <v>103.30505917577378</v>
      </c>
      <c r="AA46" s="6">
        <f>('TE BE'!$AA$6+'TE BF'!$AA$6+'TE CVA'!$AA$6)*1</f>
        <v>217.62939920622892</v>
      </c>
      <c r="AB46" s="6">
        <f t="shared" si="0"/>
        <v>0</v>
      </c>
      <c r="AC46" s="6">
        <f t="shared" si="6"/>
        <v>542369.77840499987</v>
      </c>
      <c r="AD46" s="6">
        <f t="shared" si="2"/>
        <v>0</v>
      </c>
      <c r="AE46" s="6">
        <f t="shared" ca="1" si="7"/>
        <v>588157.29371574754</v>
      </c>
      <c r="AF46" s="4" t="s">
        <v>564</v>
      </c>
    </row>
    <row r="47" spans="1:32" ht="11.25" customHeight="1" x14ac:dyDescent="0.25">
      <c r="A47" s="4" t="s">
        <v>21</v>
      </c>
      <c r="B47" s="4" t="s">
        <v>33</v>
      </c>
      <c r="C47" s="4" t="s">
        <v>34</v>
      </c>
      <c r="D47" s="4" t="s">
        <v>41</v>
      </c>
      <c r="E47" s="4" t="s">
        <v>50</v>
      </c>
      <c r="F47" s="4" t="s">
        <v>52</v>
      </c>
      <c r="G47" s="4" t="s">
        <v>25</v>
      </c>
      <c r="H47" s="4" t="s">
        <v>36</v>
      </c>
      <c r="I47" s="5">
        <v>44562</v>
      </c>
      <c r="J47" s="6">
        <v>0</v>
      </c>
      <c r="K47" s="6">
        <v>0</v>
      </c>
      <c r="L47" s="6">
        <v>1408.03</v>
      </c>
      <c r="M47" s="6">
        <v>422.40899999999999</v>
      </c>
      <c r="N47" s="6">
        <v>1408.03</v>
      </c>
      <c r="O47" s="6">
        <v>422.40899999999999</v>
      </c>
      <c r="P47" s="6">
        <v>0</v>
      </c>
      <c r="Q47" s="4" t="s">
        <v>26</v>
      </c>
      <c r="R47" s="4">
        <v>0</v>
      </c>
      <c r="S47" s="4">
        <v>0</v>
      </c>
      <c r="T47" s="4">
        <v>47</v>
      </c>
      <c r="U47" s="4">
        <v>27</v>
      </c>
      <c r="V47" s="6">
        <f>IF(ISERROR(VLOOKUP($S$47,'TAR FIN'!$A$1:$O$85,15,0)),0,VLOOKUP($S$47,'TAR FIN'!$A$1:$O$85,15,0))</f>
        <v>0</v>
      </c>
      <c r="W47" s="6">
        <f>IF(ISERROR(VLOOKUP($T$47,'TAR FIN'!$A$1:$O$85,15,0)),0,VLOOKUP($T$47,'TAR FIN'!$A$1:$O$85,15,0))</f>
        <v>72.23</v>
      </c>
      <c r="X47" s="6">
        <f>IF(ISERROR(VLOOKUP($U$47,'TAR FIN'!$A$1:$O$85,15,0)),0,VLOOKUP($U$47,'TAR FIN'!$A$1:$O$85,15,0))</f>
        <v>223.72</v>
      </c>
      <c r="Y47" s="6"/>
      <c r="Z47" s="6">
        <f ca="1">('TUSD BE'!$AM$12+'TUSD BF'!$AM$12+'TUSD CVA'!$AM$12)*1</f>
        <v>103.30505917577378</v>
      </c>
      <c r="AA47" s="6">
        <f>('TE BE'!$AA$6+'TE BF'!$AA$6+'TE CVA'!$AA$6)*1</f>
        <v>217.62939920622892</v>
      </c>
      <c r="AB47" s="6">
        <f t="shared" si="0"/>
        <v>0</v>
      </c>
      <c r="AC47" s="6">
        <f t="shared" si="6"/>
        <v>291694.53495</v>
      </c>
      <c r="AD47" s="6">
        <f t="shared" si="2"/>
        <v>0</v>
      </c>
      <c r="AE47" s="6">
        <f t="shared" ca="1" si="7"/>
        <v>316319.74180492788</v>
      </c>
      <c r="AF47" s="4" t="s">
        <v>564</v>
      </c>
    </row>
    <row r="48" spans="1:32" ht="11.25" customHeight="1" x14ac:dyDescent="0.25">
      <c r="A48" s="4" t="s">
        <v>21</v>
      </c>
      <c r="B48" s="4" t="s">
        <v>33</v>
      </c>
      <c r="C48" s="4" t="s">
        <v>34</v>
      </c>
      <c r="D48" s="4" t="s">
        <v>41</v>
      </c>
      <c r="E48" s="4" t="s">
        <v>50</v>
      </c>
      <c r="F48" s="4" t="s">
        <v>52</v>
      </c>
      <c r="G48" s="4" t="s">
        <v>25</v>
      </c>
      <c r="H48" s="4" t="s">
        <v>36</v>
      </c>
      <c r="I48" s="5">
        <v>44593</v>
      </c>
      <c r="J48" s="6">
        <v>0</v>
      </c>
      <c r="K48" s="6">
        <v>0</v>
      </c>
      <c r="L48" s="6">
        <v>2469.1060000000002</v>
      </c>
      <c r="M48" s="6">
        <v>740.73180000000002</v>
      </c>
      <c r="N48" s="6">
        <v>2469.1060000000002</v>
      </c>
      <c r="O48" s="6">
        <v>740.73180000000002</v>
      </c>
      <c r="P48" s="6">
        <v>0</v>
      </c>
      <c r="Q48" s="4" t="s">
        <v>26</v>
      </c>
      <c r="R48" s="4">
        <v>0</v>
      </c>
      <c r="S48" s="4">
        <v>0</v>
      </c>
      <c r="T48" s="4">
        <v>47</v>
      </c>
      <c r="U48" s="4">
        <v>27</v>
      </c>
      <c r="V48" s="6">
        <f>IF(ISERROR(VLOOKUP($S$48,'TAR FIN'!$A$1:$O$85,15,0)),0,VLOOKUP($S$48,'TAR FIN'!$A$1:$O$85,15,0))</f>
        <v>0</v>
      </c>
      <c r="W48" s="6">
        <f>IF(ISERROR(VLOOKUP($T$48,'TAR FIN'!$A$1:$O$85,15,0)),0,VLOOKUP($T$48,'TAR FIN'!$A$1:$O$85,15,0))</f>
        <v>72.23</v>
      </c>
      <c r="X48" s="6">
        <f>IF(ISERROR(VLOOKUP($U$48,'TAR FIN'!$A$1:$O$85,15,0)),0,VLOOKUP($U$48,'TAR FIN'!$A$1:$O$85,15,0))</f>
        <v>223.72</v>
      </c>
      <c r="Y48" s="6"/>
      <c r="Z48" s="6">
        <f ca="1">('TUSD BE'!$AM$12+'TUSD BF'!$AM$12+'TUSD CVA'!$AM$12)*1</f>
        <v>103.30505917577378</v>
      </c>
      <c r="AA48" s="6">
        <f>('TE BE'!$AA$6+'TE BF'!$AA$6+'TE CVA'!$AA$6)*1</f>
        <v>217.62939920622892</v>
      </c>
      <c r="AB48" s="6">
        <f t="shared" si="0"/>
        <v>0</v>
      </c>
      <c r="AC48" s="6">
        <f t="shared" si="6"/>
        <v>511512.34449000005</v>
      </c>
      <c r="AD48" s="6">
        <f t="shared" si="2"/>
        <v>0</v>
      </c>
      <c r="AE48" s="6">
        <f t="shared" ca="1" si="7"/>
        <v>554694.83775842725</v>
      </c>
      <c r="AF48" s="4" t="s">
        <v>564</v>
      </c>
    </row>
    <row r="49" spans="1:32" ht="11.25" customHeight="1" x14ac:dyDescent="0.25">
      <c r="A49" s="4" t="s">
        <v>54</v>
      </c>
      <c r="B49" s="4" t="s">
        <v>33</v>
      </c>
      <c r="C49" s="4" t="s">
        <v>34</v>
      </c>
      <c r="D49" s="4" t="s">
        <v>41</v>
      </c>
      <c r="E49" s="4" t="s">
        <v>50</v>
      </c>
      <c r="F49" s="4" t="s">
        <v>52</v>
      </c>
      <c r="G49" s="4" t="s">
        <v>25</v>
      </c>
      <c r="H49" s="4" t="s">
        <v>36</v>
      </c>
      <c r="I49" s="5">
        <v>44621</v>
      </c>
      <c r="J49" s="6">
        <v>0</v>
      </c>
      <c r="K49" s="6">
        <v>0</v>
      </c>
      <c r="L49" s="6">
        <v>2469.1060000000002</v>
      </c>
      <c r="M49" s="6">
        <v>740.73180000000002</v>
      </c>
      <c r="N49" s="6">
        <v>2469.1060000000002</v>
      </c>
      <c r="O49" s="6">
        <v>740.73180000000002</v>
      </c>
      <c r="P49" s="6">
        <v>0</v>
      </c>
      <c r="Q49" s="4" t="s">
        <v>26</v>
      </c>
      <c r="R49" s="4">
        <v>0</v>
      </c>
      <c r="S49" s="4">
        <v>0</v>
      </c>
      <c r="T49" s="4">
        <v>47</v>
      </c>
      <c r="U49" s="4">
        <v>27</v>
      </c>
      <c r="V49" s="6">
        <f>IF(ISERROR(VLOOKUP($S$49,'TAR FIN'!$A$1:$O$85,15,0)),0,VLOOKUP($S$49,'TAR FIN'!$A$1:$O$85,15,0))</f>
        <v>0</v>
      </c>
      <c r="W49" s="6">
        <f>IF(ISERROR(VLOOKUP($T$49,'TAR FIN'!$A$1:$O$85,15,0)),0,VLOOKUP($T$49,'TAR FIN'!$A$1:$O$85,15,0))</f>
        <v>72.23</v>
      </c>
      <c r="X49" s="6">
        <f>IF(ISERROR(VLOOKUP($U$49,'TAR FIN'!$A$1:$O$85,15,0)),0,VLOOKUP($U$49,'TAR FIN'!$A$1:$O$85,15,0))</f>
        <v>223.72</v>
      </c>
      <c r="Y49" s="6"/>
      <c r="Z49" s="6">
        <f ca="1">('TUSD BE'!$AM$12+'TUSD BF'!$AM$12+'TUSD CVA'!$AM$12)*1</f>
        <v>103.30505917577378</v>
      </c>
      <c r="AA49" s="6">
        <f>('TE BE'!$AA$6+'TE BF'!$AA$6+'TE CVA'!$AA$6)*1</f>
        <v>217.62939920622892</v>
      </c>
      <c r="AB49" s="6">
        <f t="shared" si="0"/>
        <v>0</v>
      </c>
      <c r="AC49" s="6">
        <f t="shared" si="6"/>
        <v>511512.34449000005</v>
      </c>
      <c r="AD49" s="6">
        <f t="shared" si="2"/>
        <v>0</v>
      </c>
      <c r="AE49" s="6">
        <f t="shared" ca="1" si="7"/>
        <v>554694.83775842725</v>
      </c>
      <c r="AF49" s="4" t="s">
        <v>564</v>
      </c>
    </row>
    <row r="50" spans="1:32" ht="11.25" customHeight="1" x14ac:dyDescent="0.25">
      <c r="A50" s="4" t="s">
        <v>21</v>
      </c>
      <c r="B50" s="4" t="s">
        <v>33</v>
      </c>
      <c r="C50" s="4" t="s">
        <v>34</v>
      </c>
      <c r="D50" s="4" t="s">
        <v>41</v>
      </c>
      <c r="E50" s="4" t="s">
        <v>50</v>
      </c>
      <c r="F50" s="4" t="s">
        <v>25</v>
      </c>
      <c r="G50" s="4" t="s">
        <v>25</v>
      </c>
      <c r="H50" s="4" t="s">
        <v>36</v>
      </c>
      <c r="I50" s="5">
        <v>44287</v>
      </c>
      <c r="J50" s="6">
        <v>0</v>
      </c>
      <c r="K50" s="70">
        <v>0</v>
      </c>
      <c r="L50" s="6">
        <v>3909.1790000000001</v>
      </c>
      <c r="M50" s="70">
        <v>3909.1790000000001</v>
      </c>
      <c r="N50" s="6">
        <v>3909.1790000000001</v>
      </c>
      <c r="O50" s="70">
        <v>3909.1790000000001</v>
      </c>
      <c r="P50" s="6">
        <v>0</v>
      </c>
      <c r="Q50" s="4" t="s">
        <v>26</v>
      </c>
      <c r="R50" s="4">
        <v>0</v>
      </c>
      <c r="S50" s="4">
        <v>0</v>
      </c>
      <c r="T50" s="4">
        <v>47</v>
      </c>
      <c r="U50" s="4">
        <v>27</v>
      </c>
      <c r="V50" s="70">
        <f>IF(ISERROR(VLOOKUP($S$50,'TAR FIN'!$A$1:$O$85,15,0)),0,VLOOKUP($S$50,'TAR FIN'!$A$1:$O$85,15,0))</f>
        <v>0</v>
      </c>
      <c r="W50" s="70">
        <f>IF(ISERROR(VLOOKUP($T$50,'TAR FIN'!$A$1:$O$85,15,0)),0,VLOOKUP($T$50,'TAR FIN'!$A$1:$O$85,15,0))*(1-0.04)</f>
        <v>69.340800000000002</v>
      </c>
      <c r="X50" s="70">
        <f>IF(ISERROR(VLOOKUP($U$50,'TAR FIN'!$A$1:$O$85,15,0)),0,VLOOKUP($U$50,'TAR FIN'!$A$1:$O$85,15,0))*(1-0.04)</f>
        <v>214.77119999999999</v>
      </c>
      <c r="Y50" s="70"/>
      <c r="Z50" s="70">
        <f ca="1">('TUSD BE'!$AM$12+'TUSD BF'!$AM$12+'TUSD CVA'!$AM$12)*1*(1-0.02)</f>
        <v>101.23895799225831</v>
      </c>
      <c r="AA50" s="70">
        <f>('TE BE'!$AA$6+'TE BF'!$AA$6+'TE CVA'!$AA$6)*1*(1-0.02)</f>
        <v>213.27681122210436</v>
      </c>
      <c r="AB50" s="70">
        <f>(SUBSIDIO!$J$50*SUBSIDIO!$V$50)*(0.04)/(1-0.04)</f>
        <v>0</v>
      </c>
      <c r="AC50" s="70">
        <f>((SUBSIDIO!$L$50*SUBSIDIO!$W$50)+(SUBSIDIO!$N$50*SUBSIDIO!$X$50))*(0.04)/(1-0.04)</f>
        <v>46276.861002000005</v>
      </c>
      <c r="AD50" s="70">
        <f>(SUBSIDIO!$J$50*SUBSIDIO!$Y$50)*(0.02)/(1-0.02)</f>
        <v>0</v>
      </c>
      <c r="AE50" s="70">
        <f ca="1">((SUBSIDIO!$L$50*SUBSIDIO!$Z$50)+(SUBSIDIO!$N$50*SUBSIDIO!$AA$50))*(0.02)/(1-0.02)</f>
        <v>25091.804901665979</v>
      </c>
      <c r="AF50" s="4" t="s">
        <v>563</v>
      </c>
    </row>
    <row r="51" spans="1:32" ht="11.25" customHeight="1" x14ac:dyDescent="0.25">
      <c r="A51" s="4" t="s">
        <v>21</v>
      </c>
      <c r="B51" s="4" t="s">
        <v>33</v>
      </c>
      <c r="C51" s="4" t="s">
        <v>34</v>
      </c>
      <c r="D51" s="4" t="s">
        <v>41</v>
      </c>
      <c r="E51" s="4" t="s">
        <v>50</v>
      </c>
      <c r="F51" s="4" t="s">
        <v>25</v>
      </c>
      <c r="G51" s="4" t="s">
        <v>25</v>
      </c>
      <c r="H51" s="4" t="s">
        <v>36</v>
      </c>
      <c r="I51" s="5">
        <v>44317</v>
      </c>
      <c r="J51" s="6">
        <v>0</v>
      </c>
      <c r="K51" s="70">
        <v>0</v>
      </c>
      <c r="L51" s="6">
        <v>3215.9920000000002</v>
      </c>
      <c r="M51" s="70">
        <v>3215.9920000000002</v>
      </c>
      <c r="N51" s="6">
        <v>3215.9920000000002</v>
      </c>
      <c r="O51" s="70">
        <v>3215.9920000000002</v>
      </c>
      <c r="P51" s="6">
        <v>0</v>
      </c>
      <c r="Q51" s="4" t="s">
        <v>26</v>
      </c>
      <c r="R51" s="4">
        <v>0</v>
      </c>
      <c r="S51" s="4">
        <v>0</v>
      </c>
      <c r="T51" s="4">
        <v>47</v>
      </c>
      <c r="U51" s="4">
        <v>27</v>
      </c>
      <c r="V51" s="70">
        <f>IF(ISERROR(VLOOKUP($S$51,'TAR FIN'!$A$1:$O$85,15,0)),0,VLOOKUP($S$51,'TAR FIN'!$A$1:$O$85,15,0))</f>
        <v>0</v>
      </c>
      <c r="W51" s="70">
        <f>IF(ISERROR(VLOOKUP($T$51,'TAR FIN'!$A$1:$O$85,15,0)),0,VLOOKUP($T$51,'TAR FIN'!$A$1:$O$85,15,0))*(1-0.04)</f>
        <v>69.340800000000002</v>
      </c>
      <c r="X51" s="70">
        <f>IF(ISERROR(VLOOKUP($U$51,'TAR FIN'!$A$1:$O$85,15,0)),0,VLOOKUP($U$51,'TAR FIN'!$A$1:$O$85,15,0))*(1-0.04)</f>
        <v>214.77119999999999</v>
      </c>
      <c r="Y51" s="70"/>
      <c r="Z51" s="70">
        <f ca="1">('TUSD BE'!$AM$12+'TUSD BF'!$AM$12+'TUSD CVA'!$AM$12)*1*(1-0.02)</f>
        <v>101.23895799225831</v>
      </c>
      <c r="AA51" s="70">
        <f>('TE BE'!$AA$6+'TE BF'!$AA$6+'TE CVA'!$AA$6)*1*(1-0.02)</f>
        <v>213.27681122210436</v>
      </c>
      <c r="AB51" s="70">
        <f>(SUBSIDIO!$J$51*SUBSIDIO!$V$51)*(0.04)/(1-0.04)</f>
        <v>0</v>
      </c>
      <c r="AC51" s="70">
        <f>((SUBSIDIO!$L$51*SUBSIDIO!$W$51)+(SUBSIDIO!$N$51*SUBSIDIO!$X$51))*(0.04)/(1-0.04)</f>
        <v>38070.913296000006</v>
      </c>
      <c r="AD51" s="70">
        <f>(SUBSIDIO!$J$51*SUBSIDIO!$Y$51)*(0.02)/(1-0.02)</f>
        <v>0</v>
      </c>
      <c r="AE51" s="70">
        <f ca="1">((SUBSIDIO!$L$51*SUBSIDIO!$Z$51)+(SUBSIDIO!$N$51*SUBSIDIO!$AA$51))*(0.02)/(1-0.02)</f>
        <v>20642.453013617076</v>
      </c>
      <c r="AF51" s="4" t="s">
        <v>563</v>
      </c>
    </row>
    <row r="52" spans="1:32" ht="11.25" customHeight="1" x14ac:dyDescent="0.25">
      <c r="A52" s="4" t="s">
        <v>21</v>
      </c>
      <c r="B52" s="4" t="s">
        <v>33</v>
      </c>
      <c r="C52" s="4" t="s">
        <v>34</v>
      </c>
      <c r="D52" s="4" t="s">
        <v>41</v>
      </c>
      <c r="E52" s="4" t="s">
        <v>50</v>
      </c>
      <c r="F52" s="4" t="s">
        <v>25</v>
      </c>
      <c r="G52" s="4" t="s">
        <v>25</v>
      </c>
      <c r="H52" s="4" t="s">
        <v>36</v>
      </c>
      <c r="I52" s="5">
        <v>44348</v>
      </c>
      <c r="J52" s="6">
        <v>0</v>
      </c>
      <c r="K52" s="70">
        <v>0</v>
      </c>
      <c r="L52" s="6">
        <v>879.98299999999995</v>
      </c>
      <c r="M52" s="70">
        <v>879.98299999999995</v>
      </c>
      <c r="N52" s="6">
        <v>879.98299999999995</v>
      </c>
      <c r="O52" s="70">
        <v>879.98299999999995</v>
      </c>
      <c r="P52" s="6">
        <v>0</v>
      </c>
      <c r="Q52" s="4" t="s">
        <v>26</v>
      </c>
      <c r="R52" s="4">
        <v>0</v>
      </c>
      <c r="S52" s="4">
        <v>0</v>
      </c>
      <c r="T52" s="4">
        <v>47</v>
      </c>
      <c r="U52" s="4">
        <v>27</v>
      </c>
      <c r="V52" s="70">
        <f>IF(ISERROR(VLOOKUP($S$52,'TAR FIN'!$A$1:$O$85,15,0)),0,VLOOKUP($S$52,'TAR FIN'!$A$1:$O$85,15,0))</f>
        <v>0</v>
      </c>
      <c r="W52" s="70">
        <f>IF(ISERROR(VLOOKUP($T$52,'TAR FIN'!$A$1:$O$85,15,0)),0,VLOOKUP($T$52,'TAR FIN'!$A$1:$O$85,15,0))*(1-0.04)</f>
        <v>69.340800000000002</v>
      </c>
      <c r="X52" s="70">
        <f>IF(ISERROR(VLOOKUP($U$52,'TAR FIN'!$A$1:$O$85,15,0)),0,VLOOKUP($U$52,'TAR FIN'!$A$1:$O$85,15,0))*(1-0.04)</f>
        <v>214.77119999999999</v>
      </c>
      <c r="Y52" s="70"/>
      <c r="Z52" s="70">
        <f ca="1">('TUSD BE'!$AM$12+'TUSD BF'!$AM$12+'TUSD CVA'!$AM$12)*1*(1-0.02)</f>
        <v>101.23895799225831</v>
      </c>
      <c r="AA52" s="70">
        <f>('TE BE'!$AA$6+'TE BF'!$AA$6+'TE CVA'!$AA$6)*1*(1-0.02)</f>
        <v>213.27681122210436</v>
      </c>
      <c r="AB52" s="70">
        <f>(SUBSIDIO!$J$52*SUBSIDIO!$V$52)*(0.04)/(1-0.04)</f>
        <v>0</v>
      </c>
      <c r="AC52" s="70">
        <f>((SUBSIDIO!$L$52*SUBSIDIO!$W$52)+(SUBSIDIO!$N$52*SUBSIDIO!$X$52))*(0.04)/(1-0.04)</f>
        <v>10417.238754</v>
      </c>
      <c r="AD52" s="70">
        <f>(SUBSIDIO!$J$52*SUBSIDIO!$Y$52)*(0.02)/(1-0.02)</f>
        <v>0</v>
      </c>
      <c r="AE52" s="70">
        <f ca="1">((SUBSIDIO!$L$52*SUBSIDIO!$Z$52)+(SUBSIDIO!$N$52*SUBSIDIO!$AA$52))*(0.02)/(1-0.02)</f>
        <v>5648.337349807397</v>
      </c>
      <c r="AF52" s="4" t="s">
        <v>563</v>
      </c>
    </row>
    <row r="53" spans="1:32" ht="11.25" customHeight="1" x14ac:dyDescent="0.25">
      <c r="A53" s="4" t="s">
        <v>28</v>
      </c>
      <c r="B53" s="4" t="s">
        <v>33</v>
      </c>
      <c r="C53" s="4" t="s">
        <v>34</v>
      </c>
      <c r="D53" s="4" t="s">
        <v>41</v>
      </c>
      <c r="E53" s="4" t="s">
        <v>50</v>
      </c>
      <c r="F53" s="4" t="s">
        <v>25</v>
      </c>
      <c r="G53" s="4" t="s">
        <v>25</v>
      </c>
      <c r="H53" s="4" t="s">
        <v>36</v>
      </c>
      <c r="I53" s="5">
        <v>44348</v>
      </c>
      <c r="J53" s="6">
        <v>0</v>
      </c>
      <c r="K53" s="70">
        <v>0</v>
      </c>
      <c r="L53" s="6">
        <v>0.89900000000000002</v>
      </c>
      <c r="M53" s="70">
        <v>0.89900000000000002</v>
      </c>
      <c r="N53" s="6">
        <v>0.89900000000000002</v>
      </c>
      <c r="O53" s="70">
        <v>0.89900000000000002</v>
      </c>
      <c r="P53" s="6">
        <v>0</v>
      </c>
      <c r="Q53" s="4" t="s">
        <v>26</v>
      </c>
      <c r="R53" s="4">
        <v>0</v>
      </c>
      <c r="S53" s="4">
        <v>0</v>
      </c>
      <c r="T53" s="4">
        <v>47</v>
      </c>
      <c r="U53" s="4">
        <v>27</v>
      </c>
      <c r="V53" s="70">
        <f>IF(ISERROR(VLOOKUP($S$53,'TAR FIN'!$A$1:$O$85,15,0)),0,VLOOKUP($S$53,'TAR FIN'!$A$1:$O$85,15,0))</f>
        <v>0</v>
      </c>
      <c r="W53" s="70">
        <f>IF(ISERROR(VLOOKUP($T$53,'TAR FIN'!$A$1:$O$85,15,0)),0,VLOOKUP($T$53,'TAR FIN'!$A$1:$O$85,15,0))*(1-0.04)</f>
        <v>69.340800000000002</v>
      </c>
      <c r="X53" s="70">
        <f>IF(ISERROR(VLOOKUP($U$53,'TAR FIN'!$A$1:$O$85,15,0)),0,VLOOKUP($U$53,'TAR FIN'!$A$1:$O$85,15,0))*(1-0.04)</f>
        <v>214.77119999999999</v>
      </c>
      <c r="Y53" s="70"/>
      <c r="Z53" s="70">
        <f ca="1">('TUSD BE'!$AM$12+'TUSD BF'!$AM$12+'TUSD CVA'!$AM$12)*1*(1-0.02)</f>
        <v>101.23895799225831</v>
      </c>
      <c r="AA53" s="70">
        <f>('TE BE'!$AA$6+'TE BF'!$AA$6+'TE CVA'!$AA$6)*1*(1-0.02)</f>
        <v>213.27681122210436</v>
      </c>
      <c r="AB53" s="70">
        <f>(SUBSIDIO!$J$53*SUBSIDIO!$V$53)*(0.04)/(1-0.04)</f>
        <v>0</v>
      </c>
      <c r="AC53" s="70">
        <f>((SUBSIDIO!$L$53*SUBSIDIO!$W$53)+(SUBSIDIO!$N$53*SUBSIDIO!$X$53))*(0.04)/(1-0.04)</f>
        <v>10.642362000000002</v>
      </c>
      <c r="AD53" s="70">
        <f>(SUBSIDIO!$J$53*SUBSIDIO!$Y$53)*(0.02)/(1-0.02)</f>
        <v>0</v>
      </c>
      <c r="AE53" s="70">
        <f ca="1">((SUBSIDIO!$L$53*SUBSIDIO!$Z$53)+(SUBSIDIO!$N$53*SUBSIDIO!$AA$53))*(0.02)/(1-0.02)</f>
        <v>5.7704015617084092</v>
      </c>
      <c r="AF53" s="4" t="s">
        <v>563</v>
      </c>
    </row>
    <row r="54" spans="1:32" ht="11.25" customHeight="1" x14ac:dyDescent="0.25">
      <c r="A54" s="4" t="s">
        <v>21</v>
      </c>
      <c r="B54" s="4" t="s">
        <v>33</v>
      </c>
      <c r="C54" s="4" t="s">
        <v>34</v>
      </c>
      <c r="D54" s="4" t="s">
        <v>41</v>
      </c>
      <c r="E54" s="4" t="s">
        <v>50</v>
      </c>
      <c r="F54" s="4" t="s">
        <v>25</v>
      </c>
      <c r="G54" s="4" t="s">
        <v>25</v>
      </c>
      <c r="H54" s="4" t="s">
        <v>36</v>
      </c>
      <c r="I54" s="5">
        <v>44378</v>
      </c>
      <c r="J54" s="6">
        <v>0</v>
      </c>
      <c r="K54" s="70">
        <v>0</v>
      </c>
      <c r="L54" s="6">
        <v>1818.075</v>
      </c>
      <c r="M54" s="70">
        <v>1818.075</v>
      </c>
      <c r="N54" s="6">
        <v>1818.075</v>
      </c>
      <c r="O54" s="70">
        <v>1818.075</v>
      </c>
      <c r="P54" s="6">
        <v>0</v>
      </c>
      <c r="Q54" s="4" t="s">
        <v>26</v>
      </c>
      <c r="R54" s="4">
        <v>0</v>
      </c>
      <c r="S54" s="4">
        <v>0</v>
      </c>
      <c r="T54" s="4">
        <v>47</v>
      </c>
      <c r="U54" s="4">
        <v>27</v>
      </c>
      <c r="V54" s="70">
        <f>IF(ISERROR(VLOOKUP($S$54,'TAR FIN'!$A$1:$O$85,15,0)),0,VLOOKUP($S$54,'TAR FIN'!$A$1:$O$85,15,0))</f>
        <v>0</v>
      </c>
      <c r="W54" s="70">
        <f>IF(ISERROR(VLOOKUP($T$54,'TAR FIN'!$A$1:$O$85,15,0)),0,VLOOKUP($T$54,'TAR FIN'!$A$1:$O$85,15,0))*(1-0.04)</f>
        <v>69.340800000000002</v>
      </c>
      <c r="X54" s="70">
        <f>IF(ISERROR(VLOOKUP($U$54,'TAR FIN'!$A$1:$O$85,15,0)),0,VLOOKUP($U$54,'TAR FIN'!$A$1:$O$85,15,0))*(1-0.04)</f>
        <v>214.77119999999999</v>
      </c>
      <c r="Y54" s="70"/>
      <c r="Z54" s="70">
        <f ca="1">('TUSD BE'!$AM$12+'TUSD BF'!$AM$12+'TUSD CVA'!$AM$12)*1*(1-0.02)</f>
        <v>101.23895799225831</v>
      </c>
      <c r="AA54" s="70">
        <f>('TE BE'!$AA$6+'TE BF'!$AA$6+'TE CVA'!$AA$6)*1*(1-0.02)</f>
        <v>213.27681122210436</v>
      </c>
      <c r="AB54" s="70">
        <f>(SUBSIDIO!$J$54*SUBSIDIO!$V$54)*(0.04)/(1-0.04)</f>
        <v>0</v>
      </c>
      <c r="AC54" s="70">
        <f>((SUBSIDIO!$L$54*SUBSIDIO!$W$54)+(SUBSIDIO!$N$54*SUBSIDIO!$X$54))*(0.04)/(1-0.04)</f>
        <v>21522.371850000003</v>
      </c>
      <c r="AD54" s="70">
        <f>(SUBSIDIO!$J$54*SUBSIDIO!$Y$54)*(0.02)/(1-0.02)</f>
        <v>0</v>
      </c>
      <c r="AE54" s="70">
        <f ca="1">((SUBSIDIO!$L$54*SUBSIDIO!$Z$54)+(SUBSIDIO!$N$54*SUBSIDIO!$AA$54))*(0.02)/(1-0.02)</f>
        <v>11669.658308457194</v>
      </c>
      <c r="AF54" s="4" t="s">
        <v>563</v>
      </c>
    </row>
    <row r="55" spans="1:32" ht="11.25" customHeight="1" x14ac:dyDescent="0.25">
      <c r="A55" s="4" t="s">
        <v>28</v>
      </c>
      <c r="B55" s="4" t="s">
        <v>33</v>
      </c>
      <c r="C55" s="4" t="s">
        <v>34</v>
      </c>
      <c r="D55" s="4" t="s">
        <v>41</v>
      </c>
      <c r="E55" s="4" t="s">
        <v>50</v>
      </c>
      <c r="F55" s="4" t="s">
        <v>25</v>
      </c>
      <c r="G55" s="4" t="s">
        <v>25</v>
      </c>
      <c r="H55" s="4" t="s">
        <v>36</v>
      </c>
      <c r="I55" s="5">
        <v>44378</v>
      </c>
      <c r="J55" s="6">
        <v>0</v>
      </c>
      <c r="K55" s="70">
        <v>0</v>
      </c>
      <c r="L55" s="6">
        <v>5.8029999999999999</v>
      </c>
      <c r="M55" s="70">
        <v>5.8029999999999999</v>
      </c>
      <c r="N55" s="6">
        <v>5.8029999999999999</v>
      </c>
      <c r="O55" s="70">
        <v>5.8029999999999999</v>
      </c>
      <c r="P55" s="6">
        <v>0</v>
      </c>
      <c r="Q55" s="4" t="s">
        <v>26</v>
      </c>
      <c r="R55" s="4">
        <v>0</v>
      </c>
      <c r="S55" s="4">
        <v>0</v>
      </c>
      <c r="T55" s="4">
        <v>47</v>
      </c>
      <c r="U55" s="4">
        <v>27</v>
      </c>
      <c r="V55" s="70">
        <f>IF(ISERROR(VLOOKUP($S$55,'TAR FIN'!$A$1:$O$85,15,0)),0,VLOOKUP($S$55,'TAR FIN'!$A$1:$O$85,15,0))</f>
        <v>0</v>
      </c>
      <c r="W55" s="70">
        <f>IF(ISERROR(VLOOKUP($T$55,'TAR FIN'!$A$1:$O$85,15,0)),0,VLOOKUP($T$55,'TAR FIN'!$A$1:$O$85,15,0))*(1-0.04)</f>
        <v>69.340800000000002</v>
      </c>
      <c r="X55" s="70">
        <f>IF(ISERROR(VLOOKUP($U$55,'TAR FIN'!$A$1:$O$85,15,0)),0,VLOOKUP($U$55,'TAR FIN'!$A$1:$O$85,15,0))*(1-0.04)</f>
        <v>214.77119999999999</v>
      </c>
      <c r="Y55" s="70"/>
      <c r="Z55" s="70">
        <f ca="1">('TUSD BE'!$AM$12+'TUSD BF'!$AM$12+'TUSD CVA'!$AM$12)*1*(1-0.02)</f>
        <v>101.23895799225831</v>
      </c>
      <c r="AA55" s="70">
        <f>('TE BE'!$AA$6+'TE BF'!$AA$6+'TE CVA'!$AA$6)*1*(1-0.02)</f>
        <v>213.27681122210436</v>
      </c>
      <c r="AB55" s="70">
        <f>(SUBSIDIO!$J$55*SUBSIDIO!$V$55)*(0.04)/(1-0.04)</f>
        <v>0</v>
      </c>
      <c r="AC55" s="70">
        <f>((SUBSIDIO!$L$55*SUBSIDIO!$W$55)+(SUBSIDIO!$N$55*SUBSIDIO!$X$55))*(0.04)/(1-0.04)</f>
        <v>68.695913999999988</v>
      </c>
      <c r="AD55" s="70">
        <f>(SUBSIDIO!$J$55*SUBSIDIO!$Y$55)*(0.02)/(1-0.02)</f>
        <v>0</v>
      </c>
      <c r="AE55" s="70">
        <f ca="1">((SUBSIDIO!$L$55*SUBSIDIO!$Z$55)+(SUBSIDIO!$N$55*SUBSIDIO!$AA$55))*(0.02)/(1-0.02)</f>
        <v>37.247653239815236</v>
      </c>
      <c r="AF55" s="4" t="s">
        <v>563</v>
      </c>
    </row>
    <row r="56" spans="1:32" ht="11.25" customHeight="1" x14ac:dyDescent="0.25">
      <c r="A56" s="4" t="s">
        <v>21</v>
      </c>
      <c r="B56" s="4" t="s">
        <v>33</v>
      </c>
      <c r="C56" s="4" t="s">
        <v>34</v>
      </c>
      <c r="D56" s="4" t="s">
        <v>41</v>
      </c>
      <c r="E56" s="4" t="s">
        <v>50</v>
      </c>
      <c r="F56" s="4" t="s">
        <v>25</v>
      </c>
      <c r="G56" s="4" t="s">
        <v>25</v>
      </c>
      <c r="H56" s="4" t="s">
        <v>36</v>
      </c>
      <c r="I56" s="5">
        <v>44409</v>
      </c>
      <c r="J56" s="6">
        <v>0</v>
      </c>
      <c r="K56" s="70">
        <v>0</v>
      </c>
      <c r="L56" s="6">
        <v>2998.8490000000002</v>
      </c>
      <c r="M56" s="70">
        <v>2998.8490000000002</v>
      </c>
      <c r="N56" s="6">
        <v>2998.8490000000002</v>
      </c>
      <c r="O56" s="70">
        <v>2998.8490000000002</v>
      </c>
      <c r="P56" s="6">
        <v>0</v>
      </c>
      <c r="Q56" s="4" t="s">
        <v>26</v>
      </c>
      <c r="R56" s="4">
        <v>0</v>
      </c>
      <c r="S56" s="4">
        <v>0</v>
      </c>
      <c r="T56" s="4">
        <v>47</v>
      </c>
      <c r="U56" s="4">
        <v>27</v>
      </c>
      <c r="V56" s="70">
        <f>IF(ISERROR(VLOOKUP($S$56,'TAR FIN'!$A$1:$O$85,15,0)),0,VLOOKUP($S$56,'TAR FIN'!$A$1:$O$85,15,0))</f>
        <v>0</v>
      </c>
      <c r="W56" s="70">
        <f>IF(ISERROR(VLOOKUP($T$56,'TAR FIN'!$A$1:$O$85,15,0)),0,VLOOKUP($T$56,'TAR FIN'!$A$1:$O$85,15,0))*(1-0.04)</f>
        <v>69.340800000000002</v>
      </c>
      <c r="X56" s="70">
        <f>IF(ISERROR(VLOOKUP($U$56,'TAR FIN'!$A$1:$O$85,15,0)),0,VLOOKUP($U$56,'TAR FIN'!$A$1:$O$85,15,0))*(1-0.04)</f>
        <v>214.77119999999999</v>
      </c>
      <c r="Y56" s="70"/>
      <c r="Z56" s="70">
        <f ca="1">('TUSD BE'!$AM$12+'TUSD BF'!$AM$12+'TUSD CVA'!$AM$12)*1*(1-0.02)</f>
        <v>101.23895799225831</v>
      </c>
      <c r="AA56" s="70">
        <f>('TE BE'!$AA$6+'TE BF'!$AA$6+'TE CVA'!$AA$6)*1*(1-0.02)</f>
        <v>213.27681122210436</v>
      </c>
      <c r="AB56" s="70">
        <f>(SUBSIDIO!$J$56*SUBSIDIO!$V$56)*(0.04)/(1-0.04)</f>
        <v>0</v>
      </c>
      <c r="AC56" s="70">
        <f>((SUBSIDIO!$L$56*SUBSIDIO!$W$56)+(SUBSIDIO!$N$56*SUBSIDIO!$X$56))*(0.04)/(1-0.04)</f>
        <v>35500.374462000007</v>
      </c>
      <c r="AD56" s="70">
        <f>(SUBSIDIO!$J$56*SUBSIDIO!$Y$56)*(0.02)/(1-0.02)</f>
        <v>0</v>
      </c>
      <c r="AE56" s="70">
        <f ca="1">((SUBSIDIO!$L$56*SUBSIDIO!$Z$56)+(SUBSIDIO!$N$56*SUBSIDIO!$AA$56))*(0.02)/(1-0.02)</f>
        <v>19248.679591688211</v>
      </c>
      <c r="AF56" s="4" t="s">
        <v>563</v>
      </c>
    </row>
    <row r="57" spans="1:32" ht="11.25" customHeight="1" x14ac:dyDescent="0.25">
      <c r="A57" s="4" t="s">
        <v>21</v>
      </c>
      <c r="B57" s="4" t="s">
        <v>33</v>
      </c>
      <c r="C57" s="4" t="s">
        <v>34</v>
      </c>
      <c r="D57" s="4" t="s">
        <v>41</v>
      </c>
      <c r="E57" s="4" t="s">
        <v>50</v>
      </c>
      <c r="F57" s="4" t="s">
        <v>25</v>
      </c>
      <c r="G57" s="4" t="s">
        <v>25</v>
      </c>
      <c r="H57" s="4" t="s">
        <v>36</v>
      </c>
      <c r="I57" s="5">
        <v>44440</v>
      </c>
      <c r="J57" s="6">
        <v>0</v>
      </c>
      <c r="K57" s="70">
        <v>0</v>
      </c>
      <c r="L57" s="6">
        <v>3142.7460000000001</v>
      </c>
      <c r="M57" s="70">
        <v>3142.7460000000001</v>
      </c>
      <c r="N57" s="6">
        <v>3142.7460000000001</v>
      </c>
      <c r="O57" s="70">
        <v>3142.7460000000001</v>
      </c>
      <c r="P57" s="6">
        <v>0</v>
      </c>
      <c r="Q57" s="4" t="s">
        <v>26</v>
      </c>
      <c r="R57" s="4">
        <v>0</v>
      </c>
      <c r="S57" s="4">
        <v>0</v>
      </c>
      <c r="T57" s="4">
        <v>47</v>
      </c>
      <c r="U57" s="4">
        <v>27</v>
      </c>
      <c r="V57" s="70">
        <f>IF(ISERROR(VLOOKUP($S$57,'TAR FIN'!$A$1:$O$85,15,0)),0,VLOOKUP($S$57,'TAR FIN'!$A$1:$O$85,15,0))</f>
        <v>0</v>
      </c>
      <c r="W57" s="70">
        <f>IF(ISERROR(VLOOKUP($T$57,'TAR FIN'!$A$1:$O$85,15,0)),0,VLOOKUP($T$57,'TAR FIN'!$A$1:$O$85,15,0))*(1-0.04)</f>
        <v>69.340800000000002</v>
      </c>
      <c r="X57" s="70">
        <f>IF(ISERROR(VLOOKUP($U$57,'TAR FIN'!$A$1:$O$85,15,0)),0,VLOOKUP($U$57,'TAR FIN'!$A$1:$O$85,15,0))*(1-0.04)</f>
        <v>214.77119999999999</v>
      </c>
      <c r="Y57" s="70"/>
      <c r="Z57" s="70">
        <f ca="1">('TUSD BE'!$AM$12+'TUSD BF'!$AM$12+'TUSD CVA'!$AM$12)*1*(1-0.02)</f>
        <v>101.23895799225831</v>
      </c>
      <c r="AA57" s="70">
        <f>('TE BE'!$AA$6+'TE BF'!$AA$6+'TE CVA'!$AA$6)*1*(1-0.02)</f>
        <v>213.27681122210436</v>
      </c>
      <c r="AB57" s="70">
        <f>(SUBSIDIO!$J$57*SUBSIDIO!$V$57)*(0.04)/(1-0.04)</f>
        <v>0</v>
      </c>
      <c r="AC57" s="70">
        <f>((SUBSIDIO!$L$57*SUBSIDIO!$W$57)+(SUBSIDIO!$N$57*SUBSIDIO!$X$57))*(0.04)/(1-0.04)</f>
        <v>37203.827148000004</v>
      </c>
      <c r="AD57" s="70">
        <f>(SUBSIDIO!$J$57*SUBSIDIO!$Y$57)*(0.02)/(1-0.02)</f>
        <v>0</v>
      </c>
      <c r="AE57" s="70">
        <f ca="1">((SUBSIDIO!$L$57*SUBSIDIO!$Z$57)+(SUBSIDIO!$N$57*SUBSIDIO!$AA$57))*(0.02)/(1-0.02)</f>
        <v>20172.309706844109</v>
      </c>
      <c r="AF57" s="4" t="s">
        <v>563</v>
      </c>
    </row>
    <row r="58" spans="1:32" ht="11.25" customHeight="1" x14ac:dyDescent="0.25">
      <c r="A58" s="4" t="s">
        <v>28</v>
      </c>
      <c r="B58" s="4" t="s">
        <v>33</v>
      </c>
      <c r="C58" s="4" t="s">
        <v>34</v>
      </c>
      <c r="D58" s="4" t="s">
        <v>41</v>
      </c>
      <c r="E58" s="4" t="s">
        <v>50</v>
      </c>
      <c r="F58" s="4" t="s">
        <v>25</v>
      </c>
      <c r="G58" s="4" t="s">
        <v>25</v>
      </c>
      <c r="H58" s="4" t="s">
        <v>36</v>
      </c>
      <c r="I58" s="5">
        <v>44440</v>
      </c>
      <c r="J58" s="6">
        <v>0</v>
      </c>
      <c r="K58" s="70">
        <v>0</v>
      </c>
      <c r="L58" s="6">
        <v>1.4750000000000001</v>
      </c>
      <c r="M58" s="70">
        <v>1.4750000000000001</v>
      </c>
      <c r="N58" s="6">
        <v>1.4750000000000001</v>
      </c>
      <c r="O58" s="70">
        <v>1.4750000000000001</v>
      </c>
      <c r="P58" s="6">
        <v>0</v>
      </c>
      <c r="Q58" s="4" t="s">
        <v>26</v>
      </c>
      <c r="R58" s="4">
        <v>0</v>
      </c>
      <c r="S58" s="4">
        <v>0</v>
      </c>
      <c r="T58" s="4">
        <v>47</v>
      </c>
      <c r="U58" s="4">
        <v>27</v>
      </c>
      <c r="V58" s="70">
        <f>IF(ISERROR(VLOOKUP($S$58,'TAR FIN'!$A$1:$O$85,15,0)),0,VLOOKUP($S$58,'TAR FIN'!$A$1:$O$85,15,0))</f>
        <v>0</v>
      </c>
      <c r="W58" s="70">
        <f>IF(ISERROR(VLOOKUP($T$58,'TAR FIN'!$A$1:$O$85,15,0)),0,VLOOKUP($T$58,'TAR FIN'!$A$1:$O$85,15,0))*(1-0.04)</f>
        <v>69.340800000000002</v>
      </c>
      <c r="X58" s="70">
        <f>IF(ISERROR(VLOOKUP($U$58,'TAR FIN'!$A$1:$O$85,15,0)),0,VLOOKUP($U$58,'TAR FIN'!$A$1:$O$85,15,0))*(1-0.04)</f>
        <v>214.77119999999999</v>
      </c>
      <c r="Y58" s="70"/>
      <c r="Z58" s="70">
        <f ca="1">('TUSD BE'!$AM$12+'TUSD BF'!$AM$12+'TUSD CVA'!$AM$12)*1*(1-0.02)</f>
        <v>101.23895799225831</v>
      </c>
      <c r="AA58" s="70">
        <f>('TE BE'!$AA$6+'TE BF'!$AA$6+'TE CVA'!$AA$6)*1*(1-0.02)</f>
        <v>213.27681122210436</v>
      </c>
      <c r="AB58" s="70">
        <f>(SUBSIDIO!$J$58*SUBSIDIO!$V$58)*(0.04)/(1-0.04)</f>
        <v>0</v>
      </c>
      <c r="AC58" s="70">
        <f>((SUBSIDIO!$L$58*SUBSIDIO!$W$58)+(SUBSIDIO!$N$58*SUBSIDIO!$X$58))*(0.04)/(1-0.04)</f>
        <v>17.46105</v>
      </c>
      <c r="AD58" s="70">
        <f>(SUBSIDIO!$J$58*SUBSIDIO!$Y$58)*(0.02)/(1-0.02)</f>
        <v>0</v>
      </c>
      <c r="AE58" s="70">
        <f ca="1">((SUBSIDIO!$L$58*SUBSIDIO!$Z$58)+(SUBSIDIO!$N$58*SUBSIDIO!$AA$58))*(0.02)/(1-0.02)</f>
        <v>9.467566522269081</v>
      </c>
      <c r="AF58" s="4" t="s">
        <v>563</v>
      </c>
    </row>
    <row r="59" spans="1:32" ht="11.25" customHeight="1" x14ac:dyDescent="0.25">
      <c r="A59" s="4" t="s">
        <v>21</v>
      </c>
      <c r="B59" s="4" t="s">
        <v>33</v>
      </c>
      <c r="C59" s="4" t="s">
        <v>34</v>
      </c>
      <c r="D59" s="4" t="s">
        <v>41</v>
      </c>
      <c r="E59" s="4" t="s">
        <v>50</v>
      </c>
      <c r="F59" s="4" t="s">
        <v>25</v>
      </c>
      <c r="G59" s="4" t="s">
        <v>25</v>
      </c>
      <c r="H59" s="4" t="s">
        <v>36</v>
      </c>
      <c r="I59" s="5">
        <v>44470</v>
      </c>
      <c r="J59" s="6">
        <v>0</v>
      </c>
      <c r="K59" s="70">
        <v>0</v>
      </c>
      <c r="L59" s="6">
        <v>2613.7330000000002</v>
      </c>
      <c r="M59" s="70">
        <v>2613.7330000000002</v>
      </c>
      <c r="N59" s="6">
        <v>2613.7330000000002</v>
      </c>
      <c r="O59" s="70">
        <v>2613.7330000000002</v>
      </c>
      <c r="P59" s="6">
        <v>0</v>
      </c>
      <c r="Q59" s="4" t="s">
        <v>26</v>
      </c>
      <c r="R59" s="4">
        <v>0</v>
      </c>
      <c r="S59" s="4">
        <v>0</v>
      </c>
      <c r="T59" s="4">
        <v>47</v>
      </c>
      <c r="U59" s="4">
        <v>27</v>
      </c>
      <c r="V59" s="70">
        <f>IF(ISERROR(VLOOKUP($S$59,'TAR FIN'!$A$1:$O$85,15,0)),0,VLOOKUP($S$59,'TAR FIN'!$A$1:$O$85,15,0))</f>
        <v>0</v>
      </c>
      <c r="W59" s="70">
        <f>IF(ISERROR(VLOOKUP($T$59,'TAR FIN'!$A$1:$O$85,15,0)),0,VLOOKUP($T$59,'TAR FIN'!$A$1:$O$85,15,0))*(1-0.04)</f>
        <v>69.340800000000002</v>
      </c>
      <c r="X59" s="70">
        <f>IF(ISERROR(VLOOKUP($U$59,'TAR FIN'!$A$1:$O$85,15,0)),0,VLOOKUP($U$59,'TAR FIN'!$A$1:$O$85,15,0))*(1-0.04)</f>
        <v>214.77119999999999</v>
      </c>
      <c r="Y59" s="70"/>
      <c r="Z59" s="70">
        <f ca="1">('TUSD BE'!$AM$12+'TUSD BF'!$AM$12+'TUSD CVA'!$AM$12)*1*(1-0.02)</f>
        <v>101.23895799225831</v>
      </c>
      <c r="AA59" s="70">
        <f>('TE BE'!$AA$6+'TE BF'!$AA$6+'TE CVA'!$AA$6)*1*(1-0.02)</f>
        <v>213.27681122210436</v>
      </c>
      <c r="AB59" s="70">
        <f>(SUBSIDIO!$J$59*SUBSIDIO!$V$59)*(0.04)/(1-0.04)</f>
        <v>0</v>
      </c>
      <c r="AC59" s="70">
        <f>((SUBSIDIO!$L$59*SUBSIDIO!$W$59)+(SUBSIDIO!$N$59*SUBSIDIO!$X$59))*(0.04)/(1-0.04)</f>
        <v>30941.371254000005</v>
      </c>
      <c r="AD59" s="70">
        <f>(SUBSIDIO!$J$59*SUBSIDIO!$Y$59)*(0.02)/(1-0.02)</f>
        <v>0</v>
      </c>
      <c r="AE59" s="70">
        <f ca="1">((SUBSIDIO!$L$59*SUBSIDIO!$Z$59)+(SUBSIDIO!$N$59*SUBSIDIO!$AA$59))*(0.02)/(1-0.02)</f>
        <v>16776.739694203345</v>
      </c>
      <c r="AF59" s="4" t="s">
        <v>563</v>
      </c>
    </row>
    <row r="60" spans="1:32" ht="11.25" customHeight="1" x14ac:dyDescent="0.25">
      <c r="A60" s="4" t="s">
        <v>28</v>
      </c>
      <c r="B60" s="4" t="s">
        <v>33</v>
      </c>
      <c r="C60" s="4" t="s">
        <v>34</v>
      </c>
      <c r="D60" s="4" t="s">
        <v>41</v>
      </c>
      <c r="E60" s="4" t="s">
        <v>50</v>
      </c>
      <c r="F60" s="4" t="s">
        <v>25</v>
      </c>
      <c r="G60" s="4" t="s">
        <v>25</v>
      </c>
      <c r="H60" s="4" t="s">
        <v>36</v>
      </c>
      <c r="I60" s="5">
        <v>44470</v>
      </c>
      <c r="J60" s="6">
        <v>0</v>
      </c>
      <c r="K60" s="70">
        <v>0</v>
      </c>
      <c r="L60" s="6">
        <v>7.3719999999999999</v>
      </c>
      <c r="M60" s="70">
        <v>7.3719999999999999</v>
      </c>
      <c r="N60" s="6">
        <v>7.3719999999999999</v>
      </c>
      <c r="O60" s="70">
        <v>7.3719999999999999</v>
      </c>
      <c r="P60" s="6">
        <v>0</v>
      </c>
      <c r="Q60" s="4" t="s">
        <v>26</v>
      </c>
      <c r="R60" s="4">
        <v>0</v>
      </c>
      <c r="S60" s="4">
        <v>0</v>
      </c>
      <c r="T60" s="4">
        <v>47</v>
      </c>
      <c r="U60" s="4">
        <v>27</v>
      </c>
      <c r="V60" s="70">
        <f>IF(ISERROR(VLOOKUP($S$60,'TAR FIN'!$A$1:$O$85,15,0)),0,VLOOKUP($S$60,'TAR FIN'!$A$1:$O$85,15,0))</f>
        <v>0</v>
      </c>
      <c r="W60" s="70">
        <f>IF(ISERROR(VLOOKUP($T$60,'TAR FIN'!$A$1:$O$85,15,0)),0,VLOOKUP($T$60,'TAR FIN'!$A$1:$O$85,15,0))*(1-0.04)</f>
        <v>69.340800000000002</v>
      </c>
      <c r="X60" s="70">
        <f>IF(ISERROR(VLOOKUP($U$60,'TAR FIN'!$A$1:$O$85,15,0)),0,VLOOKUP($U$60,'TAR FIN'!$A$1:$O$85,15,0))*(1-0.04)</f>
        <v>214.77119999999999</v>
      </c>
      <c r="Y60" s="70"/>
      <c r="Z60" s="70">
        <f ca="1">('TUSD BE'!$AM$12+'TUSD BF'!$AM$12+'TUSD CVA'!$AM$12)*1*(1-0.02)</f>
        <v>101.23895799225831</v>
      </c>
      <c r="AA60" s="70">
        <f>('TE BE'!$AA$6+'TE BF'!$AA$6+'TE CVA'!$AA$6)*1*(1-0.02)</f>
        <v>213.27681122210436</v>
      </c>
      <c r="AB60" s="70">
        <f>(SUBSIDIO!$J$60*SUBSIDIO!$V$60)*(0.04)/(1-0.04)</f>
        <v>0</v>
      </c>
      <c r="AC60" s="70">
        <f>((SUBSIDIO!$L$60*SUBSIDIO!$W$60)+(SUBSIDIO!$N$60*SUBSIDIO!$X$60))*(0.04)/(1-0.04)</f>
        <v>87.269736000000009</v>
      </c>
      <c r="AD60" s="70">
        <f>(SUBSIDIO!$J$60*SUBSIDIO!$Y$60)*(0.02)/(1-0.02)</f>
        <v>0</v>
      </c>
      <c r="AE60" s="70">
        <f ca="1">((SUBSIDIO!$L$60*SUBSIDIO!$Z$60)+(SUBSIDIO!$N$60*SUBSIDIO!$AA$60))*(0.02)/(1-0.02)</f>
        <v>47.318576543842489</v>
      </c>
      <c r="AF60" s="4" t="s">
        <v>563</v>
      </c>
    </row>
    <row r="61" spans="1:32" ht="11.25" customHeight="1" x14ac:dyDescent="0.25">
      <c r="A61" s="4" t="s">
        <v>21</v>
      </c>
      <c r="B61" s="4" t="s">
        <v>33</v>
      </c>
      <c r="C61" s="4" t="s">
        <v>34</v>
      </c>
      <c r="D61" s="4" t="s">
        <v>41</v>
      </c>
      <c r="E61" s="4" t="s">
        <v>50</v>
      </c>
      <c r="F61" s="4" t="s">
        <v>25</v>
      </c>
      <c r="G61" s="4" t="s">
        <v>25</v>
      </c>
      <c r="H61" s="4" t="s">
        <v>36</v>
      </c>
      <c r="I61" s="5">
        <v>44501</v>
      </c>
      <c r="J61" s="6">
        <v>0</v>
      </c>
      <c r="K61" s="70">
        <v>0</v>
      </c>
      <c r="L61" s="6">
        <v>4457.0309999999999</v>
      </c>
      <c r="M61" s="70">
        <v>4457.0309999999999</v>
      </c>
      <c r="N61" s="6">
        <v>4457.0309999999999</v>
      </c>
      <c r="O61" s="70">
        <v>4457.0309999999999</v>
      </c>
      <c r="P61" s="6">
        <v>0</v>
      </c>
      <c r="Q61" s="4" t="s">
        <v>26</v>
      </c>
      <c r="R61" s="4">
        <v>0</v>
      </c>
      <c r="S61" s="4">
        <v>0</v>
      </c>
      <c r="T61" s="4">
        <v>47</v>
      </c>
      <c r="U61" s="4">
        <v>27</v>
      </c>
      <c r="V61" s="70">
        <f>IF(ISERROR(VLOOKUP($S$61,'TAR FIN'!$A$1:$O$85,15,0)),0,VLOOKUP($S$61,'TAR FIN'!$A$1:$O$85,15,0))</f>
        <v>0</v>
      </c>
      <c r="W61" s="70">
        <f>IF(ISERROR(VLOOKUP($T$61,'TAR FIN'!$A$1:$O$85,15,0)),0,VLOOKUP($T$61,'TAR FIN'!$A$1:$O$85,15,0))*(1-0.04)</f>
        <v>69.340800000000002</v>
      </c>
      <c r="X61" s="70">
        <f>IF(ISERROR(VLOOKUP($U$61,'TAR FIN'!$A$1:$O$85,15,0)),0,VLOOKUP($U$61,'TAR FIN'!$A$1:$O$85,15,0))*(1-0.04)</f>
        <v>214.77119999999999</v>
      </c>
      <c r="Y61" s="70"/>
      <c r="Z61" s="70">
        <f ca="1">('TUSD BE'!$AM$12+'TUSD BF'!$AM$12+'TUSD CVA'!$AM$12)*1*(1-0.02)</f>
        <v>101.23895799225831</v>
      </c>
      <c r="AA61" s="70">
        <f>('TE BE'!$AA$6+'TE BF'!$AA$6+'TE CVA'!$AA$6)*1*(1-0.02)</f>
        <v>213.27681122210436</v>
      </c>
      <c r="AB61" s="70">
        <f>(SUBSIDIO!$J$61*SUBSIDIO!$V$61)*(0.04)/(1-0.04)</f>
        <v>0</v>
      </c>
      <c r="AC61" s="70">
        <f>((SUBSIDIO!$L$61*SUBSIDIO!$W$61)+(SUBSIDIO!$N$61*SUBSIDIO!$X$61))*(0.04)/(1-0.04)</f>
        <v>52762.332978000006</v>
      </c>
      <c r="AD61" s="70">
        <f>(SUBSIDIO!$J$61*SUBSIDIO!$Y$61)*(0.02)/(1-0.02)</f>
        <v>0</v>
      </c>
      <c r="AE61" s="70">
        <f ca="1">((SUBSIDIO!$L$61*SUBSIDIO!$Z$61)+(SUBSIDIO!$N$61*SUBSIDIO!$AA$61))*(0.02)/(1-0.02)</f>
        <v>28608.296599535919</v>
      </c>
      <c r="AF61" s="4" t="s">
        <v>563</v>
      </c>
    </row>
    <row r="62" spans="1:32" ht="11.25" customHeight="1" x14ac:dyDescent="0.25">
      <c r="A62" s="4" t="s">
        <v>28</v>
      </c>
      <c r="B62" s="4" t="s">
        <v>33</v>
      </c>
      <c r="C62" s="4" t="s">
        <v>34</v>
      </c>
      <c r="D62" s="4" t="s">
        <v>41</v>
      </c>
      <c r="E62" s="4" t="s">
        <v>50</v>
      </c>
      <c r="F62" s="4" t="s">
        <v>25</v>
      </c>
      <c r="G62" s="4" t="s">
        <v>25</v>
      </c>
      <c r="H62" s="4" t="s">
        <v>36</v>
      </c>
      <c r="I62" s="5">
        <v>44501</v>
      </c>
      <c r="J62" s="6">
        <v>0</v>
      </c>
      <c r="K62" s="70">
        <v>0</v>
      </c>
      <c r="L62" s="6">
        <v>15.714</v>
      </c>
      <c r="M62" s="70">
        <v>15.714</v>
      </c>
      <c r="N62" s="6">
        <v>15.714</v>
      </c>
      <c r="O62" s="70">
        <v>15.714</v>
      </c>
      <c r="P62" s="6">
        <v>0</v>
      </c>
      <c r="Q62" s="4" t="s">
        <v>26</v>
      </c>
      <c r="R62" s="4">
        <v>0</v>
      </c>
      <c r="S62" s="4">
        <v>0</v>
      </c>
      <c r="T62" s="4">
        <v>47</v>
      </c>
      <c r="U62" s="4">
        <v>27</v>
      </c>
      <c r="V62" s="70">
        <f>IF(ISERROR(VLOOKUP($S$62,'TAR FIN'!$A$1:$O$85,15,0)),0,VLOOKUP($S$62,'TAR FIN'!$A$1:$O$85,15,0))</f>
        <v>0</v>
      </c>
      <c r="W62" s="70">
        <f>IF(ISERROR(VLOOKUP($T$62,'TAR FIN'!$A$1:$O$85,15,0)),0,VLOOKUP($T$62,'TAR FIN'!$A$1:$O$85,15,0))*(1-0.04)</f>
        <v>69.340800000000002</v>
      </c>
      <c r="X62" s="70">
        <f>IF(ISERROR(VLOOKUP($U$62,'TAR FIN'!$A$1:$O$85,15,0)),0,VLOOKUP($U$62,'TAR FIN'!$A$1:$O$85,15,0))*(1-0.04)</f>
        <v>214.77119999999999</v>
      </c>
      <c r="Y62" s="70"/>
      <c r="Z62" s="70">
        <f ca="1">('TUSD BE'!$AM$12+'TUSD BF'!$AM$12+'TUSD CVA'!$AM$12)*1*(1-0.02)</f>
        <v>101.23895799225831</v>
      </c>
      <c r="AA62" s="70">
        <f>('TE BE'!$AA$6+'TE BF'!$AA$6+'TE CVA'!$AA$6)*1*(1-0.02)</f>
        <v>213.27681122210436</v>
      </c>
      <c r="AB62" s="70">
        <f>(SUBSIDIO!$J$62*SUBSIDIO!$V$62)*(0.04)/(1-0.04)</f>
        <v>0</v>
      </c>
      <c r="AC62" s="70">
        <f>((SUBSIDIO!$L$62*SUBSIDIO!$W$62)+(SUBSIDIO!$N$62*SUBSIDIO!$X$62))*(0.04)/(1-0.04)</f>
        <v>186.02233200000003</v>
      </c>
      <c r="AD62" s="70">
        <f>(SUBSIDIO!$J$62*SUBSIDIO!$Y$62)*(0.02)/(1-0.02)</f>
        <v>0</v>
      </c>
      <c r="AE62" s="70">
        <f ca="1">((SUBSIDIO!$L$62*SUBSIDIO!$Z$62)+(SUBSIDIO!$N$62*SUBSIDIO!$AA$62))*(0.02)/(1-0.02)</f>
        <v>100.86328158029582</v>
      </c>
      <c r="AF62" s="4" t="s">
        <v>563</v>
      </c>
    </row>
    <row r="63" spans="1:32" ht="11.25" customHeight="1" x14ac:dyDescent="0.25">
      <c r="A63" s="4" t="s">
        <v>21</v>
      </c>
      <c r="B63" s="4" t="s">
        <v>33</v>
      </c>
      <c r="C63" s="4" t="s">
        <v>34</v>
      </c>
      <c r="D63" s="4" t="s">
        <v>41</v>
      </c>
      <c r="E63" s="4" t="s">
        <v>50</v>
      </c>
      <c r="F63" s="4" t="s">
        <v>25</v>
      </c>
      <c r="G63" s="4" t="s">
        <v>25</v>
      </c>
      <c r="H63" s="4" t="s">
        <v>36</v>
      </c>
      <c r="I63" s="5">
        <v>44531</v>
      </c>
      <c r="J63" s="6">
        <v>0</v>
      </c>
      <c r="K63" s="70">
        <v>0</v>
      </c>
      <c r="L63" s="6">
        <v>3668.5549999999998</v>
      </c>
      <c r="M63" s="70">
        <v>3668.5549999999998</v>
      </c>
      <c r="N63" s="6">
        <v>3668.5549999999998</v>
      </c>
      <c r="O63" s="70">
        <v>3668.5549999999998</v>
      </c>
      <c r="P63" s="6">
        <v>0</v>
      </c>
      <c r="Q63" s="4" t="s">
        <v>26</v>
      </c>
      <c r="R63" s="4">
        <v>0</v>
      </c>
      <c r="S63" s="4">
        <v>0</v>
      </c>
      <c r="T63" s="4">
        <v>47</v>
      </c>
      <c r="U63" s="4">
        <v>27</v>
      </c>
      <c r="V63" s="70">
        <f>IF(ISERROR(VLOOKUP($S$63,'TAR FIN'!$A$1:$O$85,15,0)),0,VLOOKUP($S$63,'TAR FIN'!$A$1:$O$85,15,0))</f>
        <v>0</v>
      </c>
      <c r="W63" s="70">
        <f>IF(ISERROR(VLOOKUP($T$63,'TAR FIN'!$A$1:$O$85,15,0)),0,VLOOKUP($T$63,'TAR FIN'!$A$1:$O$85,15,0))*(1-0.04)</f>
        <v>69.340800000000002</v>
      </c>
      <c r="X63" s="70">
        <f>IF(ISERROR(VLOOKUP($U$63,'TAR FIN'!$A$1:$O$85,15,0)),0,VLOOKUP($U$63,'TAR FIN'!$A$1:$O$85,15,0))*(1-0.04)</f>
        <v>214.77119999999999</v>
      </c>
      <c r="Y63" s="70"/>
      <c r="Z63" s="70">
        <f ca="1">('TUSD BE'!$AM$12+'TUSD BF'!$AM$12+'TUSD CVA'!$AM$12)*1*(1-0.02)</f>
        <v>101.23895799225831</v>
      </c>
      <c r="AA63" s="70">
        <f>('TE BE'!$AA$6+'TE BF'!$AA$6+'TE CVA'!$AA$6)*1*(1-0.02)</f>
        <v>213.27681122210436</v>
      </c>
      <c r="AB63" s="70">
        <f>(SUBSIDIO!$J$63*SUBSIDIO!$V$63)*(0.04)/(1-0.04)</f>
        <v>0</v>
      </c>
      <c r="AC63" s="70">
        <f>((SUBSIDIO!$L$63*SUBSIDIO!$W$63)+(SUBSIDIO!$N$63*SUBSIDIO!$X$63))*(0.04)/(1-0.04)</f>
        <v>43428.354090000001</v>
      </c>
      <c r="AD63" s="70">
        <f>(SUBSIDIO!$J$63*SUBSIDIO!$Y$63)*(0.02)/(1-0.02)</f>
        <v>0</v>
      </c>
      <c r="AE63" s="70">
        <f ca="1">((SUBSIDIO!$L$63*SUBSIDIO!$Z$63)+(SUBSIDIO!$N$63*SUBSIDIO!$AA$63))*(0.02)/(1-0.02)</f>
        <v>23547.314239391759</v>
      </c>
      <c r="AF63" s="4" t="s">
        <v>563</v>
      </c>
    </row>
    <row r="64" spans="1:32" ht="11.25" customHeight="1" x14ac:dyDescent="0.25">
      <c r="A64" s="4" t="s">
        <v>27</v>
      </c>
      <c r="B64" s="4" t="s">
        <v>33</v>
      </c>
      <c r="C64" s="4" t="s">
        <v>34</v>
      </c>
      <c r="D64" s="4" t="s">
        <v>41</v>
      </c>
      <c r="E64" s="4" t="s">
        <v>50</v>
      </c>
      <c r="F64" s="4" t="s">
        <v>25</v>
      </c>
      <c r="G64" s="4" t="s">
        <v>25</v>
      </c>
      <c r="H64" s="4" t="s">
        <v>36</v>
      </c>
      <c r="I64" s="5">
        <v>44531</v>
      </c>
      <c r="J64" s="6">
        <v>0</v>
      </c>
      <c r="K64" s="70">
        <v>0</v>
      </c>
      <c r="L64" s="6">
        <v>1.665</v>
      </c>
      <c r="M64" s="70">
        <v>1.665</v>
      </c>
      <c r="N64" s="6">
        <v>1.665</v>
      </c>
      <c r="O64" s="70">
        <v>1.665</v>
      </c>
      <c r="P64" s="6">
        <v>0</v>
      </c>
      <c r="Q64" s="4" t="s">
        <v>26</v>
      </c>
      <c r="R64" s="4">
        <v>0</v>
      </c>
      <c r="S64" s="4">
        <v>0</v>
      </c>
      <c r="T64" s="4">
        <v>47</v>
      </c>
      <c r="U64" s="4">
        <v>27</v>
      </c>
      <c r="V64" s="70">
        <f>IF(ISERROR(VLOOKUP($S$64,'TAR FIN'!$A$1:$O$85,15,0)),0,VLOOKUP($S$64,'TAR FIN'!$A$1:$O$85,15,0))</f>
        <v>0</v>
      </c>
      <c r="W64" s="70">
        <f>IF(ISERROR(VLOOKUP($T$64,'TAR FIN'!$A$1:$O$85,15,0)),0,VLOOKUP($T$64,'TAR FIN'!$A$1:$O$85,15,0))*(1-0.04)</f>
        <v>69.340800000000002</v>
      </c>
      <c r="X64" s="70">
        <f>IF(ISERROR(VLOOKUP($U$64,'TAR FIN'!$A$1:$O$85,15,0)),0,VLOOKUP($U$64,'TAR FIN'!$A$1:$O$85,15,0))*(1-0.04)</f>
        <v>214.77119999999999</v>
      </c>
      <c r="Y64" s="70"/>
      <c r="Z64" s="70">
        <f ca="1">('TUSD BE'!$AM$12+'TUSD BF'!$AM$12+'TUSD CVA'!$AM$12)*1*(1-0.02)</f>
        <v>101.23895799225831</v>
      </c>
      <c r="AA64" s="70">
        <f>('TE BE'!$AA$6+'TE BF'!$AA$6+'TE CVA'!$AA$6)*1*(1-0.02)</f>
        <v>213.27681122210436</v>
      </c>
      <c r="AB64" s="70">
        <f>(SUBSIDIO!$J$64*SUBSIDIO!$V$64)*(0.04)/(1-0.04)</f>
        <v>0</v>
      </c>
      <c r="AC64" s="70">
        <f>((SUBSIDIO!$L$64*SUBSIDIO!$W$64)+(SUBSIDIO!$N$64*SUBSIDIO!$X$64))*(0.04)/(1-0.04)</f>
        <v>19.710270000000001</v>
      </c>
      <c r="AD64" s="70">
        <f>(SUBSIDIO!$J$64*SUBSIDIO!$Y$64)*(0.02)/(1-0.02)</f>
        <v>0</v>
      </c>
      <c r="AE64" s="70">
        <f ca="1">((SUBSIDIO!$L$64*SUBSIDIO!$Z$64)+(SUBSIDIO!$N$64*SUBSIDIO!$AA$64))*(0.02)/(1-0.02)</f>
        <v>10.687117464120691</v>
      </c>
      <c r="AF64" s="4" t="s">
        <v>563</v>
      </c>
    </row>
    <row r="65" spans="1:32" ht="11.25" customHeight="1" x14ac:dyDescent="0.25">
      <c r="A65" s="4" t="s">
        <v>28</v>
      </c>
      <c r="B65" s="4" t="s">
        <v>33</v>
      </c>
      <c r="C65" s="4" t="s">
        <v>34</v>
      </c>
      <c r="D65" s="4" t="s">
        <v>41</v>
      </c>
      <c r="E65" s="4" t="s">
        <v>50</v>
      </c>
      <c r="F65" s="4" t="s">
        <v>25</v>
      </c>
      <c r="G65" s="4" t="s">
        <v>25</v>
      </c>
      <c r="H65" s="4" t="s">
        <v>36</v>
      </c>
      <c r="I65" s="5">
        <v>44531</v>
      </c>
      <c r="J65" s="6">
        <v>0</v>
      </c>
      <c r="K65" s="70">
        <v>0</v>
      </c>
      <c r="L65" s="6">
        <v>3.76</v>
      </c>
      <c r="M65" s="70">
        <v>3.76</v>
      </c>
      <c r="N65" s="6">
        <v>3.76</v>
      </c>
      <c r="O65" s="70">
        <v>3.76</v>
      </c>
      <c r="P65" s="6">
        <v>0</v>
      </c>
      <c r="Q65" s="4" t="s">
        <v>26</v>
      </c>
      <c r="R65" s="4">
        <v>0</v>
      </c>
      <c r="S65" s="4">
        <v>0</v>
      </c>
      <c r="T65" s="4">
        <v>47</v>
      </c>
      <c r="U65" s="4">
        <v>27</v>
      </c>
      <c r="V65" s="70">
        <f>IF(ISERROR(VLOOKUP($S$65,'TAR FIN'!$A$1:$O$85,15,0)),0,VLOOKUP($S$65,'TAR FIN'!$A$1:$O$85,15,0))</f>
        <v>0</v>
      </c>
      <c r="W65" s="70">
        <f>IF(ISERROR(VLOOKUP($T$65,'TAR FIN'!$A$1:$O$85,15,0)),0,VLOOKUP($T$65,'TAR FIN'!$A$1:$O$85,15,0))*(1-0.04)</f>
        <v>69.340800000000002</v>
      </c>
      <c r="X65" s="70">
        <f>IF(ISERROR(VLOOKUP($U$65,'TAR FIN'!$A$1:$O$85,15,0)),0,VLOOKUP($U$65,'TAR FIN'!$A$1:$O$85,15,0))*(1-0.04)</f>
        <v>214.77119999999999</v>
      </c>
      <c r="Y65" s="70"/>
      <c r="Z65" s="70">
        <f ca="1">('TUSD BE'!$AM$12+'TUSD BF'!$AM$12+'TUSD CVA'!$AM$12)*1*(1-0.02)</f>
        <v>101.23895799225831</v>
      </c>
      <c r="AA65" s="70">
        <f>('TE BE'!$AA$6+'TE BF'!$AA$6+'TE CVA'!$AA$6)*1*(1-0.02)</f>
        <v>213.27681122210436</v>
      </c>
      <c r="AB65" s="70">
        <f>(SUBSIDIO!$J$65*SUBSIDIO!$V$65)*(0.04)/(1-0.04)</f>
        <v>0</v>
      </c>
      <c r="AC65" s="70">
        <f>((SUBSIDIO!$L$65*SUBSIDIO!$W$65)+(SUBSIDIO!$N$65*SUBSIDIO!$X$65))*(0.04)/(1-0.04)</f>
        <v>44.510879999999993</v>
      </c>
      <c r="AD65" s="70">
        <f>(SUBSIDIO!$J$65*SUBSIDIO!$Y$65)*(0.02)/(1-0.02)</f>
        <v>0</v>
      </c>
      <c r="AE65" s="70">
        <f ca="1">((SUBSIDIO!$L$65*SUBSIDIO!$Z$65)+(SUBSIDIO!$N$65*SUBSIDIO!$AA$65))*(0.02)/(1-0.02)</f>
        <v>24.134271270326607</v>
      </c>
      <c r="AF65" s="4" t="s">
        <v>563</v>
      </c>
    </row>
    <row r="66" spans="1:32" ht="11.25" customHeight="1" x14ac:dyDescent="0.25">
      <c r="A66" s="4" t="s">
        <v>21</v>
      </c>
      <c r="B66" s="4" t="s">
        <v>33</v>
      </c>
      <c r="C66" s="4" t="s">
        <v>34</v>
      </c>
      <c r="D66" s="4" t="s">
        <v>41</v>
      </c>
      <c r="E66" s="4" t="s">
        <v>50</v>
      </c>
      <c r="F66" s="4" t="s">
        <v>25</v>
      </c>
      <c r="G66" s="4" t="s">
        <v>25</v>
      </c>
      <c r="H66" s="4" t="s">
        <v>36</v>
      </c>
      <c r="I66" s="5">
        <v>44562</v>
      </c>
      <c r="J66" s="6">
        <v>0</v>
      </c>
      <c r="K66" s="70">
        <v>0</v>
      </c>
      <c r="L66" s="6">
        <v>2265.0030000000002</v>
      </c>
      <c r="M66" s="70">
        <v>2265.0030000000002</v>
      </c>
      <c r="N66" s="6">
        <v>2265.0030000000002</v>
      </c>
      <c r="O66" s="70">
        <v>2265.0030000000002</v>
      </c>
      <c r="P66" s="6">
        <v>0</v>
      </c>
      <c r="Q66" s="4" t="s">
        <v>26</v>
      </c>
      <c r="R66" s="4">
        <v>0</v>
      </c>
      <c r="S66" s="4">
        <v>0</v>
      </c>
      <c r="T66" s="4">
        <v>47</v>
      </c>
      <c r="U66" s="4">
        <v>27</v>
      </c>
      <c r="V66" s="70">
        <f>IF(ISERROR(VLOOKUP($S$66,'TAR FIN'!$A$1:$O$85,15,0)),0,VLOOKUP($S$66,'TAR FIN'!$A$1:$O$85,15,0))</f>
        <v>0</v>
      </c>
      <c r="W66" s="70">
        <f>IF(ISERROR(VLOOKUP($T$66,'TAR FIN'!$A$1:$O$85,15,0)),0,VLOOKUP($T$66,'TAR FIN'!$A$1:$O$85,15,0))*(1-0.04)</f>
        <v>69.340800000000002</v>
      </c>
      <c r="X66" s="70">
        <f>IF(ISERROR(VLOOKUP($U$66,'TAR FIN'!$A$1:$O$85,15,0)),0,VLOOKUP($U$66,'TAR FIN'!$A$1:$O$85,15,0))*(1-0.04)</f>
        <v>214.77119999999999</v>
      </c>
      <c r="Y66" s="70"/>
      <c r="Z66" s="70">
        <f ca="1">('TUSD BE'!$AM$12+'TUSD BF'!$AM$12+'TUSD CVA'!$AM$12)*1*(1-0.02)</f>
        <v>101.23895799225831</v>
      </c>
      <c r="AA66" s="70">
        <f>('TE BE'!$AA$6+'TE BF'!$AA$6+'TE CVA'!$AA$6)*1*(1-0.02)</f>
        <v>213.27681122210436</v>
      </c>
      <c r="AB66" s="70">
        <f>(SUBSIDIO!$J$66*SUBSIDIO!$V$66)*(0.04)/(1-0.04)</f>
        <v>0</v>
      </c>
      <c r="AC66" s="70">
        <f>((SUBSIDIO!$L$66*SUBSIDIO!$W$66)+(SUBSIDIO!$N$66*SUBSIDIO!$X$66))*(0.04)/(1-0.04)</f>
        <v>26813.105514000003</v>
      </c>
      <c r="AD66" s="70">
        <f>(SUBSIDIO!$J$66*SUBSIDIO!$Y$66)*(0.02)/(1-0.02)</f>
        <v>0</v>
      </c>
      <c r="AE66" s="70">
        <f ca="1">((SUBSIDIO!$L$66*SUBSIDIO!$Z$66)+(SUBSIDIO!$N$66*SUBSIDIO!$AA$66))*(0.02)/(1-0.02)</f>
        <v>14538.350220772229</v>
      </c>
      <c r="AF66" s="4" t="s">
        <v>563</v>
      </c>
    </row>
    <row r="67" spans="1:32" ht="11.25" customHeight="1" x14ac:dyDescent="0.25">
      <c r="A67" s="4" t="s">
        <v>21</v>
      </c>
      <c r="B67" s="4" t="s">
        <v>33</v>
      </c>
      <c r="C67" s="4" t="s">
        <v>34</v>
      </c>
      <c r="D67" s="4" t="s">
        <v>41</v>
      </c>
      <c r="E67" s="4" t="s">
        <v>50</v>
      </c>
      <c r="F67" s="4" t="s">
        <v>25</v>
      </c>
      <c r="G67" s="4" t="s">
        <v>25</v>
      </c>
      <c r="H67" s="4" t="s">
        <v>36</v>
      </c>
      <c r="I67" s="5">
        <v>44593</v>
      </c>
      <c r="J67" s="6">
        <v>0</v>
      </c>
      <c r="K67" s="70">
        <v>0</v>
      </c>
      <c r="L67" s="6">
        <v>3510.4380000000001</v>
      </c>
      <c r="M67" s="70">
        <v>3510.4380000000001</v>
      </c>
      <c r="N67" s="6">
        <v>3510.4380000000001</v>
      </c>
      <c r="O67" s="70">
        <v>3510.4380000000001</v>
      </c>
      <c r="P67" s="6">
        <v>0</v>
      </c>
      <c r="Q67" s="4" t="s">
        <v>26</v>
      </c>
      <c r="R67" s="4">
        <v>0</v>
      </c>
      <c r="S67" s="4">
        <v>0</v>
      </c>
      <c r="T67" s="4">
        <v>47</v>
      </c>
      <c r="U67" s="4">
        <v>27</v>
      </c>
      <c r="V67" s="70">
        <f>IF(ISERROR(VLOOKUP($S$67,'TAR FIN'!$A$1:$O$85,15,0)),0,VLOOKUP($S$67,'TAR FIN'!$A$1:$O$85,15,0))</f>
        <v>0</v>
      </c>
      <c r="W67" s="70">
        <f>IF(ISERROR(VLOOKUP($T$67,'TAR FIN'!$A$1:$O$85,15,0)),0,VLOOKUP($T$67,'TAR FIN'!$A$1:$O$85,15,0))*(1-0.04)</f>
        <v>69.340800000000002</v>
      </c>
      <c r="X67" s="70">
        <f>IF(ISERROR(VLOOKUP($U$67,'TAR FIN'!$A$1:$O$85,15,0)),0,VLOOKUP($U$67,'TAR FIN'!$A$1:$O$85,15,0))*(1-0.04)</f>
        <v>214.77119999999999</v>
      </c>
      <c r="Y67" s="70"/>
      <c r="Z67" s="70">
        <f ca="1">('TUSD BE'!$AM$12+'TUSD BF'!$AM$12+'TUSD CVA'!$AM$12)*1*(1-0.02)</f>
        <v>101.23895799225831</v>
      </c>
      <c r="AA67" s="70">
        <f>('TE BE'!$AA$6+'TE BF'!$AA$6+'TE CVA'!$AA$6)*1*(1-0.02)</f>
        <v>213.27681122210436</v>
      </c>
      <c r="AB67" s="70">
        <f>(SUBSIDIO!$J$67*SUBSIDIO!$V$67)*(0.04)/(1-0.04)</f>
        <v>0</v>
      </c>
      <c r="AC67" s="70">
        <f>((SUBSIDIO!$L$67*SUBSIDIO!$W$67)+(SUBSIDIO!$N$67*SUBSIDIO!$X$67))*(0.04)/(1-0.04)</f>
        <v>41556.565044000003</v>
      </c>
      <c r="AD67" s="70">
        <f>(SUBSIDIO!$J$67*SUBSIDIO!$Y$67)*(0.02)/(1-0.02)</f>
        <v>0</v>
      </c>
      <c r="AE67" s="70">
        <f ca="1">((SUBSIDIO!$L$67*SUBSIDIO!$Z$67)+(SUBSIDIO!$N$67*SUBSIDIO!$AA$67))*(0.02)/(1-0.02)</f>
        <v>22532.410364272018</v>
      </c>
      <c r="AF67" s="4" t="s">
        <v>563</v>
      </c>
    </row>
    <row r="68" spans="1:32" ht="11.25" customHeight="1" x14ac:dyDescent="0.25">
      <c r="A68" s="4" t="s">
        <v>28</v>
      </c>
      <c r="B68" s="4" t="s">
        <v>33</v>
      </c>
      <c r="C68" s="4" t="s">
        <v>34</v>
      </c>
      <c r="D68" s="4" t="s">
        <v>41</v>
      </c>
      <c r="E68" s="4" t="s">
        <v>50</v>
      </c>
      <c r="F68" s="4" t="s">
        <v>25</v>
      </c>
      <c r="G68" s="4" t="s">
        <v>25</v>
      </c>
      <c r="H68" s="4" t="s">
        <v>36</v>
      </c>
      <c r="I68" s="5">
        <v>44593</v>
      </c>
      <c r="J68" s="6">
        <v>0</v>
      </c>
      <c r="K68" s="70">
        <v>0</v>
      </c>
      <c r="L68" s="6">
        <v>9.907</v>
      </c>
      <c r="M68" s="70">
        <v>9.907</v>
      </c>
      <c r="N68" s="6">
        <v>9.907</v>
      </c>
      <c r="O68" s="70">
        <v>9.907</v>
      </c>
      <c r="P68" s="6">
        <v>0</v>
      </c>
      <c r="Q68" s="4" t="s">
        <v>26</v>
      </c>
      <c r="R68" s="4">
        <v>0</v>
      </c>
      <c r="S68" s="4">
        <v>0</v>
      </c>
      <c r="T68" s="4">
        <v>47</v>
      </c>
      <c r="U68" s="4">
        <v>27</v>
      </c>
      <c r="V68" s="70">
        <f>IF(ISERROR(VLOOKUP($S$68,'TAR FIN'!$A$1:$O$85,15,0)),0,VLOOKUP($S$68,'TAR FIN'!$A$1:$O$85,15,0))</f>
        <v>0</v>
      </c>
      <c r="W68" s="70">
        <f>IF(ISERROR(VLOOKUP($T$68,'TAR FIN'!$A$1:$O$85,15,0)),0,VLOOKUP($T$68,'TAR FIN'!$A$1:$O$85,15,0))*(1-0.04)</f>
        <v>69.340800000000002</v>
      </c>
      <c r="X68" s="70">
        <f>IF(ISERROR(VLOOKUP($U$68,'TAR FIN'!$A$1:$O$85,15,0)),0,VLOOKUP($U$68,'TAR FIN'!$A$1:$O$85,15,0))*(1-0.04)</f>
        <v>214.77119999999999</v>
      </c>
      <c r="Y68" s="70"/>
      <c r="Z68" s="70">
        <f ca="1">('TUSD BE'!$AM$12+'TUSD BF'!$AM$12+'TUSD CVA'!$AM$12)*1*(1-0.02)</f>
        <v>101.23895799225831</v>
      </c>
      <c r="AA68" s="70">
        <f>('TE BE'!$AA$6+'TE BF'!$AA$6+'TE CVA'!$AA$6)*1*(1-0.02)</f>
        <v>213.27681122210436</v>
      </c>
      <c r="AB68" s="70">
        <f>(SUBSIDIO!$J$68*SUBSIDIO!$V$68)*(0.04)/(1-0.04)</f>
        <v>0</v>
      </c>
      <c r="AC68" s="70">
        <f>((SUBSIDIO!$L$68*SUBSIDIO!$W$68)+(SUBSIDIO!$N$68*SUBSIDIO!$X$68))*(0.04)/(1-0.04)</f>
        <v>117.279066</v>
      </c>
      <c r="AD68" s="70">
        <f>(SUBSIDIO!$J$68*SUBSIDIO!$Y$68)*(0.02)/(1-0.02)</f>
        <v>0</v>
      </c>
      <c r="AE68" s="70">
        <f ca="1">((SUBSIDIO!$L$68*SUBSIDIO!$Z$68)+(SUBSIDIO!$N$68*SUBSIDIO!$AA$68))*(0.02)/(1-0.02)</f>
        <v>63.589953583810015</v>
      </c>
      <c r="AF68" s="4" t="s">
        <v>563</v>
      </c>
    </row>
    <row r="69" spans="1:32" ht="11.25" customHeight="1" x14ac:dyDescent="0.25">
      <c r="A69" s="4" t="s">
        <v>54</v>
      </c>
      <c r="B69" s="4" t="s">
        <v>33</v>
      </c>
      <c r="C69" s="4" t="s">
        <v>34</v>
      </c>
      <c r="D69" s="4" t="s">
        <v>41</v>
      </c>
      <c r="E69" s="4" t="s">
        <v>50</v>
      </c>
      <c r="F69" s="4" t="s">
        <v>25</v>
      </c>
      <c r="G69" s="4" t="s">
        <v>25</v>
      </c>
      <c r="H69" s="4" t="s">
        <v>36</v>
      </c>
      <c r="I69" s="5">
        <v>44621</v>
      </c>
      <c r="J69" s="6">
        <v>0</v>
      </c>
      <c r="K69" s="70">
        <v>0</v>
      </c>
      <c r="L69" s="6">
        <v>3510.4380000000001</v>
      </c>
      <c r="M69" s="70">
        <v>3510.4380000000001</v>
      </c>
      <c r="N69" s="6">
        <v>3510.4380000000001</v>
      </c>
      <c r="O69" s="70">
        <v>3510.4380000000001</v>
      </c>
      <c r="P69" s="6">
        <v>0</v>
      </c>
      <c r="Q69" s="4" t="s">
        <v>26</v>
      </c>
      <c r="R69" s="4">
        <v>0</v>
      </c>
      <c r="S69" s="4">
        <v>0</v>
      </c>
      <c r="T69" s="4">
        <v>47</v>
      </c>
      <c r="U69" s="4">
        <v>27</v>
      </c>
      <c r="V69" s="70">
        <f>IF(ISERROR(VLOOKUP($S$69,'TAR FIN'!$A$1:$O$85,15,0)),0,VLOOKUP($S$69,'TAR FIN'!$A$1:$O$85,15,0))</f>
        <v>0</v>
      </c>
      <c r="W69" s="70">
        <f>IF(ISERROR(VLOOKUP($T$69,'TAR FIN'!$A$1:$O$85,15,0)),0,VLOOKUP($T$69,'TAR FIN'!$A$1:$O$85,15,0))*(1-0.04)</f>
        <v>69.340800000000002</v>
      </c>
      <c r="X69" s="70">
        <f>IF(ISERROR(VLOOKUP($U$69,'TAR FIN'!$A$1:$O$85,15,0)),0,VLOOKUP($U$69,'TAR FIN'!$A$1:$O$85,15,0))*(1-0.04)</f>
        <v>214.77119999999999</v>
      </c>
      <c r="Y69" s="70"/>
      <c r="Z69" s="70">
        <f ca="1">('TUSD BE'!$AM$12+'TUSD BF'!$AM$12+'TUSD CVA'!$AM$12)*1*(1-0.02)</f>
        <v>101.23895799225831</v>
      </c>
      <c r="AA69" s="70">
        <f>('TE BE'!$AA$6+'TE BF'!$AA$6+'TE CVA'!$AA$6)*1*(1-0.02)</f>
        <v>213.27681122210436</v>
      </c>
      <c r="AB69" s="70">
        <f>(SUBSIDIO!$J$69*SUBSIDIO!$V$69)*(0.04)/(1-0.04)</f>
        <v>0</v>
      </c>
      <c r="AC69" s="70">
        <f>((SUBSIDIO!$L$69*SUBSIDIO!$W$69)+(SUBSIDIO!$N$69*SUBSIDIO!$X$69))*(0.04)/(1-0.04)</f>
        <v>41556.565044000003</v>
      </c>
      <c r="AD69" s="70">
        <f>(SUBSIDIO!$J$69*SUBSIDIO!$Y$69)*(0.02)/(1-0.02)</f>
        <v>0</v>
      </c>
      <c r="AE69" s="70">
        <f ca="1">((SUBSIDIO!$L$69*SUBSIDIO!$Z$69)+(SUBSIDIO!$N$69*SUBSIDIO!$AA$69))*(0.02)/(1-0.02)</f>
        <v>22532.410364272018</v>
      </c>
      <c r="AF69" s="4" t="s">
        <v>563</v>
      </c>
    </row>
    <row r="70" spans="1:32" ht="11.25" customHeight="1" x14ac:dyDescent="0.25">
      <c r="A70" s="4" t="s">
        <v>54</v>
      </c>
      <c r="B70" s="4" t="s">
        <v>33</v>
      </c>
      <c r="C70" s="4" t="s">
        <v>34</v>
      </c>
      <c r="D70" s="4" t="s">
        <v>41</v>
      </c>
      <c r="E70" s="4" t="s">
        <v>50</v>
      </c>
      <c r="F70" s="4" t="s">
        <v>25</v>
      </c>
      <c r="G70" s="4" t="s">
        <v>25</v>
      </c>
      <c r="H70" s="4" t="s">
        <v>36</v>
      </c>
      <c r="I70" s="5">
        <v>44621</v>
      </c>
      <c r="J70" s="6">
        <v>0</v>
      </c>
      <c r="K70" s="70">
        <v>0</v>
      </c>
      <c r="L70" s="6">
        <v>9.907</v>
      </c>
      <c r="M70" s="70">
        <v>9.907</v>
      </c>
      <c r="N70" s="6">
        <v>9.907</v>
      </c>
      <c r="O70" s="70">
        <v>9.907</v>
      </c>
      <c r="P70" s="6">
        <v>0</v>
      </c>
      <c r="Q70" s="4" t="s">
        <v>26</v>
      </c>
      <c r="R70" s="4">
        <v>0</v>
      </c>
      <c r="S70" s="4">
        <v>0</v>
      </c>
      <c r="T70" s="4">
        <v>47</v>
      </c>
      <c r="U70" s="4">
        <v>27</v>
      </c>
      <c r="V70" s="70">
        <f>IF(ISERROR(VLOOKUP($S$70,'TAR FIN'!$A$1:$O$85,15,0)),0,VLOOKUP($S$70,'TAR FIN'!$A$1:$O$85,15,0))</f>
        <v>0</v>
      </c>
      <c r="W70" s="70">
        <f>IF(ISERROR(VLOOKUP($T$70,'TAR FIN'!$A$1:$O$85,15,0)),0,VLOOKUP($T$70,'TAR FIN'!$A$1:$O$85,15,0))*(1-0.04)</f>
        <v>69.340800000000002</v>
      </c>
      <c r="X70" s="70">
        <f>IF(ISERROR(VLOOKUP($U$70,'TAR FIN'!$A$1:$O$85,15,0)),0,VLOOKUP($U$70,'TAR FIN'!$A$1:$O$85,15,0))*(1-0.04)</f>
        <v>214.77119999999999</v>
      </c>
      <c r="Y70" s="70"/>
      <c r="Z70" s="70">
        <f ca="1">('TUSD BE'!$AM$12+'TUSD BF'!$AM$12+'TUSD CVA'!$AM$12)*1*(1-0.02)</f>
        <v>101.23895799225831</v>
      </c>
      <c r="AA70" s="70">
        <f>('TE BE'!$AA$6+'TE BF'!$AA$6+'TE CVA'!$AA$6)*1*(1-0.02)</f>
        <v>213.27681122210436</v>
      </c>
      <c r="AB70" s="70">
        <f>(SUBSIDIO!$J$70*SUBSIDIO!$V$70)*(0.04)/(1-0.04)</f>
        <v>0</v>
      </c>
      <c r="AC70" s="70">
        <f>((SUBSIDIO!$L$70*SUBSIDIO!$W$70)+(SUBSIDIO!$N$70*SUBSIDIO!$X$70))*(0.04)/(1-0.04)</f>
        <v>117.279066</v>
      </c>
      <c r="AD70" s="70">
        <f>(SUBSIDIO!$J$70*SUBSIDIO!$Y$70)*(0.02)/(1-0.02)</f>
        <v>0</v>
      </c>
      <c r="AE70" s="70">
        <f ca="1">((SUBSIDIO!$L$70*SUBSIDIO!$Z$70)+(SUBSIDIO!$N$70*SUBSIDIO!$AA$70))*(0.02)/(1-0.02)</f>
        <v>63.589953583810015</v>
      </c>
      <c r="AF70" s="4" t="s">
        <v>563</v>
      </c>
    </row>
    <row r="71" spans="1:32" ht="11.25" customHeight="1" x14ac:dyDescent="0.25">
      <c r="A71" s="4" t="s">
        <v>21</v>
      </c>
      <c r="B71" s="4" t="s">
        <v>33</v>
      </c>
      <c r="C71" s="4" t="s">
        <v>34</v>
      </c>
      <c r="D71" s="4" t="s">
        <v>41</v>
      </c>
      <c r="E71" s="4" t="s">
        <v>50</v>
      </c>
      <c r="F71" s="4" t="s">
        <v>25</v>
      </c>
      <c r="G71" s="4" t="s">
        <v>25</v>
      </c>
      <c r="H71" s="4" t="s">
        <v>25</v>
      </c>
      <c r="I71" s="5">
        <v>44287</v>
      </c>
      <c r="J71" s="6">
        <v>39572</v>
      </c>
      <c r="K71" s="70">
        <v>39572</v>
      </c>
      <c r="L71" s="6">
        <v>0</v>
      </c>
      <c r="M71" s="70">
        <v>0</v>
      </c>
      <c r="N71" s="6">
        <v>0</v>
      </c>
      <c r="O71" s="70">
        <v>0</v>
      </c>
      <c r="P71" s="6">
        <v>270</v>
      </c>
      <c r="Q71" s="4" t="s">
        <v>26</v>
      </c>
      <c r="R71" s="4">
        <v>0</v>
      </c>
      <c r="S71" s="4">
        <v>65</v>
      </c>
      <c r="T71" s="4">
        <v>0</v>
      </c>
      <c r="U71" s="4">
        <v>0</v>
      </c>
      <c r="V71" s="70">
        <f>IF(ISERROR(VLOOKUP($S$71,'TAR FIN'!$A$1:$O$85,15,0)),0,VLOOKUP($S$71,'TAR FIN'!$A$1:$O$85,15,0))*(1-0.04)</f>
        <v>22.473599999999998</v>
      </c>
      <c r="W71" s="70">
        <f>IF(ISERROR(VLOOKUP($T$71,'TAR FIN'!$A$1:$O$85,15,0)),0,VLOOKUP($T$71,'TAR FIN'!$A$1:$O$85,15,0))</f>
        <v>0</v>
      </c>
      <c r="X71" s="70">
        <f>IF(ISERROR(VLOOKUP($U$71,'TAR FIN'!$A$1:$O$85,15,0)),0,VLOOKUP($U$71,'TAR FIN'!$A$1:$O$85,15,0))</f>
        <v>0</v>
      </c>
      <c r="Y71" s="70">
        <f ca="1">('TUSD BE'!$AM$10+'TUSD BF'!$AM$10+'TUSD CVA'!$AM$10)*1*(1-0.02)</f>
        <v>23.78256034881678</v>
      </c>
      <c r="Z71" s="70"/>
      <c r="AA71" s="70"/>
      <c r="AB71" s="70">
        <f>(SUBSIDIO!$J$71*SUBSIDIO!$V$71)*(0.04)/(1-0.04)</f>
        <v>37055.220800000003</v>
      </c>
      <c r="AC71" s="70">
        <f>((SUBSIDIO!$L$71*SUBSIDIO!$W$71)+(SUBSIDIO!$N$71*SUBSIDIO!$X$71))*(0.04)/(1-0.04)</f>
        <v>0</v>
      </c>
      <c r="AD71" s="70">
        <f ca="1">(SUBSIDIO!$J$71*SUBSIDIO!$Y$71)*(0.02)/(1-0.02)</f>
        <v>19206.601594354648</v>
      </c>
      <c r="AE71" s="70">
        <f>((SUBSIDIO!$L$71*SUBSIDIO!$Z$71)+(SUBSIDIO!$N$71*SUBSIDIO!$AA$71))*(0.02)/(1-0.02)</f>
        <v>0</v>
      </c>
      <c r="AF71" s="4" t="s">
        <v>563</v>
      </c>
    </row>
    <row r="72" spans="1:32" ht="11.25" customHeight="1" x14ac:dyDescent="0.25">
      <c r="A72" s="4" t="s">
        <v>21</v>
      </c>
      <c r="B72" s="4" t="s">
        <v>33</v>
      </c>
      <c r="C72" s="4" t="s">
        <v>34</v>
      </c>
      <c r="D72" s="4" t="s">
        <v>41</v>
      </c>
      <c r="E72" s="4" t="s">
        <v>50</v>
      </c>
      <c r="F72" s="4" t="s">
        <v>25</v>
      </c>
      <c r="G72" s="4" t="s">
        <v>25</v>
      </c>
      <c r="H72" s="4" t="s">
        <v>25</v>
      </c>
      <c r="I72" s="5">
        <v>44317</v>
      </c>
      <c r="J72" s="6">
        <v>39314</v>
      </c>
      <c r="K72" s="70">
        <v>39314</v>
      </c>
      <c r="L72" s="6">
        <v>0</v>
      </c>
      <c r="M72" s="70">
        <v>0</v>
      </c>
      <c r="N72" s="6">
        <v>0</v>
      </c>
      <c r="O72" s="70">
        <v>0</v>
      </c>
      <c r="P72" s="6">
        <v>273</v>
      </c>
      <c r="Q72" s="4" t="s">
        <v>26</v>
      </c>
      <c r="R72" s="4">
        <v>0</v>
      </c>
      <c r="S72" s="4">
        <v>65</v>
      </c>
      <c r="T72" s="4">
        <v>0</v>
      </c>
      <c r="U72" s="4">
        <v>0</v>
      </c>
      <c r="V72" s="70">
        <f>IF(ISERROR(VLOOKUP($S$72,'TAR FIN'!$A$1:$O$85,15,0)),0,VLOOKUP($S$72,'TAR FIN'!$A$1:$O$85,15,0))*(1-0.04)</f>
        <v>22.473599999999998</v>
      </c>
      <c r="W72" s="70">
        <f>IF(ISERROR(VLOOKUP($T$72,'TAR FIN'!$A$1:$O$85,15,0)),0,VLOOKUP($T$72,'TAR FIN'!$A$1:$O$85,15,0))</f>
        <v>0</v>
      </c>
      <c r="X72" s="70">
        <f>IF(ISERROR(VLOOKUP($U$72,'TAR FIN'!$A$1:$O$85,15,0)),0,VLOOKUP($U$72,'TAR FIN'!$A$1:$O$85,15,0))</f>
        <v>0</v>
      </c>
      <c r="Y72" s="70">
        <f ca="1">('TUSD BE'!$AM$10+'TUSD BF'!$AM$10+'TUSD CVA'!$AM$10)*1*(1-0.02)</f>
        <v>23.78256034881678</v>
      </c>
      <c r="Z72" s="70"/>
      <c r="AA72" s="70"/>
      <c r="AB72" s="70">
        <f>(SUBSIDIO!$J$72*SUBSIDIO!$V$72)*(0.04)/(1-0.04)</f>
        <v>36813.6296</v>
      </c>
      <c r="AC72" s="70">
        <f>((SUBSIDIO!$L$72*SUBSIDIO!$W$72)+(SUBSIDIO!$N$72*SUBSIDIO!$X$72))*(0.04)/(1-0.04)</f>
        <v>0</v>
      </c>
      <c r="AD72" s="70">
        <f ca="1">(SUBSIDIO!$J$72*SUBSIDIO!$Y$72)*(0.02)/(1-0.02)</f>
        <v>19081.379133742506</v>
      </c>
      <c r="AE72" s="70">
        <f>((SUBSIDIO!$L$72*SUBSIDIO!$Z$72)+(SUBSIDIO!$N$72*SUBSIDIO!$AA$72))*(0.02)/(1-0.02)</f>
        <v>0</v>
      </c>
      <c r="AF72" s="4" t="s">
        <v>563</v>
      </c>
    </row>
    <row r="73" spans="1:32" ht="11.25" customHeight="1" x14ac:dyDescent="0.25">
      <c r="A73" s="4" t="s">
        <v>21</v>
      </c>
      <c r="B73" s="4" t="s">
        <v>33</v>
      </c>
      <c r="C73" s="4" t="s">
        <v>34</v>
      </c>
      <c r="D73" s="4" t="s">
        <v>41</v>
      </c>
      <c r="E73" s="4" t="s">
        <v>50</v>
      </c>
      <c r="F73" s="4" t="s">
        <v>25</v>
      </c>
      <c r="G73" s="4" t="s">
        <v>25</v>
      </c>
      <c r="H73" s="4" t="s">
        <v>25</v>
      </c>
      <c r="I73" s="5">
        <v>44348</v>
      </c>
      <c r="J73" s="6">
        <v>26683</v>
      </c>
      <c r="K73" s="70">
        <v>26683</v>
      </c>
      <c r="L73" s="6">
        <v>0</v>
      </c>
      <c r="M73" s="70">
        <v>0</v>
      </c>
      <c r="N73" s="6">
        <v>0</v>
      </c>
      <c r="O73" s="70">
        <v>0</v>
      </c>
      <c r="P73" s="6">
        <v>271</v>
      </c>
      <c r="Q73" s="4" t="s">
        <v>26</v>
      </c>
      <c r="R73" s="4">
        <v>0</v>
      </c>
      <c r="S73" s="4">
        <v>65</v>
      </c>
      <c r="T73" s="4">
        <v>0</v>
      </c>
      <c r="U73" s="4">
        <v>0</v>
      </c>
      <c r="V73" s="70">
        <f>IF(ISERROR(VLOOKUP($S$73,'TAR FIN'!$A$1:$O$85,15,0)),0,VLOOKUP($S$73,'TAR FIN'!$A$1:$O$85,15,0))*(1-0.04)</f>
        <v>22.473599999999998</v>
      </c>
      <c r="W73" s="70">
        <f>IF(ISERROR(VLOOKUP($T$73,'TAR FIN'!$A$1:$O$85,15,0)),0,VLOOKUP($T$73,'TAR FIN'!$A$1:$O$85,15,0))</f>
        <v>0</v>
      </c>
      <c r="X73" s="70">
        <f>IF(ISERROR(VLOOKUP($U$73,'TAR FIN'!$A$1:$O$85,15,0)),0,VLOOKUP($U$73,'TAR FIN'!$A$1:$O$85,15,0))</f>
        <v>0</v>
      </c>
      <c r="Y73" s="70">
        <f ca="1">('TUSD BE'!$AM$10+'TUSD BF'!$AM$10+'TUSD CVA'!$AM$10)*1*(1-0.02)</f>
        <v>23.78256034881678</v>
      </c>
      <c r="Z73" s="70"/>
      <c r="AA73" s="70"/>
      <c r="AB73" s="70">
        <f>(SUBSIDIO!$J$73*SUBSIDIO!$V$73)*(0.04)/(1-0.04)</f>
        <v>24985.961199999998</v>
      </c>
      <c r="AC73" s="70">
        <f>((SUBSIDIO!$L$73*SUBSIDIO!$W$73)+(SUBSIDIO!$N$73*SUBSIDIO!$X$73))*(0.04)/(1-0.04)</f>
        <v>0</v>
      </c>
      <c r="AD73" s="70">
        <f ca="1">(SUBSIDIO!$J$73*SUBSIDIO!$Y$73)*(0.02)/(1-0.02)</f>
        <v>12950.8175058669</v>
      </c>
      <c r="AE73" s="70">
        <f>((SUBSIDIO!$L$73*SUBSIDIO!$Z$73)+(SUBSIDIO!$N$73*SUBSIDIO!$AA$73))*(0.02)/(1-0.02)</f>
        <v>0</v>
      </c>
      <c r="AF73" s="4" t="s">
        <v>563</v>
      </c>
    </row>
    <row r="74" spans="1:32" ht="11.25" customHeight="1" x14ac:dyDescent="0.25">
      <c r="A74" s="4" t="s">
        <v>28</v>
      </c>
      <c r="B74" s="4" t="s">
        <v>33</v>
      </c>
      <c r="C74" s="4" t="s">
        <v>34</v>
      </c>
      <c r="D74" s="4" t="s">
        <v>41</v>
      </c>
      <c r="E74" s="4" t="s">
        <v>50</v>
      </c>
      <c r="F74" s="4" t="s">
        <v>25</v>
      </c>
      <c r="G74" s="4" t="s">
        <v>25</v>
      </c>
      <c r="H74" s="4" t="s">
        <v>25</v>
      </c>
      <c r="I74" s="5">
        <v>44348</v>
      </c>
      <c r="J74" s="6">
        <v>97</v>
      </c>
      <c r="K74" s="70">
        <v>97</v>
      </c>
      <c r="L74" s="6">
        <v>0</v>
      </c>
      <c r="M74" s="70">
        <v>0</v>
      </c>
      <c r="N74" s="6">
        <v>0</v>
      </c>
      <c r="O74" s="70">
        <v>0</v>
      </c>
      <c r="P74" s="6">
        <v>1</v>
      </c>
      <c r="Q74" s="4" t="s">
        <v>26</v>
      </c>
      <c r="R74" s="4">
        <v>0</v>
      </c>
      <c r="S74" s="4">
        <v>65</v>
      </c>
      <c r="T74" s="4">
        <v>0</v>
      </c>
      <c r="U74" s="4">
        <v>0</v>
      </c>
      <c r="V74" s="70">
        <f>IF(ISERROR(VLOOKUP($S$74,'TAR FIN'!$A$1:$O$85,15,0)),0,VLOOKUP($S$74,'TAR FIN'!$A$1:$O$85,15,0))*(1-0.04)</f>
        <v>22.473599999999998</v>
      </c>
      <c r="W74" s="70">
        <f>IF(ISERROR(VLOOKUP($T$74,'TAR FIN'!$A$1:$O$85,15,0)),0,VLOOKUP($T$74,'TAR FIN'!$A$1:$O$85,15,0))</f>
        <v>0</v>
      </c>
      <c r="X74" s="70">
        <f>IF(ISERROR(VLOOKUP($U$74,'TAR FIN'!$A$1:$O$85,15,0)),0,VLOOKUP($U$74,'TAR FIN'!$A$1:$O$85,15,0))</f>
        <v>0</v>
      </c>
      <c r="Y74" s="70">
        <f ca="1">('TUSD BE'!$AM$10+'TUSD BF'!$AM$10+'TUSD CVA'!$AM$10)*1*(1-0.02)</f>
        <v>23.78256034881678</v>
      </c>
      <c r="Z74" s="70"/>
      <c r="AA74" s="70"/>
      <c r="AB74" s="70">
        <f>(SUBSIDIO!$J$74*SUBSIDIO!$V$74)*(0.04)/(1-0.04)</f>
        <v>90.830799999999996</v>
      </c>
      <c r="AC74" s="70">
        <f>((SUBSIDIO!$L$74*SUBSIDIO!$W$74)+(SUBSIDIO!$N$74*SUBSIDIO!$X$74))*(0.04)/(1-0.04)</f>
        <v>0</v>
      </c>
      <c r="AD74" s="70">
        <f ca="1">(SUBSIDIO!$J$74*SUBSIDIO!$Y$74)*(0.02)/(1-0.02)</f>
        <v>47.079762323167905</v>
      </c>
      <c r="AE74" s="70">
        <f>((SUBSIDIO!$L$74*SUBSIDIO!$Z$74)+(SUBSIDIO!$N$74*SUBSIDIO!$AA$74))*(0.02)/(1-0.02)</f>
        <v>0</v>
      </c>
      <c r="AF74" s="4" t="s">
        <v>563</v>
      </c>
    </row>
    <row r="75" spans="1:32" ht="11.25" customHeight="1" x14ac:dyDescent="0.25">
      <c r="A75" s="4" t="s">
        <v>21</v>
      </c>
      <c r="B75" s="4" t="s">
        <v>33</v>
      </c>
      <c r="C75" s="4" t="s">
        <v>34</v>
      </c>
      <c r="D75" s="4" t="s">
        <v>41</v>
      </c>
      <c r="E75" s="4" t="s">
        <v>50</v>
      </c>
      <c r="F75" s="4" t="s">
        <v>25</v>
      </c>
      <c r="G75" s="4" t="s">
        <v>25</v>
      </c>
      <c r="H75" s="4" t="s">
        <v>25</v>
      </c>
      <c r="I75" s="5">
        <v>44378</v>
      </c>
      <c r="J75" s="6">
        <v>35636</v>
      </c>
      <c r="K75" s="70">
        <v>35636</v>
      </c>
      <c r="L75" s="6">
        <v>0</v>
      </c>
      <c r="M75" s="70">
        <v>0</v>
      </c>
      <c r="N75" s="6">
        <v>0</v>
      </c>
      <c r="O75" s="70">
        <v>0</v>
      </c>
      <c r="P75" s="6">
        <v>272</v>
      </c>
      <c r="Q75" s="4" t="s">
        <v>26</v>
      </c>
      <c r="R75" s="4">
        <v>0</v>
      </c>
      <c r="S75" s="4">
        <v>65</v>
      </c>
      <c r="T75" s="4">
        <v>0</v>
      </c>
      <c r="U75" s="4">
        <v>0</v>
      </c>
      <c r="V75" s="70">
        <f>IF(ISERROR(VLOOKUP($S$75,'TAR FIN'!$A$1:$O$85,15,0)),0,VLOOKUP($S$75,'TAR FIN'!$A$1:$O$85,15,0))*(1-0.04)</f>
        <v>22.473599999999998</v>
      </c>
      <c r="W75" s="70">
        <f>IF(ISERROR(VLOOKUP($T$75,'TAR FIN'!$A$1:$O$85,15,0)),0,VLOOKUP($T$75,'TAR FIN'!$A$1:$O$85,15,0))</f>
        <v>0</v>
      </c>
      <c r="X75" s="70">
        <f>IF(ISERROR(VLOOKUP($U$75,'TAR FIN'!$A$1:$O$85,15,0)),0,VLOOKUP($U$75,'TAR FIN'!$A$1:$O$85,15,0))</f>
        <v>0</v>
      </c>
      <c r="Y75" s="70">
        <f ca="1">('TUSD BE'!$AM$10+'TUSD BF'!$AM$10+'TUSD CVA'!$AM$10)*1*(1-0.02)</f>
        <v>23.78256034881678</v>
      </c>
      <c r="Z75" s="70"/>
      <c r="AA75" s="70"/>
      <c r="AB75" s="70">
        <f>(SUBSIDIO!$J$75*SUBSIDIO!$V$75)*(0.04)/(1-0.04)</f>
        <v>33369.5504</v>
      </c>
      <c r="AC75" s="70">
        <f>((SUBSIDIO!$L$75*SUBSIDIO!$W$75)+(SUBSIDIO!$N$75*SUBSIDIO!$X$75))*(0.04)/(1-0.04)</f>
        <v>0</v>
      </c>
      <c r="AD75" s="70">
        <f ca="1">(SUBSIDIO!$J$75*SUBSIDIO!$Y$75)*(0.02)/(1-0.02)</f>
        <v>17296.231032457858</v>
      </c>
      <c r="AE75" s="70">
        <f>((SUBSIDIO!$L$75*SUBSIDIO!$Z$75)+(SUBSIDIO!$N$75*SUBSIDIO!$AA$75))*(0.02)/(1-0.02)</f>
        <v>0</v>
      </c>
      <c r="AF75" s="4" t="s">
        <v>563</v>
      </c>
    </row>
    <row r="76" spans="1:32" ht="11.25" customHeight="1" x14ac:dyDescent="0.25">
      <c r="A76" s="4" t="s">
        <v>28</v>
      </c>
      <c r="B76" s="4" t="s">
        <v>33</v>
      </c>
      <c r="C76" s="4" t="s">
        <v>34</v>
      </c>
      <c r="D76" s="4" t="s">
        <v>41</v>
      </c>
      <c r="E76" s="4" t="s">
        <v>50</v>
      </c>
      <c r="F76" s="4" t="s">
        <v>25</v>
      </c>
      <c r="G76" s="4" t="s">
        <v>25</v>
      </c>
      <c r="H76" s="4" t="s">
        <v>25</v>
      </c>
      <c r="I76" s="5">
        <v>44378</v>
      </c>
      <c r="J76" s="6">
        <v>99</v>
      </c>
      <c r="K76" s="70">
        <v>99</v>
      </c>
      <c r="L76" s="6">
        <v>0</v>
      </c>
      <c r="M76" s="70">
        <v>0</v>
      </c>
      <c r="N76" s="6">
        <v>0</v>
      </c>
      <c r="O76" s="70">
        <v>0</v>
      </c>
      <c r="P76" s="6">
        <v>1</v>
      </c>
      <c r="Q76" s="4" t="s">
        <v>26</v>
      </c>
      <c r="R76" s="4">
        <v>0</v>
      </c>
      <c r="S76" s="4">
        <v>65</v>
      </c>
      <c r="T76" s="4">
        <v>0</v>
      </c>
      <c r="U76" s="4">
        <v>0</v>
      </c>
      <c r="V76" s="70">
        <f>IF(ISERROR(VLOOKUP($S$76,'TAR FIN'!$A$1:$O$85,15,0)),0,VLOOKUP($S$76,'TAR FIN'!$A$1:$O$85,15,0))*(1-0.04)</f>
        <v>22.473599999999998</v>
      </c>
      <c r="W76" s="70">
        <f>IF(ISERROR(VLOOKUP($T$76,'TAR FIN'!$A$1:$O$85,15,0)),0,VLOOKUP($T$76,'TAR FIN'!$A$1:$O$85,15,0))</f>
        <v>0</v>
      </c>
      <c r="X76" s="70">
        <f>IF(ISERROR(VLOOKUP($U$76,'TAR FIN'!$A$1:$O$85,15,0)),0,VLOOKUP($U$76,'TAR FIN'!$A$1:$O$85,15,0))</f>
        <v>0</v>
      </c>
      <c r="Y76" s="70">
        <f ca="1">('TUSD BE'!$AM$10+'TUSD BF'!$AM$10+'TUSD CVA'!$AM$10)*1*(1-0.02)</f>
        <v>23.78256034881678</v>
      </c>
      <c r="Z76" s="70"/>
      <c r="AA76" s="70"/>
      <c r="AB76" s="70">
        <f>(SUBSIDIO!$J$76*SUBSIDIO!$V$76)*(0.04)/(1-0.04)</f>
        <v>92.703599999999994</v>
      </c>
      <c r="AC76" s="70">
        <f>((SUBSIDIO!$L$76*SUBSIDIO!$W$76)+(SUBSIDIO!$N$76*SUBSIDIO!$X$76))*(0.04)/(1-0.04)</f>
        <v>0</v>
      </c>
      <c r="AD76" s="70">
        <f ca="1">(SUBSIDIO!$J$76*SUBSIDIO!$Y$76)*(0.02)/(1-0.02)</f>
        <v>48.050479072099208</v>
      </c>
      <c r="AE76" s="70">
        <f>((SUBSIDIO!$L$76*SUBSIDIO!$Z$76)+(SUBSIDIO!$N$76*SUBSIDIO!$AA$76))*(0.02)/(1-0.02)</f>
        <v>0</v>
      </c>
      <c r="AF76" s="4" t="s">
        <v>563</v>
      </c>
    </row>
    <row r="77" spans="1:32" ht="11.25" customHeight="1" x14ac:dyDescent="0.25">
      <c r="A77" s="4" t="s">
        <v>21</v>
      </c>
      <c r="B77" s="4" t="s">
        <v>33</v>
      </c>
      <c r="C77" s="4" t="s">
        <v>34</v>
      </c>
      <c r="D77" s="4" t="s">
        <v>41</v>
      </c>
      <c r="E77" s="4" t="s">
        <v>50</v>
      </c>
      <c r="F77" s="4" t="s">
        <v>25</v>
      </c>
      <c r="G77" s="4" t="s">
        <v>25</v>
      </c>
      <c r="H77" s="4" t="s">
        <v>25</v>
      </c>
      <c r="I77" s="5">
        <v>44409</v>
      </c>
      <c r="J77" s="6">
        <v>40625</v>
      </c>
      <c r="K77" s="70">
        <v>40625</v>
      </c>
      <c r="L77" s="6">
        <v>0</v>
      </c>
      <c r="M77" s="70">
        <v>0</v>
      </c>
      <c r="N77" s="6">
        <v>0</v>
      </c>
      <c r="O77" s="70">
        <v>0</v>
      </c>
      <c r="P77" s="6">
        <v>276</v>
      </c>
      <c r="Q77" s="4" t="s">
        <v>26</v>
      </c>
      <c r="R77" s="4">
        <v>0</v>
      </c>
      <c r="S77" s="4">
        <v>65</v>
      </c>
      <c r="T77" s="4">
        <v>0</v>
      </c>
      <c r="U77" s="4">
        <v>0</v>
      </c>
      <c r="V77" s="70">
        <f>IF(ISERROR(VLOOKUP($S$77,'TAR FIN'!$A$1:$O$85,15,0)),0,VLOOKUP($S$77,'TAR FIN'!$A$1:$O$85,15,0))*(1-0.04)</f>
        <v>22.473599999999998</v>
      </c>
      <c r="W77" s="70">
        <f>IF(ISERROR(VLOOKUP($T$77,'TAR FIN'!$A$1:$O$85,15,0)),0,VLOOKUP($T$77,'TAR FIN'!$A$1:$O$85,15,0))</f>
        <v>0</v>
      </c>
      <c r="X77" s="70">
        <f>IF(ISERROR(VLOOKUP($U$77,'TAR FIN'!$A$1:$O$85,15,0)),0,VLOOKUP($U$77,'TAR FIN'!$A$1:$O$85,15,0))</f>
        <v>0</v>
      </c>
      <c r="Y77" s="70">
        <f ca="1">('TUSD BE'!$AM$10+'TUSD BF'!$AM$10+'TUSD CVA'!$AM$10)*1*(1-0.02)</f>
        <v>23.78256034881678</v>
      </c>
      <c r="Z77" s="70"/>
      <c r="AA77" s="70"/>
      <c r="AB77" s="70">
        <f>(SUBSIDIO!$J$77*SUBSIDIO!$V$77)*(0.04)/(1-0.04)</f>
        <v>38041.25</v>
      </c>
      <c r="AC77" s="70">
        <f>((SUBSIDIO!$L$77*SUBSIDIO!$W$77)+(SUBSIDIO!$N$77*SUBSIDIO!$X$77))*(0.04)/(1-0.04)</f>
        <v>0</v>
      </c>
      <c r="AD77" s="70">
        <f ca="1">(SUBSIDIO!$J$77*SUBSIDIO!$Y$77)*(0.02)/(1-0.02)</f>
        <v>19717.683962666975</v>
      </c>
      <c r="AE77" s="70">
        <f>((SUBSIDIO!$L$77*SUBSIDIO!$Z$77)+(SUBSIDIO!$N$77*SUBSIDIO!$AA$77))*(0.02)/(1-0.02)</f>
        <v>0</v>
      </c>
      <c r="AF77" s="4" t="s">
        <v>563</v>
      </c>
    </row>
    <row r="78" spans="1:32" ht="11.25" customHeight="1" x14ac:dyDescent="0.25">
      <c r="A78" s="4" t="s">
        <v>28</v>
      </c>
      <c r="B78" s="4" t="s">
        <v>33</v>
      </c>
      <c r="C78" s="4" t="s">
        <v>34</v>
      </c>
      <c r="D78" s="4" t="s">
        <v>41</v>
      </c>
      <c r="E78" s="4" t="s">
        <v>50</v>
      </c>
      <c r="F78" s="4" t="s">
        <v>25</v>
      </c>
      <c r="G78" s="4" t="s">
        <v>25</v>
      </c>
      <c r="H78" s="4" t="s">
        <v>25</v>
      </c>
      <c r="I78" s="5">
        <v>44409</v>
      </c>
      <c r="J78" s="6">
        <v>121</v>
      </c>
      <c r="K78" s="70">
        <v>121</v>
      </c>
      <c r="L78" s="6">
        <v>0</v>
      </c>
      <c r="M78" s="70">
        <v>0</v>
      </c>
      <c r="N78" s="6">
        <v>0</v>
      </c>
      <c r="O78" s="70">
        <v>0</v>
      </c>
      <c r="P78" s="6">
        <v>1</v>
      </c>
      <c r="Q78" s="4" t="s">
        <v>26</v>
      </c>
      <c r="R78" s="4">
        <v>0</v>
      </c>
      <c r="S78" s="4">
        <v>65</v>
      </c>
      <c r="T78" s="4">
        <v>0</v>
      </c>
      <c r="U78" s="4">
        <v>0</v>
      </c>
      <c r="V78" s="70">
        <f>IF(ISERROR(VLOOKUP($S$78,'TAR FIN'!$A$1:$O$85,15,0)),0,VLOOKUP($S$78,'TAR FIN'!$A$1:$O$85,15,0))*(1-0.04)</f>
        <v>22.473599999999998</v>
      </c>
      <c r="W78" s="70">
        <f>IF(ISERROR(VLOOKUP($T$78,'TAR FIN'!$A$1:$O$85,15,0)),0,VLOOKUP($T$78,'TAR FIN'!$A$1:$O$85,15,0))</f>
        <v>0</v>
      </c>
      <c r="X78" s="70">
        <f>IF(ISERROR(VLOOKUP($U$78,'TAR FIN'!$A$1:$O$85,15,0)),0,VLOOKUP($U$78,'TAR FIN'!$A$1:$O$85,15,0))</f>
        <v>0</v>
      </c>
      <c r="Y78" s="70">
        <f ca="1">('TUSD BE'!$AM$10+'TUSD BF'!$AM$10+'TUSD CVA'!$AM$10)*1*(1-0.02)</f>
        <v>23.78256034881678</v>
      </c>
      <c r="Z78" s="70"/>
      <c r="AA78" s="70"/>
      <c r="AB78" s="70">
        <f>(SUBSIDIO!$J$78*SUBSIDIO!$V$78)*(0.04)/(1-0.04)</f>
        <v>113.3044</v>
      </c>
      <c r="AC78" s="70">
        <f>((SUBSIDIO!$L$78*SUBSIDIO!$W$78)+(SUBSIDIO!$N$78*SUBSIDIO!$X$78))*(0.04)/(1-0.04)</f>
        <v>0</v>
      </c>
      <c r="AD78" s="70">
        <f ca="1">(SUBSIDIO!$J$78*SUBSIDIO!$Y$78)*(0.02)/(1-0.02)</f>
        <v>58.728363310343482</v>
      </c>
      <c r="AE78" s="70">
        <f>((SUBSIDIO!$L$78*SUBSIDIO!$Z$78)+(SUBSIDIO!$N$78*SUBSIDIO!$AA$78))*(0.02)/(1-0.02)</f>
        <v>0</v>
      </c>
      <c r="AF78" s="4" t="s">
        <v>563</v>
      </c>
    </row>
    <row r="79" spans="1:32" ht="11.25" customHeight="1" x14ac:dyDescent="0.25">
      <c r="A79" s="4" t="s">
        <v>21</v>
      </c>
      <c r="B79" s="4" t="s">
        <v>33</v>
      </c>
      <c r="C79" s="4" t="s">
        <v>34</v>
      </c>
      <c r="D79" s="4" t="s">
        <v>41</v>
      </c>
      <c r="E79" s="4" t="s">
        <v>50</v>
      </c>
      <c r="F79" s="4" t="s">
        <v>25</v>
      </c>
      <c r="G79" s="4" t="s">
        <v>25</v>
      </c>
      <c r="H79" s="4" t="s">
        <v>25</v>
      </c>
      <c r="I79" s="5">
        <v>44440</v>
      </c>
      <c r="J79" s="6">
        <v>42303</v>
      </c>
      <c r="K79" s="70">
        <v>42303</v>
      </c>
      <c r="L79" s="6">
        <v>0</v>
      </c>
      <c r="M79" s="70">
        <v>0</v>
      </c>
      <c r="N79" s="6">
        <v>0</v>
      </c>
      <c r="O79" s="70">
        <v>0</v>
      </c>
      <c r="P79" s="6">
        <v>281</v>
      </c>
      <c r="Q79" s="4" t="s">
        <v>26</v>
      </c>
      <c r="R79" s="4">
        <v>0</v>
      </c>
      <c r="S79" s="4">
        <v>65</v>
      </c>
      <c r="T79" s="4">
        <v>0</v>
      </c>
      <c r="U79" s="4">
        <v>0</v>
      </c>
      <c r="V79" s="70">
        <f>IF(ISERROR(VLOOKUP($S$79,'TAR FIN'!$A$1:$O$85,15,0)),0,VLOOKUP($S$79,'TAR FIN'!$A$1:$O$85,15,0))*(1-0.04)</f>
        <v>22.473599999999998</v>
      </c>
      <c r="W79" s="70">
        <f>IF(ISERROR(VLOOKUP($T$79,'TAR FIN'!$A$1:$O$85,15,0)),0,VLOOKUP($T$79,'TAR FIN'!$A$1:$O$85,15,0))</f>
        <v>0</v>
      </c>
      <c r="X79" s="70">
        <f>IF(ISERROR(VLOOKUP($U$79,'TAR FIN'!$A$1:$O$85,15,0)),0,VLOOKUP($U$79,'TAR FIN'!$A$1:$O$85,15,0))</f>
        <v>0</v>
      </c>
      <c r="Y79" s="70">
        <f ca="1">('TUSD BE'!$AM$10+'TUSD BF'!$AM$10+'TUSD CVA'!$AM$10)*1*(1-0.02)</f>
        <v>23.78256034881678</v>
      </c>
      <c r="Z79" s="70"/>
      <c r="AA79" s="70"/>
      <c r="AB79" s="70">
        <f>(SUBSIDIO!$J$79*SUBSIDIO!$V$79)*(0.04)/(1-0.04)</f>
        <v>39612.529199999997</v>
      </c>
      <c r="AC79" s="70">
        <f>((SUBSIDIO!$L$79*SUBSIDIO!$W$79)+(SUBSIDIO!$N$79*SUBSIDIO!$X$79))*(0.04)/(1-0.04)</f>
        <v>0</v>
      </c>
      <c r="AD79" s="70">
        <f ca="1">(SUBSIDIO!$J$79*SUBSIDIO!$Y$79)*(0.02)/(1-0.02)</f>
        <v>20532.115315020332</v>
      </c>
      <c r="AE79" s="70">
        <f>((SUBSIDIO!$L$79*SUBSIDIO!$Z$79)+(SUBSIDIO!$N$79*SUBSIDIO!$AA$79))*(0.02)/(1-0.02)</f>
        <v>0</v>
      </c>
      <c r="AF79" s="4" t="s">
        <v>563</v>
      </c>
    </row>
    <row r="80" spans="1:32" ht="11.25" customHeight="1" x14ac:dyDescent="0.25">
      <c r="A80" s="4" t="s">
        <v>28</v>
      </c>
      <c r="B80" s="4" t="s">
        <v>33</v>
      </c>
      <c r="C80" s="4" t="s">
        <v>34</v>
      </c>
      <c r="D80" s="4" t="s">
        <v>41</v>
      </c>
      <c r="E80" s="4" t="s">
        <v>50</v>
      </c>
      <c r="F80" s="4" t="s">
        <v>25</v>
      </c>
      <c r="G80" s="4" t="s">
        <v>25</v>
      </c>
      <c r="H80" s="4" t="s">
        <v>25</v>
      </c>
      <c r="I80" s="5">
        <v>44440</v>
      </c>
      <c r="J80" s="6">
        <v>122</v>
      </c>
      <c r="K80" s="70">
        <v>122</v>
      </c>
      <c r="L80" s="6">
        <v>0</v>
      </c>
      <c r="M80" s="70">
        <v>0</v>
      </c>
      <c r="N80" s="6">
        <v>0</v>
      </c>
      <c r="O80" s="70">
        <v>0</v>
      </c>
      <c r="P80" s="6">
        <v>1</v>
      </c>
      <c r="Q80" s="4" t="s">
        <v>26</v>
      </c>
      <c r="R80" s="4">
        <v>0</v>
      </c>
      <c r="S80" s="4">
        <v>65</v>
      </c>
      <c r="T80" s="4">
        <v>0</v>
      </c>
      <c r="U80" s="4">
        <v>0</v>
      </c>
      <c r="V80" s="70">
        <f>IF(ISERROR(VLOOKUP($S$80,'TAR FIN'!$A$1:$O$85,15,0)),0,VLOOKUP($S$80,'TAR FIN'!$A$1:$O$85,15,0))*(1-0.04)</f>
        <v>22.473599999999998</v>
      </c>
      <c r="W80" s="70">
        <f>IF(ISERROR(VLOOKUP($T$80,'TAR FIN'!$A$1:$O$85,15,0)),0,VLOOKUP($T$80,'TAR FIN'!$A$1:$O$85,15,0))</f>
        <v>0</v>
      </c>
      <c r="X80" s="70">
        <f>IF(ISERROR(VLOOKUP($U$80,'TAR FIN'!$A$1:$O$85,15,0)),0,VLOOKUP($U$80,'TAR FIN'!$A$1:$O$85,15,0))</f>
        <v>0</v>
      </c>
      <c r="Y80" s="70">
        <f ca="1">('TUSD BE'!$AM$10+'TUSD BF'!$AM$10+'TUSD CVA'!$AM$10)*1*(1-0.02)</f>
        <v>23.78256034881678</v>
      </c>
      <c r="Z80" s="70"/>
      <c r="AA80" s="70"/>
      <c r="AB80" s="70">
        <f>(SUBSIDIO!$J$80*SUBSIDIO!$V$80)*(0.04)/(1-0.04)</f>
        <v>114.24079999999998</v>
      </c>
      <c r="AC80" s="70">
        <f>((SUBSIDIO!$L$80*SUBSIDIO!$W$80)+(SUBSIDIO!$N$80*SUBSIDIO!$X$80))*(0.04)/(1-0.04)</f>
        <v>0</v>
      </c>
      <c r="AD80" s="70">
        <f ca="1">(SUBSIDIO!$J$80*SUBSIDIO!$Y$80)*(0.02)/(1-0.02)</f>
        <v>59.213721684809123</v>
      </c>
      <c r="AE80" s="70">
        <f>((SUBSIDIO!$L$80*SUBSIDIO!$Z$80)+(SUBSIDIO!$N$80*SUBSIDIO!$AA$80))*(0.02)/(1-0.02)</f>
        <v>0</v>
      </c>
      <c r="AF80" s="4" t="s">
        <v>563</v>
      </c>
    </row>
    <row r="81" spans="1:32" ht="11.25" customHeight="1" x14ac:dyDescent="0.25">
      <c r="A81" s="4" t="s">
        <v>21</v>
      </c>
      <c r="B81" s="4" t="s">
        <v>33</v>
      </c>
      <c r="C81" s="4" t="s">
        <v>34</v>
      </c>
      <c r="D81" s="4" t="s">
        <v>41</v>
      </c>
      <c r="E81" s="4" t="s">
        <v>50</v>
      </c>
      <c r="F81" s="4" t="s">
        <v>25</v>
      </c>
      <c r="G81" s="4" t="s">
        <v>25</v>
      </c>
      <c r="H81" s="4" t="s">
        <v>25</v>
      </c>
      <c r="I81" s="5">
        <v>44470</v>
      </c>
      <c r="J81" s="6">
        <v>47299</v>
      </c>
      <c r="K81" s="70">
        <v>47299</v>
      </c>
      <c r="L81" s="6">
        <v>0</v>
      </c>
      <c r="M81" s="70">
        <v>0</v>
      </c>
      <c r="N81" s="6">
        <v>0</v>
      </c>
      <c r="O81" s="70">
        <v>0</v>
      </c>
      <c r="P81" s="6">
        <v>282</v>
      </c>
      <c r="Q81" s="4" t="s">
        <v>26</v>
      </c>
      <c r="R81" s="4">
        <v>0</v>
      </c>
      <c r="S81" s="4">
        <v>65</v>
      </c>
      <c r="T81" s="4">
        <v>0</v>
      </c>
      <c r="U81" s="4">
        <v>0</v>
      </c>
      <c r="V81" s="70">
        <f>IF(ISERROR(VLOOKUP($S$81,'TAR FIN'!$A$1:$O$85,15,0)),0,VLOOKUP($S$81,'TAR FIN'!$A$1:$O$85,15,0))*(1-0.04)</f>
        <v>22.473599999999998</v>
      </c>
      <c r="W81" s="70">
        <f>IF(ISERROR(VLOOKUP($T$81,'TAR FIN'!$A$1:$O$85,15,0)),0,VLOOKUP($T$81,'TAR FIN'!$A$1:$O$85,15,0))</f>
        <v>0</v>
      </c>
      <c r="X81" s="70">
        <f>IF(ISERROR(VLOOKUP($U$81,'TAR FIN'!$A$1:$O$85,15,0)),0,VLOOKUP($U$81,'TAR FIN'!$A$1:$O$85,15,0))</f>
        <v>0</v>
      </c>
      <c r="Y81" s="70">
        <f ca="1">('TUSD BE'!$AM$10+'TUSD BF'!$AM$10+'TUSD CVA'!$AM$10)*1*(1-0.02)</f>
        <v>23.78256034881678</v>
      </c>
      <c r="Z81" s="70"/>
      <c r="AA81" s="70"/>
      <c r="AB81" s="70">
        <f>(SUBSIDIO!$J$81*SUBSIDIO!$V$81)*(0.04)/(1-0.04)</f>
        <v>44290.783599999995</v>
      </c>
      <c r="AC81" s="70">
        <f>((SUBSIDIO!$L$81*SUBSIDIO!$W$81)+(SUBSIDIO!$N$81*SUBSIDIO!$X$81))*(0.04)/(1-0.04)</f>
        <v>0</v>
      </c>
      <c r="AD81" s="70">
        <f ca="1">(SUBSIDIO!$J$81*SUBSIDIO!$Y$81)*(0.02)/(1-0.02)</f>
        <v>22956.965753850716</v>
      </c>
      <c r="AE81" s="70">
        <f>((SUBSIDIO!$L$81*SUBSIDIO!$Z$81)+(SUBSIDIO!$N$81*SUBSIDIO!$AA$81))*(0.02)/(1-0.02)</f>
        <v>0</v>
      </c>
      <c r="AF81" s="4" t="s">
        <v>563</v>
      </c>
    </row>
    <row r="82" spans="1:32" ht="11.25" customHeight="1" x14ac:dyDescent="0.25">
      <c r="A82" s="4" t="s">
        <v>28</v>
      </c>
      <c r="B82" s="4" t="s">
        <v>33</v>
      </c>
      <c r="C82" s="4" t="s">
        <v>34</v>
      </c>
      <c r="D82" s="4" t="s">
        <v>41</v>
      </c>
      <c r="E82" s="4" t="s">
        <v>50</v>
      </c>
      <c r="F82" s="4" t="s">
        <v>25</v>
      </c>
      <c r="G82" s="4" t="s">
        <v>25</v>
      </c>
      <c r="H82" s="4" t="s">
        <v>25</v>
      </c>
      <c r="I82" s="5">
        <v>44470</v>
      </c>
      <c r="J82" s="6">
        <v>121</v>
      </c>
      <c r="K82" s="70">
        <v>121</v>
      </c>
      <c r="L82" s="6">
        <v>0</v>
      </c>
      <c r="M82" s="70">
        <v>0</v>
      </c>
      <c r="N82" s="6">
        <v>0</v>
      </c>
      <c r="O82" s="70">
        <v>0</v>
      </c>
      <c r="P82" s="6">
        <v>1</v>
      </c>
      <c r="Q82" s="4" t="s">
        <v>26</v>
      </c>
      <c r="R82" s="4">
        <v>0</v>
      </c>
      <c r="S82" s="4">
        <v>65</v>
      </c>
      <c r="T82" s="4">
        <v>0</v>
      </c>
      <c r="U82" s="4">
        <v>0</v>
      </c>
      <c r="V82" s="70">
        <f>IF(ISERROR(VLOOKUP($S$82,'TAR FIN'!$A$1:$O$85,15,0)),0,VLOOKUP($S$82,'TAR FIN'!$A$1:$O$85,15,0))*(1-0.04)</f>
        <v>22.473599999999998</v>
      </c>
      <c r="W82" s="70">
        <f>IF(ISERROR(VLOOKUP($T$82,'TAR FIN'!$A$1:$O$85,15,0)),0,VLOOKUP($T$82,'TAR FIN'!$A$1:$O$85,15,0))</f>
        <v>0</v>
      </c>
      <c r="X82" s="70">
        <f>IF(ISERROR(VLOOKUP($U$82,'TAR FIN'!$A$1:$O$85,15,0)),0,VLOOKUP($U$82,'TAR FIN'!$A$1:$O$85,15,0))</f>
        <v>0</v>
      </c>
      <c r="Y82" s="70">
        <f ca="1">('TUSD BE'!$AM$10+'TUSD BF'!$AM$10+'TUSD CVA'!$AM$10)*1*(1-0.02)</f>
        <v>23.78256034881678</v>
      </c>
      <c r="Z82" s="70"/>
      <c r="AA82" s="70"/>
      <c r="AB82" s="70">
        <f>(SUBSIDIO!$J$82*SUBSIDIO!$V$82)*(0.04)/(1-0.04)</f>
        <v>113.3044</v>
      </c>
      <c r="AC82" s="70">
        <f>((SUBSIDIO!$L$82*SUBSIDIO!$W$82)+(SUBSIDIO!$N$82*SUBSIDIO!$X$82))*(0.04)/(1-0.04)</f>
        <v>0</v>
      </c>
      <c r="AD82" s="70">
        <f ca="1">(SUBSIDIO!$J$82*SUBSIDIO!$Y$82)*(0.02)/(1-0.02)</f>
        <v>58.728363310343482</v>
      </c>
      <c r="AE82" s="70">
        <f>((SUBSIDIO!$L$82*SUBSIDIO!$Z$82)+(SUBSIDIO!$N$82*SUBSIDIO!$AA$82))*(0.02)/(1-0.02)</f>
        <v>0</v>
      </c>
      <c r="AF82" s="4" t="s">
        <v>563</v>
      </c>
    </row>
    <row r="83" spans="1:32" ht="11.25" customHeight="1" x14ac:dyDescent="0.25">
      <c r="A83" s="4" t="s">
        <v>21</v>
      </c>
      <c r="B83" s="4" t="s">
        <v>33</v>
      </c>
      <c r="C83" s="4" t="s">
        <v>34</v>
      </c>
      <c r="D83" s="4" t="s">
        <v>41</v>
      </c>
      <c r="E83" s="4" t="s">
        <v>50</v>
      </c>
      <c r="F83" s="4" t="s">
        <v>25</v>
      </c>
      <c r="G83" s="4" t="s">
        <v>25</v>
      </c>
      <c r="H83" s="4" t="s">
        <v>25</v>
      </c>
      <c r="I83" s="5">
        <v>44501</v>
      </c>
      <c r="J83" s="6">
        <v>46838</v>
      </c>
      <c r="K83" s="70">
        <v>46838</v>
      </c>
      <c r="L83" s="6">
        <v>0</v>
      </c>
      <c r="M83" s="70">
        <v>0</v>
      </c>
      <c r="N83" s="6">
        <v>0</v>
      </c>
      <c r="O83" s="70">
        <v>0</v>
      </c>
      <c r="P83" s="6">
        <v>281</v>
      </c>
      <c r="Q83" s="4" t="s">
        <v>26</v>
      </c>
      <c r="R83" s="4">
        <v>0</v>
      </c>
      <c r="S83" s="4">
        <v>65</v>
      </c>
      <c r="T83" s="4">
        <v>0</v>
      </c>
      <c r="U83" s="4">
        <v>0</v>
      </c>
      <c r="V83" s="70">
        <f>IF(ISERROR(VLOOKUP($S$83,'TAR FIN'!$A$1:$O$85,15,0)),0,VLOOKUP($S$83,'TAR FIN'!$A$1:$O$85,15,0))*(1-0.04)</f>
        <v>22.473599999999998</v>
      </c>
      <c r="W83" s="70">
        <f>IF(ISERROR(VLOOKUP($T$83,'TAR FIN'!$A$1:$O$85,15,0)),0,VLOOKUP($T$83,'TAR FIN'!$A$1:$O$85,15,0))</f>
        <v>0</v>
      </c>
      <c r="X83" s="70">
        <f>IF(ISERROR(VLOOKUP($U$83,'TAR FIN'!$A$1:$O$85,15,0)),0,VLOOKUP($U$83,'TAR FIN'!$A$1:$O$85,15,0))</f>
        <v>0</v>
      </c>
      <c r="Y83" s="70">
        <f ca="1">('TUSD BE'!$AM$10+'TUSD BF'!$AM$10+'TUSD CVA'!$AM$10)*1*(1-0.02)</f>
        <v>23.78256034881678</v>
      </c>
      <c r="Z83" s="70"/>
      <c r="AA83" s="70"/>
      <c r="AB83" s="70">
        <f>(SUBSIDIO!$J$83*SUBSIDIO!$V$83)*(0.04)/(1-0.04)</f>
        <v>43859.103199999998</v>
      </c>
      <c r="AC83" s="70">
        <f>((SUBSIDIO!$L$83*SUBSIDIO!$W$83)+(SUBSIDIO!$N$83*SUBSIDIO!$X$83))*(0.04)/(1-0.04)</f>
        <v>0</v>
      </c>
      <c r="AD83" s="70">
        <f ca="1">(SUBSIDIO!$J$83*SUBSIDIO!$Y$83)*(0.02)/(1-0.02)</f>
        <v>22733.21554322205</v>
      </c>
      <c r="AE83" s="70">
        <f>((SUBSIDIO!$L$83*SUBSIDIO!$Z$83)+(SUBSIDIO!$N$83*SUBSIDIO!$AA$83))*(0.02)/(1-0.02)</f>
        <v>0</v>
      </c>
      <c r="AF83" s="4" t="s">
        <v>563</v>
      </c>
    </row>
    <row r="84" spans="1:32" ht="11.25" customHeight="1" x14ac:dyDescent="0.25">
      <c r="A84" s="4" t="s">
        <v>28</v>
      </c>
      <c r="B84" s="4" t="s">
        <v>33</v>
      </c>
      <c r="C84" s="4" t="s">
        <v>34</v>
      </c>
      <c r="D84" s="4" t="s">
        <v>41</v>
      </c>
      <c r="E84" s="4" t="s">
        <v>50</v>
      </c>
      <c r="F84" s="4" t="s">
        <v>25</v>
      </c>
      <c r="G84" s="4" t="s">
        <v>25</v>
      </c>
      <c r="H84" s="4" t="s">
        <v>25</v>
      </c>
      <c r="I84" s="5">
        <v>44501</v>
      </c>
      <c r="J84" s="6">
        <v>121</v>
      </c>
      <c r="K84" s="70">
        <v>121</v>
      </c>
      <c r="L84" s="6">
        <v>0</v>
      </c>
      <c r="M84" s="70">
        <v>0</v>
      </c>
      <c r="N84" s="6">
        <v>0</v>
      </c>
      <c r="O84" s="70">
        <v>0</v>
      </c>
      <c r="P84" s="6">
        <v>1</v>
      </c>
      <c r="Q84" s="4" t="s">
        <v>26</v>
      </c>
      <c r="R84" s="4">
        <v>0</v>
      </c>
      <c r="S84" s="4">
        <v>65</v>
      </c>
      <c r="T84" s="4">
        <v>0</v>
      </c>
      <c r="U84" s="4">
        <v>0</v>
      </c>
      <c r="V84" s="70">
        <f>IF(ISERROR(VLOOKUP($S$84,'TAR FIN'!$A$1:$O$85,15,0)),0,VLOOKUP($S$84,'TAR FIN'!$A$1:$O$85,15,0))*(1-0.04)</f>
        <v>22.473599999999998</v>
      </c>
      <c r="W84" s="70">
        <f>IF(ISERROR(VLOOKUP($T$84,'TAR FIN'!$A$1:$O$85,15,0)),0,VLOOKUP($T$84,'TAR FIN'!$A$1:$O$85,15,0))</f>
        <v>0</v>
      </c>
      <c r="X84" s="70">
        <f>IF(ISERROR(VLOOKUP($U$84,'TAR FIN'!$A$1:$O$85,15,0)),0,VLOOKUP($U$84,'TAR FIN'!$A$1:$O$85,15,0))</f>
        <v>0</v>
      </c>
      <c r="Y84" s="70">
        <f ca="1">('TUSD BE'!$AM$10+'TUSD BF'!$AM$10+'TUSD CVA'!$AM$10)*1*(1-0.02)</f>
        <v>23.78256034881678</v>
      </c>
      <c r="Z84" s="70"/>
      <c r="AA84" s="70"/>
      <c r="AB84" s="70">
        <f>(SUBSIDIO!$J$84*SUBSIDIO!$V$84)*(0.04)/(1-0.04)</f>
        <v>113.3044</v>
      </c>
      <c r="AC84" s="70">
        <f>((SUBSIDIO!$L$84*SUBSIDIO!$W$84)+(SUBSIDIO!$N$84*SUBSIDIO!$X$84))*(0.04)/(1-0.04)</f>
        <v>0</v>
      </c>
      <c r="AD84" s="70">
        <f ca="1">(SUBSIDIO!$J$84*SUBSIDIO!$Y$84)*(0.02)/(1-0.02)</f>
        <v>58.728363310343482</v>
      </c>
      <c r="AE84" s="70">
        <f>((SUBSIDIO!$L$84*SUBSIDIO!$Z$84)+(SUBSIDIO!$N$84*SUBSIDIO!$AA$84))*(0.02)/(1-0.02)</f>
        <v>0</v>
      </c>
      <c r="AF84" s="4" t="s">
        <v>563</v>
      </c>
    </row>
    <row r="85" spans="1:32" ht="11.25" customHeight="1" x14ac:dyDescent="0.25">
      <c r="A85" s="4" t="s">
        <v>21</v>
      </c>
      <c r="B85" s="4" t="s">
        <v>33</v>
      </c>
      <c r="C85" s="4" t="s">
        <v>34</v>
      </c>
      <c r="D85" s="4" t="s">
        <v>41</v>
      </c>
      <c r="E85" s="4" t="s">
        <v>50</v>
      </c>
      <c r="F85" s="4" t="s">
        <v>25</v>
      </c>
      <c r="G85" s="4" t="s">
        <v>25</v>
      </c>
      <c r="H85" s="4" t="s">
        <v>25</v>
      </c>
      <c r="I85" s="5">
        <v>44531</v>
      </c>
      <c r="J85" s="6">
        <v>45532</v>
      </c>
      <c r="K85" s="70">
        <v>45532</v>
      </c>
      <c r="L85" s="6">
        <v>0</v>
      </c>
      <c r="M85" s="70">
        <v>0</v>
      </c>
      <c r="N85" s="6">
        <v>0</v>
      </c>
      <c r="O85" s="70">
        <v>0</v>
      </c>
      <c r="P85" s="6">
        <v>283</v>
      </c>
      <c r="Q85" s="4" t="s">
        <v>26</v>
      </c>
      <c r="R85" s="4">
        <v>0</v>
      </c>
      <c r="S85" s="4">
        <v>65</v>
      </c>
      <c r="T85" s="4">
        <v>0</v>
      </c>
      <c r="U85" s="4">
        <v>0</v>
      </c>
      <c r="V85" s="70">
        <f>IF(ISERROR(VLOOKUP($S$85,'TAR FIN'!$A$1:$O$85,15,0)),0,VLOOKUP($S$85,'TAR FIN'!$A$1:$O$85,15,0))*(1-0.04)</f>
        <v>22.473599999999998</v>
      </c>
      <c r="W85" s="70">
        <f>IF(ISERROR(VLOOKUP($T$85,'TAR FIN'!$A$1:$O$85,15,0)),0,VLOOKUP($T$85,'TAR FIN'!$A$1:$O$85,15,0))</f>
        <v>0</v>
      </c>
      <c r="X85" s="70">
        <f>IF(ISERROR(VLOOKUP($U$85,'TAR FIN'!$A$1:$O$85,15,0)),0,VLOOKUP($U$85,'TAR FIN'!$A$1:$O$85,15,0))</f>
        <v>0</v>
      </c>
      <c r="Y85" s="70">
        <f ca="1">('TUSD BE'!$AM$10+'TUSD BF'!$AM$10+'TUSD CVA'!$AM$10)*1*(1-0.02)</f>
        <v>23.78256034881678</v>
      </c>
      <c r="Z85" s="70"/>
      <c r="AA85" s="70"/>
      <c r="AB85" s="70">
        <f>(SUBSIDIO!$J$85*SUBSIDIO!$V$85)*(0.04)/(1-0.04)</f>
        <v>42636.164799999999</v>
      </c>
      <c r="AC85" s="70">
        <f>((SUBSIDIO!$L$85*SUBSIDIO!$W$85)+(SUBSIDIO!$N$85*SUBSIDIO!$X$85))*(0.04)/(1-0.04)</f>
        <v>0</v>
      </c>
      <c r="AD85" s="70">
        <f ca="1">(SUBSIDIO!$J$85*SUBSIDIO!$Y$85)*(0.02)/(1-0.02)</f>
        <v>22099.337506169912</v>
      </c>
      <c r="AE85" s="70">
        <f>((SUBSIDIO!$L$85*SUBSIDIO!$Z$85)+(SUBSIDIO!$N$85*SUBSIDIO!$AA$85))*(0.02)/(1-0.02)</f>
        <v>0</v>
      </c>
      <c r="AF85" s="4" t="s">
        <v>563</v>
      </c>
    </row>
    <row r="86" spans="1:32" ht="11.25" customHeight="1" x14ac:dyDescent="0.25">
      <c r="A86" s="4" t="s">
        <v>28</v>
      </c>
      <c r="B86" s="4" t="s">
        <v>33</v>
      </c>
      <c r="C86" s="4" t="s">
        <v>34</v>
      </c>
      <c r="D86" s="4" t="s">
        <v>41</v>
      </c>
      <c r="E86" s="4" t="s">
        <v>50</v>
      </c>
      <c r="F86" s="4" t="s">
        <v>25</v>
      </c>
      <c r="G86" s="4" t="s">
        <v>25</v>
      </c>
      <c r="H86" s="4" t="s">
        <v>25</v>
      </c>
      <c r="I86" s="5">
        <v>44531</v>
      </c>
      <c r="J86" s="6">
        <v>119</v>
      </c>
      <c r="K86" s="70">
        <v>119</v>
      </c>
      <c r="L86" s="6">
        <v>0</v>
      </c>
      <c r="M86" s="70">
        <v>0</v>
      </c>
      <c r="N86" s="6">
        <v>0</v>
      </c>
      <c r="O86" s="70">
        <v>0</v>
      </c>
      <c r="P86" s="6">
        <v>1</v>
      </c>
      <c r="Q86" s="4" t="s">
        <v>26</v>
      </c>
      <c r="R86" s="4">
        <v>0</v>
      </c>
      <c r="S86" s="4">
        <v>65</v>
      </c>
      <c r="T86" s="4">
        <v>0</v>
      </c>
      <c r="U86" s="4">
        <v>0</v>
      </c>
      <c r="V86" s="70">
        <f>IF(ISERROR(VLOOKUP($S$86,'TAR FIN'!$A$1:$O$85,15,0)),0,VLOOKUP($S$86,'TAR FIN'!$A$1:$O$85,15,0))*(1-0.04)</f>
        <v>22.473599999999998</v>
      </c>
      <c r="W86" s="70">
        <f>IF(ISERROR(VLOOKUP($T$86,'TAR FIN'!$A$1:$O$85,15,0)),0,VLOOKUP($T$86,'TAR FIN'!$A$1:$O$85,15,0))</f>
        <v>0</v>
      </c>
      <c r="X86" s="70">
        <f>IF(ISERROR(VLOOKUP($U$86,'TAR FIN'!$A$1:$O$85,15,0)),0,VLOOKUP($U$86,'TAR FIN'!$A$1:$O$85,15,0))</f>
        <v>0</v>
      </c>
      <c r="Y86" s="70">
        <f ca="1">('TUSD BE'!$AM$10+'TUSD BF'!$AM$10+'TUSD CVA'!$AM$10)*1*(1-0.02)</f>
        <v>23.78256034881678</v>
      </c>
      <c r="Z86" s="70"/>
      <c r="AA86" s="70"/>
      <c r="AB86" s="70">
        <f>(SUBSIDIO!$J$86*SUBSIDIO!$V$86)*(0.04)/(1-0.04)</f>
        <v>111.4316</v>
      </c>
      <c r="AC86" s="70">
        <f>((SUBSIDIO!$L$86*SUBSIDIO!$W$86)+(SUBSIDIO!$N$86*SUBSIDIO!$X$86))*(0.04)/(1-0.04)</f>
        <v>0</v>
      </c>
      <c r="AD86" s="70">
        <f ca="1">(SUBSIDIO!$J$86*SUBSIDIO!$Y$86)*(0.02)/(1-0.02)</f>
        <v>57.75764656141218</v>
      </c>
      <c r="AE86" s="70">
        <f>((SUBSIDIO!$L$86*SUBSIDIO!$Z$86)+(SUBSIDIO!$N$86*SUBSIDIO!$AA$86))*(0.02)/(1-0.02)</f>
        <v>0</v>
      </c>
      <c r="AF86" s="4" t="s">
        <v>563</v>
      </c>
    </row>
    <row r="87" spans="1:32" ht="11.25" customHeight="1" x14ac:dyDescent="0.25">
      <c r="A87" s="4" t="s">
        <v>21</v>
      </c>
      <c r="B87" s="4" t="s">
        <v>33</v>
      </c>
      <c r="C87" s="4" t="s">
        <v>34</v>
      </c>
      <c r="D87" s="4" t="s">
        <v>41</v>
      </c>
      <c r="E87" s="4" t="s">
        <v>50</v>
      </c>
      <c r="F87" s="4" t="s">
        <v>25</v>
      </c>
      <c r="G87" s="4" t="s">
        <v>25</v>
      </c>
      <c r="H87" s="4" t="s">
        <v>25</v>
      </c>
      <c r="I87" s="5">
        <v>44562</v>
      </c>
      <c r="J87" s="6">
        <v>43263</v>
      </c>
      <c r="K87" s="70">
        <v>43263</v>
      </c>
      <c r="L87" s="6">
        <v>0</v>
      </c>
      <c r="M87" s="70">
        <v>0</v>
      </c>
      <c r="N87" s="6">
        <v>0</v>
      </c>
      <c r="O87" s="70">
        <v>0</v>
      </c>
      <c r="P87" s="6">
        <v>283</v>
      </c>
      <c r="Q87" s="4" t="s">
        <v>26</v>
      </c>
      <c r="R87" s="4">
        <v>0</v>
      </c>
      <c r="S87" s="4">
        <v>65</v>
      </c>
      <c r="T87" s="4">
        <v>0</v>
      </c>
      <c r="U87" s="4">
        <v>0</v>
      </c>
      <c r="V87" s="70">
        <f>IF(ISERROR(VLOOKUP($S$87,'TAR FIN'!$A$1:$O$85,15,0)),0,VLOOKUP($S$87,'TAR FIN'!$A$1:$O$85,15,0))*(1-0.04)</f>
        <v>22.473599999999998</v>
      </c>
      <c r="W87" s="70">
        <f>IF(ISERROR(VLOOKUP($T$87,'TAR FIN'!$A$1:$O$85,15,0)),0,VLOOKUP($T$87,'TAR FIN'!$A$1:$O$85,15,0))</f>
        <v>0</v>
      </c>
      <c r="X87" s="70">
        <f>IF(ISERROR(VLOOKUP($U$87,'TAR FIN'!$A$1:$O$85,15,0)),0,VLOOKUP($U$87,'TAR FIN'!$A$1:$O$85,15,0))</f>
        <v>0</v>
      </c>
      <c r="Y87" s="70">
        <f ca="1">('TUSD BE'!$AM$10+'TUSD BF'!$AM$10+'TUSD CVA'!$AM$10)*1*(1-0.02)</f>
        <v>23.78256034881678</v>
      </c>
      <c r="Z87" s="70"/>
      <c r="AA87" s="70"/>
      <c r="AB87" s="70">
        <f>(SUBSIDIO!$J$87*SUBSIDIO!$V$87)*(0.04)/(1-0.04)</f>
        <v>40511.4732</v>
      </c>
      <c r="AC87" s="70">
        <f>((SUBSIDIO!$L$87*SUBSIDIO!$W$87)+(SUBSIDIO!$N$87*SUBSIDIO!$X$87))*(0.04)/(1-0.04)</f>
        <v>0</v>
      </c>
      <c r="AD87" s="70">
        <f ca="1">(SUBSIDIO!$J$87*SUBSIDIO!$Y$87)*(0.02)/(1-0.02)</f>
        <v>20998.059354507353</v>
      </c>
      <c r="AE87" s="70">
        <f>((SUBSIDIO!$L$87*SUBSIDIO!$Z$87)+(SUBSIDIO!$N$87*SUBSIDIO!$AA$87))*(0.02)/(1-0.02)</f>
        <v>0</v>
      </c>
      <c r="AF87" s="4" t="s">
        <v>563</v>
      </c>
    </row>
    <row r="88" spans="1:32" ht="11.25" customHeight="1" x14ac:dyDescent="0.25">
      <c r="A88" s="4" t="s">
        <v>28</v>
      </c>
      <c r="B88" s="4" t="s">
        <v>33</v>
      </c>
      <c r="C88" s="4" t="s">
        <v>34</v>
      </c>
      <c r="D88" s="4" t="s">
        <v>41</v>
      </c>
      <c r="E88" s="4" t="s">
        <v>50</v>
      </c>
      <c r="F88" s="4" t="s">
        <v>25</v>
      </c>
      <c r="G88" s="4" t="s">
        <v>25</v>
      </c>
      <c r="H88" s="4" t="s">
        <v>25</v>
      </c>
      <c r="I88" s="5">
        <v>44562</v>
      </c>
      <c r="J88" s="6">
        <v>95</v>
      </c>
      <c r="K88" s="70">
        <v>95</v>
      </c>
      <c r="L88" s="6">
        <v>0</v>
      </c>
      <c r="M88" s="70">
        <v>0</v>
      </c>
      <c r="N88" s="6">
        <v>0</v>
      </c>
      <c r="O88" s="70">
        <v>0</v>
      </c>
      <c r="P88" s="6">
        <v>1</v>
      </c>
      <c r="Q88" s="4" t="s">
        <v>26</v>
      </c>
      <c r="R88" s="4">
        <v>0</v>
      </c>
      <c r="S88" s="4">
        <v>65</v>
      </c>
      <c r="T88" s="4">
        <v>0</v>
      </c>
      <c r="U88" s="4">
        <v>0</v>
      </c>
      <c r="V88" s="70">
        <f>IF(ISERROR(VLOOKUP($S$88,'TAR FIN'!$A$1:$O$85,15,0)),0,VLOOKUP($S$88,'TAR FIN'!$A$1:$O$85,15,0))*(1-0.04)</f>
        <v>22.473599999999998</v>
      </c>
      <c r="W88" s="70">
        <f>IF(ISERROR(VLOOKUP($T$88,'TAR FIN'!$A$1:$O$85,15,0)),0,VLOOKUP($T$88,'TAR FIN'!$A$1:$O$85,15,0))</f>
        <v>0</v>
      </c>
      <c r="X88" s="70">
        <f>IF(ISERROR(VLOOKUP($U$88,'TAR FIN'!$A$1:$O$85,15,0)),0,VLOOKUP($U$88,'TAR FIN'!$A$1:$O$85,15,0))</f>
        <v>0</v>
      </c>
      <c r="Y88" s="70">
        <f ca="1">('TUSD BE'!$AM$10+'TUSD BF'!$AM$10+'TUSD CVA'!$AM$10)*1*(1-0.02)</f>
        <v>23.78256034881678</v>
      </c>
      <c r="Z88" s="70"/>
      <c r="AA88" s="70"/>
      <c r="AB88" s="70">
        <f>(SUBSIDIO!$J$88*SUBSIDIO!$V$88)*(0.04)/(1-0.04)</f>
        <v>88.957999999999998</v>
      </c>
      <c r="AC88" s="70">
        <f>((SUBSIDIO!$L$88*SUBSIDIO!$W$88)+(SUBSIDIO!$N$88*SUBSIDIO!$X$88))*(0.04)/(1-0.04)</f>
        <v>0</v>
      </c>
      <c r="AD88" s="70">
        <f ca="1">(SUBSIDIO!$J$88*SUBSIDIO!$Y$88)*(0.02)/(1-0.02)</f>
        <v>46.109045574236617</v>
      </c>
      <c r="AE88" s="70">
        <f>((SUBSIDIO!$L$88*SUBSIDIO!$Z$88)+(SUBSIDIO!$N$88*SUBSIDIO!$AA$88))*(0.02)/(1-0.02)</f>
        <v>0</v>
      </c>
      <c r="AF88" s="4" t="s">
        <v>563</v>
      </c>
    </row>
    <row r="89" spans="1:32" ht="11.25" customHeight="1" x14ac:dyDescent="0.25">
      <c r="A89" s="4" t="s">
        <v>21</v>
      </c>
      <c r="B89" s="4" t="s">
        <v>33</v>
      </c>
      <c r="C89" s="4" t="s">
        <v>34</v>
      </c>
      <c r="D89" s="4" t="s">
        <v>41</v>
      </c>
      <c r="E89" s="4" t="s">
        <v>50</v>
      </c>
      <c r="F89" s="4" t="s">
        <v>25</v>
      </c>
      <c r="G89" s="4" t="s">
        <v>25</v>
      </c>
      <c r="H89" s="4" t="s">
        <v>25</v>
      </c>
      <c r="I89" s="5">
        <v>44593</v>
      </c>
      <c r="J89" s="6">
        <v>43841</v>
      </c>
      <c r="K89" s="70">
        <v>43841</v>
      </c>
      <c r="L89" s="6">
        <v>0</v>
      </c>
      <c r="M89" s="70">
        <v>0</v>
      </c>
      <c r="N89" s="6">
        <v>0</v>
      </c>
      <c r="O89" s="70">
        <v>0</v>
      </c>
      <c r="P89" s="6">
        <v>283</v>
      </c>
      <c r="Q89" s="4" t="s">
        <v>26</v>
      </c>
      <c r="R89" s="4">
        <v>0</v>
      </c>
      <c r="S89" s="4">
        <v>65</v>
      </c>
      <c r="T89" s="4">
        <v>0</v>
      </c>
      <c r="U89" s="4">
        <v>0</v>
      </c>
      <c r="V89" s="70">
        <f>IF(ISERROR(VLOOKUP($S$89,'TAR FIN'!$A$1:$O$85,15,0)),0,VLOOKUP($S$89,'TAR FIN'!$A$1:$O$85,15,0))*(1-0.04)</f>
        <v>22.473599999999998</v>
      </c>
      <c r="W89" s="70">
        <f>IF(ISERROR(VLOOKUP($T$89,'TAR FIN'!$A$1:$O$85,15,0)),0,VLOOKUP($T$89,'TAR FIN'!$A$1:$O$85,15,0))</f>
        <v>0</v>
      </c>
      <c r="X89" s="70">
        <f>IF(ISERROR(VLOOKUP($U$89,'TAR FIN'!$A$1:$O$85,15,0)),0,VLOOKUP($U$89,'TAR FIN'!$A$1:$O$85,15,0))</f>
        <v>0</v>
      </c>
      <c r="Y89" s="70">
        <f ca="1">('TUSD BE'!$AM$10+'TUSD BF'!$AM$10+'TUSD CVA'!$AM$10)*1*(1-0.02)</f>
        <v>23.78256034881678</v>
      </c>
      <c r="Z89" s="70"/>
      <c r="AA89" s="70"/>
      <c r="AB89" s="70">
        <f>(SUBSIDIO!$J$89*SUBSIDIO!$V$89)*(0.04)/(1-0.04)</f>
        <v>41052.712399999997</v>
      </c>
      <c r="AC89" s="70">
        <f>((SUBSIDIO!$L$89*SUBSIDIO!$W$89)+(SUBSIDIO!$N$89*SUBSIDIO!$X$89))*(0.04)/(1-0.04)</f>
        <v>0</v>
      </c>
      <c r="AD89" s="70">
        <f ca="1">(SUBSIDIO!$J$89*SUBSIDIO!$Y$89)*(0.02)/(1-0.02)</f>
        <v>21278.596494948502</v>
      </c>
      <c r="AE89" s="70">
        <f>((SUBSIDIO!$L$89*SUBSIDIO!$Z$89)+(SUBSIDIO!$N$89*SUBSIDIO!$AA$89))*(0.02)/(1-0.02)</f>
        <v>0</v>
      </c>
      <c r="AF89" s="4" t="s">
        <v>563</v>
      </c>
    </row>
    <row r="90" spans="1:32" ht="11.25" customHeight="1" x14ac:dyDescent="0.25">
      <c r="A90" s="4" t="s">
        <v>28</v>
      </c>
      <c r="B90" s="4" t="s">
        <v>33</v>
      </c>
      <c r="C90" s="4" t="s">
        <v>34</v>
      </c>
      <c r="D90" s="4" t="s">
        <v>41</v>
      </c>
      <c r="E90" s="4" t="s">
        <v>50</v>
      </c>
      <c r="F90" s="4" t="s">
        <v>25</v>
      </c>
      <c r="G90" s="4" t="s">
        <v>25</v>
      </c>
      <c r="H90" s="4" t="s">
        <v>25</v>
      </c>
      <c r="I90" s="5">
        <v>44593</v>
      </c>
      <c r="J90" s="6">
        <v>120</v>
      </c>
      <c r="K90" s="70">
        <v>120</v>
      </c>
      <c r="L90" s="6">
        <v>0</v>
      </c>
      <c r="M90" s="70">
        <v>0</v>
      </c>
      <c r="N90" s="6">
        <v>0</v>
      </c>
      <c r="O90" s="70">
        <v>0</v>
      </c>
      <c r="P90" s="6">
        <v>1</v>
      </c>
      <c r="Q90" s="4" t="s">
        <v>26</v>
      </c>
      <c r="R90" s="4">
        <v>0</v>
      </c>
      <c r="S90" s="4">
        <v>65</v>
      </c>
      <c r="T90" s="4">
        <v>0</v>
      </c>
      <c r="U90" s="4">
        <v>0</v>
      </c>
      <c r="V90" s="70">
        <f>IF(ISERROR(VLOOKUP($S$90,'TAR FIN'!$A$1:$O$85,15,0)),0,VLOOKUP($S$90,'TAR FIN'!$A$1:$O$85,15,0))*(1-0.04)</f>
        <v>22.473599999999998</v>
      </c>
      <c r="W90" s="70">
        <f>IF(ISERROR(VLOOKUP($T$90,'TAR FIN'!$A$1:$O$85,15,0)),0,VLOOKUP($T$90,'TAR FIN'!$A$1:$O$85,15,0))</f>
        <v>0</v>
      </c>
      <c r="X90" s="70">
        <f>IF(ISERROR(VLOOKUP($U$90,'TAR FIN'!$A$1:$O$85,15,0)),0,VLOOKUP($U$90,'TAR FIN'!$A$1:$O$85,15,0))</f>
        <v>0</v>
      </c>
      <c r="Y90" s="70">
        <f ca="1">('TUSD BE'!$AM$10+'TUSD BF'!$AM$10+'TUSD CVA'!$AM$10)*1*(1-0.02)</f>
        <v>23.78256034881678</v>
      </c>
      <c r="Z90" s="70"/>
      <c r="AA90" s="70"/>
      <c r="AB90" s="70">
        <f>(SUBSIDIO!$J$90*SUBSIDIO!$V$90)*(0.04)/(1-0.04)</f>
        <v>112.36799999999999</v>
      </c>
      <c r="AC90" s="70">
        <f>((SUBSIDIO!$L$90*SUBSIDIO!$W$90)+(SUBSIDIO!$N$90*SUBSIDIO!$X$90))*(0.04)/(1-0.04)</f>
        <v>0</v>
      </c>
      <c r="AD90" s="70">
        <f ca="1">(SUBSIDIO!$J$90*SUBSIDIO!$Y$90)*(0.02)/(1-0.02)</f>
        <v>58.243004935877828</v>
      </c>
      <c r="AE90" s="70">
        <f>((SUBSIDIO!$L$90*SUBSIDIO!$Z$90)+(SUBSIDIO!$N$90*SUBSIDIO!$AA$90))*(0.02)/(1-0.02)</f>
        <v>0</v>
      </c>
      <c r="AF90" s="4" t="s">
        <v>563</v>
      </c>
    </row>
    <row r="91" spans="1:32" ht="11.25" customHeight="1" x14ac:dyDescent="0.25">
      <c r="A91" s="4" t="s">
        <v>54</v>
      </c>
      <c r="B91" s="4" t="s">
        <v>33</v>
      </c>
      <c r="C91" s="4" t="s">
        <v>34</v>
      </c>
      <c r="D91" s="4" t="s">
        <v>41</v>
      </c>
      <c r="E91" s="4" t="s">
        <v>50</v>
      </c>
      <c r="F91" s="4" t="s">
        <v>25</v>
      </c>
      <c r="G91" s="4" t="s">
        <v>25</v>
      </c>
      <c r="H91" s="4" t="s">
        <v>25</v>
      </c>
      <c r="I91" s="5">
        <v>44621</v>
      </c>
      <c r="J91" s="6">
        <v>43841</v>
      </c>
      <c r="K91" s="70">
        <v>43841</v>
      </c>
      <c r="L91" s="6">
        <v>0</v>
      </c>
      <c r="M91" s="70">
        <v>0</v>
      </c>
      <c r="N91" s="6">
        <v>0</v>
      </c>
      <c r="O91" s="70">
        <v>0</v>
      </c>
      <c r="P91" s="6">
        <v>283</v>
      </c>
      <c r="Q91" s="4" t="s">
        <v>26</v>
      </c>
      <c r="R91" s="4">
        <v>0</v>
      </c>
      <c r="S91" s="4">
        <v>65</v>
      </c>
      <c r="T91" s="4">
        <v>0</v>
      </c>
      <c r="U91" s="4">
        <v>0</v>
      </c>
      <c r="V91" s="70">
        <f>IF(ISERROR(VLOOKUP($S$91,'TAR FIN'!$A$1:$O$85,15,0)),0,VLOOKUP($S$91,'TAR FIN'!$A$1:$O$85,15,0))*(1-0.04)</f>
        <v>22.473599999999998</v>
      </c>
      <c r="W91" s="70">
        <f>IF(ISERROR(VLOOKUP($T$91,'TAR FIN'!$A$1:$O$85,15,0)),0,VLOOKUP($T$91,'TAR FIN'!$A$1:$O$85,15,0))</f>
        <v>0</v>
      </c>
      <c r="X91" s="70">
        <f>IF(ISERROR(VLOOKUP($U$91,'TAR FIN'!$A$1:$O$85,15,0)),0,VLOOKUP($U$91,'TAR FIN'!$A$1:$O$85,15,0))</f>
        <v>0</v>
      </c>
      <c r="Y91" s="70">
        <f ca="1">('TUSD BE'!$AM$10+'TUSD BF'!$AM$10+'TUSD CVA'!$AM$10)*1*(1-0.02)</f>
        <v>23.78256034881678</v>
      </c>
      <c r="Z91" s="70"/>
      <c r="AA91" s="70"/>
      <c r="AB91" s="70">
        <f>(SUBSIDIO!$J$91*SUBSIDIO!$V$91)*(0.04)/(1-0.04)</f>
        <v>41052.712399999997</v>
      </c>
      <c r="AC91" s="70">
        <f>((SUBSIDIO!$L$91*SUBSIDIO!$W$91)+(SUBSIDIO!$N$91*SUBSIDIO!$X$91))*(0.04)/(1-0.04)</f>
        <v>0</v>
      </c>
      <c r="AD91" s="70">
        <f ca="1">(SUBSIDIO!$J$91*SUBSIDIO!$Y$91)*(0.02)/(1-0.02)</f>
        <v>21278.596494948502</v>
      </c>
      <c r="AE91" s="70">
        <f>((SUBSIDIO!$L$91*SUBSIDIO!$Z$91)+(SUBSIDIO!$N$91*SUBSIDIO!$AA$91))*(0.02)/(1-0.02)</f>
        <v>0</v>
      </c>
      <c r="AF91" s="4" t="s">
        <v>563</v>
      </c>
    </row>
    <row r="92" spans="1:32" ht="11.25" customHeight="1" x14ac:dyDescent="0.25">
      <c r="A92" s="4" t="s">
        <v>54</v>
      </c>
      <c r="B92" s="4" t="s">
        <v>33</v>
      </c>
      <c r="C92" s="4" t="s">
        <v>34</v>
      </c>
      <c r="D92" s="4" t="s">
        <v>41</v>
      </c>
      <c r="E92" s="4" t="s">
        <v>50</v>
      </c>
      <c r="F92" s="4" t="s">
        <v>25</v>
      </c>
      <c r="G92" s="4" t="s">
        <v>25</v>
      </c>
      <c r="H92" s="4" t="s">
        <v>25</v>
      </c>
      <c r="I92" s="5">
        <v>44621</v>
      </c>
      <c r="J92" s="6">
        <v>120</v>
      </c>
      <c r="K92" s="70">
        <v>120</v>
      </c>
      <c r="L92" s="6">
        <v>0</v>
      </c>
      <c r="M92" s="70">
        <v>0</v>
      </c>
      <c r="N92" s="6">
        <v>0</v>
      </c>
      <c r="O92" s="70">
        <v>0</v>
      </c>
      <c r="P92" s="6">
        <v>1</v>
      </c>
      <c r="Q92" s="4" t="s">
        <v>26</v>
      </c>
      <c r="R92" s="4">
        <v>0</v>
      </c>
      <c r="S92" s="4">
        <v>65</v>
      </c>
      <c r="T92" s="4">
        <v>0</v>
      </c>
      <c r="U92" s="4">
        <v>0</v>
      </c>
      <c r="V92" s="70">
        <f>IF(ISERROR(VLOOKUP($S$92,'TAR FIN'!$A$1:$O$85,15,0)),0,VLOOKUP($S$92,'TAR FIN'!$A$1:$O$85,15,0))*(1-0.04)</f>
        <v>22.473599999999998</v>
      </c>
      <c r="W92" s="70">
        <f>IF(ISERROR(VLOOKUP($T$92,'TAR FIN'!$A$1:$O$85,15,0)),0,VLOOKUP($T$92,'TAR FIN'!$A$1:$O$85,15,0))</f>
        <v>0</v>
      </c>
      <c r="X92" s="70">
        <f>IF(ISERROR(VLOOKUP($U$92,'TAR FIN'!$A$1:$O$85,15,0)),0,VLOOKUP($U$92,'TAR FIN'!$A$1:$O$85,15,0))</f>
        <v>0</v>
      </c>
      <c r="Y92" s="70">
        <f ca="1">('TUSD BE'!$AM$10+'TUSD BF'!$AM$10+'TUSD CVA'!$AM$10)*1*(1-0.02)</f>
        <v>23.78256034881678</v>
      </c>
      <c r="Z92" s="70"/>
      <c r="AA92" s="70"/>
      <c r="AB92" s="70">
        <f>(SUBSIDIO!$J$92*SUBSIDIO!$V$92)*(0.04)/(1-0.04)</f>
        <v>112.36799999999999</v>
      </c>
      <c r="AC92" s="70">
        <f>((SUBSIDIO!$L$92*SUBSIDIO!$W$92)+(SUBSIDIO!$N$92*SUBSIDIO!$X$92))*(0.04)/(1-0.04)</f>
        <v>0</v>
      </c>
      <c r="AD92" s="70">
        <f ca="1">(SUBSIDIO!$J$92*SUBSIDIO!$Y$92)*(0.02)/(1-0.02)</f>
        <v>58.243004935877828</v>
      </c>
      <c r="AE92" s="70">
        <f>((SUBSIDIO!$L$92*SUBSIDIO!$Z$92)+(SUBSIDIO!$N$92*SUBSIDIO!$AA$92))*(0.02)/(1-0.02)</f>
        <v>0</v>
      </c>
      <c r="AF92" s="4" t="s">
        <v>563</v>
      </c>
    </row>
    <row r="93" spans="1:32" ht="11.25" customHeight="1" x14ac:dyDescent="0.25">
      <c r="A93" s="4" t="s">
        <v>21</v>
      </c>
      <c r="B93" s="4" t="s">
        <v>33</v>
      </c>
      <c r="C93" s="4" t="s">
        <v>34</v>
      </c>
      <c r="D93" s="4" t="s">
        <v>41</v>
      </c>
      <c r="E93" s="4" t="s">
        <v>50</v>
      </c>
      <c r="F93" s="4" t="s">
        <v>25</v>
      </c>
      <c r="G93" s="4" t="s">
        <v>25</v>
      </c>
      <c r="H93" s="4" t="s">
        <v>35</v>
      </c>
      <c r="I93" s="5">
        <v>44287</v>
      </c>
      <c r="J93" s="6">
        <v>0</v>
      </c>
      <c r="K93" s="70">
        <v>0</v>
      </c>
      <c r="L93" s="6">
        <v>50.738999999999997</v>
      </c>
      <c r="M93" s="70">
        <v>50.738999999999997</v>
      </c>
      <c r="N93" s="6">
        <v>50.738999999999997</v>
      </c>
      <c r="O93" s="70">
        <v>50.738999999999997</v>
      </c>
      <c r="P93" s="6">
        <v>0</v>
      </c>
      <c r="Q93" s="4" t="s">
        <v>26</v>
      </c>
      <c r="R93" s="4">
        <v>0</v>
      </c>
      <c r="S93" s="4">
        <v>0</v>
      </c>
      <c r="T93" s="4">
        <v>66</v>
      </c>
      <c r="U93" s="4">
        <v>6</v>
      </c>
      <c r="V93" s="70">
        <f>IF(ISERROR(VLOOKUP($S$93,'TAR FIN'!$A$1:$O$85,15,0)),0,VLOOKUP($S$93,'TAR FIN'!$A$1:$O$85,15,0))</f>
        <v>0</v>
      </c>
      <c r="W93" s="70">
        <f>IF(ISERROR(VLOOKUP($T$93,'TAR FIN'!$A$1:$O$85,15,0)),0,VLOOKUP($T$93,'TAR FIN'!$A$1:$O$85,15,0))*(1-0.04)</f>
        <v>2173.0367999999999</v>
      </c>
      <c r="X93" s="70">
        <f>IF(ISERROR(VLOOKUP($U$93,'TAR FIN'!$A$1:$O$85,15,0)),0,VLOOKUP($U$93,'TAR FIN'!$A$1:$O$85,15,0))*(1-0.04)</f>
        <v>214.77119999999999</v>
      </c>
      <c r="Y93" s="70"/>
      <c r="Z93" s="70">
        <f ca="1">('TUSD BE'!$AM$11+'TUSD BF'!$AM$11+'TUSD CVA'!$AM$11)*1*(1-0.02)</f>
        <v>2326.2024462524073</v>
      </c>
      <c r="AA93" s="70">
        <f>('TE BE'!$AA$5+'TE BF'!$AA$5+'TE CVA'!$AA$5)*1*(1-0.02)</f>
        <v>213.27681122210436</v>
      </c>
      <c r="AB93" s="70">
        <f>(SUBSIDIO!$J$93*SUBSIDIO!$V$93)*(0.04)/(1-0.04)</f>
        <v>0</v>
      </c>
      <c r="AC93" s="70">
        <f>((SUBSIDIO!$L$93*SUBSIDIO!$W$93)+(SUBSIDIO!$N$93*SUBSIDIO!$X$93))*(0.04)/(1-0.04)</f>
        <v>5048.1245879999997</v>
      </c>
      <c r="AD93" s="70">
        <f>(SUBSIDIO!$J$93*SUBSIDIO!$Y$93)*(0.02)/(1-0.02)</f>
        <v>0</v>
      </c>
      <c r="AE93" s="70">
        <f ca="1">((SUBSIDIO!$L$93*SUBSIDIO!$Z$93)+(SUBSIDIO!$N$93*SUBSIDIO!$AA$93))*(0.02)/(1-0.02)</f>
        <v>2629.6048580612091</v>
      </c>
      <c r="AF93" s="4" t="s">
        <v>563</v>
      </c>
    </row>
    <row r="94" spans="1:32" ht="11.25" customHeight="1" x14ac:dyDescent="0.25">
      <c r="A94" s="4" t="s">
        <v>21</v>
      </c>
      <c r="B94" s="4" t="s">
        <v>33</v>
      </c>
      <c r="C94" s="4" t="s">
        <v>34</v>
      </c>
      <c r="D94" s="4" t="s">
        <v>41</v>
      </c>
      <c r="E94" s="4" t="s">
        <v>50</v>
      </c>
      <c r="F94" s="4" t="s">
        <v>25</v>
      </c>
      <c r="G94" s="4" t="s">
        <v>25</v>
      </c>
      <c r="H94" s="4" t="s">
        <v>35</v>
      </c>
      <c r="I94" s="5">
        <v>44317</v>
      </c>
      <c r="J94" s="6">
        <v>0</v>
      </c>
      <c r="K94" s="70">
        <v>0</v>
      </c>
      <c r="L94" s="6">
        <v>40.271000000000001</v>
      </c>
      <c r="M94" s="70">
        <v>40.271000000000001</v>
      </c>
      <c r="N94" s="6">
        <v>40.271000000000001</v>
      </c>
      <c r="O94" s="70">
        <v>40.271000000000001</v>
      </c>
      <c r="P94" s="6">
        <v>0</v>
      </c>
      <c r="Q94" s="4" t="s">
        <v>26</v>
      </c>
      <c r="R94" s="4">
        <v>0</v>
      </c>
      <c r="S94" s="4">
        <v>0</v>
      </c>
      <c r="T94" s="4">
        <v>66</v>
      </c>
      <c r="U94" s="4">
        <v>6</v>
      </c>
      <c r="V94" s="70">
        <f>IF(ISERROR(VLOOKUP($S$94,'TAR FIN'!$A$1:$O$85,15,0)),0,VLOOKUP($S$94,'TAR FIN'!$A$1:$O$85,15,0))</f>
        <v>0</v>
      </c>
      <c r="W94" s="70">
        <f>IF(ISERROR(VLOOKUP($T$94,'TAR FIN'!$A$1:$O$85,15,0)),0,VLOOKUP($T$94,'TAR FIN'!$A$1:$O$85,15,0))*(1-0.04)</f>
        <v>2173.0367999999999</v>
      </c>
      <c r="X94" s="70">
        <f>IF(ISERROR(VLOOKUP($U$94,'TAR FIN'!$A$1:$O$85,15,0)),0,VLOOKUP($U$94,'TAR FIN'!$A$1:$O$85,15,0))*(1-0.04)</f>
        <v>214.77119999999999</v>
      </c>
      <c r="Y94" s="70"/>
      <c r="Z94" s="70">
        <f ca="1">('TUSD BE'!$AM$11+'TUSD BF'!$AM$11+'TUSD CVA'!$AM$11)*1*(1-0.02)</f>
        <v>2326.2024462524073</v>
      </c>
      <c r="AA94" s="70">
        <f>('TE BE'!$AA$5+'TE BF'!$AA$5+'TE CVA'!$AA$5)*1*(1-0.02)</f>
        <v>213.27681122210436</v>
      </c>
      <c r="AB94" s="70">
        <f>(SUBSIDIO!$J$94*SUBSIDIO!$V$94)*(0.04)/(1-0.04)</f>
        <v>0</v>
      </c>
      <c r="AC94" s="70">
        <f>((SUBSIDIO!$L$94*SUBSIDIO!$W$94)+(SUBSIDIO!$N$94*SUBSIDIO!$X$94))*(0.04)/(1-0.04)</f>
        <v>4006.6423320000004</v>
      </c>
      <c r="AD94" s="70">
        <f>(SUBSIDIO!$J$94*SUBSIDIO!$Y$94)*(0.02)/(1-0.02)</f>
        <v>0</v>
      </c>
      <c r="AE94" s="70">
        <f ca="1">((SUBSIDIO!$L$94*SUBSIDIO!$Z$94)+(SUBSIDIO!$N$94*SUBSIDIO!$AA$94))*(0.02)/(1-0.02)</f>
        <v>2087.0891668929808</v>
      </c>
      <c r="AF94" s="4" t="s">
        <v>563</v>
      </c>
    </row>
    <row r="95" spans="1:32" ht="11.25" customHeight="1" x14ac:dyDescent="0.25">
      <c r="A95" s="4" t="s">
        <v>21</v>
      </c>
      <c r="B95" s="4" t="s">
        <v>33</v>
      </c>
      <c r="C95" s="4" t="s">
        <v>34</v>
      </c>
      <c r="D95" s="4" t="s">
        <v>41</v>
      </c>
      <c r="E95" s="4" t="s">
        <v>50</v>
      </c>
      <c r="F95" s="4" t="s">
        <v>25</v>
      </c>
      <c r="G95" s="4" t="s">
        <v>25</v>
      </c>
      <c r="H95" s="4" t="s">
        <v>35</v>
      </c>
      <c r="I95" s="5">
        <v>44348</v>
      </c>
      <c r="J95" s="6">
        <v>0</v>
      </c>
      <c r="K95" s="70">
        <v>0</v>
      </c>
      <c r="L95" s="6">
        <v>18.818000000000001</v>
      </c>
      <c r="M95" s="70">
        <v>18.818000000000001</v>
      </c>
      <c r="N95" s="6">
        <v>18.818000000000001</v>
      </c>
      <c r="O95" s="70">
        <v>18.818000000000001</v>
      </c>
      <c r="P95" s="6">
        <v>0</v>
      </c>
      <c r="Q95" s="4" t="s">
        <v>26</v>
      </c>
      <c r="R95" s="4">
        <v>0</v>
      </c>
      <c r="S95" s="4">
        <v>0</v>
      </c>
      <c r="T95" s="4">
        <v>66</v>
      </c>
      <c r="U95" s="4">
        <v>6</v>
      </c>
      <c r="V95" s="70">
        <f>IF(ISERROR(VLOOKUP($S$95,'TAR FIN'!$A$1:$O$85,15,0)),0,VLOOKUP($S$95,'TAR FIN'!$A$1:$O$85,15,0))</f>
        <v>0</v>
      </c>
      <c r="W95" s="70">
        <f>IF(ISERROR(VLOOKUP($T$95,'TAR FIN'!$A$1:$O$85,15,0)),0,VLOOKUP($T$95,'TAR FIN'!$A$1:$O$85,15,0))*(1-0.04)</f>
        <v>2173.0367999999999</v>
      </c>
      <c r="X95" s="70">
        <f>IF(ISERROR(VLOOKUP($U$95,'TAR FIN'!$A$1:$O$85,15,0)),0,VLOOKUP($U$95,'TAR FIN'!$A$1:$O$85,15,0))*(1-0.04)</f>
        <v>214.77119999999999</v>
      </c>
      <c r="Y95" s="70"/>
      <c r="Z95" s="70">
        <f ca="1">('TUSD BE'!$AM$11+'TUSD BF'!$AM$11+'TUSD CVA'!$AM$11)*1*(1-0.02)</f>
        <v>2326.2024462524073</v>
      </c>
      <c r="AA95" s="70">
        <f>('TE BE'!$AA$5+'TE BF'!$AA$5+'TE CVA'!$AA$5)*1*(1-0.02)</f>
        <v>213.27681122210436</v>
      </c>
      <c r="AB95" s="70">
        <f>(SUBSIDIO!$J$95*SUBSIDIO!$V$95)*(0.04)/(1-0.04)</f>
        <v>0</v>
      </c>
      <c r="AC95" s="70">
        <f>((SUBSIDIO!$L$95*SUBSIDIO!$W$95)+(SUBSIDIO!$N$95*SUBSIDIO!$X$95))*(0.04)/(1-0.04)</f>
        <v>1872.2404560000002</v>
      </c>
      <c r="AD95" s="70">
        <f>(SUBSIDIO!$J$95*SUBSIDIO!$Y$95)*(0.02)/(1-0.02)</f>
        <v>0</v>
      </c>
      <c r="AE95" s="70">
        <f ca="1">((SUBSIDIO!$L$95*SUBSIDIO!$Z$95)+(SUBSIDIO!$N$95*SUBSIDIO!$AA$95))*(0.02)/(1-0.02)</f>
        <v>975.26368708480334</v>
      </c>
      <c r="AF95" s="4" t="s">
        <v>563</v>
      </c>
    </row>
    <row r="96" spans="1:32" ht="11.25" customHeight="1" x14ac:dyDescent="0.25">
      <c r="A96" s="4" t="s">
        <v>28</v>
      </c>
      <c r="B96" s="4" t="s">
        <v>33</v>
      </c>
      <c r="C96" s="4" t="s">
        <v>34</v>
      </c>
      <c r="D96" s="4" t="s">
        <v>41</v>
      </c>
      <c r="E96" s="4" t="s">
        <v>50</v>
      </c>
      <c r="F96" s="4" t="s">
        <v>25</v>
      </c>
      <c r="G96" s="4" t="s">
        <v>25</v>
      </c>
      <c r="H96" s="4" t="s">
        <v>35</v>
      </c>
      <c r="I96" s="5">
        <v>44348</v>
      </c>
      <c r="J96" s="6">
        <v>0</v>
      </c>
      <c r="K96" s="70">
        <v>0</v>
      </c>
      <c r="L96" s="6">
        <v>0.30599999999999999</v>
      </c>
      <c r="M96" s="70">
        <v>0.30599999999999999</v>
      </c>
      <c r="N96" s="6">
        <v>0.30599999999999999</v>
      </c>
      <c r="O96" s="70">
        <v>0.30599999999999999</v>
      </c>
      <c r="P96" s="6">
        <v>0</v>
      </c>
      <c r="Q96" s="4" t="s">
        <v>26</v>
      </c>
      <c r="R96" s="4">
        <v>0</v>
      </c>
      <c r="S96" s="4">
        <v>0</v>
      </c>
      <c r="T96" s="4">
        <v>66</v>
      </c>
      <c r="U96" s="4">
        <v>6</v>
      </c>
      <c r="V96" s="70">
        <f>IF(ISERROR(VLOOKUP($S$96,'TAR FIN'!$A$1:$O$85,15,0)),0,VLOOKUP($S$96,'TAR FIN'!$A$1:$O$85,15,0))</f>
        <v>0</v>
      </c>
      <c r="W96" s="70">
        <f>IF(ISERROR(VLOOKUP($T$96,'TAR FIN'!$A$1:$O$85,15,0)),0,VLOOKUP($T$96,'TAR FIN'!$A$1:$O$85,15,0))*(1-0.04)</f>
        <v>2173.0367999999999</v>
      </c>
      <c r="X96" s="70">
        <f>IF(ISERROR(VLOOKUP($U$96,'TAR FIN'!$A$1:$O$85,15,0)),0,VLOOKUP($U$96,'TAR FIN'!$A$1:$O$85,15,0))*(1-0.04)</f>
        <v>214.77119999999999</v>
      </c>
      <c r="Y96" s="70"/>
      <c r="Z96" s="70">
        <f ca="1">('TUSD BE'!$AM$11+'TUSD BF'!$AM$11+'TUSD CVA'!$AM$11)*1*(1-0.02)</f>
        <v>2326.2024462524073</v>
      </c>
      <c r="AA96" s="70">
        <f>('TE BE'!$AA$5+'TE BF'!$AA$5+'TE CVA'!$AA$5)*1*(1-0.02)</f>
        <v>213.27681122210436</v>
      </c>
      <c r="AB96" s="70">
        <f>(SUBSIDIO!$J$96*SUBSIDIO!$V$96)*(0.04)/(1-0.04)</f>
        <v>0</v>
      </c>
      <c r="AC96" s="70">
        <f>((SUBSIDIO!$L$96*SUBSIDIO!$W$96)+(SUBSIDIO!$N$96*SUBSIDIO!$X$96))*(0.04)/(1-0.04)</f>
        <v>30.444552000000002</v>
      </c>
      <c r="AD96" s="70">
        <f>(SUBSIDIO!$J$96*SUBSIDIO!$Y$96)*(0.02)/(1-0.02)</f>
        <v>0</v>
      </c>
      <c r="AE96" s="70">
        <f ca="1">((SUBSIDIO!$L$96*SUBSIDIO!$Z$96)+(SUBSIDIO!$N$96*SUBSIDIO!$AA$96))*(0.02)/(1-0.02)</f>
        <v>15.858788832391848</v>
      </c>
      <c r="AF96" s="4" t="s">
        <v>563</v>
      </c>
    </row>
    <row r="97" spans="1:32" ht="11.25" customHeight="1" x14ac:dyDescent="0.25">
      <c r="A97" s="4" t="s">
        <v>21</v>
      </c>
      <c r="B97" s="4" t="s">
        <v>33</v>
      </c>
      <c r="C97" s="4" t="s">
        <v>34</v>
      </c>
      <c r="D97" s="4" t="s">
        <v>41</v>
      </c>
      <c r="E97" s="4" t="s">
        <v>50</v>
      </c>
      <c r="F97" s="4" t="s">
        <v>25</v>
      </c>
      <c r="G97" s="4" t="s">
        <v>25</v>
      </c>
      <c r="H97" s="4" t="s">
        <v>35</v>
      </c>
      <c r="I97" s="5">
        <v>44378</v>
      </c>
      <c r="J97" s="6">
        <v>0</v>
      </c>
      <c r="K97" s="70">
        <v>0</v>
      </c>
      <c r="L97" s="6">
        <v>52.542000000000002</v>
      </c>
      <c r="M97" s="70">
        <v>52.542000000000002</v>
      </c>
      <c r="N97" s="6">
        <v>52.542000000000002</v>
      </c>
      <c r="O97" s="70">
        <v>52.542000000000002</v>
      </c>
      <c r="P97" s="6">
        <v>0</v>
      </c>
      <c r="Q97" s="4" t="s">
        <v>26</v>
      </c>
      <c r="R97" s="4">
        <v>0</v>
      </c>
      <c r="S97" s="4">
        <v>0</v>
      </c>
      <c r="T97" s="4">
        <v>66</v>
      </c>
      <c r="U97" s="4">
        <v>6</v>
      </c>
      <c r="V97" s="70">
        <f>IF(ISERROR(VLOOKUP($S$97,'TAR FIN'!$A$1:$O$85,15,0)),0,VLOOKUP($S$97,'TAR FIN'!$A$1:$O$85,15,0))</f>
        <v>0</v>
      </c>
      <c r="W97" s="70">
        <f>IF(ISERROR(VLOOKUP($T$97,'TAR FIN'!$A$1:$O$85,15,0)),0,VLOOKUP($T$97,'TAR FIN'!$A$1:$O$85,15,0))*(1-0.04)</f>
        <v>2173.0367999999999</v>
      </c>
      <c r="X97" s="70">
        <f>IF(ISERROR(VLOOKUP($U$97,'TAR FIN'!$A$1:$O$85,15,0)),0,VLOOKUP($U$97,'TAR FIN'!$A$1:$O$85,15,0))*(1-0.04)</f>
        <v>214.77119999999999</v>
      </c>
      <c r="Y97" s="70"/>
      <c r="Z97" s="70">
        <f ca="1">('TUSD BE'!$AM$11+'TUSD BF'!$AM$11+'TUSD CVA'!$AM$11)*1*(1-0.02)</f>
        <v>2326.2024462524073</v>
      </c>
      <c r="AA97" s="70">
        <f>('TE BE'!$AA$5+'TE BF'!$AA$5+'TE CVA'!$AA$5)*1*(1-0.02)</f>
        <v>213.27681122210436</v>
      </c>
      <c r="AB97" s="70">
        <f>(SUBSIDIO!$J$97*SUBSIDIO!$V$97)*(0.04)/(1-0.04)</f>
        <v>0</v>
      </c>
      <c r="AC97" s="70">
        <f>((SUBSIDIO!$L$97*SUBSIDIO!$W$97)+(SUBSIDIO!$N$97*SUBSIDIO!$X$97))*(0.04)/(1-0.04)</f>
        <v>5227.5086640000009</v>
      </c>
      <c r="AD97" s="70">
        <f>(SUBSIDIO!$J$97*SUBSIDIO!$Y$97)*(0.02)/(1-0.02)</f>
        <v>0</v>
      </c>
      <c r="AE97" s="70">
        <f ca="1">((SUBSIDIO!$L$97*SUBSIDIO!$Z$97)+(SUBSIDIO!$N$97*SUBSIDIO!$AA$97))*(0.02)/(1-0.02)</f>
        <v>2723.0473295148122</v>
      </c>
      <c r="AF97" s="4" t="s">
        <v>563</v>
      </c>
    </row>
    <row r="98" spans="1:32" ht="11.25" customHeight="1" x14ac:dyDescent="0.25">
      <c r="A98" s="4" t="s">
        <v>28</v>
      </c>
      <c r="B98" s="4" t="s">
        <v>33</v>
      </c>
      <c r="C98" s="4" t="s">
        <v>34</v>
      </c>
      <c r="D98" s="4" t="s">
        <v>41</v>
      </c>
      <c r="E98" s="4" t="s">
        <v>50</v>
      </c>
      <c r="F98" s="4" t="s">
        <v>25</v>
      </c>
      <c r="G98" s="4" t="s">
        <v>25</v>
      </c>
      <c r="H98" s="4" t="s">
        <v>35</v>
      </c>
      <c r="I98" s="5">
        <v>44378</v>
      </c>
      <c r="J98" s="6">
        <v>0</v>
      </c>
      <c r="K98" s="70">
        <v>0</v>
      </c>
      <c r="L98" s="6">
        <v>6.7000000000000004E-2</v>
      </c>
      <c r="M98" s="70">
        <v>6.7000000000000004E-2</v>
      </c>
      <c r="N98" s="6">
        <v>6.7000000000000004E-2</v>
      </c>
      <c r="O98" s="70">
        <v>6.7000000000000004E-2</v>
      </c>
      <c r="P98" s="6">
        <v>0</v>
      </c>
      <c r="Q98" s="4" t="s">
        <v>26</v>
      </c>
      <c r="R98" s="4">
        <v>0</v>
      </c>
      <c r="S98" s="4">
        <v>0</v>
      </c>
      <c r="T98" s="4">
        <v>66</v>
      </c>
      <c r="U98" s="4">
        <v>6</v>
      </c>
      <c r="V98" s="70">
        <f>IF(ISERROR(VLOOKUP($S$98,'TAR FIN'!$A$1:$O$85,15,0)),0,VLOOKUP($S$98,'TAR FIN'!$A$1:$O$85,15,0))</f>
        <v>0</v>
      </c>
      <c r="W98" s="70">
        <f>IF(ISERROR(VLOOKUP($T$98,'TAR FIN'!$A$1:$O$85,15,0)),0,VLOOKUP($T$98,'TAR FIN'!$A$1:$O$85,15,0))*(1-0.04)</f>
        <v>2173.0367999999999</v>
      </c>
      <c r="X98" s="70">
        <f>IF(ISERROR(VLOOKUP($U$98,'TAR FIN'!$A$1:$O$85,15,0)),0,VLOOKUP($U$98,'TAR FIN'!$A$1:$O$85,15,0))*(1-0.04)</f>
        <v>214.77119999999999</v>
      </c>
      <c r="Y98" s="70"/>
      <c r="Z98" s="70">
        <f ca="1">('TUSD BE'!$AM$11+'TUSD BF'!$AM$11+'TUSD CVA'!$AM$11)*1*(1-0.02)</f>
        <v>2326.2024462524073</v>
      </c>
      <c r="AA98" s="70">
        <f>('TE BE'!$AA$5+'TE BF'!$AA$5+'TE CVA'!$AA$5)*1*(1-0.02)</f>
        <v>213.27681122210436</v>
      </c>
      <c r="AB98" s="70">
        <f>(SUBSIDIO!$J$98*SUBSIDIO!$V$98)*(0.04)/(1-0.04)</f>
        <v>0</v>
      </c>
      <c r="AC98" s="70">
        <f>((SUBSIDIO!$L$98*SUBSIDIO!$W$98)+(SUBSIDIO!$N$98*SUBSIDIO!$X$98))*(0.04)/(1-0.04)</f>
        <v>6.6659640000000007</v>
      </c>
      <c r="AD98" s="70">
        <f>(SUBSIDIO!$J$98*SUBSIDIO!$Y$98)*(0.02)/(1-0.02)</f>
        <v>0</v>
      </c>
      <c r="AE98" s="70">
        <f ca="1">((SUBSIDIO!$L$98*SUBSIDIO!$Z$98)+(SUBSIDIO!$N$98*SUBSIDIO!$AA$98))*(0.02)/(1-0.02)</f>
        <v>3.47234918879168</v>
      </c>
      <c r="AF98" s="4" t="s">
        <v>563</v>
      </c>
    </row>
    <row r="99" spans="1:32" ht="11.25" customHeight="1" x14ac:dyDescent="0.25">
      <c r="A99" s="4" t="s">
        <v>21</v>
      </c>
      <c r="B99" s="4" t="s">
        <v>33</v>
      </c>
      <c r="C99" s="4" t="s">
        <v>34</v>
      </c>
      <c r="D99" s="4" t="s">
        <v>41</v>
      </c>
      <c r="E99" s="4" t="s">
        <v>50</v>
      </c>
      <c r="F99" s="4" t="s">
        <v>25</v>
      </c>
      <c r="G99" s="4" t="s">
        <v>25</v>
      </c>
      <c r="H99" s="4" t="s">
        <v>35</v>
      </c>
      <c r="I99" s="5">
        <v>44409</v>
      </c>
      <c r="J99" s="6">
        <v>0</v>
      </c>
      <c r="K99" s="70">
        <v>0</v>
      </c>
      <c r="L99" s="6">
        <v>49.073999999999998</v>
      </c>
      <c r="M99" s="70">
        <v>49.073999999999998</v>
      </c>
      <c r="N99" s="6">
        <v>49.073999999999998</v>
      </c>
      <c r="O99" s="70">
        <v>49.073999999999998</v>
      </c>
      <c r="P99" s="6">
        <v>0</v>
      </c>
      <c r="Q99" s="4" t="s">
        <v>26</v>
      </c>
      <c r="R99" s="4">
        <v>0</v>
      </c>
      <c r="S99" s="4">
        <v>0</v>
      </c>
      <c r="T99" s="4">
        <v>66</v>
      </c>
      <c r="U99" s="4">
        <v>6</v>
      </c>
      <c r="V99" s="70">
        <f>IF(ISERROR(VLOOKUP($S$99,'TAR FIN'!$A$1:$O$85,15,0)),0,VLOOKUP($S$99,'TAR FIN'!$A$1:$O$85,15,0))</f>
        <v>0</v>
      </c>
      <c r="W99" s="70">
        <f>IF(ISERROR(VLOOKUP($T$99,'TAR FIN'!$A$1:$O$85,15,0)),0,VLOOKUP($T$99,'TAR FIN'!$A$1:$O$85,15,0))*(1-0.04)</f>
        <v>2173.0367999999999</v>
      </c>
      <c r="X99" s="70">
        <f>IF(ISERROR(VLOOKUP($U$99,'TAR FIN'!$A$1:$O$85,15,0)),0,VLOOKUP($U$99,'TAR FIN'!$A$1:$O$85,15,0))*(1-0.04)</f>
        <v>214.77119999999999</v>
      </c>
      <c r="Y99" s="70"/>
      <c r="Z99" s="70">
        <f ca="1">('TUSD BE'!$AM$11+'TUSD BF'!$AM$11+'TUSD CVA'!$AM$11)*1*(1-0.02)</f>
        <v>2326.2024462524073</v>
      </c>
      <c r="AA99" s="70">
        <f>('TE BE'!$AA$5+'TE BF'!$AA$5+'TE CVA'!$AA$5)*1*(1-0.02)</f>
        <v>213.27681122210436</v>
      </c>
      <c r="AB99" s="70">
        <f>(SUBSIDIO!$J$99*SUBSIDIO!$V$99)*(0.04)/(1-0.04)</f>
        <v>0</v>
      </c>
      <c r="AC99" s="70">
        <f>((SUBSIDIO!$L$99*SUBSIDIO!$W$99)+(SUBSIDIO!$N$99*SUBSIDIO!$X$99))*(0.04)/(1-0.04)</f>
        <v>4882.4704080000001</v>
      </c>
      <c r="AD99" s="70">
        <f>(SUBSIDIO!$J$99*SUBSIDIO!$Y$99)*(0.02)/(1-0.02)</f>
        <v>0</v>
      </c>
      <c r="AE99" s="70">
        <f ca="1">((SUBSIDIO!$L$99*SUBSIDIO!$Z$99)+(SUBSIDIO!$N$99*SUBSIDIO!$AA$99))*(0.02)/(1-0.02)</f>
        <v>2543.3143894143709</v>
      </c>
      <c r="AF99" s="4" t="s">
        <v>563</v>
      </c>
    </row>
    <row r="100" spans="1:32" ht="11.25" customHeight="1" x14ac:dyDescent="0.25">
      <c r="A100" s="4" t="s">
        <v>21</v>
      </c>
      <c r="B100" s="4" t="s">
        <v>33</v>
      </c>
      <c r="C100" s="4" t="s">
        <v>34</v>
      </c>
      <c r="D100" s="4" t="s">
        <v>41</v>
      </c>
      <c r="E100" s="4" t="s">
        <v>50</v>
      </c>
      <c r="F100" s="4" t="s">
        <v>25</v>
      </c>
      <c r="G100" s="4" t="s">
        <v>25</v>
      </c>
      <c r="H100" s="4" t="s">
        <v>35</v>
      </c>
      <c r="I100" s="5">
        <v>44440</v>
      </c>
      <c r="J100" s="6">
        <v>0</v>
      </c>
      <c r="K100" s="70">
        <v>0</v>
      </c>
      <c r="L100" s="6">
        <v>55.771000000000001</v>
      </c>
      <c r="M100" s="70">
        <v>55.771000000000001</v>
      </c>
      <c r="N100" s="6">
        <v>55.771000000000001</v>
      </c>
      <c r="O100" s="70">
        <v>55.771000000000001</v>
      </c>
      <c r="P100" s="6">
        <v>0</v>
      </c>
      <c r="Q100" s="4" t="s">
        <v>26</v>
      </c>
      <c r="R100" s="4">
        <v>0</v>
      </c>
      <c r="S100" s="4">
        <v>0</v>
      </c>
      <c r="T100" s="4">
        <v>66</v>
      </c>
      <c r="U100" s="4">
        <v>6</v>
      </c>
      <c r="V100" s="70">
        <f>IF(ISERROR(VLOOKUP($S$100,'TAR FIN'!$A$1:$O$85,15,0)),0,VLOOKUP($S$100,'TAR FIN'!$A$1:$O$85,15,0))</f>
        <v>0</v>
      </c>
      <c r="W100" s="70">
        <f>IF(ISERROR(VLOOKUP($T$100,'TAR FIN'!$A$1:$O$85,15,0)),0,VLOOKUP($T$100,'TAR FIN'!$A$1:$O$85,15,0))*(1-0.04)</f>
        <v>2173.0367999999999</v>
      </c>
      <c r="X100" s="70">
        <f>IF(ISERROR(VLOOKUP($U$100,'TAR FIN'!$A$1:$O$85,15,0)),0,VLOOKUP($U$100,'TAR FIN'!$A$1:$O$85,15,0))*(1-0.04)</f>
        <v>214.77119999999999</v>
      </c>
      <c r="Y100" s="70"/>
      <c r="Z100" s="70">
        <f ca="1">('TUSD BE'!$AM$11+'TUSD BF'!$AM$11+'TUSD CVA'!$AM$11)*1*(1-0.02)</f>
        <v>2326.2024462524073</v>
      </c>
      <c r="AA100" s="70">
        <f>('TE BE'!$AA$5+'TE BF'!$AA$5+'TE CVA'!$AA$5)*1*(1-0.02)</f>
        <v>213.27681122210436</v>
      </c>
      <c r="AB100" s="70">
        <f>(SUBSIDIO!$J$100*SUBSIDIO!$V$100)*(0.04)/(1-0.04)</f>
        <v>0</v>
      </c>
      <c r="AC100" s="70">
        <f>((SUBSIDIO!$L$100*SUBSIDIO!$W$100)+(SUBSIDIO!$N$100*SUBSIDIO!$X$100))*(0.04)/(1-0.04)</f>
        <v>5548.7683320000006</v>
      </c>
      <c r="AD100" s="70">
        <f>(SUBSIDIO!$J$100*SUBSIDIO!$Y$100)*(0.02)/(1-0.02)</f>
        <v>0</v>
      </c>
      <c r="AE100" s="70">
        <f ca="1">((SUBSIDIO!$L$100*SUBSIDIO!$Z$100)+(SUBSIDIO!$N$100*SUBSIDIO!$AA$100))*(0.02)/(1-0.02)</f>
        <v>2890.3938299716533</v>
      </c>
      <c r="AF100" s="4" t="s">
        <v>563</v>
      </c>
    </row>
    <row r="101" spans="1:32" ht="11.25" customHeight="1" x14ac:dyDescent="0.25">
      <c r="A101" s="4" t="s">
        <v>21</v>
      </c>
      <c r="B101" s="4" t="s">
        <v>33</v>
      </c>
      <c r="C101" s="4" t="s">
        <v>34</v>
      </c>
      <c r="D101" s="4" t="s">
        <v>41</v>
      </c>
      <c r="E101" s="4" t="s">
        <v>50</v>
      </c>
      <c r="F101" s="4" t="s">
        <v>25</v>
      </c>
      <c r="G101" s="4" t="s">
        <v>25</v>
      </c>
      <c r="H101" s="4" t="s">
        <v>35</v>
      </c>
      <c r="I101" s="5">
        <v>44470</v>
      </c>
      <c r="J101" s="6">
        <v>0</v>
      </c>
      <c r="K101" s="70">
        <v>0</v>
      </c>
      <c r="L101" s="6">
        <v>44.161000000000001</v>
      </c>
      <c r="M101" s="70">
        <v>44.161000000000001</v>
      </c>
      <c r="N101" s="6">
        <v>44.161000000000001</v>
      </c>
      <c r="O101" s="70">
        <v>44.161000000000001</v>
      </c>
      <c r="P101" s="6">
        <v>0</v>
      </c>
      <c r="Q101" s="4" t="s">
        <v>26</v>
      </c>
      <c r="R101" s="4">
        <v>0</v>
      </c>
      <c r="S101" s="4">
        <v>0</v>
      </c>
      <c r="T101" s="4">
        <v>66</v>
      </c>
      <c r="U101" s="4">
        <v>6</v>
      </c>
      <c r="V101" s="70">
        <f>IF(ISERROR(VLOOKUP($S$101,'TAR FIN'!$A$1:$O$85,15,0)),0,VLOOKUP($S$101,'TAR FIN'!$A$1:$O$85,15,0))</f>
        <v>0</v>
      </c>
      <c r="W101" s="70">
        <f>IF(ISERROR(VLOOKUP($T$101,'TAR FIN'!$A$1:$O$85,15,0)),0,VLOOKUP($T$101,'TAR FIN'!$A$1:$O$85,15,0))*(1-0.04)</f>
        <v>2173.0367999999999</v>
      </c>
      <c r="X101" s="70">
        <f>IF(ISERROR(VLOOKUP($U$101,'TAR FIN'!$A$1:$O$85,15,0)),0,VLOOKUP($U$101,'TAR FIN'!$A$1:$O$85,15,0))*(1-0.04)</f>
        <v>214.77119999999999</v>
      </c>
      <c r="Y101" s="70"/>
      <c r="Z101" s="70">
        <f ca="1">('TUSD BE'!$AM$11+'TUSD BF'!$AM$11+'TUSD CVA'!$AM$11)*1*(1-0.02)</f>
        <v>2326.2024462524073</v>
      </c>
      <c r="AA101" s="70">
        <f>('TE BE'!$AA$5+'TE BF'!$AA$5+'TE CVA'!$AA$5)*1*(1-0.02)</f>
        <v>213.27681122210436</v>
      </c>
      <c r="AB101" s="70">
        <f>(SUBSIDIO!$J$101*SUBSIDIO!$V$101)*(0.04)/(1-0.04)</f>
        <v>0</v>
      </c>
      <c r="AC101" s="70">
        <f>((SUBSIDIO!$L$101*SUBSIDIO!$W$101)+(SUBSIDIO!$N$101*SUBSIDIO!$X$101))*(0.04)/(1-0.04)</f>
        <v>4393.6662119999992</v>
      </c>
      <c r="AD101" s="70">
        <f>(SUBSIDIO!$J$101*SUBSIDIO!$Y$101)*(0.02)/(1-0.02)</f>
        <v>0</v>
      </c>
      <c r="AE101" s="70">
        <f ca="1">((SUBSIDIO!$L$101*SUBSIDIO!$Z$101)+(SUBSIDIO!$N$101*SUBSIDIO!$AA$101))*(0.02)/(1-0.02)</f>
        <v>2288.6927242720799</v>
      </c>
      <c r="AF101" s="4" t="s">
        <v>563</v>
      </c>
    </row>
    <row r="102" spans="1:32" ht="11.25" customHeight="1" x14ac:dyDescent="0.25">
      <c r="A102" s="4" t="s">
        <v>21</v>
      </c>
      <c r="B102" s="4" t="s">
        <v>33</v>
      </c>
      <c r="C102" s="4" t="s">
        <v>34</v>
      </c>
      <c r="D102" s="4" t="s">
        <v>41</v>
      </c>
      <c r="E102" s="4" t="s">
        <v>50</v>
      </c>
      <c r="F102" s="4" t="s">
        <v>25</v>
      </c>
      <c r="G102" s="4" t="s">
        <v>25</v>
      </c>
      <c r="H102" s="4" t="s">
        <v>35</v>
      </c>
      <c r="I102" s="5">
        <v>44501</v>
      </c>
      <c r="J102" s="6">
        <v>0</v>
      </c>
      <c r="K102" s="70">
        <v>0</v>
      </c>
      <c r="L102" s="6">
        <v>74.503</v>
      </c>
      <c r="M102" s="70">
        <v>74.503</v>
      </c>
      <c r="N102" s="6">
        <v>74.503</v>
      </c>
      <c r="O102" s="70">
        <v>74.503</v>
      </c>
      <c r="P102" s="6">
        <v>0</v>
      </c>
      <c r="Q102" s="4" t="s">
        <v>26</v>
      </c>
      <c r="R102" s="4">
        <v>0</v>
      </c>
      <c r="S102" s="4">
        <v>0</v>
      </c>
      <c r="T102" s="4">
        <v>66</v>
      </c>
      <c r="U102" s="4">
        <v>6</v>
      </c>
      <c r="V102" s="70">
        <f>IF(ISERROR(VLOOKUP($S$102,'TAR FIN'!$A$1:$O$85,15,0)),0,VLOOKUP($S$102,'TAR FIN'!$A$1:$O$85,15,0))</f>
        <v>0</v>
      </c>
      <c r="W102" s="70">
        <f>IF(ISERROR(VLOOKUP($T$102,'TAR FIN'!$A$1:$O$85,15,0)),0,VLOOKUP($T$102,'TAR FIN'!$A$1:$O$85,15,0))*(1-0.04)</f>
        <v>2173.0367999999999</v>
      </c>
      <c r="X102" s="70">
        <f>IF(ISERROR(VLOOKUP($U$102,'TAR FIN'!$A$1:$O$85,15,0)),0,VLOOKUP($U$102,'TAR FIN'!$A$1:$O$85,15,0))*(1-0.04)</f>
        <v>214.77119999999999</v>
      </c>
      <c r="Y102" s="70"/>
      <c r="Z102" s="70">
        <f ca="1">('TUSD BE'!$AM$11+'TUSD BF'!$AM$11+'TUSD CVA'!$AM$11)*1*(1-0.02)</f>
        <v>2326.2024462524073</v>
      </c>
      <c r="AA102" s="70">
        <f>('TE BE'!$AA$5+'TE BF'!$AA$5+'TE CVA'!$AA$5)*1*(1-0.02)</f>
        <v>213.27681122210436</v>
      </c>
      <c r="AB102" s="70">
        <f>(SUBSIDIO!$J$102*SUBSIDIO!$V$102)*(0.04)/(1-0.04)</f>
        <v>0</v>
      </c>
      <c r="AC102" s="70">
        <f>((SUBSIDIO!$L$102*SUBSIDIO!$W$102)+(SUBSIDIO!$N$102*SUBSIDIO!$X$102))*(0.04)/(1-0.04)</f>
        <v>7412.4524759999986</v>
      </c>
      <c r="AD102" s="70">
        <f>(SUBSIDIO!$J$102*SUBSIDIO!$Y$102)*(0.02)/(1-0.02)</f>
        <v>0</v>
      </c>
      <c r="AE102" s="70">
        <f ca="1">((SUBSIDIO!$L$102*SUBSIDIO!$Z$102)+(SUBSIDIO!$N$102*SUBSIDIO!$AA$102))*(0.02)/(1-0.02)</f>
        <v>3861.2004718290523</v>
      </c>
      <c r="AF102" s="4" t="s">
        <v>563</v>
      </c>
    </row>
    <row r="103" spans="1:32" ht="11.25" customHeight="1" x14ac:dyDescent="0.25">
      <c r="A103" s="4" t="s">
        <v>28</v>
      </c>
      <c r="B103" s="4" t="s">
        <v>33</v>
      </c>
      <c r="C103" s="4" t="s">
        <v>34</v>
      </c>
      <c r="D103" s="4" t="s">
        <v>41</v>
      </c>
      <c r="E103" s="4" t="s">
        <v>50</v>
      </c>
      <c r="F103" s="4" t="s">
        <v>25</v>
      </c>
      <c r="G103" s="4" t="s">
        <v>25</v>
      </c>
      <c r="H103" s="4" t="s">
        <v>35</v>
      </c>
      <c r="I103" s="5">
        <v>44501</v>
      </c>
      <c r="J103" s="6">
        <v>0</v>
      </c>
      <c r="K103" s="70">
        <v>0</v>
      </c>
      <c r="L103" s="6">
        <v>7.4999999999999997E-2</v>
      </c>
      <c r="M103" s="70">
        <v>7.4999999999999997E-2</v>
      </c>
      <c r="N103" s="6">
        <v>7.4999999999999997E-2</v>
      </c>
      <c r="O103" s="70">
        <v>7.4999999999999997E-2</v>
      </c>
      <c r="P103" s="6">
        <v>0</v>
      </c>
      <c r="Q103" s="4" t="s">
        <v>26</v>
      </c>
      <c r="R103" s="4">
        <v>0</v>
      </c>
      <c r="S103" s="4">
        <v>0</v>
      </c>
      <c r="T103" s="4">
        <v>66</v>
      </c>
      <c r="U103" s="4">
        <v>6</v>
      </c>
      <c r="V103" s="70">
        <f>IF(ISERROR(VLOOKUP($S$103,'TAR FIN'!$A$1:$O$85,15,0)),0,VLOOKUP($S$103,'TAR FIN'!$A$1:$O$85,15,0))</f>
        <v>0</v>
      </c>
      <c r="W103" s="70">
        <f>IF(ISERROR(VLOOKUP($T$103,'TAR FIN'!$A$1:$O$85,15,0)),0,VLOOKUP($T$103,'TAR FIN'!$A$1:$O$85,15,0))*(1-0.04)</f>
        <v>2173.0367999999999</v>
      </c>
      <c r="X103" s="70">
        <f>IF(ISERROR(VLOOKUP($U$103,'TAR FIN'!$A$1:$O$85,15,0)),0,VLOOKUP($U$103,'TAR FIN'!$A$1:$O$85,15,0))*(1-0.04)</f>
        <v>214.77119999999999</v>
      </c>
      <c r="Y103" s="70"/>
      <c r="Z103" s="70">
        <f ca="1">('TUSD BE'!$AM$11+'TUSD BF'!$AM$11+'TUSD CVA'!$AM$11)*1*(1-0.02)</f>
        <v>2326.2024462524073</v>
      </c>
      <c r="AA103" s="70">
        <f>('TE BE'!$AA$5+'TE BF'!$AA$5+'TE CVA'!$AA$5)*1*(1-0.02)</f>
        <v>213.27681122210436</v>
      </c>
      <c r="AB103" s="70">
        <f>(SUBSIDIO!$J$103*SUBSIDIO!$V$103)*(0.04)/(1-0.04)</f>
        <v>0</v>
      </c>
      <c r="AC103" s="70">
        <f>((SUBSIDIO!$L$103*SUBSIDIO!$W$103)+(SUBSIDIO!$N$103*SUBSIDIO!$X$103))*(0.04)/(1-0.04)</f>
        <v>7.4619</v>
      </c>
      <c r="AD103" s="70">
        <f>(SUBSIDIO!$J$103*SUBSIDIO!$Y$103)*(0.02)/(1-0.02)</f>
        <v>0</v>
      </c>
      <c r="AE103" s="70">
        <f ca="1">((SUBSIDIO!$L$103*SUBSIDIO!$Z$103)+(SUBSIDIO!$N$103*SUBSIDIO!$AA$103))*(0.02)/(1-0.02)</f>
        <v>3.8869580471548653</v>
      </c>
      <c r="AF103" s="4" t="s">
        <v>563</v>
      </c>
    </row>
    <row r="104" spans="1:32" ht="11.25" customHeight="1" x14ac:dyDescent="0.25">
      <c r="A104" s="4" t="s">
        <v>21</v>
      </c>
      <c r="B104" s="4" t="s">
        <v>33</v>
      </c>
      <c r="C104" s="4" t="s">
        <v>34</v>
      </c>
      <c r="D104" s="4" t="s">
        <v>41</v>
      </c>
      <c r="E104" s="4" t="s">
        <v>50</v>
      </c>
      <c r="F104" s="4" t="s">
        <v>25</v>
      </c>
      <c r="G104" s="4" t="s">
        <v>25</v>
      </c>
      <c r="H104" s="4" t="s">
        <v>35</v>
      </c>
      <c r="I104" s="5">
        <v>44531</v>
      </c>
      <c r="J104" s="6">
        <v>0</v>
      </c>
      <c r="K104" s="70">
        <v>0</v>
      </c>
      <c r="L104" s="6">
        <v>74.665999999999997</v>
      </c>
      <c r="M104" s="70">
        <v>74.665999999999997</v>
      </c>
      <c r="N104" s="6">
        <v>74.665999999999997</v>
      </c>
      <c r="O104" s="70">
        <v>74.665999999999997</v>
      </c>
      <c r="P104" s="6">
        <v>0</v>
      </c>
      <c r="Q104" s="4" t="s">
        <v>26</v>
      </c>
      <c r="R104" s="4">
        <v>0</v>
      </c>
      <c r="S104" s="4">
        <v>0</v>
      </c>
      <c r="T104" s="4">
        <v>66</v>
      </c>
      <c r="U104" s="4">
        <v>6</v>
      </c>
      <c r="V104" s="70">
        <f>IF(ISERROR(VLOOKUP($S$104,'TAR FIN'!$A$1:$O$85,15,0)),0,VLOOKUP($S$104,'TAR FIN'!$A$1:$O$85,15,0))</f>
        <v>0</v>
      </c>
      <c r="W104" s="70">
        <f>IF(ISERROR(VLOOKUP($T$104,'TAR FIN'!$A$1:$O$85,15,0)),0,VLOOKUP($T$104,'TAR FIN'!$A$1:$O$85,15,0))*(1-0.04)</f>
        <v>2173.0367999999999</v>
      </c>
      <c r="X104" s="70">
        <f>IF(ISERROR(VLOOKUP($U$104,'TAR FIN'!$A$1:$O$85,15,0)),0,VLOOKUP($U$104,'TAR FIN'!$A$1:$O$85,15,0))*(1-0.04)</f>
        <v>214.77119999999999</v>
      </c>
      <c r="Y104" s="70"/>
      <c r="Z104" s="70">
        <f ca="1">('TUSD BE'!$AM$11+'TUSD BF'!$AM$11+'TUSD CVA'!$AM$11)*1*(1-0.02)</f>
        <v>2326.2024462524073</v>
      </c>
      <c r="AA104" s="70">
        <f>('TE BE'!$AA$5+'TE BF'!$AA$5+'TE CVA'!$AA$5)*1*(1-0.02)</f>
        <v>213.27681122210436</v>
      </c>
      <c r="AB104" s="70">
        <f>(SUBSIDIO!$J$104*SUBSIDIO!$V$104)*(0.04)/(1-0.04)</f>
        <v>0</v>
      </c>
      <c r="AC104" s="70">
        <f>((SUBSIDIO!$L$104*SUBSIDIO!$W$104)+(SUBSIDIO!$N$104*SUBSIDIO!$X$104))*(0.04)/(1-0.04)</f>
        <v>7428.6696719999991</v>
      </c>
      <c r="AD104" s="70">
        <f>(SUBSIDIO!$J$104*SUBSIDIO!$Y$104)*(0.02)/(1-0.02)</f>
        <v>0</v>
      </c>
      <c r="AE104" s="70">
        <f ca="1">((SUBSIDIO!$L$104*SUBSIDIO!$Z$104)+(SUBSIDIO!$N$104*SUBSIDIO!$AA$104))*(0.02)/(1-0.02)</f>
        <v>3869.6481273182021</v>
      </c>
      <c r="AF104" s="4" t="s">
        <v>563</v>
      </c>
    </row>
    <row r="105" spans="1:32" ht="11.25" customHeight="1" x14ac:dyDescent="0.25">
      <c r="A105" s="4" t="s">
        <v>27</v>
      </c>
      <c r="B105" s="4" t="s">
        <v>33</v>
      </c>
      <c r="C105" s="4" t="s">
        <v>34</v>
      </c>
      <c r="D105" s="4" t="s">
        <v>41</v>
      </c>
      <c r="E105" s="4" t="s">
        <v>50</v>
      </c>
      <c r="F105" s="4" t="s">
        <v>25</v>
      </c>
      <c r="G105" s="4" t="s">
        <v>25</v>
      </c>
      <c r="H105" s="4" t="s">
        <v>35</v>
      </c>
      <c r="I105" s="5">
        <v>44531</v>
      </c>
      <c r="J105" s="6">
        <v>0</v>
      </c>
      <c r="K105" s="70">
        <v>0</v>
      </c>
      <c r="L105" s="6">
        <v>-1.665</v>
      </c>
      <c r="M105" s="70">
        <v>-1.665</v>
      </c>
      <c r="N105" s="6">
        <v>-1.665</v>
      </c>
      <c r="O105" s="70">
        <v>-1.665</v>
      </c>
      <c r="P105" s="6">
        <v>0</v>
      </c>
      <c r="Q105" s="4" t="s">
        <v>26</v>
      </c>
      <c r="R105" s="4">
        <v>0</v>
      </c>
      <c r="S105" s="4">
        <v>0</v>
      </c>
      <c r="T105" s="4">
        <v>66</v>
      </c>
      <c r="U105" s="4">
        <v>6</v>
      </c>
      <c r="V105" s="70">
        <f>IF(ISERROR(VLOOKUP($S$105,'TAR FIN'!$A$1:$O$85,15,0)),0,VLOOKUP($S$105,'TAR FIN'!$A$1:$O$85,15,0))</f>
        <v>0</v>
      </c>
      <c r="W105" s="70">
        <f>IF(ISERROR(VLOOKUP($T$105,'TAR FIN'!$A$1:$O$85,15,0)),0,VLOOKUP($T$105,'TAR FIN'!$A$1:$O$85,15,0))*(1-0.04)</f>
        <v>2173.0367999999999</v>
      </c>
      <c r="X105" s="70">
        <f>IF(ISERROR(VLOOKUP($U$105,'TAR FIN'!$A$1:$O$85,15,0)),0,VLOOKUP($U$105,'TAR FIN'!$A$1:$O$85,15,0))*(1-0.04)</f>
        <v>214.77119999999999</v>
      </c>
      <c r="Y105" s="70"/>
      <c r="Z105" s="70">
        <f ca="1">('TUSD BE'!$AM$11+'TUSD BF'!$AM$11+'TUSD CVA'!$AM$11)*1*(1-0.02)</f>
        <v>2326.2024462524073</v>
      </c>
      <c r="AA105" s="70">
        <f>('TE BE'!$AA$5+'TE BF'!$AA$5+'TE CVA'!$AA$5)*1*(1-0.02)</f>
        <v>213.27681122210436</v>
      </c>
      <c r="AB105" s="70">
        <f>(SUBSIDIO!$J$105*SUBSIDIO!$V$105)*(0.04)/(1-0.04)</f>
        <v>0</v>
      </c>
      <c r="AC105" s="70">
        <f>((SUBSIDIO!$L$105*SUBSIDIO!$W$105)+(SUBSIDIO!$N$105*SUBSIDIO!$X$105))*(0.04)/(1-0.04)</f>
        <v>-165.65418</v>
      </c>
      <c r="AD105" s="70">
        <f>(SUBSIDIO!$J$105*SUBSIDIO!$Y$105)*(0.02)/(1-0.02)</f>
        <v>0</v>
      </c>
      <c r="AE105" s="70">
        <f ca="1">((SUBSIDIO!$L$105*SUBSIDIO!$Z$105)+(SUBSIDIO!$N$105*SUBSIDIO!$AA$105))*(0.02)/(1-0.02)</f>
        <v>-86.290468646838008</v>
      </c>
      <c r="AF105" s="4" t="s">
        <v>563</v>
      </c>
    </row>
    <row r="106" spans="1:32" ht="11.25" customHeight="1" x14ac:dyDescent="0.25">
      <c r="A106" s="4" t="s">
        <v>28</v>
      </c>
      <c r="B106" s="4" t="s">
        <v>33</v>
      </c>
      <c r="C106" s="4" t="s">
        <v>34</v>
      </c>
      <c r="D106" s="4" t="s">
        <v>41</v>
      </c>
      <c r="E106" s="4" t="s">
        <v>50</v>
      </c>
      <c r="F106" s="4" t="s">
        <v>25</v>
      </c>
      <c r="G106" s="4" t="s">
        <v>25</v>
      </c>
      <c r="H106" s="4" t="s">
        <v>35</v>
      </c>
      <c r="I106" s="5">
        <v>44531</v>
      </c>
      <c r="J106" s="6">
        <v>0</v>
      </c>
      <c r="K106" s="70">
        <v>0</v>
      </c>
      <c r="L106" s="6">
        <v>2.3E-2</v>
      </c>
      <c r="M106" s="70">
        <v>2.3E-2</v>
      </c>
      <c r="N106" s="6">
        <v>2.3E-2</v>
      </c>
      <c r="O106" s="70">
        <v>2.3E-2</v>
      </c>
      <c r="P106" s="6">
        <v>0</v>
      </c>
      <c r="Q106" s="4" t="s">
        <v>26</v>
      </c>
      <c r="R106" s="4">
        <v>0</v>
      </c>
      <c r="S106" s="4">
        <v>0</v>
      </c>
      <c r="T106" s="4">
        <v>66</v>
      </c>
      <c r="U106" s="4">
        <v>6</v>
      </c>
      <c r="V106" s="70">
        <f>IF(ISERROR(VLOOKUP($S$106,'TAR FIN'!$A$1:$O$85,15,0)),0,VLOOKUP($S$106,'TAR FIN'!$A$1:$O$85,15,0))</f>
        <v>0</v>
      </c>
      <c r="W106" s="70">
        <f>IF(ISERROR(VLOOKUP($T$106,'TAR FIN'!$A$1:$O$85,15,0)),0,VLOOKUP($T$106,'TAR FIN'!$A$1:$O$85,15,0))*(1-0.04)</f>
        <v>2173.0367999999999</v>
      </c>
      <c r="X106" s="70">
        <f>IF(ISERROR(VLOOKUP($U$106,'TAR FIN'!$A$1:$O$85,15,0)),0,VLOOKUP($U$106,'TAR FIN'!$A$1:$O$85,15,0))*(1-0.04)</f>
        <v>214.77119999999999</v>
      </c>
      <c r="Y106" s="70"/>
      <c r="Z106" s="70">
        <f ca="1">('TUSD BE'!$AM$11+'TUSD BF'!$AM$11+'TUSD CVA'!$AM$11)*1*(1-0.02)</f>
        <v>2326.2024462524073</v>
      </c>
      <c r="AA106" s="70">
        <f>('TE BE'!$AA$5+'TE BF'!$AA$5+'TE CVA'!$AA$5)*1*(1-0.02)</f>
        <v>213.27681122210436</v>
      </c>
      <c r="AB106" s="70">
        <f>(SUBSIDIO!$J$106*SUBSIDIO!$V$106)*(0.04)/(1-0.04)</f>
        <v>0</v>
      </c>
      <c r="AC106" s="70">
        <f>((SUBSIDIO!$L$106*SUBSIDIO!$W$106)+(SUBSIDIO!$N$106*SUBSIDIO!$X$106))*(0.04)/(1-0.04)</f>
        <v>2.288316</v>
      </c>
      <c r="AD106" s="70">
        <f>(SUBSIDIO!$J$106*SUBSIDIO!$Y$106)*(0.02)/(1-0.02)</f>
        <v>0</v>
      </c>
      <c r="AE106" s="70">
        <f ca="1">((SUBSIDIO!$L$106*SUBSIDIO!$Z$106)+(SUBSIDIO!$N$106*SUBSIDIO!$AA$106))*(0.02)/(1-0.02)</f>
        <v>1.1920004677941587</v>
      </c>
      <c r="AF106" s="4" t="s">
        <v>563</v>
      </c>
    </row>
    <row r="107" spans="1:32" ht="11.25" customHeight="1" x14ac:dyDescent="0.25">
      <c r="A107" s="4" t="s">
        <v>21</v>
      </c>
      <c r="B107" s="4" t="s">
        <v>33</v>
      </c>
      <c r="C107" s="4" t="s">
        <v>34</v>
      </c>
      <c r="D107" s="4" t="s">
        <v>41</v>
      </c>
      <c r="E107" s="4" t="s">
        <v>50</v>
      </c>
      <c r="F107" s="4" t="s">
        <v>25</v>
      </c>
      <c r="G107" s="4" t="s">
        <v>25</v>
      </c>
      <c r="H107" s="4" t="s">
        <v>35</v>
      </c>
      <c r="I107" s="5">
        <v>44562</v>
      </c>
      <c r="J107" s="6">
        <v>0</v>
      </c>
      <c r="K107" s="70">
        <v>0</v>
      </c>
      <c r="L107" s="6">
        <v>42.938000000000002</v>
      </c>
      <c r="M107" s="70">
        <v>42.938000000000002</v>
      </c>
      <c r="N107" s="6">
        <v>42.938000000000002</v>
      </c>
      <c r="O107" s="70">
        <v>42.938000000000002</v>
      </c>
      <c r="P107" s="6">
        <v>0</v>
      </c>
      <c r="Q107" s="4" t="s">
        <v>26</v>
      </c>
      <c r="R107" s="4">
        <v>0</v>
      </c>
      <c r="S107" s="4">
        <v>0</v>
      </c>
      <c r="T107" s="4">
        <v>66</v>
      </c>
      <c r="U107" s="4">
        <v>6</v>
      </c>
      <c r="V107" s="70">
        <f>IF(ISERROR(VLOOKUP($S$107,'TAR FIN'!$A$1:$O$85,15,0)),0,VLOOKUP($S$107,'TAR FIN'!$A$1:$O$85,15,0))</f>
        <v>0</v>
      </c>
      <c r="W107" s="70">
        <f>IF(ISERROR(VLOOKUP($T$107,'TAR FIN'!$A$1:$O$85,15,0)),0,VLOOKUP($T$107,'TAR FIN'!$A$1:$O$85,15,0))*(1-0.04)</f>
        <v>2173.0367999999999</v>
      </c>
      <c r="X107" s="70">
        <f>IF(ISERROR(VLOOKUP($U$107,'TAR FIN'!$A$1:$O$85,15,0)),0,VLOOKUP($U$107,'TAR FIN'!$A$1:$O$85,15,0))*(1-0.04)</f>
        <v>214.77119999999999</v>
      </c>
      <c r="Y107" s="70"/>
      <c r="Z107" s="70">
        <f ca="1">('TUSD BE'!$AM$11+'TUSD BF'!$AM$11+'TUSD CVA'!$AM$11)*1*(1-0.02)</f>
        <v>2326.2024462524073</v>
      </c>
      <c r="AA107" s="70">
        <f>('TE BE'!$AA$5+'TE BF'!$AA$5+'TE CVA'!$AA$5)*1*(1-0.02)</f>
        <v>213.27681122210436</v>
      </c>
      <c r="AB107" s="70">
        <f>(SUBSIDIO!$J$107*SUBSIDIO!$V$107)*(0.04)/(1-0.04)</f>
        <v>0</v>
      </c>
      <c r="AC107" s="70">
        <f>((SUBSIDIO!$L$107*SUBSIDIO!$W$107)+(SUBSIDIO!$N$107*SUBSIDIO!$X$107))*(0.04)/(1-0.04)</f>
        <v>4271.9874960000006</v>
      </c>
      <c r="AD107" s="70">
        <f>(SUBSIDIO!$J$107*SUBSIDIO!$Y$107)*(0.02)/(1-0.02)</f>
        <v>0</v>
      </c>
      <c r="AE107" s="70">
        <f ca="1">((SUBSIDIO!$L$107*SUBSIDIO!$Z$107)+(SUBSIDIO!$N$107*SUBSIDIO!$AA$107))*(0.02)/(1-0.02)</f>
        <v>2225.3093950498082</v>
      </c>
      <c r="AF107" s="4" t="s">
        <v>563</v>
      </c>
    </row>
    <row r="108" spans="1:32" ht="11.25" customHeight="1" x14ac:dyDescent="0.25">
      <c r="A108" s="4" t="s">
        <v>21</v>
      </c>
      <c r="B108" s="4" t="s">
        <v>33</v>
      </c>
      <c r="C108" s="4" t="s">
        <v>34</v>
      </c>
      <c r="D108" s="4" t="s">
        <v>41</v>
      </c>
      <c r="E108" s="4" t="s">
        <v>50</v>
      </c>
      <c r="F108" s="4" t="s">
        <v>25</v>
      </c>
      <c r="G108" s="4" t="s">
        <v>25</v>
      </c>
      <c r="H108" s="4" t="s">
        <v>35</v>
      </c>
      <c r="I108" s="5">
        <v>44593</v>
      </c>
      <c r="J108" s="6">
        <v>0</v>
      </c>
      <c r="K108" s="70">
        <v>0</v>
      </c>
      <c r="L108" s="6">
        <v>71.948999999999998</v>
      </c>
      <c r="M108" s="70">
        <v>71.948999999999998</v>
      </c>
      <c r="N108" s="6">
        <v>71.948999999999998</v>
      </c>
      <c r="O108" s="70">
        <v>71.948999999999998</v>
      </c>
      <c r="P108" s="6">
        <v>0</v>
      </c>
      <c r="Q108" s="4" t="s">
        <v>26</v>
      </c>
      <c r="R108" s="4">
        <v>0</v>
      </c>
      <c r="S108" s="4">
        <v>0</v>
      </c>
      <c r="T108" s="4">
        <v>66</v>
      </c>
      <c r="U108" s="4">
        <v>6</v>
      </c>
      <c r="V108" s="70">
        <f>IF(ISERROR(VLOOKUP($S$108,'TAR FIN'!$A$1:$O$85,15,0)),0,VLOOKUP($S$108,'TAR FIN'!$A$1:$O$85,15,0))</f>
        <v>0</v>
      </c>
      <c r="W108" s="70">
        <f>IF(ISERROR(VLOOKUP($T$108,'TAR FIN'!$A$1:$O$85,15,0)),0,VLOOKUP($T$108,'TAR FIN'!$A$1:$O$85,15,0))*(1-0.04)</f>
        <v>2173.0367999999999</v>
      </c>
      <c r="X108" s="70">
        <f>IF(ISERROR(VLOOKUP($U$108,'TAR FIN'!$A$1:$O$85,15,0)),0,VLOOKUP($U$108,'TAR FIN'!$A$1:$O$85,15,0))*(1-0.04)</f>
        <v>214.77119999999999</v>
      </c>
      <c r="Y108" s="70"/>
      <c r="Z108" s="70">
        <f ca="1">('TUSD BE'!$AM$11+'TUSD BF'!$AM$11+'TUSD CVA'!$AM$11)*1*(1-0.02)</f>
        <v>2326.2024462524073</v>
      </c>
      <c r="AA108" s="70">
        <f>('TE BE'!$AA$5+'TE BF'!$AA$5+'TE CVA'!$AA$5)*1*(1-0.02)</f>
        <v>213.27681122210436</v>
      </c>
      <c r="AB108" s="70">
        <f>(SUBSIDIO!$J$108*SUBSIDIO!$V$108)*(0.04)/(1-0.04)</f>
        <v>0</v>
      </c>
      <c r="AC108" s="70">
        <f>((SUBSIDIO!$L$108*SUBSIDIO!$W$108)+(SUBSIDIO!$N$108*SUBSIDIO!$X$108))*(0.04)/(1-0.04)</f>
        <v>7158.3499080000011</v>
      </c>
      <c r="AD108" s="70">
        <f>(SUBSIDIO!$J$108*SUBSIDIO!$Y$108)*(0.02)/(1-0.02)</f>
        <v>0</v>
      </c>
      <c r="AE108" s="70">
        <f ca="1">((SUBSIDIO!$L$108*SUBSIDIO!$Z$108)+(SUBSIDIO!$N$108*SUBSIDIO!$AA$108))*(0.02)/(1-0.02)</f>
        <v>3728.836593796605</v>
      </c>
      <c r="AF108" s="4" t="s">
        <v>563</v>
      </c>
    </row>
    <row r="109" spans="1:32" ht="11.25" customHeight="1" x14ac:dyDescent="0.25">
      <c r="A109" s="4" t="s">
        <v>28</v>
      </c>
      <c r="B109" s="4" t="s">
        <v>33</v>
      </c>
      <c r="C109" s="4" t="s">
        <v>34</v>
      </c>
      <c r="D109" s="4" t="s">
        <v>41</v>
      </c>
      <c r="E109" s="4" t="s">
        <v>50</v>
      </c>
      <c r="F109" s="4" t="s">
        <v>25</v>
      </c>
      <c r="G109" s="4" t="s">
        <v>25</v>
      </c>
      <c r="H109" s="4" t="s">
        <v>35</v>
      </c>
      <c r="I109" s="5">
        <v>44593</v>
      </c>
      <c r="J109" s="6">
        <v>0</v>
      </c>
      <c r="K109" s="70">
        <v>0</v>
      </c>
      <c r="L109" s="6">
        <v>1.2E-2</v>
      </c>
      <c r="M109" s="70">
        <v>1.2E-2</v>
      </c>
      <c r="N109" s="6">
        <v>1.2E-2</v>
      </c>
      <c r="O109" s="70">
        <v>1.2E-2</v>
      </c>
      <c r="P109" s="6">
        <v>0</v>
      </c>
      <c r="Q109" s="4" t="s">
        <v>26</v>
      </c>
      <c r="R109" s="4">
        <v>0</v>
      </c>
      <c r="S109" s="4">
        <v>0</v>
      </c>
      <c r="T109" s="4">
        <v>66</v>
      </c>
      <c r="U109" s="4">
        <v>6</v>
      </c>
      <c r="V109" s="70">
        <f>IF(ISERROR(VLOOKUP($S$109,'TAR FIN'!$A$1:$O$85,15,0)),0,VLOOKUP($S$109,'TAR FIN'!$A$1:$O$85,15,0))</f>
        <v>0</v>
      </c>
      <c r="W109" s="70">
        <f>IF(ISERROR(VLOOKUP($T$109,'TAR FIN'!$A$1:$O$85,15,0)),0,VLOOKUP($T$109,'TAR FIN'!$A$1:$O$85,15,0))*(1-0.04)</f>
        <v>2173.0367999999999</v>
      </c>
      <c r="X109" s="70">
        <f>IF(ISERROR(VLOOKUP($U$109,'TAR FIN'!$A$1:$O$85,15,0)),0,VLOOKUP($U$109,'TAR FIN'!$A$1:$O$85,15,0))*(1-0.04)</f>
        <v>214.77119999999999</v>
      </c>
      <c r="Y109" s="70"/>
      <c r="Z109" s="70">
        <f ca="1">('TUSD BE'!$AM$11+'TUSD BF'!$AM$11+'TUSD CVA'!$AM$11)*1*(1-0.02)</f>
        <v>2326.2024462524073</v>
      </c>
      <c r="AA109" s="70">
        <f>('TE BE'!$AA$5+'TE BF'!$AA$5+'TE CVA'!$AA$5)*1*(1-0.02)</f>
        <v>213.27681122210436</v>
      </c>
      <c r="AB109" s="70">
        <f>(SUBSIDIO!$J$109*SUBSIDIO!$V$109)*(0.04)/(1-0.04)</f>
        <v>0</v>
      </c>
      <c r="AC109" s="70">
        <f>((SUBSIDIO!$L$109*SUBSIDIO!$W$109)+(SUBSIDIO!$N$109*SUBSIDIO!$X$109))*(0.04)/(1-0.04)</f>
        <v>1.1939040000000001</v>
      </c>
      <c r="AD109" s="70">
        <f>(SUBSIDIO!$J$109*SUBSIDIO!$Y$109)*(0.02)/(1-0.02)</f>
        <v>0</v>
      </c>
      <c r="AE109" s="70">
        <f ca="1">((SUBSIDIO!$L$109*SUBSIDIO!$Z$109)+(SUBSIDIO!$N$109*SUBSIDIO!$AA$109))*(0.02)/(1-0.02)</f>
        <v>0.62191328754477837</v>
      </c>
      <c r="AF109" s="4" t="s">
        <v>563</v>
      </c>
    </row>
    <row r="110" spans="1:32" ht="11.25" customHeight="1" x14ac:dyDescent="0.25">
      <c r="A110" s="4" t="s">
        <v>54</v>
      </c>
      <c r="B110" s="4" t="s">
        <v>33</v>
      </c>
      <c r="C110" s="4" t="s">
        <v>34</v>
      </c>
      <c r="D110" s="4" t="s">
        <v>41</v>
      </c>
      <c r="E110" s="4" t="s">
        <v>50</v>
      </c>
      <c r="F110" s="4" t="s">
        <v>25</v>
      </c>
      <c r="G110" s="4" t="s">
        <v>25</v>
      </c>
      <c r="H110" s="4" t="s">
        <v>35</v>
      </c>
      <c r="I110" s="5">
        <v>44621</v>
      </c>
      <c r="J110" s="6">
        <v>0</v>
      </c>
      <c r="K110" s="70">
        <v>0</v>
      </c>
      <c r="L110" s="6">
        <v>71.948999999999998</v>
      </c>
      <c r="M110" s="70">
        <v>71.948999999999998</v>
      </c>
      <c r="N110" s="6">
        <v>71.948999999999998</v>
      </c>
      <c r="O110" s="70">
        <v>71.948999999999998</v>
      </c>
      <c r="P110" s="6">
        <v>0</v>
      </c>
      <c r="Q110" s="4" t="s">
        <v>26</v>
      </c>
      <c r="R110" s="4">
        <v>0</v>
      </c>
      <c r="S110" s="4">
        <v>0</v>
      </c>
      <c r="T110" s="4">
        <v>66</v>
      </c>
      <c r="U110" s="4">
        <v>6</v>
      </c>
      <c r="V110" s="70">
        <f>IF(ISERROR(VLOOKUP($S$110,'TAR FIN'!$A$1:$O$85,15,0)),0,VLOOKUP($S$110,'TAR FIN'!$A$1:$O$85,15,0))</f>
        <v>0</v>
      </c>
      <c r="W110" s="70">
        <f>IF(ISERROR(VLOOKUP($T$110,'TAR FIN'!$A$1:$O$85,15,0)),0,VLOOKUP($T$110,'TAR FIN'!$A$1:$O$85,15,0))*(1-0.04)</f>
        <v>2173.0367999999999</v>
      </c>
      <c r="X110" s="70">
        <f>IF(ISERROR(VLOOKUP($U$110,'TAR FIN'!$A$1:$O$85,15,0)),0,VLOOKUP($U$110,'TAR FIN'!$A$1:$O$85,15,0))*(1-0.04)</f>
        <v>214.77119999999999</v>
      </c>
      <c r="Y110" s="70"/>
      <c r="Z110" s="70">
        <f ca="1">('TUSD BE'!$AM$11+'TUSD BF'!$AM$11+'TUSD CVA'!$AM$11)*1*(1-0.02)</f>
        <v>2326.2024462524073</v>
      </c>
      <c r="AA110" s="70">
        <f>('TE BE'!$AA$5+'TE BF'!$AA$5+'TE CVA'!$AA$5)*1*(1-0.02)</f>
        <v>213.27681122210436</v>
      </c>
      <c r="AB110" s="70">
        <f>(SUBSIDIO!$J$110*SUBSIDIO!$V$110)*(0.04)/(1-0.04)</f>
        <v>0</v>
      </c>
      <c r="AC110" s="70">
        <f>((SUBSIDIO!$L$110*SUBSIDIO!$W$110)+(SUBSIDIO!$N$110*SUBSIDIO!$X$110))*(0.04)/(1-0.04)</f>
        <v>7158.3499080000011</v>
      </c>
      <c r="AD110" s="70">
        <f>(SUBSIDIO!$J$110*SUBSIDIO!$Y$110)*(0.02)/(1-0.02)</f>
        <v>0</v>
      </c>
      <c r="AE110" s="70">
        <f ca="1">((SUBSIDIO!$L$110*SUBSIDIO!$Z$110)+(SUBSIDIO!$N$110*SUBSIDIO!$AA$110))*(0.02)/(1-0.02)</f>
        <v>3728.836593796605</v>
      </c>
      <c r="AF110" s="4" t="s">
        <v>563</v>
      </c>
    </row>
    <row r="111" spans="1:32" ht="11.25" customHeight="1" x14ac:dyDescent="0.25">
      <c r="A111" s="4" t="s">
        <v>54</v>
      </c>
      <c r="B111" s="4" t="s">
        <v>33</v>
      </c>
      <c r="C111" s="4" t="s">
        <v>34</v>
      </c>
      <c r="D111" s="4" t="s">
        <v>41</v>
      </c>
      <c r="E111" s="4" t="s">
        <v>50</v>
      </c>
      <c r="F111" s="4" t="s">
        <v>25</v>
      </c>
      <c r="G111" s="4" t="s">
        <v>25</v>
      </c>
      <c r="H111" s="4" t="s">
        <v>35</v>
      </c>
      <c r="I111" s="5">
        <v>44621</v>
      </c>
      <c r="J111" s="6">
        <v>0</v>
      </c>
      <c r="K111" s="70">
        <v>0</v>
      </c>
      <c r="L111" s="6">
        <v>1.2E-2</v>
      </c>
      <c r="M111" s="70">
        <v>1.2E-2</v>
      </c>
      <c r="N111" s="6">
        <v>1.2E-2</v>
      </c>
      <c r="O111" s="70">
        <v>1.2E-2</v>
      </c>
      <c r="P111" s="6">
        <v>0</v>
      </c>
      <c r="Q111" s="4" t="s">
        <v>26</v>
      </c>
      <c r="R111" s="4">
        <v>0</v>
      </c>
      <c r="S111" s="4">
        <v>0</v>
      </c>
      <c r="T111" s="4">
        <v>66</v>
      </c>
      <c r="U111" s="4">
        <v>6</v>
      </c>
      <c r="V111" s="70">
        <f>IF(ISERROR(VLOOKUP($S$111,'TAR FIN'!$A$1:$O$85,15,0)),0,VLOOKUP($S$111,'TAR FIN'!$A$1:$O$85,15,0))</f>
        <v>0</v>
      </c>
      <c r="W111" s="70">
        <f>IF(ISERROR(VLOOKUP($T$111,'TAR FIN'!$A$1:$O$85,15,0)),0,VLOOKUP($T$111,'TAR FIN'!$A$1:$O$85,15,0))*(1-0.04)</f>
        <v>2173.0367999999999</v>
      </c>
      <c r="X111" s="70">
        <f>IF(ISERROR(VLOOKUP($U$111,'TAR FIN'!$A$1:$O$85,15,0)),0,VLOOKUP($U$111,'TAR FIN'!$A$1:$O$85,15,0))*(1-0.04)</f>
        <v>214.77119999999999</v>
      </c>
      <c r="Y111" s="70"/>
      <c r="Z111" s="70">
        <f ca="1">('TUSD BE'!$AM$11+'TUSD BF'!$AM$11+'TUSD CVA'!$AM$11)*1*(1-0.02)</f>
        <v>2326.2024462524073</v>
      </c>
      <c r="AA111" s="70">
        <f>('TE BE'!$AA$5+'TE BF'!$AA$5+'TE CVA'!$AA$5)*1*(1-0.02)</f>
        <v>213.27681122210436</v>
      </c>
      <c r="AB111" s="70">
        <f>(SUBSIDIO!$J$111*SUBSIDIO!$V$111)*(0.04)/(1-0.04)</f>
        <v>0</v>
      </c>
      <c r="AC111" s="70">
        <f>((SUBSIDIO!$L$111*SUBSIDIO!$W$111)+(SUBSIDIO!$N$111*SUBSIDIO!$X$111))*(0.04)/(1-0.04)</f>
        <v>1.1939040000000001</v>
      </c>
      <c r="AD111" s="70">
        <f>(SUBSIDIO!$J$111*SUBSIDIO!$Y$111)*(0.02)/(1-0.02)</f>
        <v>0</v>
      </c>
      <c r="AE111" s="70">
        <f ca="1">((SUBSIDIO!$L$111*SUBSIDIO!$Z$111)+(SUBSIDIO!$N$111*SUBSIDIO!$AA$111))*(0.02)/(1-0.02)</f>
        <v>0.62191328754477837</v>
      </c>
      <c r="AF111" s="4" t="s">
        <v>563</v>
      </c>
    </row>
    <row r="112" spans="1:32" ht="11.25" customHeight="1" x14ac:dyDescent="0.25">
      <c r="A112" s="4" t="s">
        <v>21</v>
      </c>
      <c r="B112" s="4" t="s">
        <v>33</v>
      </c>
      <c r="C112" s="4" t="s">
        <v>34</v>
      </c>
      <c r="D112" s="4" t="s">
        <v>41</v>
      </c>
      <c r="E112" s="4" t="s">
        <v>25</v>
      </c>
      <c r="F112" s="4" t="s">
        <v>25</v>
      </c>
      <c r="G112" s="4" t="s">
        <v>25</v>
      </c>
      <c r="H112" s="4" t="s">
        <v>36</v>
      </c>
      <c r="I112" s="5">
        <v>44287</v>
      </c>
      <c r="J112" s="6">
        <v>0</v>
      </c>
      <c r="K112" s="70">
        <v>0</v>
      </c>
      <c r="L112" s="6">
        <v>188.108</v>
      </c>
      <c r="M112" s="70">
        <v>188.108</v>
      </c>
      <c r="N112" s="6">
        <v>188.108</v>
      </c>
      <c r="O112" s="70">
        <v>188.108</v>
      </c>
      <c r="P112" s="6">
        <v>0</v>
      </c>
      <c r="Q112" s="4" t="s">
        <v>26</v>
      </c>
      <c r="R112" s="4">
        <v>0</v>
      </c>
      <c r="S112" s="4">
        <v>0</v>
      </c>
      <c r="T112" s="4">
        <v>47</v>
      </c>
      <c r="U112" s="4">
        <v>27</v>
      </c>
      <c r="V112" s="70">
        <f>IF(ISERROR(VLOOKUP($S$112,'TAR FIN'!$A$1:$O$85,15,0)),0,VLOOKUP($S$112,'TAR FIN'!$A$1:$O$85,15,0))</f>
        <v>0</v>
      </c>
      <c r="W112" s="70">
        <f>IF(ISERROR(VLOOKUP($T$112,'TAR FIN'!$A$1:$O$85,15,0)),0,VLOOKUP($T$112,'TAR FIN'!$A$1:$O$85,15,0))*(1-0.04)</f>
        <v>69.340800000000002</v>
      </c>
      <c r="X112" s="70">
        <f>IF(ISERROR(VLOOKUP($U$112,'TAR FIN'!$A$1:$O$85,15,0)),0,VLOOKUP($U$112,'TAR FIN'!$A$1:$O$85,15,0))*(1-0.04)</f>
        <v>214.77119999999999</v>
      </c>
      <c r="Y112" s="70"/>
      <c r="Z112" s="70">
        <f ca="1">('TUSD BE'!$AM$12+'TUSD BF'!$AM$12+'TUSD CVA'!$AM$12)*1*(1-0.02)</f>
        <v>101.23895799225831</v>
      </c>
      <c r="AA112" s="70">
        <f>('TE BE'!$AA$6+'TE BF'!$AA$6+'TE CVA'!$AA$6)*1*(1-0.02)</f>
        <v>213.27681122210436</v>
      </c>
      <c r="AB112" s="70">
        <f>(SUBSIDIO!$J$112*SUBSIDIO!$V$112)*(0.04)/(1-0.04)</f>
        <v>0</v>
      </c>
      <c r="AC112" s="70">
        <f>((SUBSIDIO!$L$112*SUBSIDIO!$W$112)+(SUBSIDIO!$N$112*SUBSIDIO!$X$112))*(0.04)/(1-0.04)</f>
        <v>2226.8225040000002</v>
      </c>
      <c r="AD112" s="70">
        <f>(SUBSIDIO!$J$112*SUBSIDIO!$Y$112)*(0.02)/(1-0.02)</f>
        <v>0</v>
      </c>
      <c r="AE112" s="70">
        <f ca="1">((SUBSIDIO!$L$112*SUBSIDIO!$Z$112)+(SUBSIDIO!$N$112*SUBSIDIO!$AA$112))*(0.02)/(1-0.02)</f>
        <v>1207.4067819464356</v>
      </c>
      <c r="AF112" s="4" t="s">
        <v>563</v>
      </c>
    </row>
    <row r="113" spans="1:32" ht="11.25" customHeight="1" x14ac:dyDescent="0.25">
      <c r="A113" s="4" t="s">
        <v>21</v>
      </c>
      <c r="B113" s="4" t="s">
        <v>33</v>
      </c>
      <c r="C113" s="4" t="s">
        <v>34</v>
      </c>
      <c r="D113" s="4" t="s">
        <v>41</v>
      </c>
      <c r="E113" s="4" t="s">
        <v>25</v>
      </c>
      <c r="F113" s="4" t="s">
        <v>25</v>
      </c>
      <c r="G113" s="4" t="s">
        <v>25</v>
      </c>
      <c r="H113" s="4" t="s">
        <v>36</v>
      </c>
      <c r="I113" s="5">
        <v>44317</v>
      </c>
      <c r="J113" s="6">
        <v>0</v>
      </c>
      <c r="K113" s="70">
        <v>0</v>
      </c>
      <c r="L113" s="6">
        <v>146.77600000000001</v>
      </c>
      <c r="M113" s="70">
        <v>146.77600000000001</v>
      </c>
      <c r="N113" s="6">
        <v>146.77600000000001</v>
      </c>
      <c r="O113" s="70">
        <v>146.77600000000001</v>
      </c>
      <c r="P113" s="6">
        <v>0</v>
      </c>
      <c r="Q113" s="4" t="s">
        <v>26</v>
      </c>
      <c r="R113" s="4">
        <v>0</v>
      </c>
      <c r="S113" s="4">
        <v>0</v>
      </c>
      <c r="T113" s="4">
        <v>47</v>
      </c>
      <c r="U113" s="4">
        <v>27</v>
      </c>
      <c r="V113" s="70">
        <f>IF(ISERROR(VLOOKUP($S$113,'TAR FIN'!$A$1:$O$85,15,0)),0,VLOOKUP($S$113,'TAR FIN'!$A$1:$O$85,15,0))</f>
        <v>0</v>
      </c>
      <c r="W113" s="70">
        <f>IF(ISERROR(VLOOKUP($T$113,'TAR FIN'!$A$1:$O$85,15,0)),0,VLOOKUP($T$113,'TAR FIN'!$A$1:$O$85,15,0))*(1-0.04)</f>
        <v>69.340800000000002</v>
      </c>
      <c r="X113" s="70">
        <f>IF(ISERROR(VLOOKUP($U$113,'TAR FIN'!$A$1:$O$85,15,0)),0,VLOOKUP($U$113,'TAR FIN'!$A$1:$O$85,15,0))*(1-0.04)</f>
        <v>214.77119999999999</v>
      </c>
      <c r="Y113" s="70"/>
      <c r="Z113" s="70">
        <f ca="1">('TUSD BE'!$AM$12+'TUSD BF'!$AM$12+'TUSD CVA'!$AM$12)*1*(1-0.02)</f>
        <v>101.23895799225831</v>
      </c>
      <c r="AA113" s="70">
        <f>('TE BE'!$AA$6+'TE BF'!$AA$6+'TE CVA'!$AA$6)*1*(1-0.02)</f>
        <v>213.27681122210436</v>
      </c>
      <c r="AB113" s="70">
        <f>(SUBSIDIO!$J$113*SUBSIDIO!$V$113)*(0.04)/(1-0.04)</f>
        <v>0</v>
      </c>
      <c r="AC113" s="70">
        <f>((SUBSIDIO!$L$113*SUBSIDIO!$W$113)+(SUBSIDIO!$N$113*SUBSIDIO!$X$113))*(0.04)/(1-0.04)</f>
        <v>1737.5342880000003</v>
      </c>
      <c r="AD113" s="70">
        <f>(SUBSIDIO!$J$113*SUBSIDIO!$Y$113)*(0.02)/(1-0.02)</f>
        <v>0</v>
      </c>
      <c r="AE113" s="70">
        <f ca="1">((SUBSIDIO!$L$113*SUBSIDIO!$Z$113)+(SUBSIDIO!$N$113*SUBSIDIO!$AA$113))*(0.02)/(1-0.02)</f>
        <v>942.10952126953669</v>
      </c>
      <c r="AF113" s="4" t="s">
        <v>563</v>
      </c>
    </row>
    <row r="114" spans="1:32" ht="11.25" customHeight="1" x14ac:dyDescent="0.25">
      <c r="A114" s="4" t="s">
        <v>21</v>
      </c>
      <c r="B114" s="4" t="s">
        <v>33</v>
      </c>
      <c r="C114" s="4" t="s">
        <v>34</v>
      </c>
      <c r="D114" s="4" t="s">
        <v>41</v>
      </c>
      <c r="E114" s="4" t="s">
        <v>25</v>
      </c>
      <c r="F114" s="4" t="s">
        <v>25</v>
      </c>
      <c r="G114" s="4" t="s">
        <v>25</v>
      </c>
      <c r="H114" s="4" t="s">
        <v>36</v>
      </c>
      <c r="I114" s="5">
        <v>44348</v>
      </c>
      <c r="J114" s="6">
        <v>0</v>
      </c>
      <c r="K114" s="70">
        <v>0</v>
      </c>
      <c r="L114" s="6">
        <v>133.42400000000001</v>
      </c>
      <c r="M114" s="70">
        <v>133.42400000000001</v>
      </c>
      <c r="N114" s="6">
        <v>133.42400000000001</v>
      </c>
      <c r="O114" s="70">
        <v>133.42400000000001</v>
      </c>
      <c r="P114" s="6">
        <v>0</v>
      </c>
      <c r="Q114" s="4" t="s">
        <v>26</v>
      </c>
      <c r="R114" s="4">
        <v>0</v>
      </c>
      <c r="S114" s="4">
        <v>0</v>
      </c>
      <c r="T114" s="4">
        <v>47</v>
      </c>
      <c r="U114" s="4">
        <v>27</v>
      </c>
      <c r="V114" s="70">
        <f>IF(ISERROR(VLOOKUP($S$114,'TAR FIN'!$A$1:$O$85,15,0)),0,VLOOKUP($S$114,'TAR FIN'!$A$1:$O$85,15,0))</f>
        <v>0</v>
      </c>
      <c r="W114" s="70">
        <f>IF(ISERROR(VLOOKUP($T$114,'TAR FIN'!$A$1:$O$85,15,0)),0,VLOOKUP($T$114,'TAR FIN'!$A$1:$O$85,15,0))*(1-0.04)</f>
        <v>69.340800000000002</v>
      </c>
      <c r="X114" s="70">
        <f>IF(ISERROR(VLOOKUP($U$114,'TAR FIN'!$A$1:$O$85,15,0)),0,VLOOKUP($U$114,'TAR FIN'!$A$1:$O$85,15,0))*(1-0.04)</f>
        <v>214.77119999999999</v>
      </c>
      <c r="Y114" s="70"/>
      <c r="Z114" s="70">
        <f ca="1">('TUSD BE'!$AM$12+'TUSD BF'!$AM$12+'TUSD CVA'!$AM$12)*1*(1-0.02)</f>
        <v>101.23895799225831</v>
      </c>
      <c r="AA114" s="70">
        <f>('TE BE'!$AA$6+'TE BF'!$AA$6+'TE CVA'!$AA$6)*1*(1-0.02)</f>
        <v>213.27681122210436</v>
      </c>
      <c r="AB114" s="70">
        <f>(SUBSIDIO!$J$114*SUBSIDIO!$V$114)*(0.04)/(1-0.04)</f>
        <v>0</v>
      </c>
      <c r="AC114" s="70">
        <f>((SUBSIDIO!$L$114*SUBSIDIO!$W$114)+(SUBSIDIO!$N$114*SUBSIDIO!$X$114))*(0.04)/(1-0.04)</f>
        <v>1579.4733120000001</v>
      </c>
      <c r="AD114" s="70">
        <f>(SUBSIDIO!$J$114*SUBSIDIO!$Y$114)*(0.02)/(1-0.02)</f>
        <v>0</v>
      </c>
      <c r="AE114" s="70">
        <f ca="1">((SUBSIDIO!$L$114*SUBSIDIO!$Z$114)+(SUBSIDIO!$N$114*SUBSIDIO!$AA$114))*(0.02)/(1-0.02)</f>
        <v>856.40718350320674</v>
      </c>
      <c r="AF114" s="4" t="s">
        <v>563</v>
      </c>
    </row>
    <row r="115" spans="1:32" ht="11.25" customHeight="1" x14ac:dyDescent="0.25">
      <c r="A115" s="4" t="s">
        <v>21</v>
      </c>
      <c r="B115" s="4" t="s">
        <v>33</v>
      </c>
      <c r="C115" s="4" t="s">
        <v>34</v>
      </c>
      <c r="D115" s="4" t="s">
        <v>41</v>
      </c>
      <c r="E115" s="4" t="s">
        <v>25</v>
      </c>
      <c r="F115" s="4" t="s">
        <v>25</v>
      </c>
      <c r="G115" s="4" t="s">
        <v>25</v>
      </c>
      <c r="H115" s="4" t="s">
        <v>36</v>
      </c>
      <c r="I115" s="5">
        <v>44378</v>
      </c>
      <c r="J115" s="6">
        <v>0</v>
      </c>
      <c r="K115" s="70">
        <v>0</v>
      </c>
      <c r="L115" s="6">
        <v>162.58199999999999</v>
      </c>
      <c r="M115" s="70">
        <v>162.58199999999999</v>
      </c>
      <c r="N115" s="6">
        <v>162.58199999999999</v>
      </c>
      <c r="O115" s="70">
        <v>162.58199999999999</v>
      </c>
      <c r="P115" s="6">
        <v>0</v>
      </c>
      <c r="Q115" s="4" t="s">
        <v>26</v>
      </c>
      <c r="R115" s="4">
        <v>0</v>
      </c>
      <c r="S115" s="4">
        <v>0</v>
      </c>
      <c r="T115" s="4">
        <v>47</v>
      </c>
      <c r="U115" s="4">
        <v>27</v>
      </c>
      <c r="V115" s="70">
        <f>IF(ISERROR(VLOOKUP($S$115,'TAR FIN'!$A$1:$O$85,15,0)),0,VLOOKUP($S$115,'TAR FIN'!$A$1:$O$85,15,0))</f>
        <v>0</v>
      </c>
      <c r="W115" s="70">
        <f>IF(ISERROR(VLOOKUP($T$115,'TAR FIN'!$A$1:$O$85,15,0)),0,VLOOKUP($T$115,'TAR FIN'!$A$1:$O$85,15,0))*(1-0.04)</f>
        <v>69.340800000000002</v>
      </c>
      <c r="X115" s="70">
        <f>IF(ISERROR(VLOOKUP($U$115,'TAR FIN'!$A$1:$O$85,15,0)),0,VLOOKUP($U$115,'TAR FIN'!$A$1:$O$85,15,0))*(1-0.04)</f>
        <v>214.77119999999999</v>
      </c>
      <c r="Y115" s="70"/>
      <c r="Z115" s="70">
        <f ca="1">('TUSD BE'!$AM$12+'TUSD BF'!$AM$12+'TUSD CVA'!$AM$12)*1*(1-0.02)</f>
        <v>101.23895799225831</v>
      </c>
      <c r="AA115" s="70">
        <f>('TE BE'!$AA$6+'TE BF'!$AA$6+'TE CVA'!$AA$6)*1*(1-0.02)</f>
        <v>213.27681122210436</v>
      </c>
      <c r="AB115" s="70">
        <f>(SUBSIDIO!$J$115*SUBSIDIO!$V$115)*(0.04)/(1-0.04)</f>
        <v>0</v>
      </c>
      <c r="AC115" s="70">
        <f>((SUBSIDIO!$L$115*SUBSIDIO!$W$115)+(SUBSIDIO!$N$115*SUBSIDIO!$X$115))*(0.04)/(1-0.04)</f>
        <v>1924.6457160000002</v>
      </c>
      <c r="AD115" s="70">
        <f>(SUBSIDIO!$J$115*SUBSIDIO!$Y$115)*(0.02)/(1-0.02)</f>
        <v>0</v>
      </c>
      <c r="AE115" s="70">
        <f ca="1">((SUBSIDIO!$L$115*SUBSIDIO!$Z$115)+(SUBSIDIO!$N$115*SUBSIDIO!$AA$115))*(0.02)/(1-0.02)</f>
        <v>1043.5633222532554</v>
      </c>
      <c r="AF115" s="4" t="s">
        <v>563</v>
      </c>
    </row>
    <row r="116" spans="1:32" ht="11.25" customHeight="1" x14ac:dyDescent="0.25">
      <c r="A116" s="4" t="s">
        <v>21</v>
      </c>
      <c r="B116" s="4" t="s">
        <v>33</v>
      </c>
      <c r="C116" s="4" t="s">
        <v>34</v>
      </c>
      <c r="D116" s="4" t="s">
        <v>41</v>
      </c>
      <c r="E116" s="4" t="s">
        <v>25</v>
      </c>
      <c r="F116" s="4" t="s">
        <v>25</v>
      </c>
      <c r="G116" s="4" t="s">
        <v>25</v>
      </c>
      <c r="H116" s="4" t="s">
        <v>36</v>
      </c>
      <c r="I116" s="5">
        <v>44409</v>
      </c>
      <c r="J116" s="6">
        <v>0</v>
      </c>
      <c r="K116" s="70">
        <v>0</v>
      </c>
      <c r="L116" s="6">
        <v>189.41</v>
      </c>
      <c r="M116" s="70">
        <v>189.41</v>
      </c>
      <c r="N116" s="6">
        <v>189.41</v>
      </c>
      <c r="O116" s="70">
        <v>189.41</v>
      </c>
      <c r="P116" s="6">
        <v>0</v>
      </c>
      <c r="Q116" s="4" t="s">
        <v>26</v>
      </c>
      <c r="R116" s="4">
        <v>0</v>
      </c>
      <c r="S116" s="4">
        <v>0</v>
      </c>
      <c r="T116" s="4">
        <v>47</v>
      </c>
      <c r="U116" s="4">
        <v>27</v>
      </c>
      <c r="V116" s="70">
        <f>IF(ISERROR(VLOOKUP($S$116,'TAR FIN'!$A$1:$O$85,15,0)),0,VLOOKUP($S$116,'TAR FIN'!$A$1:$O$85,15,0))</f>
        <v>0</v>
      </c>
      <c r="W116" s="70">
        <f>IF(ISERROR(VLOOKUP($T$116,'TAR FIN'!$A$1:$O$85,15,0)),0,VLOOKUP($T$116,'TAR FIN'!$A$1:$O$85,15,0))*(1-0.04)</f>
        <v>69.340800000000002</v>
      </c>
      <c r="X116" s="70">
        <f>IF(ISERROR(VLOOKUP($U$116,'TAR FIN'!$A$1:$O$85,15,0)),0,VLOOKUP($U$116,'TAR FIN'!$A$1:$O$85,15,0))*(1-0.04)</f>
        <v>214.77119999999999</v>
      </c>
      <c r="Y116" s="70"/>
      <c r="Z116" s="70">
        <f ca="1">('TUSD BE'!$AM$12+'TUSD BF'!$AM$12+'TUSD CVA'!$AM$12)*1*(1-0.02)</f>
        <v>101.23895799225831</v>
      </c>
      <c r="AA116" s="70">
        <f>('TE BE'!$AA$6+'TE BF'!$AA$6+'TE CVA'!$AA$6)*1*(1-0.02)</f>
        <v>213.27681122210436</v>
      </c>
      <c r="AB116" s="70">
        <f>(SUBSIDIO!$J$116*SUBSIDIO!$V$116)*(0.04)/(1-0.04)</f>
        <v>0</v>
      </c>
      <c r="AC116" s="70">
        <f>((SUBSIDIO!$L$116*SUBSIDIO!$W$116)+(SUBSIDIO!$N$116*SUBSIDIO!$X$116))*(0.04)/(1-0.04)</f>
        <v>2242.23558</v>
      </c>
      <c r="AD116" s="70">
        <f>(SUBSIDIO!$J$116*SUBSIDIO!$Y$116)*(0.02)/(1-0.02)</f>
        <v>0</v>
      </c>
      <c r="AE116" s="70">
        <f ca="1">((SUBSIDIO!$L$116*SUBSIDIO!$Z$116)+(SUBSIDIO!$N$116*SUBSIDIO!$AA$116))*(0.02)/(1-0.02)</f>
        <v>1215.7639152427028</v>
      </c>
      <c r="AF116" s="4" t="s">
        <v>563</v>
      </c>
    </row>
    <row r="117" spans="1:32" ht="11.25" customHeight="1" x14ac:dyDescent="0.25">
      <c r="A117" s="4" t="s">
        <v>21</v>
      </c>
      <c r="B117" s="4" t="s">
        <v>33</v>
      </c>
      <c r="C117" s="4" t="s">
        <v>34</v>
      </c>
      <c r="D117" s="4" t="s">
        <v>41</v>
      </c>
      <c r="E117" s="4" t="s">
        <v>25</v>
      </c>
      <c r="F117" s="4" t="s">
        <v>25</v>
      </c>
      <c r="G117" s="4" t="s">
        <v>25</v>
      </c>
      <c r="H117" s="4" t="s">
        <v>36</v>
      </c>
      <c r="I117" s="5">
        <v>44440</v>
      </c>
      <c r="J117" s="6">
        <v>0</v>
      </c>
      <c r="K117" s="70">
        <v>0</v>
      </c>
      <c r="L117" s="6">
        <v>207.28800000000001</v>
      </c>
      <c r="M117" s="70">
        <v>207.28800000000001</v>
      </c>
      <c r="N117" s="6">
        <v>207.28800000000001</v>
      </c>
      <c r="O117" s="70">
        <v>207.28800000000001</v>
      </c>
      <c r="P117" s="6">
        <v>0</v>
      </c>
      <c r="Q117" s="4" t="s">
        <v>26</v>
      </c>
      <c r="R117" s="4">
        <v>0</v>
      </c>
      <c r="S117" s="4">
        <v>0</v>
      </c>
      <c r="T117" s="4">
        <v>47</v>
      </c>
      <c r="U117" s="4">
        <v>27</v>
      </c>
      <c r="V117" s="70">
        <f>IF(ISERROR(VLOOKUP($S$117,'TAR FIN'!$A$1:$O$85,15,0)),0,VLOOKUP($S$117,'TAR FIN'!$A$1:$O$85,15,0))</f>
        <v>0</v>
      </c>
      <c r="W117" s="70">
        <f>IF(ISERROR(VLOOKUP($T$117,'TAR FIN'!$A$1:$O$85,15,0)),0,VLOOKUP($T$117,'TAR FIN'!$A$1:$O$85,15,0))*(1-0.04)</f>
        <v>69.340800000000002</v>
      </c>
      <c r="X117" s="70">
        <f>IF(ISERROR(VLOOKUP($U$117,'TAR FIN'!$A$1:$O$85,15,0)),0,VLOOKUP($U$117,'TAR FIN'!$A$1:$O$85,15,0))*(1-0.04)</f>
        <v>214.77119999999999</v>
      </c>
      <c r="Y117" s="70"/>
      <c r="Z117" s="70">
        <f ca="1">('TUSD BE'!$AM$12+'TUSD BF'!$AM$12+'TUSD CVA'!$AM$12)*1*(1-0.02)</f>
        <v>101.23895799225831</v>
      </c>
      <c r="AA117" s="70">
        <f>('TE BE'!$AA$6+'TE BF'!$AA$6+'TE CVA'!$AA$6)*1*(1-0.02)</f>
        <v>213.27681122210436</v>
      </c>
      <c r="AB117" s="70">
        <f>(SUBSIDIO!$J$117*SUBSIDIO!$V$117)*(0.04)/(1-0.04)</f>
        <v>0</v>
      </c>
      <c r="AC117" s="70">
        <f>((SUBSIDIO!$L$117*SUBSIDIO!$W$117)+(SUBSIDIO!$N$117*SUBSIDIO!$X$117))*(0.04)/(1-0.04)</f>
        <v>2453.8753440000005</v>
      </c>
      <c r="AD117" s="70">
        <f>(SUBSIDIO!$J$117*SUBSIDIO!$Y$117)*(0.02)/(1-0.02)</f>
        <v>0</v>
      </c>
      <c r="AE117" s="70">
        <f ca="1">((SUBSIDIO!$L$117*SUBSIDIO!$Z$117)+(SUBSIDIO!$N$117*SUBSIDIO!$AA$117))*(0.02)/(1-0.02)</f>
        <v>1330.5172401817717</v>
      </c>
      <c r="AF117" s="4" t="s">
        <v>563</v>
      </c>
    </row>
    <row r="118" spans="1:32" ht="11.25" customHeight="1" x14ac:dyDescent="0.25">
      <c r="A118" s="4" t="s">
        <v>21</v>
      </c>
      <c r="B118" s="4" t="s">
        <v>33</v>
      </c>
      <c r="C118" s="4" t="s">
        <v>34</v>
      </c>
      <c r="D118" s="4" t="s">
        <v>41</v>
      </c>
      <c r="E118" s="4" t="s">
        <v>25</v>
      </c>
      <c r="F118" s="4" t="s">
        <v>25</v>
      </c>
      <c r="G118" s="4" t="s">
        <v>25</v>
      </c>
      <c r="H118" s="4" t="s">
        <v>36</v>
      </c>
      <c r="I118" s="5">
        <v>44470</v>
      </c>
      <c r="J118" s="6">
        <v>0</v>
      </c>
      <c r="K118" s="70">
        <v>0</v>
      </c>
      <c r="L118" s="6">
        <v>183.16399999999999</v>
      </c>
      <c r="M118" s="70">
        <v>183.16399999999999</v>
      </c>
      <c r="N118" s="6">
        <v>183.16399999999999</v>
      </c>
      <c r="O118" s="70">
        <v>183.16399999999999</v>
      </c>
      <c r="P118" s="6">
        <v>0</v>
      </c>
      <c r="Q118" s="4" t="s">
        <v>26</v>
      </c>
      <c r="R118" s="4">
        <v>0</v>
      </c>
      <c r="S118" s="4">
        <v>0</v>
      </c>
      <c r="T118" s="4">
        <v>47</v>
      </c>
      <c r="U118" s="4">
        <v>27</v>
      </c>
      <c r="V118" s="70">
        <f>IF(ISERROR(VLOOKUP($S$118,'TAR FIN'!$A$1:$O$85,15,0)),0,VLOOKUP($S$118,'TAR FIN'!$A$1:$O$85,15,0))</f>
        <v>0</v>
      </c>
      <c r="W118" s="70">
        <f>IF(ISERROR(VLOOKUP($T$118,'TAR FIN'!$A$1:$O$85,15,0)),0,VLOOKUP($T$118,'TAR FIN'!$A$1:$O$85,15,0))*(1-0.04)</f>
        <v>69.340800000000002</v>
      </c>
      <c r="X118" s="70">
        <f>IF(ISERROR(VLOOKUP($U$118,'TAR FIN'!$A$1:$O$85,15,0)),0,VLOOKUP($U$118,'TAR FIN'!$A$1:$O$85,15,0))*(1-0.04)</f>
        <v>214.77119999999999</v>
      </c>
      <c r="Y118" s="70"/>
      <c r="Z118" s="70">
        <f ca="1">('TUSD BE'!$AM$12+'TUSD BF'!$AM$12+'TUSD CVA'!$AM$12)*1*(1-0.02)</f>
        <v>101.23895799225831</v>
      </c>
      <c r="AA118" s="70">
        <f>('TE BE'!$AA$6+'TE BF'!$AA$6+'TE CVA'!$AA$6)*1*(1-0.02)</f>
        <v>213.27681122210436</v>
      </c>
      <c r="AB118" s="70">
        <f>(SUBSIDIO!$J$118*SUBSIDIO!$V$118)*(0.04)/(1-0.04)</f>
        <v>0</v>
      </c>
      <c r="AC118" s="70">
        <f>((SUBSIDIO!$L$118*SUBSIDIO!$W$118)+(SUBSIDIO!$N$118*SUBSIDIO!$X$118))*(0.04)/(1-0.04)</f>
        <v>2168.2954319999999</v>
      </c>
      <c r="AD118" s="70">
        <f>(SUBSIDIO!$J$118*SUBSIDIO!$Y$118)*(0.02)/(1-0.02)</f>
        <v>0</v>
      </c>
      <c r="AE118" s="70">
        <f ca="1">((SUBSIDIO!$L$118*SUBSIDIO!$Z$118)+(SUBSIDIO!$N$118*SUBSIDIO!$AA$118))*(0.02)/(1-0.02)</f>
        <v>1175.6727827016227</v>
      </c>
      <c r="AF118" s="4" t="s">
        <v>563</v>
      </c>
    </row>
    <row r="119" spans="1:32" ht="11.25" customHeight="1" x14ac:dyDescent="0.25">
      <c r="A119" s="4" t="s">
        <v>21</v>
      </c>
      <c r="B119" s="4" t="s">
        <v>33</v>
      </c>
      <c r="C119" s="4" t="s">
        <v>34</v>
      </c>
      <c r="D119" s="4" t="s">
        <v>41</v>
      </c>
      <c r="E119" s="4" t="s">
        <v>25</v>
      </c>
      <c r="F119" s="4" t="s">
        <v>25</v>
      </c>
      <c r="G119" s="4" t="s">
        <v>25</v>
      </c>
      <c r="H119" s="4" t="s">
        <v>36</v>
      </c>
      <c r="I119" s="5">
        <v>44501</v>
      </c>
      <c r="J119" s="6">
        <v>0</v>
      </c>
      <c r="K119" s="70">
        <v>0</v>
      </c>
      <c r="L119" s="6">
        <v>225.84800000000001</v>
      </c>
      <c r="M119" s="70">
        <v>225.84800000000001</v>
      </c>
      <c r="N119" s="6">
        <v>225.84800000000001</v>
      </c>
      <c r="O119" s="70">
        <v>225.84800000000001</v>
      </c>
      <c r="P119" s="6">
        <v>0</v>
      </c>
      <c r="Q119" s="4" t="s">
        <v>26</v>
      </c>
      <c r="R119" s="4">
        <v>0</v>
      </c>
      <c r="S119" s="4">
        <v>0</v>
      </c>
      <c r="T119" s="4">
        <v>47</v>
      </c>
      <c r="U119" s="4">
        <v>27</v>
      </c>
      <c r="V119" s="70">
        <f>IF(ISERROR(VLOOKUP($S$119,'TAR FIN'!$A$1:$O$85,15,0)),0,VLOOKUP($S$119,'TAR FIN'!$A$1:$O$85,15,0))</f>
        <v>0</v>
      </c>
      <c r="W119" s="70">
        <f>IF(ISERROR(VLOOKUP($T$119,'TAR FIN'!$A$1:$O$85,15,0)),0,VLOOKUP($T$119,'TAR FIN'!$A$1:$O$85,15,0))*(1-0.04)</f>
        <v>69.340800000000002</v>
      </c>
      <c r="X119" s="70">
        <f>IF(ISERROR(VLOOKUP($U$119,'TAR FIN'!$A$1:$O$85,15,0)),0,VLOOKUP($U$119,'TAR FIN'!$A$1:$O$85,15,0))*(1-0.04)</f>
        <v>214.77119999999999</v>
      </c>
      <c r="Y119" s="70"/>
      <c r="Z119" s="70">
        <f ca="1">('TUSD BE'!$AM$12+'TUSD BF'!$AM$12+'TUSD CVA'!$AM$12)*1*(1-0.02)</f>
        <v>101.23895799225831</v>
      </c>
      <c r="AA119" s="70">
        <f>('TE BE'!$AA$6+'TE BF'!$AA$6+'TE CVA'!$AA$6)*1*(1-0.02)</f>
        <v>213.27681122210436</v>
      </c>
      <c r="AB119" s="70">
        <f>(SUBSIDIO!$J$119*SUBSIDIO!$V$119)*(0.04)/(1-0.04)</f>
        <v>0</v>
      </c>
      <c r="AC119" s="70">
        <f>((SUBSIDIO!$L$119*SUBSIDIO!$W$119)+(SUBSIDIO!$N$119*SUBSIDIO!$X$119))*(0.04)/(1-0.04)</f>
        <v>2673.5886240000004</v>
      </c>
      <c r="AD119" s="70">
        <f>(SUBSIDIO!$J$119*SUBSIDIO!$Y$119)*(0.02)/(1-0.02)</f>
        <v>0</v>
      </c>
      <c r="AE119" s="70">
        <f ca="1">((SUBSIDIO!$L$119*SUBSIDIO!$Z$119)+(SUBSIDIO!$N$119*SUBSIDIO!$AA$119))*(0.02)/(1-0.02)</f>
        <v>1449.6481111331709</v>
      </c>
      <c r="AF119" s="4" t="s">
        <v>563</v>
      </c>
    </row>
    <row r="120" spans="1:32" ht="11.25" customHeight="1" x14ac:dyDescent="0.25">
      <c r="A120" s="4" t="s">
        <v>21</v>
      </c>
      <c r="B120" s="4" t="s">
        <v>33</v>
      </c>
      <c r="C120" s="4" t="s">
        <v>34</v>
      </c>
      <c r="D120" s="4" t="s">
        <v>41</v>
      </c>
      <c r="E120" s="4" t="s">
        <v>25</v>
      </c>
      <c r="F120" s="4" t="s">
        <v>25</v>
      </c>
      <c r="G120" s="4" t="s">
        <v>25</v>
      </c>
      <c r="H120" s="4" t="s">
        <v>36</v>
      </c>
      <c r="I120" s="5">
        <v>44531</v>
      </c>
      <c r="J120" s="6">
        <v>0</v>
      </c>
      <c r="K120" s="70">
        <v>0</v>
      </c>
      <c r="L120" s="6">
        <v>220.56800000000001</v>
      </c>
      <c r="M120" s="70">
        <v>220.56800000000001</v>
      </c>
      <c r="N120" s="6">
        <v>220.56800000000001</v>
      </c>
      <c r="O120" s="70">
        <v>220.56800000000001</v>
      </c>
      <c r="P120" s="6">
        <v>0</v>
      </c>
      <c r="Q120" s="4" t="s">
        <v>26</v>
      </c>
      <c r="R120" s="4">
        <v>0</v>
      </c>
      <c r="S120" s="4">
        <v>0</v>
      </c>
      <c r="T120" s="4">
        <v>47</v>
      </c>
      <c r="U120" s="4">
        <v>27</v>
      </c>
      <c r="V120" s="70">
        <f>IF(ISERROR(VLOOKUP($S$120,'TAR FIN'!$A$1:$O$85,15,0)),0,VLOOKUP($S$120,'TAR FIN'!$A$1:$O$85,15,0))</f>
        <v>0</v>
      </c>
      <c r="W120" s="70">
        <f>IF(ISERROR(VLOOKUP($T$120,'TAR FIN'!$A$1:$O$85,15,0)),0,VLOOKUP($T$120,'TAR FIN'!$A$1:$O$85,15,0))*(1-0.04)</f>
        <v>69.340800000000002</v>
      </c>
      <c r="X120" s="70">
        <f>IF(ISERROR(VLOOKUP($U$120,'TAR FIN'!$A$1:$O$85,15,0)),0,VLOOKUP($U$120,'TAR FIN'!$A$1:$O$85,15,0))*(1-0.04)</f>
        <v>214.77119999999999</v>
      </c>
      <c r="Y120" s="70"/>
      <c r="Z120" s="70">
        <f ca="1">('TUSD BE'!$AM$12+'TUSD BF'!$AM$12+'TUSD CVA'!$AM$12)*1*(1-0.02)</f>
        <v>101.23895799225831</v>
      </c>
      <c r="AA120" s="70">
        <f>('TE BE'!$AA$6+'TE BF'!$AA$6+'TE CVA'!$AA$6)*1*(1-0.02)</f>
        <v>213.27681122210436</v>
      </c>
      <c r="AB120" s="70">
        <f>(SUBSIDIO!$J$120*SUBSIDIO!$V$120)*(0.04)/(1-0.04)</f>
        <v>0</v>
      </c>
      <c r="AC120" s="70">
        <f>((SUBSIDIO!$L$120*SUBSIDIO!$W$120)+(SUBSIDIO!$N$120*SUBSIDIO!$X$120))*(0.04)/(1-0.04)</f>
        <v>2611.0839840000003</v>
      </c>
      <c r="AD120" s="70">
        <f>(SUBSIDIO!$J$120*SUBSIDIO!$Y$120)*(0.02)/(1-0.02)</f>
        <v>0</v>
      </c>
      <c r="AE120" s="70">
        <f ca="1">((SUBSIDIO!$L$120*SUBSIDIO!$Z$120)+(SUBSIDIO!$N$120*SUBSIDIO!$AA$120))*(0.02)/(1-0.02)</f>
        <v>1415.7574323280317</v>
      </c>
      <c r="AF120" s="4" t="s">
        <v>563</v>
      </c>
    </row>
    <row r="121" spans="1:32" ht="11.25" customHeight="1" x14ac:dyDescent="0.25">
      <c r="A121" s="4" t="s">
        <v>21</v>
      </c>
      <c r="B121" s="4" t="s">
        <v>33</v>
      </c>
      <c r="C121" s="4" t="s">
        <v>34</v>
      </c>
      <c r="D121" s="4" t="s">
        <v>41</v>
      </c>
      <c r="E121" s="4" t="s">
        <v>25</v>
      </c>
      <c r="F121" s="4" t="s">
        <v>25</v>
      </c>
      <c r="G121" s="4" t="s">
        <v>25</v>
      </c>
      <c r="H121" s="4" t="s">
        <v>36</v>
      </c>
      <c r="I121" s="5">
        <v>44562</v>
      </c>
      <c r="J121" s="6">
        <v>0</v>
      </c>
      <c r="K121" s="70">
        <v>0</v>
      </c>
      <c r="L121" s="6">
        <v>219.31399999999999</v>
      </c>
      <c r="M121" s="70">
        <v>219.31399999999999</v>
      </c>
      <c r="N121" s="6">
        <v>219.31399999999999</v>
      </c>
      <c r="O121" s="70">
        <v>219.31399999999999</v>
      </c>
      <c r="P121" s="6">
        <v>0</v>
      </c>
      <c r="Q121" s="4" t="s">
        <v>26</v>
      </c>
      <c r="R121" s="4">
        <v>0</v>
      </c>
      <c r="S121" s="4">
        <v>0</v>
      </c>
      <c r="T121" s="4">
        <v>47</v>
      </c>
      <c r="U121" s="4">
        <v>27</v>
      </c>
      <c r="V121" s="70">
        <f>IF(ISERROR(VLOOKUP($S$121,'TAR FIN'!$A$1:$O$85,15,0)),0,VLOOKUP($S$121,'TAR FIN'!$A$1:$O$85,15,0))</f>
        <v>0</v>
      </c>
      <c r="W121" s="70">
        <f>IF(ISERROR(VLOOKUP($T$121,'TAR FIN'!$A$1:$O$85,15,0)),0,VLOOKUP($T$121,'TAR FIN'!$A$1:$O$85,15,0))*(1-0.04)</f>
        <v>69.340800000000002</v>
      </c>
      <c r="X121" s="70">
        <f>IF(ISERROR(VLOOKUP($U$121,'TAR FIN'!$A$1:$O$85,15,0)),0,VLOOKUP($U$121,'TAR FIN'!$A$1:$O$85,15,0))*(1-0.04)</f>
        <v>214.77119999999999</v>
      </c>
      <c r="Y121" s="70"/>
      <c r="Z121" s="70">
        <f ca="1">('TUSD BE'!$AM$12+'TUSD BF'!$AM$12+'TUSD CVA'!$AM$12)*1*(1-0.02)</f>
        <v>101.23895799225831</v>
      </c>
      <c r="AA121" s="70">
        <f>('TE BE'!$AA$6+'TE BF'!$AA$6+'TE CVA'!$AA$6)*1*(1-0.02)</f>
        <v>213.27681122210436</v>
      </c>
      <c r="AB121" s="70">
        <f>(SUBSIDIO!$J$121*SUBSIDIO!$V$121)*(0.04)/(1-0.04)</f>
        <v>0</v>
      </c>
      <c r="AC121" s="70">
        <f>((SUBSIDIO!$L$121*SUBSIDIO!$W$121)+(SUBSIDIO!$N$121*SUBSIDIO!$X$121))*(0.04)/(1-0.04)</f>
        <v>2596.2391320000002</v>
      </c>
      <c r="AD121" s="70">
        <f>(SUBSIDIO!$J$121*SUBSIDIO!$Y$121)*(0.02)/(1-0.02)</f>
        <v>0</v>
      </c>
      <c r="AE121" s="70">
        <f ca="1">((SUBSIDIO!$L$121*SUBSIDIO!$Z$121)+(SUBSIDIO!$N$121*SUBSIDIO!$AA$121))*(0.02)/(1-0.02)</f>
        <v>1407.708396111811</v>
      </c>
      <c r="AF121" s="4" t="s">
        <v>563</v>
      </c>
    </row>
    <row r="122" spans="1:32" ht="11.25" customHeight="1" x14ac:dyDescent="0.25">
      <c r="A122" s="4" t="s">
        <v>21</v>
      </c>
      <c r="B122" s="4" t="s">
        <v>33</v>
      </c>
      <c r="C122" s="4" t="s">
        <v>34</v>
      </c>
      <c r="D122" s="4" t="s">
        <v>41</v>
      </c>
      <c r="E122" s="4" t="s">
        <v>25</v>
      </c>
      <c r="F122" s="4" t="s">
        <v>25</v>
      </c>
      <c r="G122" s="4" t="s">
        <v>25</v>
      </c>
      <c r="H122" s="4" t="s">
        <v>36</v>
      </c>
      <c r="I122" s="5">
        <v>44593</v>
      </c>
      <c r="J122" s="6">
        <v>0</v>
      </c>
      <c r="K122" s="70">
        <v>0</v>
      </c>
      <c r="L122" s="6">
        <v>278.76299999999998</v>
      </c>
      <c r="M122" s="70">
        <v>278.76299999999998</v>
      </c>
      <c r="N122" s="6">
        <v>278.76299999999998</v>
      </c>
      <c r="O122" s="70">
        <v>278.76299999999998</v>
      </c>
      <c r="P122" s="6">
        <v>0</v>
      </c>
      <c r="Q122" s="4" t="s">
        <v>26</v>
      </c>
      <c r="R122" s="4">
        <v>0</v>
      </c>
      <c r="S122" s="4">
        <v>0</v>
      </c>
      <c r="T122" s="4">
        <v>47</v>
      </c>
      <c r="U122" s="4">
        <v>27</v>
      </c>
      <c r="V122" s="70">
        <f>IF(ISERROR(VLOOKUP($S$122,'TAR FIN'!$A$1:$O$85,15,0)),0,VLOOKUP($S$122,'TAR FIN'!$A$1:$O$85,15,0))</f>
        <v>0</v>
      </c>
      <c r="W122" s="70">
        <f>IF(ISERROR(VLOOKUP($T$122,'TAR FIN'!$A$1:$O$85,15,0)),0,VLOOKUP($T$122,'TAR FIN'!$A$1:$O$85,15,0))*(1-0.04)</f>
        <v>69.340800000000002</v>
      </c>
      <c r="X122" s="70">
        <f>IF(ISERROR(VLOOKUP($U$122,'TAR FIN'!$A$1:$O$85,15,0)),0,VLOOKUP($U$122,'TAR FIN'!$A$1:$O$85,15,0))*(1-0.04)</f>
        <v>214.77119999999999</v>
      </c>
      <c r="Y122" s="70"/>
      <c r="Z122" s="70">
        <f ca="1">('TUSD BE'!$AM$12+'TUSD BF'!$AM$12+'TUSD CVA'!$AM$12)*1*(1-0.02)</f>
        <v>101.23895799225831</v>
      </c>
      <c r="AA122" s="70">
        <f>('TE BE'!$AA$6+'TE BF'!$AA$6+'TE CVA'!$AA$6)*1*(1-0.02)</f>
        <v>213.27681122210436</v>
      </c>
      <c r="AB122" s="70">
        <f>(SUBSIDIO!$J$122*SUBSIDIO!$V$122)*(0.04)/(1-0.04)</f>
        <v>0</v>
      </c>
      <c r="AC122" s="70">
        <f>((SUBSIDIO!$L$122*SUBSIDIO!$W$122)+(SUBSIDIO!$N$122*SUBSIDIO!$X$122))*(0.04)/(1-0.04)</f>
        <v>3299.9963940000002</v>
      </c>
      <c r="AD122" s="70">
        <f>(SUBSIDIO!$J$122*SUBSIDIO!$Y$122)*(0.02)/(1-0.02)</f>
        <v>0</v>
      </c>
      <c r="AE122" s="70">
        <f ca="1">((SUBSIDIO!$L$122*SUBSIDIO!$Z$122)+(SUBSIDIO!$N$122*SUBSIDIO!$AA$122))*(0.02)/(1-0.02)</f>
        <v>1789.2930484388442</v>
      </c>
      <c r="AF122" s="4" t="s">
        <v>563</v>
      </c>
    </row>
    <row r="123" spans="1:32" ht="11.25" customHeight="1" x14ac:dyDescent="0.25">
      <c r="A123" s="4" t="s">
        <v>54</v>
      </c>
      <c r="B123" s="4" t="s">
        <v>33</v>
      </c>
      <c r="C123" s="4" t="s">
        <v>34</v>
      </c>
      <c r="D123" s="4" t="s">
        <v>41</v>
      </c>
      <c r="E123" s="4" t="s">
        <v>25</v>
      </c>
      <c r="F123" s="4" t="s">
        <v>25</v>
      </c>
      <c r="G123" s="4" t="s">
        <v>25</v>
      </c>
      <c r="H123" s="4" t="s">
        <v>36</v>
      </c>
      <c r="I123" s="5">
        <v>44621</v>
      </c>
      <c r="J123" s="6">
        <v>0</v>
      </c>
      <c r="K123" s="70">
        <v>0</v>
      </c>
      <c r="L123" s="6">
        <v>278.76299999999998</v>
      </c>
      <c r="M123" s="70">
        <v>278.76299999999998</v>
      </c>
      <c r="N123" s="6">
        <v>278.76299999999998</v>
      </c>
      <c r="O123" s="70">
        <v>278.76299999999998</v>
      </c>
      <c r="P123" s="6">
        <v>0</v>
      </c>
      <c r="Q123" s="4" t="s">
        <v>26</v>
      </c>
      <c r="R123" s="4">
        <v>0</v>
      </c>
      <c r="S123" s="4">
        <v>0</v>
      </c>
      <c r="T123" s="4">
        <v>47</v>
      </c>
      <c r="U123" s="4">
        <v>27</v>
      </c>
      <c r="V123" s="70">
        <f>IF(ISERROR(VLOOKUP($S$123,'TAR FIN'!$A$1:$O$85,15,0)),0,VLOOKUP($S$123,'TAR FIN'!$A$1:$O$85,15,0))</f>
        <v>0</v>
      </c>
      <c r="W123" s="70">
        <f>IF(ISERROR(VLOOKUP($T$123,'TAR FIN'!$A$1:$O$85,15,0)),0,VLOOKUP($T$123,'TAR FIN'!$A$1:$O$85,15,0))*(1-0.04)</f>
        <v>69.340800000000002</v>
      </c>
      <c r="X123" s="70">
        <f>IF(ISERROR(VLOOKUP($U$123,'TAR FIN'!$A$1:$O$85,15,0)),0,VLOOKUP($U$123,'TAR FIN'!$A$1:$O$85,15,0))*(1-0.04)</f>
        <v>214.77119999999999</v>
      </c>
      <c r="Y123" s="70"/>
      <c r="Z123" s="70">
        <f ca="1">('TUSD BE'!$AM$12+'TUSD BF'!$AM$12+'TUSD CVA'!$AM$12)*1*(1-0.02)</f>
        <v>101.23895799225831</v>
      </c>
      <c r="AA123" s="70">
        <f>('TE BE'!$AA$6+'TE BF'!$AA$6+'TE CVA'!$AA$6)*1*(1-0.02)</f>
        <v>213.27681122210436</v>
      </c>
      <c r="AB123" s="70">
        <f>(SUBSIDIO!$J$123*SUBSIDIO!$V$123)*(0.04)/(1-0.04)</f>
        <v>0</v>
      </c>
      <c r="AC123" s="70">
        <f>((SUBSIDIO!$L$123*SUBSIDIO!$W$123)+(SUBSIDIO!$N$123*SUBSIDIO!$X$123))*(0.04)/(1-0.04)</f>
        <v>3299.9963940000002</v>
      </c>
      <c r="AD123" s="70">
        <f>(SUBSIDIO!$J$123*SUBSIDIO!$Y$123)*(0.02)/(1-0.02)</f>
        <v>0</v>
      </c>
      <c r="AE123" s="70">
        <f ca="1">((SUBSIDIO!$L$123*SUBSIDIO!$Z$123)+(SUBSIDIO!$N$123*SUBSIDIO!$AA$123))*(0.02)/(1-0.02)</f>
        <v>1789.2930484388442</v>
      </c>
      <c r="AF123" s="4" t="s">
        <v>563</v>
      </c>
    </row>
    <row r="124" spans="1:32" ht="11.25" customHeight="1" x14ac:dyDescent="0.25">
      <c r="A124" s="4" t="s">
        <v>21</v>
      </c>
      <c r="B124" s="4" t="s">
        <v>33</v>
      </c>
      <c r="C124" s="4" t="s">
        <v>34</v>
      </c>
      <c r="D124" s="4" t="s">
        <v>41</v>
      </c>
      <c r="E124" s="4" t="s">
        <v>25</v>
      </c>
      <c r="F124" s="4" t="s">
        <v>25</v>
      </c>
      <c r="G124" s="4" t="s">
        <v>25</v>
      </c>
      <c r="H124" s="4" t="s">
        <v>25</v>
      </c>
      <c r="I124" s="5">
        <v>44287</v>
      </c>
      <c r="J124" s="6">
        <v>1432</v>
      </c>
      <c r="K124" s="70">
        <v>1432</v>
      </c>
      <c r="L124" s="6">
        <v>0</v>
      </c>
      <c r="M124" s="70">
        <v>0</v>
      </c>
      <c r="N124" s="6">
        <v>0</v>
      </c>
      <c r="O124" s="70">
        <v>0</v>
      </c>
      <c r="P124" s="6">
        <v>12</v>
      </c>
      <c r="Q124" s="4" t="s">
        <v>26</v>
      </c>
      <c r="R124" s="4">
        <v>0</v>
      </c>
      <c r="S124" s="4">
        <v>65</v>
      </c>
      <c r="T124" s="4">
        <v>0</v>
      </c>
      <c r="U124" s="4">
        <v>0</v>
      </c>
      <c r="V124" s="70">
        <f>IF(ISERROR(VLOOKUP($S$124,'TAR FIN'!$A$1:$O$85,15,0)),0,VLOOKUP($S$124,'TAR FIN'!$A$1:$O$85,15,0))*(1-0.04)</f>
        <v>22.473599999999998</v>
      </c>
      <c r="W124" s="70">
        <f>IF(ISERROR(VLOOKUP($T$124,'TAR FIN'!$A$1:$O$85,15,0)),0,VLOOKUP($T$124,'TAR FIN'!$A$1:$O$85,15,0))</f>
        <v>0</v>
      </c>
      <c r="X124" s="70">
        <f>IF(ISERROR(VLOOKUP($U$124,'TAR FIN'!$A$1:$O$85,15,0)),0,VLOOKUP($U$124,'TAR FIN'!$A$1:$O$85,15,0))</f>
        <v>0</v>
      </c>
      <c r="Y124" s="70">
        <f ca="1">('TUSD BE'!$AM$10+'TUSD BF'!$AM$10+'TUSD CVA'!$AM$10)*1*(1-0.02)</f>
        <v>23.78256034881678</v>
      </c>
      <c r="Z124" s="70"/>
      <c r="AA124" s="70"/>
      <c r="AB124" s="70">
        <f>(SUBSIDIO!$J$124*SUBSIDIO!$V$124)*(0.04)/(1-0.04)</f>
        <v>1340.9248</v>
      </c>
      <c r="AC124" s="70">
        <f>((SUBSIDIO!$L$124*SUBSIDIO!$W$124)+(SUBSIDIO!$N$124*SUBSIDIO!$X$124))*(0.04)/(1-0.04)</f>
        <v>0</v>
      </c>
      <c r="AD124" s="70">
        <f ca="1">(SUBSIDIO!$J$124*SUBSIDIO!$Y$124)*(0.02)/(1-0.02)</f>
        <v>695.03319223480878</v>
      </c>
      <c r="AE124" s="70">
        <f>((SUBSIDIO!$L$124*SUBSIDIO!$Z$124)+(SUBSIDIO!$N$124*SUBSIDIO!$AA$124))*(0.02)/(1-0.02)</f>
        <v>0</v>
      </c>
      <c r="AF124" s="4" t="s">
        <v>563</v>
      </c>
    </row>
    <row r="125" spans="1:32" ht="11.25" customHeight="1" x14ac:dyDescent="0.25">
      <c r="A125" s="4" t="s">
        <v>21</v>
      </c>
      <c r="B125" s="4" t="s">
        <v>33</v>
      </c>
      <c r="C125" s="4" t="s">
        <v>34</v>
      </c>
      <c r="D125" s="4" t="s">
        <v>41</v>
      </c>
      <c r="E125" s="4" t="s">
        <v>25</v>
      </c>
      <c r="F125" s="4" t="s">
        <v>25</v>
      </c>
      <c r="G125" s="4" t="s">
        <v>25</v>
      </c>
      <c r="H125" s="4" t="s">
        <v>25</v>
      </c>
      <c r="I125" s="5">
        <v>44317</v>
      </c>
      <c r="J125" s="6">
        <v>1066</v>
      </c>
      <c r="K125" s="70">
        <v>1066</v>
      </c>
      <c r="L125" s="6">
        <v>0</v>
      </c>
      <c r="M125" s="70">
        <v>0</v>
      </c>
      <c r="N125" s="6">
        <v>0</v>
      </c>
      <c r="O125" s="70">
        <v>0</v>
      </c>
      <c r="P125" s="6">
        <v>12</v>
      </c>
      <c r="Q125" s="4" t="s">
        <v>26</v>
      </c>
      <c r="R125" s="4">
        <v>0</v>
      </c>
      <c r="S125" s="4">
        <v>65</v>
      </c>
      <c r="T125" s="4">
        <v>0</v>
      </c>
      <c r="U125" s="4">
        <v>0</v>
      </c>
      <c r="V125" s="70">
        <f>IF(ISERROR(VLOOKUP($S$125,'TAR FIN'!$A$1:$O$85,15,0)),0,VLOOKUP($S$125,'TAR FIN'!$A$1:$O$85,15,0))*(1-0.04)</f>
        <v>22.473599999999998</v>
      </c>
      <c r="W125" s="70">
        <f>IF(ISERROR(VLOOKUP($T$125,'TAR FIN'!$A$1:$O$85,15,0)),0,VLOOKUP($T$125,'TAR FIN'!$A$1:$O$85,15,0))</f>
        <v>0</v>
      </c>
      <c r="X125" s="70">
        <f>IF(ISERROR(VLOOKUP($U$125,'TAR FIN'!$A$1:$O$85,15,0)),0,VLOOKUP($U$125,'TAR FIN'!$A$1:$O$85,15,0))</f>
        <v>0</v>
      </c>
      <c r="Y125" s="70">
        <f ca="1">('TUSD BE'!$AM$10+'TUSD BF'!$AM$10+'TUSD CVA'!$AM$10)*1*(1-0.02)</f>
        <v>23.78256034881678</v>
      </c>
      <c r="Z125" s="70"/>
      <c r="AA125" s="70"/>
      <c r="AB125" s="70">
        <f>(SUBSIDIO!$J$125*SUBSIDIO!$V$125)*(0.04)/(1-0.04)</f>
        <v>998.20239999999978</v>
      </c>
      <c r="AC125" s="70">
        <f>((SUBSIDIO!$L$125*SUBSIDIO!$W$125)+(SUBSIDIO!$N$125*SUBSIDIO!$X$125))*(0.04)/(1-0.04)</f>
        <v>0</v>
      </c>
      <c r="AD125" s="70">
        <f ca="1">(SUBSIDIO!$J$125*SUBSIDIO!$Y$125)*(0.02)/(1-0.02)</f>
        <v>517.39202718038143</v>
      </c>
      <c r="AE125" s="70">
        <f>((SUBSIDIO!$L$125*SUBSIDIO!$Z$125)+(SUBSIDIO!$N$125*SUBSIDIO!$AA$125))*(0.02)/(1-0.02)</f>
        <v>0</v>
      </c>
      <c r="AF125" s="4" t="s">
        <v>563</v>
      </c>
    </row>
    <row r="126" spans="1:32" ht="11.25" customHeight="1" x14ac:dyDescent="0.25">
      <c r="A126" s="4" t="s">
        <v>21</v>
      </c>
      <c r="B126" s="4" t="s">
        <v>33</v>
      </c>
      <c r="C126" s="4" t="s">
        <v>34</v>
      </c>
      <c r="D126" s="4" t="s">
        <v>41</v>
      </c>
      <c r="E126" s="4" t="s">
        <v>25</v>
      </c>
      <c r="F126" s="4" t="s">
        <v>25</v>
      </c>
      <c r="G126" s="4" t="s">
        <v>25</v>
      </c>
      <c r="H126" s="4" t="s">
        <v>25</v>
      </c>
      <c r="I126" s="5">
        <v>44348</v>
      </c>
      <c r="J126" s="6">
        <v>1292</v>
      </c>
      <c r="K126" s="70">
        <v>1292</v>
      </c>
      <c r="L126" s="6">
        <v>0</v>
      </c>
      <c r="M126" s="70">
        <v>0</v>
      </c>
      <c r="N126" s="6">
        <v>0</v>
      </c>
      <c r="O126" s="70">
        <v>0</v>
      </c>
      <c r="P126" s="6">
        <v>12</v>
      </c>
      <c r="Q126" s="4" t="s">
        <v>26</v>
      </c>
      <c r="R126" s="4">
        <v>0</v>
      </c>
      <c r="S126" s="4">
        <v>65</v>
      </c>
      <c r="T126" s="4">
        <v>0</v>
      </c>
      <c r="U126" s="4">
        <v>0</v>
      </c>
      <c r="V126" s="70">
        <f>IF(ISERROR(VLOOKUP($S$126,'TAR FIN'!$A$1:$O$85,15,0)),0,VLOOKUP($S$126,'TAR FIN'!$A$1:$O$85,15,0))*(1-0.04)</f>
        <v>22.473599999999998</v>
      </c>
      <c r="W126" s="70">
        <f>IF(ISERROR(VLOOKUP($T$126,'TAR FIN'!$A$1:$O$85,15,0)),0,VLOOKUP($T$126,'TAR FIN'!$A$1:$O$85,15,0))</f>
        <v>0</v>
      </c>
      <c r="X126" s="70">
        <f>IF(ISERROR(VLOOKUP($U$126,'TAR FIN'!$A$1:$O$85,15,0)),0,VLOOKUP($U$126,'TAR FIN'!$A$1:$O$85,15,0))</f>
        <v>0</v>
      </c>
      <c r="Y126" s="70">
        <f ca="1">('TUSD BE'!$AM$10+'TUSD BF'!$AM$10+'TUSD CVA'!$AM$10)*1*(1-0.02)</f>
        <v>23.78256034881678</v>
      </c>
      <c r="Z126" s="70"/>
      <c r="AA126" s="70"/>
      <c r="AB126" s="70">
        <f>(SUBSIDIO!$J$126*SUBSIDIO!$V$126)*(0.04)/(1-0.04)</f>
        <v>1209.8288</v>
      </c>
      <c r="AC126" s="70">
        <f>((SUBSIDIO!$L$126*SUBSIDIO!$W$126)+(SUBSIDIO!$N$126*SUBSIDIO!$X$126))*(0.04)/(1-0.04)</f>
        <v>0</v>
      </c>
      <c r="AD126" s="70">
        <f ca="1">(SUBSIDIO!$J$126*SUBSIDIO!$Y$126)*(0.02)/(1-0.02)</f>
        <v>627.08301980961801</v>
      </c>
      <c r="AE126" s="70">
        <f>((SUBSIDIO!$L$126*SUBSIDIO!$Z$126)+(SUBSIDIO!$N$126*SUBSIDIO!$AA$126))*(0.02)/(1-0.02)</f>
        <v>0</v>
      </c>
      <c r="AF126" s="4" t="s">
        <v>563</v>
      </c>
    </row>
    <row r="127" spans="1:32" ht="11.25" customHeight="1" x14ac:dyDescent="0.25">
      <c r="A127" s="4" t="s">
        <v>21</v>
      </c>
      <c r="B127" s="4" t="s">
        <v>33</v>
      </c>
      <c r="C127" s="4" t="s">
        <v>34</v>
      </c>
      <c r="D127" s="4" t="s">
        <v>41</v>
      </c>
      <c r="E127" s="4" t="s">
        <v>25</v>
      </c>
      <c r="F127" s="4" t="s">
        <v>25</v>
      </c>
      <c r="G127" s="4" t="s">
        <v>25</v>
      </c>
      <c r="H127" s="4" t="s">
        <v>25</v>
      </c>
      <c r="I127" s="5">
        <v>44378</v>
      </c>
      <c r="J127" s="6">
        <v>1311</v>
      </c>
      <c r="K127" s="70">
        <v>1311</v>
      </c>
      <c r="L127" s="6">
        <v>0</v>
      </c>
      <c r="M127" s="70">
        <v>0</v>
      </c>
      <c r="N127" s="6">
        <v>0</v>
      </c>
      <c r="O127" s="70">
        <v>0</v>
      </c>
      <c r="P127" s="6">
        <v>12</v>
      </c>
      <c r="Q127" s="4" t="s">
        <v>26</v>
      </c>
      <c r="R127" s="4">
        <v>0</v>
      </c>
      <c r="S127" s="4">
        <v>65</v>
      </c>
      <c r="T127" s="4">
        <v>0</v>
      </c>
      <c r="U127" s="4">
        <v>0</v>
      </c>
      <c r="V127" s="70">
        <f>IF(ISERROR(VLOOKUP($S$127,'TAR FIN'!$A$1:$O$85,15,0)),0,VLOOKUP($S$127,'TAR FIN'!$A$1:$O$85,15,0))*(1-0.04)</f>
        <v>22.473599999999998</v>
      </c>
      <c r="W127" s="70">
        <f>IF(ISERROR(VLOOKUP($T$127,'TAR FIN'!$A$1:$O$85,15,0)),0,VLOOKUP($T$127,'TAR FIN'!$A$1:$O$85,15,0))</f>
        <v>0</v>
      </c>
      <c r="X127" s="70">
        <f>IF(ISERROR(VLOOKUP($U$127,'TAR FIN'!$A$1:$O$85,15,0)),0,VLOOKUP($U$127,'TAR FIN'!$A$1:$O$85,15,0))</f>
        <v>0</v>
      </c>
      <c r="Y127" s="70">
        <f ca="1">('TUSD BE'!$AM$10+'TUSD BF'!$AM$10+'TUSD CVA'!$AM$10)*1*(1-0.02)</f>
        <v>23.78256034881678</v>
      </c>
      <c r="Z127" s="70"/>
      <c r="AA127" s="70"/>
      <c r="AB127" s="70">
        <f>(SUBSIDIO!$J$127*SUBSIDIO!$V$127)*(0.04)/(1-0.04)</f>
        <v>1227.6204</v>
      </c>
      <c r="AC127" s="70">
        <f>((SUBSIDIO!$L$127*SUBSIDIO!$W$127)+(SUBSIDIO!$N$127*SUBSIDIO!$X$127))*(0.04)/(1-0.04)</f>
        <v>0</v>
      </c>
      <c r="AD127" s="70">
        <f ca="1">(SUBSIDIO!$J$127*SUBSIDIO!$Y$127)*(0.02)/(1-0.02)</f>
        <v>636.30482892446526</v>
      </c>
      <c r="AE127" s="70">
        <f>((SUBSIDIO!$L$127*SUBSIDIO!$Z$127)+(SUBSIDIO!$N$127*SUBSIDIO!$AA$127))*(0.02)/(1-0.02)</f>
        <v>0</v>
      </c>
      <c r="AF127" s="4" t="s">
        <v>563</v>
      </c>
    </row>
    <row r="128" spans="1:32" ht="11.25" customHeight="1" x14ac:dyDescent="0.25">
      <c r="A128" s="4" t="s">
        <v>21</v>
      </c>
      <c r="B128" s="4" t="s">
        <v>33</v>
      </c>
      <c r="C128" s="4" t="s">
        <v>34</v>
      </c>
      <c r="D128" s="4" t="s">
        <v>41</v>
      </c>
      <c r="E128" s="4" t="s">
        <v>25</v>
      </c>
      <c r="F128" s="4" t="s">
        <v>25</v>
      </c>
      <c r="G128" s="4" t="s">
        <v>25</v>
      </c>
      <c r="H128" s="4" t="s">
        <v>25</v>
      </c>
      <c r="I128" s="5">
        <v>44409</v>
      </c>
      <c r="J128" s="6">
        <v>1384</v>
      </c>
      <c r="K128" s="70">
        <v>1384</v>
      </c>
      <c r="L128" s="6">
        <v>0</v>
      </c>
      <c r="M128" s="70">
        <v>0</v>
      </c>
      <c r="N128" s="6">
        <v>0</v>
      </c>
      <c r="O128" s="70">
        <v>0</v>
      </c>
      <c r="P128" s="6">
        <v>12</v>
      </c>
      <c r="Q128" s="4" t="s">
        <v>26</v>
      </c>
      <c r="R128" s="4">
        <v>0</v>
      </c>
      <c r="S128" s="4">
        <v>65</v>
      </c>
      <c r="T128" s="4">
        <v>0</v>
      </c>
      <c r="U128" s="4">
        <v>0</v>
      </c>
      <c r="V128" s="70">
        <f>IF(ISERROR(VLOOKUP($S$128,'TAR FIN'!$A$1:$O$85,15,0)),0,VLOOKUP($S$128,'TAR FIN'!$A$1:$O$85,15,0))*(1-0.04)</f>
        <v>22.473599999999998</v>
      </c>
      <c r="W128" s="70">
        <f>IF(ISERROR(VLOOKUP($T$128,'TAR FIN'!$A$1:$O$85,15,0)),0,VLOOKUP($T$128,'TAR FIN'!$A$1:$O$85,15,0))</f>
        <v>0</v>
      </c>
      <c r="X128" s="70">
        <f>IF(ISERROR(VLOOKUP($U$128,'TAR FIN'!$A$1:$O$85,15,0)),0,VLOOKUP($U$128,'TAR FIN'!$A$1:$O$85,15,0))</f>
        <v>0</v>
      </c>
      <c r="Y128" s="70">
        <f ca="1">('TUSD BE'!$AM$10+'TUSD BF'!$AM$10+'TUSD CVA'!$AM$10)*1*(1-0.02)</f>
        <v>23.78256034881678</v>
      </c>
      <c r="Z128" s="70"/>
      <c r="AA128" s="70"/>
      <c r="AB128" s="70">
        <f>(SUBSIDIO!$J$128*SUBSIDIO!$V$128)*(0.04)/(1-0.04)</f>
        <v>1295.9775999999999</v>
      </c>
      <c r="AC128" s="70">
        <f>((SUBSIDIO!$L$128*SUBSIDIO!$W$128)+(SUBSIDIO!$N$128*SUBSIDIO!$X$128))*(0.04)/(1-0.04)</f>
        <v>0</v>
      </c>
      <c r="AD128" s="70">
        <f ca="1">(SUBSIDIO!$J$128*SUBSIDIO!$Y$128)*(0.02)/(1-0.02)</f>
        <v>671.73599026045758</v>
      </c>
      <c r="AE128" s="70">
        <f>((SUBSIDIO!$L$128*SUBSIDIO!$Z$128)+(SUBSIDIO!$N$128*SUBSIDIO!$AA$128))*(0.02)/(1-0.02)</f>
        <v>0</v>
      </c>
      <c r="AF128" s="4" t="s">
        <v>563</v>
      </c>
    </row>
    <row r="129" spans="1:32" ht="11.25" customHeight="1" x14ac:dyDescent="0.25">
      <c r="A129" s="4" t="s">
        <v>21</v>
      </c>
      <c r="B129" s="4" t="s">
        <v>33</v>
      </c>
      <c r="C129" s="4" t="s">
        <v>34</v>
      </c>
      <c r="D129" s="4" t="s">
        <v>41</v>
      </c>
      <c r="E129" s="4" t="s">
        <v>25</v>
      </c>
      <c r="F129" s="4" t="s">
        <v>25</v>
      </c>
      <c r="G129" s="4" t="s">
        <v>25</v>
      </c>
      <c r="H129" s="4" t="s">
        <v>25</v>
      </c>
      <c r="I129" s="5">
        <v>44440</v>
      </c>
      <c r="J129" s="6">
        <v>1484</v>
      </c>
      <c r="K129" s="70">
        <v>1484</v>
      </c>
      <c r="L129" s="6">
        <v>0</v>
      </c>
      <c r="M129" s="70">
        <v>0</v>
      </c>
      <c r="N129" s="6">
        <v>0</v>
      </c>
      <c r="O129" s="70">
        <v>0</v>
      </c>
      <c r="P129" s="6">
        <v>13</v>
      </c>
      <c r="Q129" s="4" t="s">
        <v>26</v>
      </c>
      <c r="R129" s="4">
        <v>0</v>
      </c>
      <c r="S129" s="4">
        <v>65</v>
      </c>
      <c r="T129" s="4">
        <v>0</v>
      </c>
      <c r="U129" s="4">
        <v>0</v>
      </c>
      <c r="V129" s="70">
        <f>IF(ISERROR(VLOOKUP($S$129,'TAR FIN'!$A$1:$O$85,15,0)),0,VLOOKUP($S$129,'TAR FIN'!$A$1:$O$85,15,0))*(1-0.04)</f>
        <v>22.473599999999998</v>
      </c>
      <c r="W129" s="70">
        <f>IF(ISERROR(VLOOKUP($T$129,'TAR FIN'!$A$1:$O$85,15,0)),0,VLOOKUP($T$129,'TAR FIN'!$A$1:$O$85,15,0))</f>
        <v>0</v>
      </c>
      <c r="X129" s="70">
        <f>IF(ISERROR(VLOOKUP($U$129,'TAR FIN'!$A$1:$O$85,15,0)),0,VLOOKUP($U$129,'TAR FIN'!$A$1:$O$85,15,0))</f>
        <v>0</v>
      </c>
      <c r="Y129" s="70">
        <f ca="1">('TUSD BE'!$AM$10+'TUSD BF'!$AM$10+'TUSD CVA'!$AM$10)*1*(1-0.02)</f>
        <v>23.78256034881678</v>
      </c>
      <c r="Z129" s="70"/>
      <c r="AA129" s="70"/>
      <c r="AB129" s="70">
        <f>(SUBSIDIO!$J$129*SUBSIDIO!$V$129)*(0.04)/(1-0.04)</f>
        <v>1389.6176</v>
      </c>
      <c r="AC129" s="70">
        <f>((SUBSIDIO!$L$129*SUBSIDIO!$W$129)+(SUBSIDIO!$N$129*SUBSIDIO!$X$129))*(0.04)/(1-0.04)</f>
        <v>0</v>
      </c>
      <c r="AD129" s="70">
        <f ca="1">(SUBSIDIO!$J$129*SUBSIDIO!$Y$129)*(0.02)/(1-0.02)</f>
        <v>720.27182770702245</v>
      </c>
      <c r="AE129" s="70">
        <f>((SUBSIDIO!$L$129*SUBSIDIO!$Z$129)+(SUBSIDIO!$N$129*SUBSIDIO!$AA$129))*(0.02)/(1-0.02)</f>
        <v>0</v>
      </c>
      <c r="AF129" s="4" t="s">
        <v>563</v>
      </c>
    </row>
    <row r="130" spans="1:32" ht="11.25" customHeight="1" x14ac:dyDescent="0.25">
      <c r="A130" s="4" t="s">
        <v>21</v>
      </c>
      <c r="B130" s="4" t="s">
        <v>33</v>
      </c>
      <c r="C130" s="4" t="s">
        <v>34</v>
      </c>
      <c r="D130" s="4" t="s">
        <v>41</v>
      </c>
      <c r="E130" s="4" t="s">
        <v>25</v>
      </c>
      <c r="F130" s="4" t="s">
        <v>25</v>
      </c>
      <c r="G130" s="4" t="s">
        <v>25</v>
      </c>
      <c r="H130" s="4" t="s">
        <v>25</v>
      </c>
      <c r="I130" s="5">
        <v>44470</v>
      </c>
      <c r="J130" s="6">
        <v>1377</v>
      </c>
      <c r="K130" s="70">
        <v>1377</v>
      </c>
      <c r="L130" s="6">
        <v>0</v>
      </c>
      <c r="M130" s="70">
        <v>0</v>
      </c>
      <c r="N130" s="6">
        <v>0</v>
      </c>
      <c r="O130" s="70">
        <v>0</v>
      </c>
      <c r="P130" s="6">
        <v>13</v>
      </c>
      <c r="Q130" s="4" t="s">
        <v>26</v>
      </c>
      <c r="R130" s="4">
        <v>0</v>
      </c>
      <c r="S130" s="4">
        <v>65</v>
      </c>
      <c r="T130" s="4">
        <v>0</v>
      </c>
      <c r="U130" s="4">
        <v>0</v>
      </c>
      <c r="V130" s="70">
        <f>IF(ISERROR(VLOOKUP($S$130,'TAR FIN'!$A$1:$O$85,15,0)),0,VLOOKUP($S$130,'TAR FIN'!$A$1:$O$85,15,0))*(1-0.04)</f>
        <v>22.473599999999998</v>
      </c>
      <c r="W130" s="70">
        <f>IF(ISERROR(VLOOKUP($T$130,'TAR FIN'!$A$1:$O$85,15,0)),0,VLOOKUP($T$130,'TAR FIN'!$A$1:$O$85,15,0))</f>
        <v>0</v>
      </c>
      <c r="X130" s="70">
        <f>IF(ISERROR(VLOOKUP($U$130,'TAR FIN'!$A$1:$O$85,15,0)),0,VLOOKUP($U$130,'TAR FIN'!$A$1:$O$85,15,0))</f>
        <v>0</v>
      </c>
      <c r="Y130" s="70">
        <f ca="1">('TUSD BE'!$AM$10+'TUSD BF'!$AM$10+'TUSD CVA'!$AM$10)*1*(1-0.02)</f>
        <v>23.78256034881678</v>
      </c>
      <c r="Z130" s="70"/>
      <c r="AA130" s="70"/>
      <c r="AB130" s="70">
        <f>(SUBSIDIO!$J$130*SUBSIDIO!$V$130)*(0.04)/(1-0.04)</f>
        <v>1289.4227999999998</v>
      </c>
      <c r="AC130" s="70">
        <f>((SUBSIDIO!$L$130*SUBSIDIO!$W$130)+(SUBSIDIO!$N$130*SUBSIDIO!$X$130))*(0.04)/(1-0.04)</f>
        <v>0</v>
      </c>
      <c r="AD130" s="70">
        <f ca="1">(SUBSIDIO!$J$130*SUBSIDIO!$Y$130)*(0.02)/(1-0.02)</f>
        <v>668.33848163919811</v>
      </c>
      <c r="AE130" s="70">
        <f>((SUBSIDIO!$L$130*SUBSIDIO!$Z$130)+(SUBSIDIO!$N$130*SUBSIDIO!$AA$130))*(0.02)/(1-0.02)</f>
        <v>0</v>
      </c>
      <c r="AF130" s="4" t="s">
        <v>563</v>
      </c>
    </row>
    <row r="131" spans="1:32" ht="11.25" customHeight="1" x14ac:dyDescent="0.25">
      <c r="A131" s="4" t="s">
        <v>21</v>
      </c>
      <c r="B131" s="4" t="s">
        <v>33</v>
      </c>
      <c r="C131" s="4" t="s">
        <v>34</v>
      </c>
      <c r="D131" s="4" t="s">
        <v>41</v>
      </c>
      <c r="E131" s="4" t="s">
        <v>25</v>
      </c>
      <c r="F131" s="4" t="s">
        <v>25</v>
      </c>
      <c r="G131" s="4" t="s">
        <v>25</v>
      </c>
      <c r="H131" s="4" t="s">
        <v>25</v>
      </c>
      <c r="I131" s="5">
        <v>44501</v>
      </c>
      <c r="J131" s="6">
        <v>1383</v>
      </c>
      <c r="K131" s="70">
        <v>1383</v>
      </c>
      <c r="L131" s="6">
        <v>0</v>
      </c>
      <c r="M131" s="70">
        <v>0</v>
      </c>
      <c r="N131" s="6">
        <v>0</v>
      </c>
      <c r="O131" s="70">
        <v>0</v>
      </c>
      <c r="P131" s="6">
        <v>13</v>
      </c>
      <c r="Q131" s="4" t="s">
        <v>26</v>
      </c>
      <c r="R131" s="4">
        <v>0</v>
      </c>
      <c r="S131" s="4">
        <v>65</v>
      </c>
      <c r="T131" s="4">
        <v>0</v>
      </c>
      <c r="U131" s="4">
        <v>0</v>
      </c>
      <c r="V131" s="70">
        <f>IF(ISERROR(VLOOKUP($S$131,'TAR FIN'!$A$1:$O$85,15,0)),0,VLOOKUP($S$131,'TAR FIN'!$A$1:$O$85,15,0))*(1-0.04)</f>
        <v>22.473599999999998</v>
      </c>
      <c r="W131" s="70">
        <f>IF(ISERROR(VLOOKUP($T$131,'TAR FIN'!$A$1:$O$85,15,0)),0,VLOOKUP($T$131,'TAR FIN'!$A$1:$O$85,15,0))</f>
        <v>0</v>
      </c>
      <c r="X131" s="70">
        <f>IF(ISERROR(VLOOKUP($U$131,'TAR FIN'!$A$1:$O$85,15,0)),0,VLOOKUP($U$131,'TAR FIN'!$A$1:$O$85,15,0))</f>
        <v>0</v>
      </c>
      <c r="Y131" s="70">
        <f ca="1">('TUSD BE'!$AM$10+'TUSD BF'!$AM$10+'TUSD CVA'!$AM$10)*1*(1-0.02)</f>
        <v>23.78256034881678</v>
      </c>
      <c r="Z131" s="70"/>
      <c r="AA131" s="70"/>
      <c r="AB131" s="70">
        <f>(SUBSIDIO!$J$131*SUBSIDIO!$V$131)*(0.04)/(1-0.04)</f>
        <v>1295.0411999999999</v>
      </c>
      <c r="AC131" s="70">
        <f>((SUBSIDIO!$L$131*SUBSIDIO!$W$131)+(SUBSIDIO!$N$131*SUBSIDIO!$X$131))*(0.04)/(1-0.04)</f>
        <v>0</v>
      </c>
      <c r="AD131" s="70">
        <f ca="1">(SUBSIDIO!$J$131*SUBSIDIO!$Y$131)*(0.02)/(1-0.02)</f>
        <v>671.25063188599199</v>
      </c>
      <c r="AE131" s="70">
        <f>((SUBSIDIO!$L$131*SUBSIDIO!$Z$131)+(SUBSIDIO!$N$131*SUBSIDIO!$AA$131))*(0.02)/(1-0.02)</f>
        <v>0</v>
      </c>
      <c r="AF131" s="4" t="s">
        <v>563</v>
      </c>
    </row>
    <row r="132" spans="1:32" ht="11.25" customHeight="1" x14ac:dyDescent="0.25">
      <c r="A132" s="4" t="s">
        <v>21</v>
      </c>
      <c r="B132" s="4" t="s">
        <v>33</v>
      </c>
      <c r="C132" s="4" t="s">
        <v>34</v>
      </c>
      <c r="D132" s="4" t="s">
        <v>41</v>
      </c>
      <c r="E132" s="4" t="s">
        <v>25</v>
      </c>
      <c r="F132" s="4" t="s">
        <v>25</v>
      </c>
      <c r="G132" s="4" t="s">
        <v>25</v>
      </c>
      <c r="H132" s="4" t="s">
        <v>25</v>
      </c>
      <c r="I132" s="5">
        <v>44531</v>
      </c>
      <c r="J132" s="6">
        <v>1410</v>
      </c>
      <c r="K132" s="70">
        <v>1410</v>
      </c>
      <c r="L132" s="6">
        <v>0</v>
      </c>
      <c r="M132" s="70">
        <v>0</v>
      </c>
      <c r="N132" s="6">
        <v>0</v>
      </c>
      <c r="O132" s="70">
        <v>0</v>
      </c>
      <c r="P132" s="6">
        <v>13</v>
      </c>
      <c r="Q132" s="4" t="s">
        <v>26</v>
      </c>
      <c r="R132" s="4">
        <v>0</v>
      </c>
      <c r="S132" s="4">
        <v>65</v>
      </c>
      <c r="T132" s="4">
        <v>0</v>
      </c>
      <c r="U132" s="4">
        <v>0</v>
      </c>
      <c r="V132" s="70">
        <f>IF(ISERROR(VLOOKUP($S$132,'TAR FIN'!$A$1:$O$85,15,0)),0,VLOOKUP($S$132,'TAR FIN'!$A$1:$O$85,15,0))*(1-0.04)</f>
        <v>22.473599999999998</v>
      </c>
      <c r="W132" s="70">
        <f>IF(ISERROR(VLOOKUP($T$132,'TAR FIN'!$A$1:$O$85,15,0)),0,VLOOKUP($T$132,'TAR FIN'!$A$1:$O$85,15,0))</f>
        <v>0</v>
      </c>
      <c r="X132" s="70">
        <f>IF(ISERROR(VLOOKUP($U$132,'TAR FIN'!$A$1:$O$85,15,0)),0,VLOOKUP($U$132,'TAR FIN'!$A$1:$O$85,15,0))</f>
        <v>0</v>
      </c>
      <c r="Y132" s="70">
        <f ca="1">('TUSD BE'!$AM$10+'TUSD BF'!$AM$10+'TUSD CVA'!$AM$10)*1*(1-0.02)</f>
        <v>23.78256034881678</v>
      </c>
      <c r="Z132" s="70"/>
      <c r="AA132" s="70"/>
      <c r="AB132" s="70">
        <f>(SUBSIDIO!$J$132*SUBSIDIO!$V$132)*(0.04)/(1-0.04)</f>
        <v>1320.3239999999998</v>
      </c>
      <c r="AC132" s="70">
        <f>((SUBSIDIO!$L$132*SUBSIDIO!$W$132)+(SUBSIDIO!$N$132*SUBSIDIO!$X$132))*(0.04)/(1-0.04)</f>
        <v>0</v>
      </c>
      <c r="AD132" s="70">
        <f ca="1">(SUBSIDIO!$J$132*SUBSIDIO!$Y$132)*(0.02)/(1-0.02)</f>
        <v>684.35530799656453</v>
      </c>
      <c r="AE132" s="70">
        <f>((SUBSIDIO!$L$132*SUBSIDIO!$Z$132)+(SUBSIDIO!$N$132*SUBSIDIO!$AA$132))*(0.02)/(1-0.02)</f>
        <v>0</v>
      </c>
      <c r="AF132" s="4" t="s">
        <v>563</v>
      </c>
    </row>
    <row r="133" spans="1:32" ht="11.25" customHeight="1" x14ac:dyDescent="0.25">
      <c r="A133" s="4" t="s">
        <v>21</v>
      </c>
      <c r="B133" s="4" t="s">
        <v>33</v>
      </c>
      <c r="C133" s="4" t="s">
        <v>34</v>
      </c>
      <c r="D133" s="4" t="s">
        <v>41</v>
      </c>
      <c r="E133" s="4" t="s">
        <v>25</v>
      </c>
      <c r="F133" s="4" t="s">
        <v>25</v>
      </c>
      <c r="G133" s="4" t="s">
        <v>25</v>
      </c>
      <c r="H133" s="4" t="s">
        <v>25</v>
      </c>
      <c r="I133" s="5">
        <v>44562</v>
      </c>
      <c r="J133" s="6">
        <v>1300</v>
      </c>
      <c r="K133" s="70">
        <v>1300</v>
      </c>
      <c r="L133" s="6">
        <v>0</v>
      </c>
      <c r="M133" s="70">
        <v>0</v>
      </c>
      <c r="N133" s="6">
        <v>0</v>
      </c>
      <c r="O133" s="70">
        <v>0</v>
      </c>
      <c r="P133" s="6">
        <v>13</v>
      </c>
      <c r="Q133" s="4" t="s">
        <v>26</v>
      </c>
      <c r="R133" s="4">
        <v>0</v>
      </c>
      <c r="S133" s="4">
        <v>65</v>
      </c>
      <c r="T133" s="4">
        <v>0</v>
      </c>
      <c r="U133" s="4">
        <v>0</v>
      </c>
      <c r="V133" s="70">
        <f>IF(ISERROR(VLOOKUP($S$133,'TAR FIN'!$A$1:$O$85,15,0)),0,VLOOKUP($S$133,'TAR FIN'!$A$1:$O$85,15,0))*(1-0.04)</f>
        <v>22.473599999999998</v>
      </c>
      <c r="W133" s="70">
        <f>IF(ISERROR(VLOOKUP($T$133,'TAR FIN'!$A$1:$O$85,15,0)),0,VLOOKUP($T$133,'TAR FIN'!$A$1:$O$85,15,0))</f>
        <v>0</v>
      </c>
      <c r="X133" s="70">
        <f>IF(ISERROR(VLOOKUP($U$133,'TAR FIN'!$A$1:$O$85,15,0)),0,VLOOKUP($U$133,'TAR FIN'!$A$1:$O$85,15,0))</f>
        <v>0</v>
      </c>
      <c r="Y133" s="70">
        <f ca="1">('TUSD BE'!$AM$10+'TUSD BF'!$AM$10+'TUSD CVA'!$AM$10)*1*(1-0.02)</f>
        <v>23.78256034881678</v>
      </c>
      <c r="Z133" s="70"/>
      <c r="AA133" s="70"/>
      <c r="AB133" s="70">
        <f>(SUBSIDIO!$J$133*SUBSIDIO!$V$133)*(0.04)/(1-0.04)</f>
        <v>1217.32</v>
      </c>
      <c r="AC133" s="70">
        <f>((SUBSIDIO!$L$133*SUBSIDIO!$W$133)+(SUBSIDIO!$N$133*SUBSIDIO!$X$133))*(0.04)/(1-0.04)</f>
        <v>0</v>
      </c>
      <c r="AD133" s="70">
        <f ca="1">(SUBSIDIO!$J$133*SUBSIDIO!$Y$133)*(0.02)/(1-0.02)</f>
        <v>630.96588680534319</v>
      </c>
      <c r="AE133" s="70">
        <f>((SUBSIDIO!$L$133*SUBSIDIO!$Z$133)+(SUBSIDIO!$N$133*SUBSIDIO!$AA$133))*(0.02)/(1-0.02)</f>
        <v>0</v>
      </c>
      <c r="AF133" s="4" t="s">
        <v>563</v>
      </c>
    </row>
    <row r="134" spans="1:32" ht="11.25" customHeight="1" x14ac:dyDescent="0.25">
      <c r="A134" s="4" t="s">
        <v>21</v>
      </c>
      <c r="B134" s="4" t="s">
        <v>33</v>
      </c>
      <c r="C134" s="4" t="s">
        <v>34</v>
      </c>
      <c r="D134" s="4" t="s">
        <v>41</v>
      </c>
      <c r="E134" s="4" t="s">
        <v>25</v>
      </c>
      <c r="F134" s="4" t="s">
        <v>25</v>
      </c>
      <c r="G134" s="4" t="s">
        <v>25</v>
      </c>
      <c r="H134" s="4" t="s">
        <v>25</v>
      </c>
      <c r="I134" s="5">
        <v>44593</v>
      </c>
      <c r="J134" s="6">
        <v>1383</v>
      </c>
      <c r="K134" s="70">
        <v>1383</v>
      </c>
      <c r="L134" s="6">
        <v>0</v>
      </c>
      <c r="M134" s="70">
        <v>0</v>
      </c>
      <c r="N134" s="6">
        <v>0</v>
      </c>
      <c r="O134" s="70">
        <v>0</v>
      </c>
      <c r="P134" s="6">
        <v>13</v>
      </c>
      <c r="Q134" s="4" t="s">
        <v>26</v>
      </c>
      <c r="R134" s="4">
        <v>0</v>
      </c>
      <c r="S134" s="4">
        <v>65</v>
      </c>
      <c r="T134" s="4">
        <v>0</v>
      </c>
      <c r="U134" s="4">
        <v>0</v>
      </c>
      <c r="V134" s="70">
        <f>IF(ISERROR(VLOOKUP($S$134,'TAR FIN'!$A$1:$O$85,15,0)),0,VLOOKUP($S$134,'TAR FIN'!$A$1:$O$85,15,0))*(1-0.04)</f>
        <v>22.473599999999998</v>
      </c>
      <c r="W134" s="70">
        <f>IF(ISERROR(VLOOKUP($T$134,'TAR FIN'!$A$1:$O$85,15,0)),0,VLOOKUP($T$134,'TAR FIN'!$A$1:$O$85,15,0))</f>
        <v>0</v>
      </c>
      <c r="X134" s="70">
        <f>IF(ISERROR(VLOOKUP($U$134,'TAR FIN'!$A$1:$O$85,15,0)),0,VLOOKUP($U$134,'TAR FIN'!$A$1:$O$85,15,0))</f>
        <v>0</v>
      </c>
      <c r="Y134" s="70">
        <f ca="1">('TUSD BE'!$AM$10+'TUSD BF'!$AM$10+'TUSD CVA'!$AM$10)*1*(1-0.02)</f>
        <v>23.78256034881678</v>
      </c>
      <c r="Z134" s="70"/>
      <c r="AA134" s="70"/>
      <c r="AB134" s="70">
        <f>(SUBSIDIO!$J$134*SUBSIDIO!$V$134)*(0.04)/(1-0.04)</f>
        <v>1295.0411999999999</v>
      </c>
      <c r="AC134" s="70">
        <f>((SUBSIDIO!$L$134*SUBSIDIO!$W$134)+(SUBSIDIO!$N$134*SUBSIDIO!$X$134))*(0.04)/(1-0.04)</f>
        <v>0</v>
      </c>
      <c r="AD134" s="70">
        <f ca="1">(SUBSIDIO!$J$134*SUBSIDIO!$Y$134)*(0.02)/(1-0.02)</f>
        <v>671.25063188599199</v>
      </c>
      <c r="AE134" s="70">
        <f>((SUBSIDIO!$L$134*SUBSIDIO!$Z$134)+(SUBSIDIO!$N$134*SUBSIDIO!$AA$134))*(0.02)/(1-0.02)</f>
        <v>0</v>
      </c>
      <c r="AF134" s="4" t="s">
        <v>563</v>
      </c>
    </row>
    <row r="135" spans="1:32" ht="11.25" customHeight="1" x14ac:dyDescent="0.25">
      <c r="A135" s="4" t="s">
        <v>54</v>
      </c>
      <c r="B135" s="4" t="s">
        <v>33</v>
      </c>
      <c r="C135" s="4" t="s">
        <v>34</v>
      </c>
      <c r="D135" s="4" t="s">
        <v>41</v>
      </c>
      <c r="E135" s="4" t="s">
        <v>25</v>
      </c>
      <c r="F135" s="4" t="s">
        <v>25</v>
      </c>
      <c r="G135" s="4" t="s">
        <v>25</v>
      </c>
      <c r="H135" s="4" t="s">
        <v>25</v>
      </c>
      <c r="I135" s="5">
        <v>44621</v>
      </c>
      <c r="J135" s="6">
        <v>1383</v>
      </c>
      <c r="K135" s="70">
        <v>1383</v>
      </c>
      <c r="L135" s="6">
        <v>0</v>
      </c>
      <c r="M135" s="70">
        <v>0</v>
      </c>
      <c r="N135" s="6">
        <v>0</v>
      </c>
      <c r="O135" s="70">
        <v>0</v>
      </c>
      <c r="P135" s="6">
        <v>13</v>
      </c>
      <c r="Q135" s="4" t="s">
        <v>26</v>
      </c>
      <c r="R135" s="4">
        <v>0</v>
      </c>
      <c r="S135" s="4">
        <v>65</v>
      </c>
      <c r="T135" s="4">
        <v>0</v>
      </c>
      <c r="U135" s="4">
        <v>0</v>
      </c>
      <c r="V135" s="70">
        <f>IF(ISERROR(VLOOKUP($S$135,'TAR FIN'!$A$1:$O$85,15,0)),0,VLOOKUP($S$135,'TAR FIN'!$A$1:$O$85,15,0))*(1-0.04)</f>
        <v>22.473599999999998</v>
      </c>
      <c r="W135" s="70">
        <f>IF(ISERROR(VLOOKUP($T$135,'TAR FIN'!$A$1:$O$85,15,0)),0,VLOOKUP($T$135,'TAR FIN'!$A$1:$O$85,15,0))</f>
        <v>0</v>
      </c>
      <c r="X135" s="70">
        <f>IF(ISERROR(VLOOKUP($U$135,'TAR FIN'!$A$1:$O$85,15,0)),0,VLOOKUP($U$135,'TAR FIN'!$A$1:$O$85,15,0))</f>
        <v>0</v>
      </c>
      <c r="Y135" s="70">
        <f ca="1">('TUSD BE'!$AM$10+'TUSD BF'!$AM$10+'TUSD CVA'!$AM$10)*1*(1-0.02)</f>
        <v>23.78256034881678</v>
      </c>
      <c r="Z135" s="70"/>
      <c r="AA135" s="70"/>
      <c r="AB135" s="70">
        <f>(SUBSIDIO!$J$135*SUBSIDIO!$V$135)*(0.04)/(1-0.04)</f>
        <v>1295.0411999999999</v>
      </c>
      <c r="AC135" s="70">
        <f>((SUBSIDIO!$L$135*SUBSIDIO!$W$135)+(SUBSIDIO!$N$135*SUBSIDIO!$X$135))*(0.04)/(1-0.04)</f>
        <v>0</v>
      </c>
      <c r="AD135" s="70">
        <f ca="1">(SUBSIDIO!$J$135*SUBSIDIO!$Y$135)*(0.02)/(1-0.02)</f>
        <v>671.25063188599199</v>
      </c>
      <c r="AE135" s="70">
        <f>((SUBSIDIO!$L$135*SUBSIDIO!$Z$135)+(SUBSIDIO!$N$135*SUBSIDIO!$AA$135))*(0.02)/(1-0.02)</f>
        <v>0</v>
      </c>
      <c r="AF135" s="4" t="s">
        <v>563</v>
      </c>
    </row>
    <row r="136" spans="1:32" ht="11.25" customHeight="1" x14ac:dyDescent="0.25">
      <c r="A136" s="4" t="s">
        <v>21</v>
      </c>
      <c r="B136" s="4" t="s">
        <v>33</v>
      </c>
      <c r="C136" s="4" t="s">
        <v>34</v>
      </c>
      <c r="D136" s="4" t="s">
        <v>41</v>
      </c>
      <c r="E136" s="4" t="s">
        <v>25</v>
      </c>
      <c r="F136" s="4" t="s">
        <v>25</v>
      </c>
      <c r="G136" s="4" t="s">
        <v>25</v>
      </c>
      <c r="H136" s="4" t="s">
        <v>35</v>
      </c>
      <c r="I136" s="5">
        <v>44287</v>
      </c>
      <c r="J136" s="6">
        <v>0</v>
      </c>
      <c r="K136" s="70">
        <v>0</v>
      </c>
      <c r="L136" s="6">
        <v>13.541</v>
      </c>
      <c r="M136" s="70">
        <v>13.541</v>
      </c>
      <c r="N136" s="6">
        <v>13.541</v>
      </c>
      <c r="O136" s="70">
        <v>13.541</v>
      </c>
      <c r="P136" s="6">
        <v>0</v>
      </c>
      <c r="Q136" s="4" t="s">
        <v>26</v>
      </c>
      <c r="R136" s="4">
        <v>0</v>
      </c>
      <c r="S136" s="4">
        <v>0</v>
      </c>
      <c r="T136" s="4">
        <v>66</v>
      </c>
      <c r="U136" s="4">
        <v>6</v>
      </c>
      <c r="V136" s="70">
        <f>IF(ISERROR(VLOOKUP($S$136,'TAR FIN'!$A$1:$O$85,15,0)),0,VLOOKUP($S$136,'TAR FIN'!$A$1:$O$85,15,0))</f>
        <v>0</v>
      </c>
      <c r="W136" s="70">
        <f>IF(ISERROR(VLOOKUP($T$136,'TAR FIN'!$A$1:$O$85,15,0)),0,VLOOKUP($T$136,'TAR FIN'!$A$1:$O$85,15,0))*(1-0.04)</f>
        <v>2173.0367999999999</v>
      </c>
      <c r="X136" s="70">
        <f>IF(ISERROR(VLOOKUP($U$136,'TAR FIN'!$A$1:$O$85,15,0)),0,VLOOKUP($U$136,'TAR FIN'!$A$1:$O$85,15,0))*(1-0.04)</f>
        <v>214.77119999999999</v>
      </c>
      <c r="Y136" s="70"/>
      <c r="Z136" s="70">
        <f ca="1">('TUSD BE'!$AM$11+'TUSD BF'!$AM$11+'TUSD CVA'!$AM$11)*1*(1-0.02)</f>
        <v>2326.2024462524073</v>
      </c>
      <c r="AA136" s="70">
        <f>('TE BE'!$AA$5+'TE BF'!$AA$5+'TE CVA'!$AA$5)*1*(1-0.02)</f>
        <v>213.27681122210436</v>
      </c>
      <c r="AB136" s="70">
        <f>(SUBSIDIO!$J$136*SUBSIDIO!$V$136)*(0.04)/(1-0.04)</f>
        <v>0</v>
      </c>
      <c r="AC136" s="70">
        <f>((SUBSIDIO!$L$136*SUBSIDIO!$W$136)+(SUBSIDIO!$N$136*SUBSIDIO!$X$136))*(0.04)/(1-0.04)</f>
        <v>1347.221172</v>
      </c>
      <c r="AD136" s="70">
        <f>(SUBSIDIO!$J$136*SUBSIDIO!$Y$136)*(0.02)/(1-0.02)</f>
        <v>0</v>
      </c>
      <c r="AE136" s="70">
        <f ca="1">((SUBSIDIO!$L$136*SUBSIDIO!$Z$136)+(SUBSIDIO!$N$136*SUBSIDIO!$AA$136))*(0.02)/(1-0.02)</f>
        <v>701.7773188869869</v>
      </c>
      <c r="AF136" s="4" t="s">
        <v>563</v>
      </c>
    </row>
    <row r="137" spans="1:32" ht="11.25" customHeight="1" x14ac:dyDescent="0.25">
      <c r="A137" s="4" t="s">
        <v>21</v>
      </c>
      <c r="B137" s="4" t="s">
        <v>33</v>
      </c>
      <c r="C137" s="4" t="s">
        <v>34</v>
      </c>
      <c r="D137" s="4" t="s">
        <v>41</v>
      </c>
      <c r="E137" s="4" t="s">
        <v>25</v>
      </c>
      <c r="F137" s="4" t="s">
        <v>25</v>
      </c>
      <c r="G137" s="4" t="s">
        <v>25</v>
      </c>
      <c r="H137" s="4" t="s">
        <v>35</v>
      </c>
      <c r="I137" s="5">
        <v>44317</v>
      </c>
      <c r="J137" s="6">
        <v>0</v>
      </c>
      <c r="K137" s="70">
        <v>0</v>
      </c>
      <c r="L137" s="6">
        <v>10.247</v>
      </c>
      <c r="M137" s="70">
        <v>10.247</v>
      </c>
      <c r="N137" s="6">
        <v>10.247</v>
      </c>
      <c r="O137" s="70">
        <v>10.247</v>
      </c>
      <c r="P137" s="6">
        <v>0</v>
      </c>
      <c r="Q137" s="4" t="s">
        <v>26</v>
      </c>
      <c r="R137" s="4">
        <v>0</v>
      </c>
      <c r="S137" s="4">
        <v>0</v>
      </c>
      <c r="T137" s="4">
        <v>66</v>
      </c>
      <c r="U137" s="4">
        <v>6</v>
      </c>
      <c r="V137" s="70">
        <f>IF(ISERROR(VLOOKUP($S$137,'TAR FIN'!$A$1:$O$85,15,0)),0,VLOOKUP($S$137,'TAR FIN'!$A$1:$O$85,15,0))</f>
        <v>0</v>
      </c>
      <c r="W137" s="70">
        <f>IF(ISERROR(VLOOKUP($T$137,'TAR FIN'!$A$1:$O$85,15,0)),0,VLOOKUP($T$137,'TAR FIN'!$A$1:$O$85,15,0))*(1-0.04)</f>
        <v>2173.0367999999999</v>
      </c>
      <c r="X137" s="70">
        <f>IF(ISERROR(VLOOKUP($U$137,'TAR FIN'!$A$1:$O$85,15,0)),0,VLOOKUP($U$137,'TAR FIN'!$A$1:$O$85,15,0))*(1-0.04)</f>
        <v>214.77119999999999</v>
      </c>
      <c r="Y137" s="70"/>
      <c r="Z137" s="70">
        <f ca="1">('TUSD BE'!$AM$11+'TUSD BF'!$AM$11+'TUSD CVA'!$AM$11)*1*(1-0.02)</f>
        <v>2326.2024462524073</v>
      </c>
      <c r="AA137" s="70">
        <f>('TE BE'!$AA$5+'TE BF'!$AA$5+'TE CVA'!$AA$5)*1*(1-0.02)</f>
        <v>213.27681122210436</v>
      </c>
      <c r="AB137" s="70">
        <f>(SUBSIDIO!$J$137*SUBSIDIO!$V$137)*(0.04)/(1-0.04)</f>
        <v>0</v>
      </c>
      <c r="AC137" s="70">
        <f>((SUBSIDIO!$L$137*SUBSIDIO!$W$137)+(SUBSIDIO!$N$137*SUBSIDIO!$X$137))*(0.04)/(1-0.04)</f>
        <v>1019.494524</v>
      </c>
      <c r="AD137" s="70">
        <f>(SUBSIDIO!$J$137*SUBSIDIO!$Y$137)*(0.02)/(1-0.02)</f>
        <v>0</v>
      </c>
      <c r="AE137" s="70">
        <f ca="1">((SUBSIDIO!$L$137*SUBSIDIO!$Z$137)+(SUBSIDIO!$N$137*SUBSIDIO!$AA$137))*(0.02)/(1-0.02)</f>
        <v>531.06212145594532</v>
      </c>
      <c r="AF137" s="4" t="s">
        <v>563</v>
      </c>
    </row>
    <row r="138" spans="1:32" ht="11.25" customHeight="1" x14ac:dyDescent="0.25">
      <c r="A138" s="4" t="s">
        <v>21</v>
      </c>
      <c r="B138" s="4" t="s">
        <v>33</v>
      </c>
      <c r="C138" s="4" t="s">
        <v>34</v>
      </c>
      <c r="D138" s="4" t="s">
        <v>41</v>
      </c>
      <c r="E138" s="4" t="s">
        <v>25</v>
      </c>
      <c r="F138" s="4" t="s">
        <v>25</v>
      </c>
      <c r="G138" s="4" t="s">
        <v>25</v>
      </c>
      <c r="H138" s="4" t="s">
        <v>35</v>
      </c>
      <c r="I138" s="5">
        <v>44348</v>
      </c>
      <c r="J138" s="6">
        <v>0</v>
      </c>
      <c r="K138" s="70">
        <v>0</v>
      </c>
      <c r="L138" s="6">
        <v>8.9819999999999993</v>
      </c>
      <c r="M138" s="70">
        <v>8.9819999999999993</v>
      </c>
      <c r="N138" s="6">
        <v>8.9819999999999993</v>
      </c>
      <c r="O138" s="70">
        <v>8.9819999999999993</v>
      </c>
      <c r="P138" s="6">
        <v>0</v>
      </c>
      <c r="Q138" s="4" t="s">
        <v>26</v>
      </c>
      <c r="R138" s="4">
        <v>0</v>
      </c>
      <c r="S138" s="4">
        <v>0</v>
      </c>
      <c r="T138" s="4">
        <v>66</v>
      </c>
      <c r="U138" s="4">
        <v>6</v>
      </c>
      <c r="V138" s="70">
        <f>IF(ISERROR(VLOOKUP($S$138,'TAR FIN'!$A$1:$O$85,15,0)),0,VLOOKUP($S$138,'TAR FIN'!$A$1:$O$85,15,0))</f>
        <v>0</v>
      </c>
      <c r="W138" s="70">
        <f>IF(ISERROR(VLOOKUP($T$138,'TAR FIN'!$A$1:$O$85,15,0)),0,VLOOKUP($T$138,'TAR FIN'!$A$1:$O$85,15,0))*(1-0.04)</f>
        <v>2173.0367999999999</v>
      </c>
      <c r="X138" s="70">
        <f>IF(ISERROR(VLOOKUP($U$138,'TAR FIN'!$A$1:$O$85,15,0)),0,VLOOKUP($U$138,'TAR FIN'!$A$1:$O$85,15,0))*(1-0.04)</f>
        <v>214.77119999999999</v>
      </c>
      <c r="Y138" s="70"/>
      <c r="Z138" s="70">
        <f ca="1">('TUSD BE'!$AM$11+'TUSD BF'!$AM$11+'TUSD CVA'!$AM$11)*1*(1-0.02)</f>
        <v>2326.2024462524073</v>
      </c>
      <c r="AA138" s="70">
        <f>('TE BE'!$AA$5+'TE BF'!$AA$5+'TE CVA'!$AA$5)*1*(1-0.02)</f>
        <v>213.27681122210436</v>
      </c>
      <c r="AB138" s="70">
        <f>(SUBSIDIO!$J$138*SUBSIDIO!$V$138)*(0.04)/(1-0.04)</f>
        <v>0</v>
      </c>
      <c r="AC138" s="70">
        <f>((SUBSIDIO!$L$138*SUBSIDIO!$W$138)+(SUBSIDIO!$N$138*SUBSIDIO!$X$138))*(0.04)/(1-0.04)</f>
        <v>893.63714400000003</v>
      </c>
      <c r="AD138" s="70">
        <f>(SUBSIDIO!$J$138*SUBSIDIO!$Y$138)*(0.02)/(1-0.02)</f>
        <v>0</v>
      </c>
      <c r="AE138" s="70">
        <f ca="1">((SUBSIDIO!$L$138*SUBSIDIO!$Z$138)+(SUBSIDIO!$N$138*SUBSIDIO!$AA$138))*(0.02)/(1-0.02)</f>
        <v>465.50209572726658</v>
      </c>
      <c r="AF138" s="4" t="s">
        <v>563</v>
      </c>
    </row>
    <row r="139" spans="1:32" ht="11.25" customHeight="1" x14ac:dyDescent="0.25">
      <c r="A139" s="4" t="s">
        <v>21</v>
      </c>
      <c r="B139" s="4" t="s">
        <v>33</v>
      </c>
      <c r="C139" s="4" t="s">
        <v>34</v>
      </c>
      <c r="D139" s="4" t="s">
        <v>41</v>
      </c>
      <c r="E139" s="4" t="s">
        <v>25</v>
      </c>
      <c r="F139" s="4" t="s">
        <v>25</v>
      </c>
      <c r="G139" s="4" t="s">
        <v>25</v>
      </c>
      <c r="H139" s="4" t="s">
        <v>35</v>
      </c>
      <c r="I139" s="5">
        <v>44378</v>
      </c>
      <c r="J139" s="6">
        <v>0</v>
      </c>
      <c r="K139" s="70">
        <v>0</v>
      </c>
      <c r="L139" s="6">
        <v>12.948</v>
      </c>
      <c r="M139" s="70">
        <v>12.948</v>
      </c>
      <c r="N139" s="6">
        <v>12.948</v>
      </c>
      <c r="O139" s="70">
        <v>12.948</v>
      </c>
      <c r="P139" s="6">
        <v>0</v>
      </c>
      <c r="Q139" s="4" t="s">
        <v>26</v>
      </c>
      <c r="R139" s="4">
        <v>0</v>
      </c>
      <c r="S139" s="4">
        <v>0</v>
      </c>
      <c r="T139" s="4">
        <v>66</v>
      </c>
      <c r="U139" s="4">
        <v>6</v>
      </c>
      <c r="V139" s="70">
        <f>IF(ISERROR(VLOOKUP($S$139,'TAR FIN'!$A$1:$O$85,15,0)),0,VLOOKUP($S$139,'TAR FIN'!$A$1:$O$85,15,0))</f>
        <v>0</v>
      </c>
      <c r="W139" s="70">
        <f>IF(ISERROR(VLOOKUP($T$139,'TAR FIN'!$A$1:$O$85,15,0)),0,VLOOKUP($T$139,'TAR FIN'!$A$1:$O$85,15,0))*(1-0.04)</f>
        <v>2173.0367999999999</v>
      </c>
      <c r="X139" s="70">
        <f>IF(ISERROR(VLOOKUP($U$139,'TAR FIN'!$A$1:$O$85,15,0)),0,VLOOKUP($U$139,'TAR FIN'!$A$1:$O$85,15,0))*(1-0.04)</f>
        <v>214.77119999999999</v>
      </c>
      <c r="Y139" s="70"/>
      <c r="Z139" s="70">
        <f ca="1">('TUSD BE'!$AM$11+'TUSD BF'!$AM$11+'TUSD CVA'!$AM$11)*1*(1-0.02)</f>
        <v>2326.2024462524073</v>
      </c>
      <c r="AA139" s="70">
        <f>('TE BE'!$AA$5+'TE BF'!$AA$5+'TE CVA'!$AA$5)*1*(1-0.02)</f>
        <v>213.27681122210436</v>
      </c>
      <c r="AB139" s="70">
        <f>(SUBSIDIO!$J$139*SUBSIDIO!$V$139)*(0.04)/(1-0.04)</f>
        <v>0</v>
      </c>
      <c r="AC139" s="70">
        <f>((SUBSIDIO!$L$139*SUBSIDIO!$W$139)+(SUBSIDIO!$N$139*SUBSIDIO!$X$139))*(0.04)/(1-0.04)</f>
        <v>1288.2224160000001</v>
      </c>
      <c r="AD139" s="70">
        <f>(SUBSIDIO!$J$139*SUBSIDIO!$Y$139)*(0.02)/(1-0.02)</f>
        <v>0</v>
      </c>
      <c r="AE139" s="70">
        <f ca="1">((SUBSIDIO!$L$139*SUBSIDIO!$Z$139)+(SUBSIDIO!$N$139*SUBSIDIO!$AA$139))*(0.02)/(1-0.02)</f>
        <v>671.04443726081581</v>
      </c>
      <c r="AF139" s="4" t="s">
        <v>563</v>
      </c>
    </row>
    <row r="140" spans="1:32" ht="11.25" customHeight="1" x14ac:dyDescent="0.25">
      <c r="A140" s="4" t="s">
        <v>21</v>
      </c>
      <c r="B140" s="4" t="s">
        <v>33</v>
      </c>
      <c r="C140" s="4" t="s">
        <v>34</v>
      </c>
      <c r="D140" s="4" t="s">
        <v>41</v>
      </c>
      <c r="E140" s="4" t="s">
        <v>25</v>
      </c>
      <c r="F140" s="4" t="s">
        <v>25</v>
      </c>
      <c r="G140" s="4" t="s">
        <v>25</v>
      </c>
      <c r="H140" s="4" t="s">
        <v>35</v>
      </c>
      <c r="I140" s="5">
        <v>44409</v>
      </c>
      <c r="J140" s="6">
        <v>0</v>
      </c>
      <c r="K140" s="70">
        <v>0</v>
      </c>
      <c r="L140" s="6">
        <v>15.106</v>
      </c>
      <c r="M140" s="70">
        <v>15.106</v>
      </c>
      <c r="N140" s="6">
        <v>15.106</v>
      </c>
      <c r="O140" s="70">
        <v>15.106</v>
      </c>
      <c r="P140" s="6">
        <v>0</v>
      </c>
      <c r="Q140" s="4" t="s">
        <v>26</v>
      </c>
      <c r="R140" s="4">
        <v>0</v>
      </c>
      <c r="S140" s="4">
        <v>0</v>
      </c>
      <c r="T140" s="4">
        <v>66</v>
      </c>
      <c r="U140" s="4">
        <v>6</v>
      </c>
      <c r="V140" s="70">
        <f>IF(ISERROR(VLOOKUP($S$140,'TAR FIN'!$A$1:$O$85,15,0)),0,VLOOKUP($S$140,'TAR FIN'!$A$1:$O$85,15,0))</f>
        <v>0</v>
      </c>
      <c r="W140" s="70">
        <f>IF(ISERROR(VLOOKUP($T$140,'TAR FIN'!$A$1:$O$85,15,0)),0,VLOOKUP($T$140,'TAR FIN'!$A$1:$O$85,15,0))*(1-0.04)</f>
        <v>2173.0367999999999</v>
      </c>
      <c r="X140" s="70">
        <f>IF(ISERROR(VLOOKUP($U$140,'TAR FIN'!$A$1:$O$85,15,0)),0,VLOOKUP($U$140,'TAR FIN'!$A$1:$O$85,15,0))*(1-0.04)</f>
        <v>214.77119999999999</v>
      </c>
      <c r="Y140" s="70"/>
      <c r="Z140" s="70">
        <f ca="1">('TUSD BE'!$AM$11+'TUSD BF'!$AM$11+'TUSD CVA'!$AM$11)*1*(1-0.02)</f>
        <v>2326.2024462524073</v>
      </c>
      <c r="AA140" s="70">
        <f>('TE BE'!$AA$5+'TE BF'!$AA$5+'TE CVA'!$AA$5)*1*(1-0.02)</f>
        <v>213.27681122210436</v>
      </c>
      <c r="AB140" s="70">
        <f>(SUBSIDIO!$J$140*SUBSIDIO!$V$140)*(0.04)/(1-0.04)</f>
        <v>0</v>
      </c>
      <c r="AC140" s="70">
        <f>((SUBSIDIO!$L$140*SUBSIDIO!$W$140)+(SUBSIDIO!$N$140*SUBSIDIO!$X$140))*(0.04)/(1-0.04)</f>
        <v>1502.9261519999998</v>
      </c>
      <c r="AD140" s="70">
        <f>(SUBSIDIO!$J$140*SUBSIDIO!$Y$140)*(0.02)/(1-0.02)</f>
        <v>0</v>
      </c>
      <c r="AE140" s="70">
        <f ca="1">((SUBSIDIO!$L$140*SUBSIDIO!$Z$140)+(SUBSIDIO!$N$140*SUBSIDIO!$AA$140))*(0.02)/(1-0.02)</f>
        <v>782.88517680428515</v>
      </c>
      <c r="AF140" s="4" t="s">
        <v>563</v>
      </c>
    </row>
    <row r="141" spans="1:32" ht="11.25" customHeight="1" x14ac:dyDescent="0.25">
      <c r="A141" s="4" t="s">
        <v>21</v>
      </c>
      <c r="B141" s="4" t="s">
        <v>33</v>
      </c>
      <c r="C141" s="4" t="s">
        <v>34</v>
      </c>
      <c r="D141" s="4" t="s">
        <v>41</v>
      </c>
      <c r="E141" s="4" t="s">
        <v>25</v>
      </c>
      <c r="F141" s="4" t="s">
        <v>25</v>
      </c>
      <c r="G141" s="4" t="s">
        <v>25</v>
      </c>
      <c r="H141" s="4" t="s">
        <v>35</v>
      </c>
      <c r="I141" s="5">
        <v>44440</v>
      </c>
      <c r="J141" s="6">
        <v>0</v>
      </c>
      <c r="K141" s="70">
        <v>0</v>
      </c>
      <c r="L141" s="6">
        <v>13.499000000000001</v>
      </c>
      <c r="M141" s="70">
        <v>13.499000000000001</v>
      </c>
      <c r="N141" s="6">
        <v>13.499000000000001</v>
      </c>
      <c r="O141" s="70">
        <v>13.499000000000001</v>
      </c>
      <c r="P141" s="6">
        <v>0</v>
      </c>
      <c r="Q141" s="4" t="s">
        <v>26</v>
      </c>
      <c r="R141" s="4">
        <v>0</v>
      </c>
      <c r="S141" s="4">
        <v>0</v>
      </c>
      <c r="T141" s="4">
        <v>66</v>
      </c>
      <c r="U141" s="4">
        <v>6</v>
      </c>
      <c r="V141" s="70">
        <f>IF(ISERROR(VLOOKUP($S$141,'TAR FIN'!$A$1:$O$85,15,0)),0,VLOOKUP($S$141,'TAR FIN'!$A$1:$O$85,15,0))</f>
        <v>0</v>
      </c>
      <c r="W141" s="70">
        <f>IF(ISERROR(VLOOKUP($T$141,'TAR FIN'!$A$1:$O$85,15,0)),0,VLOOKUP($T$141,'TAR FIN'!$A$1:$O$85,15,0))*(1-0.04)</f>
        <v>2173.0367999999999</v>
      </c>
      <c r="X141" s="70">
        <f>IF(ISERROR(VLOOKUP($U$141,'TAR FIN'!$A$1:$O$85,15,0)),0,VLOOKUP($U$141,'TAR FIN'!$A$1:$O$85,15,0))*(1-0.04)</f>
        <v>214.77119999999999</v>
      </c>
      <c r="Y141" s="70"/>
      <c r="Z141" s="70">
        <f ca="1">('TUSD BE'!$AM$11+'TUSD BF'!$AM$11+'TUSD CVA'!$AM$11)*1*(1-0.02)</f>
        <v>2326.2024462524073</v>
      </c>
      <c r="AA141" s="70">
        <f>('TE BE'!$AA$5+'TE BF'!$AA$5+'TE CVA'!$AA$5)*1*(1-0.02)</f>
        <v>213.27681122210436</v>
      </c>
      <c r="AB141" s="70">
        <f>(SUBSIDIO!$J$141*SUBSIDIO!$V$141)*(0.04)/(1-0.04)</f>
        <v>0</v>
      </c>
      <c r="AC141" s="70">
        <f>((SUBSIDIO!$L$141*SUBSIDIO!$W$141)+(SUBSIDIO!$N$141*SUBSIDIO!$X$141))*(0.04)/(1-0.04)</f>
        <v>1343.042508</v>
      </c>
      <c r="AD141" s="70">
        <f>(SUBSIDIO!$J$141*SUBSIDIO!$Y$141)*(0.02)/(1-0.02)</f>
        <v>0</v>
      </c>
      <c r="AE141" s="70">
        <f ca="1">((SUBSIDIO!$L$141*SUBSIDIO!$Z$141)+(SUBSIDIO!$N$141*SUBSIDIO!$AA$141))*(0.02)/(1-0.02)</f>
        <v>699.60062238058026</v>
      </c>
      <c r="AF141" s="4" t="s">
        <v>563</v>
      </c>
    </row>
    <row r="142" spans="1:32" ht="11.25" customHeight="1" x14ac:dyDescent="0.25">
      <c r="A142" s="4" t="s">
        <v>21</v>
      </c>
      <c r="B142" s="4" t="s">
        <v>33</v>
      </c>
      <c r="C142" s="4" t="s">
        <v>34</v>
      </c>
      <c r="D142" s="4" t="s">
        <v>41</v>
      </c>
      <c r="E142" s="4" t="s">
        <v>25</v>
      </c>
      <c r="F142" s="4" t="s">
        <v>25</v>
      </c>
      <c r="G142" s="4" t="s">
        <v>25</v>
      </c>
      <c r="H142" s="4" t="s">
        <v>35</v>
      </c>
      <c r="I142" s="5">
        <v>44470</v>
      </c>
      <c r="J142" s="6">
        <v>0</v>
      </c>
      <c r="K142" s="70">
        <v>0</v>
      </c>
      <c r="L142" s="6">
        <v>11.019</v>
      </c>
      <c r="M142" s="70">
        <v>11.019</v>
      </c>
      <c r="N142" s="6">
        <v>11.019</v>
      </c>
      <c r="O142" s="70">
        <v>11.019</v>
      </c>
      <c r="P142" s="6">
        <v>0</v>
      </c>
      <c r="Q142" s="4" t="s">
        <v>26</v>
      </c>
      <c r="R142" s="4">
        <v>0</v>
      </c>
      <c r="S142" s="4">
        <v>0</v>
      </c>
      <c r="T142" s="4">
        <v>66</v>
      </c>
      <c r="U142" s="4">
        <v>6</v>
      </c>
      <c r="V142" s="70">
        <f>IF(ISERROR(VLOOKUP($S$142,'TAR FIN'!$A$1:$O$85,15,0)),0,VLOOKUP($S$142,'TAR FIN'!$A$1:$O$85,15,0))</f>
        <v>0</v>
      </c>
      <c r="W142" s="70">
        <f>IF(ISERROR(VLOOKUP($T$142,'TAR FIN'!$A$1:$O$85,15,0)),0,VLOOKUP($T$142,'TAR FIN'!$A$1:$O$85,15,0))*(1-0.04)</f>
        <v>2173.0367999999999</v>
      </c>
      <c r="X142" s="70">
        <f>IF(ISERROR(VLOOKUP($U$142,'TAR FIN'!$A$1:$O$85,15,0)),0,VLOOKUP($U$142,'TAR FIN'!$A$1:$O$85,15,0))*(1-0.04)</f>
        <v>214.77119999999999</v>
      </c>
      <c r="Y142" s="70"/>
      <c r="Z142" s="70">
        <f ca="1">('TUSD BE'!$AM$11+'TUSD BF'!$AM$11+'TUSD CVA'!$AM$11)*1*(1-0.02)</f>
        <v>2326.2024462524073</v>
      </c>
      <c r="AA142" s="70">
        <f>('TE BE'!$AA$5+'TE BF'!$AA$5+'TE CVA'!$AA$5)*1*(1-0.02)</f>
        <v>213.27681122210436</v>
      </c>
      <c r="AB142" s="70">
        <f>(SUBSIDIO!$J$142*SUBSIDIO!$V$142)*(0.04)/(1-0.04)</f>
        <v>0</v>
      </c>
      <c r="AC142" s="70">
        <f>((SUBSIDIO!$L$142*SUBSIDIO!$W$142)+(SUBSIDIO!$N$142*SUBSIDIO!$X$142))*(0.04)/(1-0.04)</f>
        <v>1096.3023479999999</v>
      </c>
      <c r="AD142" s="70">
        <f>(SUBSIDIO!$J$142*SUBSIDIO!$Y$142)*(0.02)/(1-0.02)</f>
        <v>0</v>
      </c>
      <c r="AE142" s="70">
        <f ca="1">((SUBSIDIO!$L$142*SUBSIDIO!$Z$142)+(SUBSIDIO!$N$142*SUBSIDIO!$AA$142))*(0.02)/(1-0.02)</f>
        <v>571.07187628799272</v>
      </c>
      <c r="AF142" s="4" t="s">
        <v>563</v>
      </c>
    </row>
    <row r="143" spans="1:32" ht="11.25" customHeight="1" x14ac:dyDescent="0.25">
      <c r="A143" s="4" t="s">
        <v>21</v>
      </c>
      <c r="B143" s="4" t="s">
        <v>33</v>
      </c>
      <c r="C143" s="4" t="s">
        <v>34</v>
      </c>
      <c r="D143" s="4" t="s">
        <v>41</v>
      </c>
      <c r="E143" s="4" t="s">
        <v>25</v>
      </c>
      <c r="F143" s="4" t="s">
        <v>25</v>
      </c>
      <c r="G143" s="4" t="s">
        <v>25</v>
      </c>
      <c r="H143" s="4" t="s">
        <v>35</v>
      </c>
      <c r="I143" s="5">
        <v>44501</v>
      </c>
      <c r="J143" s="6">
        <v>0</v>
      </c>
      <c r="K143" s="70">
        <v>0</v>
      </c>
      <c r="L143" s="6">
        <v>14.958</v>
      </c>
      <c r="M143" s="70">
        <v>14.958</v>
      </c>
      <c r="N143" s="6">
        <v>14.958</v>
      </c>
      <c r="O143" s="70">
        <v>14.958</v>
      </c>
      <c r="P143" s="6">
        <v>0</v>
      </c>
      <c r="Q143" s="4" t="s">
        <v>26</v>
      </c>
      <c r="R143" s="4">
        <v>0</v>
      </c>
      <c r="S143" s="4">
        <v>0</v>
      </c>
      <c r="T143" s="4">
        <v>66</v>
      </c>
      <c r="U143" s="4">
        <v>6</v>
      </c>
      <c r="V143" s="70">
        <f>IF(ISERROR(VLOOKUP($S$143,'TAR FIN'!$A$1:$O$85,15,0)),0,VLOOKUP($S$143,'TAR FIN'!$A$1:$O$85,15,0))</f>
        <v>0</v>
      </c>
      <c r="W143" s="70">
        <f>IF(ISERROR(VLOOKUP($T$143,'TAR FIN'!$A$1:$O$85,15,0)),0,VLOOKUP($T$143,'TAR FIN'!$A$1:$O$85,15,0))*(1-0.04)</f>
        <v>2173.0367999999999</v>
      </c>
      <c r="X143" s="70">
        <f>IF(ISERROR(VLOOKUP($U$143,'TAR FIN'!$A$1:$O$85,15,0)),0,VLOOKUP($U$143,'TAR FIN'!$A$1:$O$85,15,0))*(1-0.04)</f>
        <v>214.77119999999999</v>
      </c>
      <c r="Y143" s="70"/>
      <c r="Z143" s="70">
        <f ca="1">('TUSD BE'!$AM$11+'TUSD BF'!$AM$11+'TUSD CVA'!$AM$11)*1*(1-0.02)</f>
        <v>2326.2024462524073</v>
      </c>
      <c r="AA143" s="70">
        <f>('TE BE'!$AA$5+'TE BF'!$AA$5+'TE CVA'!$AA$5)*1*(1-0.02)</f>
        <v>213.27681122210436</v>
      </c>
      <c r="AB143" s="70">
        <f>(SUBSIDIO!$J$143*SUBSIDIO!$V$143)*(0.04)/(1-0.04)</f>
        <v>0</v>
      </c>
      <c r="AC143" s="70">
        <f>((SUBSIDIO!$L$143*SUBSIDIO!$W$143)+(SUBSIDIO!$N$143*SUBSIDIO!$X$143))*(0.04)/(1-0.04)</f>
        <v>1488.2013360000003</v>
      </c>
      <c r="AD143" s="70">
        <f>(SUBSIDIO!$J$143*SUBSIDIO!$Y$143)*(0.02)/(1-0.02)</f>
        <v>0</v>
      </c>
      <c r="AE143" s="70">
        <f ca="1">((SUBSIDIO!$L$143*SUBSIDIO!$Z$143)+(SUBSIDIO!$N$143*SUBSIDIO!$AA$143))*(0.02)/(1-0.02)</f>
        <v>775.21491292456631</v>
      </c>
      <c r="AF143" s="4" t="s">
        <v>563</v>
      </c>
    </row>
    <row r="144" spans="1:32" ht="11.25" customHeight="1" x14ac:dyDescent="0.25">
      <c r="A144" s="4" t="s">
        <v>21</v>
      </c>
      <c r="B144" s="4" t="s">
        <v>33</v>
      </c>
      <c r="C144" s="4" t="s">
        <v>34</v>
      </c>
      <c r="D144" s="4" t="s">
        <v>41</v>
      </c>
      <c r="E144" s="4" t="s">
        <v>25</v>
      </c>
      <c r="F144" s="4" t="s">
        <v>25</v>
      </c>
      <c r="G144" s="4" t="s">
        <v>25</v>
      </c>
      <c r="H144" s="4" t="s">
        <v>35</v>
      </c>
      <c r="I144" s="5">
        <v>44531</v>
      </c>
      <c r="J144" s="6">
        <v>0</v>
      </c>
      <c r="K144" s="70">
        <v>0</v>
      </c>
      <c r="L144" s="6">
        <v>15.686</v>
      </c>
      <c r="M144" s="70">
        <v>15.686</v>
      </c>
      <c r="N144" s="6">
        <v>15.686</v>
      </c>
      <c r="O144" s="70">
        <v>15.686</v>
      </c>
      <c r="P144" s="6">
        <v>0</v>
      </c>
      <c r="Q144" s="4" t="s">
        <v>26</v>
      </c>
      <c r="R144" s="4">
        <v>0</v>
      </c>
      <c r="S144" s="4">
        <v>0</v>
      </c>
      <c r="T144" s="4">
        <v>66</v>
      </c>
      <c r="U144" s="4">
        <v>6</v>
      </c>
      <c r="V144" s="70">
        <f>IF(ISERROR(VLOOKUP($S$144,'TAR FIN'!$A$1:$O$85,15,0)),0,VLOOKUP($S$144,'TAR FIN'!$A$1:$O$85,15,0))</f>
        <v>0</v>
      </c>
      <c r="W144" s="70">
        <f>IF(ISERROR(VLOOKUP($T$144,'TAR FIN'!$A$1:$O$85,15,0)),0,VLOOKUP($T$144,'TAR FIN'!$A$1:$O$85,15,0))*(1-0.04)</f>
        <v>2173.0367999999999</v>
      </c>
      <c r="X144" s="70">
        <f>IF(ISERROR(VLOOKUP($U$144,'TAR FIN'!$A$1:$O$85,15,0)),0,VLOOKUP($U$144,'TAR FIN'!$A$1:$O$85,15,0))*(1-0.04)</f>
        <v>214.77119999999999</v>
      </c>
      <c r="Y144" s="70"/>
      <c r="Z144" s="70">
        <f ca="1">('TUSD BE'!$AM$11+'TUSD BF'!$AM$11+'TUSD CVA'!$AM$11)*1*(1-0.02)</f>
        <v>2326.2024462524073</v>
      </c>
      <c r="AA144" s="70">
        <f>('TE BE'!$AA$5+'TE BF'!$AA$5+'TE CVA'!$AA$5)*1*(1-0.02)</f>
        <v>213.27681122210436</v>
      </c>
      <c r="AB144" s="70">
        <f>(SUBSIDIO!$J$144*SUBSIDIO!$V$144)*(0.04)/(1-0.04)</f>
        <v>0</v>
      </c>
      <c r="AC144" s="70">
        <f>((SUBSIDIO!$L$144*SUBSIDIO!$W$144)+(SUBSIDIO!$N$144*SUBSIDIO!$X$144))*(0.04)/(1-0.04)</f>
        <v>1560.6315120000002</v>
      </c>
      <c r="AD144" s="70">
        <f>(SUBSIDIO!$J$144*SUBSIDIO!$Y$144)*(0.02)/(1-0.02)</f>
        <v>0</v>
      </c>
      <c r="AE144" s="70">
        <f ca="1">((SUBSIDIO!$L$144*SUBSIDIO!$Z$144)+(SUBSIDIO!$N$144*SUBSIDIO!$AA$144))*(0.02)/(1-0.02)</f>
        <v>812.9443190356161</v>
      </c>
      <c r="AF144" s="4" t="s">
        <v>563</v>
      </c>
    </row>
    <row r="145" spans="1:32" ht="11.25" customHeight="1" x14ac:dyDescent="0.25">
      <c r="A145" s="4" t="s">
        <v>21</v>
      </c>
      <c r="B145" s="4" t="s">
        <v>33</v>
      </c>
      <c r="C145" s="4" t="s">
        <v>34</v>
      </c>
      <c r="D145" s="4" t="s">
        <v>41</v>
      </c>
      <c r="E145" s="4" t="s">
        <v>25</v>
      </c>
      <c r="F145" s="4" t="s">
        <v>25</v>
      </c>
      <c r="G145" s="4" t="s">
        <v>25</v>
      </c>
      <c r="H145" s="4" t="s">
        <v>35</v>
      </c>
      <c r="I145" s="5">
        <v>44562</v>
      </c>
      <c r="J145" s="6">
        <v>0</v>
      </c>
      <c r="K145" s="70">
        <v>0</v>
      </c>
      <c r="L145" s="6">
        <v>16.434999999999999</v>
      </c>
      <c r="M145" s="70">
        <v>16.434999999999999</v>
      </c>
      <c r="N145" s="6">
        <v>16.434999999999999</v>
      </c>
      <c r="O145" s="70">
        <v>16.434999999999999</v>
      </c>
      <c r="P145" s="6">
        <v>0</v>
      </c>
      <c r="Q145" s="4" t="s">
        <v>26</v>
      </c>
      <c r="R145" s="4">
        <v>0</v>
      </c>
      <c r="S145" s="4">
        <v>0</v>
      </c>
      <c r="T145" s="4">
        <v>66</v>
      </c>
      <c r="U145" s="4">
        <v>6</v>
      </c>
      <c r="V145" s="70">
        <f>IF(ISERROR(VLOOKUP($S$145,'TAR FIN'!$A$1:$O$85,15,0)),0,VLOOKUP($S$145,'TAR FIN'!$A$1:$O$85,15,0))</f>
        <v>0</v>
      </c>
      <c r="W145" s="70">
        <f>IF(ISERROR(VLOOKUP($T$145,'TAR FIN'!$A$1:$O$85,15,0)),0,VLOOKUP($T$145,'TAR FIN'!$A$1:$O$85,15,0))*(1-0.04)</f>
        <v>2173.0367999999999</v>
      </c>
      <c r="X145" s="70">
        <f>IF(ISERROR(VLOOKUP($U$145,'TAR FIN'!$A$1:$O$85,15,0)),0,VLOOKUP($U$145,'TAR FIN'!$A$1:$O$85,15,0))*(1-0.04)</f>
        <v>214.77119999999999</v>
      </c>
      <c r="Y145" s="70"/>
      <c r="Z145" s="70">
        <f ca="1">('TUSD BE'!$AM$11+'TUSD BF'!$AM$11+'TUSD CVA'!$AM$11)*1*(1-0.02)</f>
        <v>2326.2024462524073</v>
      </c>
      <c r="AA145" s="70">
        <f>('TE BE'!$AA$5+'TE BF'!$AA$5+'TE CVA'!$AA$5)*1*(1-0.02)</f>
        <v>213.27681122210436</v>
      </c>
      <c r="AB145" s="70">
        <f>(SUBSIDIO!$J$145*SUBSIDIO!$V$145)*(0.04)/(1-0.04)</f>
        <v>0</v>
      </c>
      <c r="AC145" s="70">
        <f>((SUBSIDIO!$L$145*SUBSIDIO!$W$145)+(SUBSIDIO!$N$145*SUBSIDIO!$X$145))*(0.04)/(1-0.04)</f>
        <v>1635.1510199999998</v>
      </c>
      <c r="AD145" s="70">
        <f>(SUBSIDIO!$J$145*SUBSIDIO!$Y$145)*(0.02)/(1-0.02)</f>
        <v>0</v>
      </c>
      <c r="AE145" s="70">
        <f ca="1">((SUBSIDIO!$L$145*SUBSIDIO!$Z$145)+(SUBSIDIO!$N$145*SUBSIDIO!$AA$145))*(0.02)/(1-0.02)</f>
        <v>851.76207339986922</v>
      </c>
      <c r="AF145" s="4" t="s">
        <v>563</v>
      </c>
    </row>
    <row r="146" spans="1:32" ht="11.25" customHeight="1" x14ac:dyDescent="0.25">
      <c r="A146" s="4" t="s">
        <v>21</v>
      </c>
      <c r="B146" s="4" t="s">
        <v>33</v>
      </c>
      <c r="C146" s="4" t="s">
        <v>34</v>
      </c>
      <c r="D146" s="4" t="s">
        <v>41</v>
      </c>
      <c r="E146" s="4" t="s">
        <v>25</v>
      </c>
      <c r="F146" s="4" t="s">
        <v>25</v>
      </c>
      <c r="G146" s="4" t="s">
        <v>25</v>
      </c>
      <c r="H146" s="4" t="s">
        <v>35</v>
      </c>
      <c r="I146" s="5">
        <v>44593</v>
      </c>
      <c r="J146" s="6">
        <v>0</v>
      </c>
      <c r="K146" s="70">
        <v>0</v>
      </c>
      <c r="L146" s="6">
        <v>25.297999999999998</v>
      </c>
      <c r="M146" s="70">
        <v>25.297999999999998</v>
      </c>
      <c r="N146" s="6">
        <v>25.297999999999998</v>
      </c>
      <c r="O146" s="70">
        <v>25.297999999999998</v>
      </c>
      <c r="P146" s="6">
        <v>0</v>
      </c>
      <c r="Q146" s="4" t="s">
        <v>26</v>
      </c>
      <c r="R146" s="4">
        <v>0</v>
      </c>
      <c r="S146" s="4">
        <v>0</v>
      </c>
      <c r="T146" s="4">
        <v>66</v>
      </c>
      <c r="U146" s="4">
        <v>6</v>
      </c>
      <c r="V146" s="70">
        <f>IF(ISERROR(VLOOKUP($S$146,'TAR FIN'!$A$1:$O$85,15,0)),0,VLOOKUP($S$146,'TAR FIN'!$A$1:$O$85,15,0))</f>
        <v>0</v>
      </c>
      <c r="W146" s="70">
        <f>IF(ISERROR(VLOOKUP($T$146,'TAR FIN'!$A$1:$O$85,15,0)),0,VLOOKUP($T$146,'TAR FIN'!$A$1:$O$85,15,0))*(1-0.04)</f>
        <v>2173.0367999999999</v>
      </c>
      <c r="X146" s="70">
        <f>IF(ISERROR(VLOOKUP($U$146,'TAR FIN'!$A$1:$O$85,15,0)),0,VLOOKUP($U$146,'TAR FIN'!$A$1:$O$85,15,0))*(1-0.04)</f>
        <v>214.77119999999999</v>
      </c>
      <c r="Y146" s="70"/>
      <c r="Z146" s="70">
        <f ca="1">('TUSD BE'!$AM$11+'TUSD BF'!$AM$11+'TUSD CVA'!$AM$11)*1*(1-0.02)</f>
        <v>2326.2024462524073</v>
      </c>
      <c r="AA146" s="70">
        <f>('TE BE'!$AA$5+'TE BF'!$AA$5+'TE CVA'!$AA$5)*1*(1-0.02)</f>
        <v>213.27681122210436</v>
      </c>
      <c r="AB146" s="70">
        <f>(SUBSIDIO!$J$146*SUBSIDIO!$V$146)*(0.04)/(1-0.04)</f>
        <v>0</v>
      </c>
      <c r="AC146" s="70">
        <f>((SUBSIDIO!$L$146*SUBSIDIO!$W$146)+(SUBSIDIO!$N$146*SUBSIDIO!$X$146))*(0.04)/(1-0.04)</f>
        <v>2516.9486159999997</v>
      </c>
      <c r="AD146" s="70">
        <f>(SUBSIDIO!$J$146*SUBSIDIO!$Y$146)*(0.02)/(1-0.02)</f>
        <v>0</v>
      </c>
      <c r="AE146" s="70">
        <f ca="1">((SUBSIDIO!$L$146*SUBSIDIO!$Z$146)+(SUBSIDIO!$N$146*SUBSIDIO!$AA$146))*(0.02)/(1-0.02)</f>
        <v>1311.0968623589836</v>
      </c>
      <c r="AF146" s="4" t="s">
        <v>563</v>
      </c>
    </row>
    <row r="147" spans="1:32" ht="11.25" customHeight="1" x14ac:dyDescent="0.25">
      <c r="A147" s="4" t="s">
        <v>54</v>
      </c>
      <c r="B147" s="4" t="s">
        <v>33</v>
      </c>
      <c r="C147" s="4" t="s">
        <v>34</v>
      </c>
      <c r="D147" s="4" t="s">
        <v>41</v>
      </c>
      <c r="E147" s="4" t="s">
        <v>25</v>
      </c>
      <c r="F147" s="4" t="s">
        <v>25</v>
      </c>
      <c r="G147" s="4" t="s">
        <v>25</v>
      </c>
      <c r="H147" s="4" t="s">
        <v>35</v>
      </c>
      <c r="I147" s="5">
        <v>44621</v>
      </c>
      <c r="J147" s="6">
        <v>0</v>
      </c>
      <c r="K147" s="70">
        <v>0</v>
      </c>
      <c r="L147" s="6">
        <v>25.297999999999998</v>
      </c>
      <c r="M147" s="70">
        <v>25.297999999999998</v>
      </c>
      <c r="N147" s="6">
        <v>25.297999999999998</v>
      </c>
      <c r="O147" s="70">
        <v>25.297999999999998</v>
      </c>
      <c r="P147" s="6">
        <v>0</v>
      </c>
      <c r="Q147" s="4" t="s">
        <v>26</v>
      </c>
      <c r="R147" s="4">
        <v>0</v>
      </c>
      <c r="S147" s="4">
        <v>0</v>
      </c>
      <c r="T147" s="4">
        <v>66</v>
      </c>
      <c r="U147" s="4">
        <v>6</v>
      </c>
      <c r="V147" s="70">
        <f>IF(ISERROR(VLOOKUP($S$147,'TAR FIN'!$A$1:$O$85,15,0)),0,VLOOKUP($S$147,'TAR FIN'!$A$1:$O$85,15,0))</f>
        <v>0</v>
      </c>
      <c r="W147" s="70">
        <f>IF(ISERROR(VLOOKUP($T$147,'TAR FIN'!$A$1:$O$85,15,0)),0,VLOOKUP($T$147,'TAR FIN'!$A$1:$O$85,15,0))*(1-0.04)</f>
        <v>2173.0367999999999</v>
      </c>
      <c r="X147" s="70">
        <f>IF(ISERROR(VLOOKUP($U$147,'TAR FIN'!$A$1:$O$85,15,0)),0,VLOOKUP($U$147,'TAR FIN'!$A$1:$O$85,15,0))*(1-0.04)</f>
        <v>214.77119999999999</v>
      </c>
      <c r="Y147" s="70"/>
      <c r="Z147" s="70">
        <f ca="1">('TUSD BE'!$AM$11+'TUSD BF'!$AM$11+'TUSD CVA'!$AM$11)*1*(1-0.02)</f>
        <v>2326.2024462524073</v>
      </c>
      <c r="AA147" s="70">
        <f>('TE BE'!$AA$5+'TE BF'!$AA$5+'TE CVA'!$AA$5)*1*(1-0.02)</f>
        <v>213.27681122210436</v>
      </c>
      <c r="AB147" s="70">
        <f>(SUBSIDIO!$J$147*SUBSIDIO!$V$147)*(0.04)/(1-0.04)</f>
        <v>0</v>
      </c>
      <c r="AC147" s="70">
        <f>((SUBSIDIO!$L$147*SUBSIDIO!$W$147)+(SUBSIDIO!$N$147*SUBSIDIO!$X$147))*(0.04)/(1-0.04)</f>
        <v>2516.9486159999997</v>
      </c>
      <c r="AD147" s="70">
        <f>(SUBSIDIO!$J$147*SUBSIDIO!$Y$147)*(0.02)/(1-0.02)</f>
        <v>0</v>
      </c>
      <c r="AE147" s="70">
        <f ca="1">((SUBSIDIO!$L$147*SUBSIDIO!$Z$147)+(SUBSIDIO!$N$147*SUBSIDIO!$AA$147))*(0.02)/(1-0.02)</f>
        <v>1311.0968623589836</v>
      </c>
      <c r="AF147" s="4" t="s">
        <v>563</v>
      </c>
    </row>
    <row r="148" spans="1:32" ht="11.25" customHeight="1" x14ac:dyDescent="0.25">
      <c r="A148" s="4" t="s">
        <v>21</v>
      </c>
      <c r="B148" s="4" t="s">
        <v>33</v>
      </c>
      <c r="C148" s="4" t="s">
        <v>34</v>
      </c>
      <c r="D148" s="4" t="s">
        <v>48</v>
      </c>
      <c r="E148" s="4" t="s">
        <v>49</v>
      </c>
      <c r="F148" s="4" t="s">
        <v>25</v>
      </c>
      <c r="G148" s="4" t="s">
        <v>25</v>
      </c>
      <c r="H148" s="4" t="s">
        <v>36</v>
      </c>
      <c r="I148" s="5">
        <v>44287</v>
      </c>
      <c r="J148" s="6">
        <v>0</v>
      </c>
      <c r="K148" s="70">
        <v>0</v>
      </c>
      <c r="L148" s="6">
        <v>130.72300000000001</v>
      </c>
      <c r="M148" s="70">
        <v>130.72300000000001</v>
      </c>
      <c r="N148" s="6">
        <v>130.72300000000001</v>
      </c>
      <c r="O148" s="70">
        <v>130.72300000000001</v>
      </c>
      <c r="P148" s="6">
        <v>0</v>
      </c>
      <c r="Q148" s="4" t="s">
        <v>26</v>
      </c>
      <c r="R148" s="4">
        <v>0</v>
      </c>
      <c r="S148" s="4">
        <v>0</v>
      </c>
      <c r="T148" s="4">
        <v>47</v>
      </c>
      <c r="U148" s="4">
        <v>27</v>
      </c>
      <c r="V148" s="70">
        <f>IF(ISERROR(VLOOKUP($S$148,'TAR FIN'!$A$1:$O$85,15,0)),0,VLOOKUP($S$148,'TAR FIN'!$A$1:$O$85,15,0))</f>
        <v>0</v>
      </c>
      <c r="W148" s="70">
        <f>IF(ISERROR(VLOOKUP($T$148,'TAR FIN'!$A$1:$O$85,15,0)),0,VLOOKUP($T$148,'TAR FIN'!$A$1:$O$85,15,0))*(1-0.06)</f>
        <v>67.896199999999993</v>
      </c>
      <c r="X148" s="70">
        <f>IF(ISERROR(VLOOKUP($U$148,'TAR FIN'!$A$1:$O$85,15,0)),0,VLOOKUP($U$148,'TAR FIN'!$A$1:$O$85,15,0))*(1-0.06)</f>
        <v>210.29679999999999</v>
      </c>
      <c r="Y148" s="70"/>
      <c r="Z148" s="70">
        <f ca="1">('TUSD BE'!$AM$12+'TUSD BF'!$AM$12+'TUSD CVA'!$AM$12)*1*(1-0.03)</f>
        <v>100.20590740050056</v>
      </c>
      <c r="AA148" s="70">
        <f>('TE BE'!$AA$6+'TE BF'!$AA$6+'TE CVA'!$AA$6)*1*(1-0.03)</f>
        <v>211.10051723004204</v>
      </c>
      <c r="AB148" s="70">
        <f>(SUBSIDIO!$J$148*SUBSIDIO!$V$148)*(0.06)/(1-0.06)</f>
        <v>0</v>
      </c>
      <c r="AC148" s="70">
        <f>((SUBSIDIO!$L$148*SUBSIDIO!$W$148)+(SUBSIDIO!$N$148*SUBSIDIO!$X$148))*(0.06)/(1-0.06)</f>
        <v>2321.2483109999998</v>
      </c>
      <c r="AD148" s="70">
        <f>(SUBSIDIO!$J$148*SUBSIDIO!$Y$148)*(0.03)/(1-0.03)</f>
        <v>0</v>
      </c>
      <c r="AE148" s="70">
        <f ca="1">((SUBSIDIO!$L$148*SUBSIDIO!$Z$148)+(SUBSIDIO!$N$148*SUBSIDIO!$AA$148))*(0.03)/(1-0.03)</f>
        <v>1258.6054560921164</v>
      </c>
      <c r="AF148" s="4" t="s">
        <v>565</v>
      </c>
    </row>
    <row r="149" spans="1:32" ht="11.25" customHeight="1" x14ac:dyDescent="0.25">
      <c r="A149" s="4" t="s">
        <v>21</v>
      </c>
      <c r="B149" s="4" t="s">
        <v>33</v>
      </c>
      <c r="C149" s="4" t="s">
        <v>34</v>
      </c>
      <c r="D149" s="4" t="s">
        <v>48</v>
      </c>
      <c r="E149" s="4" t="s">
        <v>49</v>
      </c>
      <c r="F149" s="4" t="s">
        <v>25</v>
      </c>
      <c r="G149" s="4" t="s">
        <v>25</v>
      </c>
      <c r="H149" s="4" t="s">
        <v>36</v>
      </c>
      <c r="I149" s="5">
        <v>44317</v>
      </c>
      <c r="J149" s="6">
        <v>0</v>
      </c>
      <c r="K149" s="70">
        <v>0</v>
      </c>
      <c r="L149" s="6">
        <v>120.06699999999999</v>
      </c>
      <c r="M149" s="70">
        <v>120.06699999999999</v>
      </c>
      <c r="N149" s="6">
        <v>120.06699999999999</v>
      </c>
      <c r="O149" s="70">
        <v>120.06699999999999</v>
      </c>
      <c r="P149" s="6">
        <v>0</v>
      </c>
      <c r="Q149" s="4" t="s">
        <v>26</v>
      </c>
      <c r="R149" s="4">
        <v>0</v>
      </c>
      <c r="S149" s="4">
        <v>0</v>
      </c>
      <c r="T149" s="4">
        <v>47</v>
      </c>
      <c r="U149" s="4">
        <v>27</v>
      </c>
      <c r="V149" s="70">
        <f>IF(ISERROR(VLOOKUP($S$149,'TAR FIN'!$A$1:$O$85,15,0)),0,VLOOKUP($S$149,'TAR FIN'!$A$1:$O$85,15,0))</f>
        <v>0</v>
      </c>
      <c r="W149" s="70">
        <f>IF(ISERROR(VLOOKUP($T$149,'TAR FIN'!$A$1:$O$85,15,0)),0,VLOOKUP($T$149,'TAR FIN'!$A$1:$O$85,15,0))*(1-0.06)</f>
        <v>67.896199999999993</v>
      </c>
      <c r="X149" s="70">
        <f>IF(ISERROR(VLOOKUP($U$149,'TAR FIN'!$A$1:$O$85,15,0)),0,VLOOKUP($U$149,'TAR FIN'!$A$1:$O$85,15,0))*(1-0.06)</f>
        <v>210.29679999999999</v>
      </c>
      <c r="Y149" s="70"/>
      <c r="Z149" s="70">
        <f ca="1">('TUSD BE'!$AM$12+'TUSD BF'!$AM$12+'TUSD CVA'!$AM$12)*1*(1-0.03)</f>
        <v>100.20590740050056</v>
      </c>
      <c r="AA149" s="70">
        <f>('TE BE'!$AA$6+'TE BF'!$AA$6+'TE CVA'!$AA$6)*1*(1-0.03)</f>
        <v>211.10051723004204</v>
      </c>
      <c r="AB149" s="70">
        <f>(SUBSIDIO!$J$149*SUBSIDIO!$V$149)*(0.06)/(1-0.06)</f>
        <v>0</v>
      </c>
      <c r="AC149" s="70">
        <f>((SUBSIDIO!$L$149*SUBSIDIO!$W$149)+(SUBSIDIO!$N$149*SUBSIDIO!$X$149))*(0.06)/(1-0.06)</f>
        <v>2132.0297189999997</v>
      </c>
      <c r="AD149" s="70">
        <f>(SUBSIDIO!$J$149*SUBSIDIO!$Y$149)*(0.03)/(1-0.03)</f>
        <v>0</v>
      </c>
      <c r="AE149" s="70">
        <f ca="1">((SUBSIDIO!$L$149*SUBSIDIO!$Z$149)+(SUBSIDIO!$N$149*SUBSIDIO!$AA$149))*(0.03)/(1-0.03)</f>
        <v>1156.0091284365571</v>
      </c>
      <c r="AF149" s="4" t="s">
        <v>565</v>
      </c>
    </row>
    <row r="150" spans="1:32" ht="11.25" customHeight="1" x14ac:dyDescent="0.25">
      <c r="A150" s="4" t="s">
        <v>21</v>
      </c>
      <c r="B150" s="4" t="s">
        <v>33</v>
      </c>
      <c r="C150" s="4" t="s">
        <v>34</v>
      </c>
      <c r="D150" s="4" t="s">
        <v>48</v>
      </c>
      <c r="E150" s="4" t="s">
        <v>49</v>
      </c>
      <c r="F150" s="4" t="s">
        <v>25</v>
      </c>
      <c r="G150" s="4" t="s">
        <v>25</v>
      </c>
      <c r="H150" s="4" t="s">
        <v>36</v>
      </c>
      <c r="I150" s="5">
        <v>44348</v>
      </c>
      <c r="J150" s="6">
        <v>0</v>
      </c>
      <c r="K150" s="70">
        <v>0</v>
      </c>
      <c r="L150" s="6">
        <v>116.58799999999999</v>
      </c>
      <c r="M150" s="70">
        <v>116.58799999999999</v>
      </c>
      <c r="N150" s="6">
        <v>116.58799999999999</v>
      </c>
      <c r="O150" s="70">
        <v>116.58799999999999</v>
      </c>
      <c r="P150" s="6">
        <v>0</v>
      </c>
      <c r="Q150" s="4" t="s">
        <v>26</v>
      </c>
      <c r="R150" s="4">
        <v>0</v>
      </c>
      <c r="S150" s="4">
        <v>0</v>
      </c>
      <c r="T150" s="4">
        <v>47</v>
      </c>
      <c r="U150" s="4">
        <v>27</v>
      </c>
      <c r="V150" s="70">
        <f>IF(ISERROR(VLOOKUP($S$150,'TAR FIN'!$A$1:$O$85,15,0)),0,VLOOKUP($S$150,'TAR FIN'!$A$1:$O$85,15,0))</f>
        <v>0</v>
      </c>
      <c r="W150" s="70">
        <f>IF(ISERROR(VLOOKUP($T$150,'TAR FIN'!$A$1:$O$85,15,0)),0,VLOOKUP($T$150,'TAR FIN'!$A$1:$O$85,15,0))*(1-0.06)</f>
        <v>67.896199999999993</v>
      </c>
      <c r="X150" s="70">
        <f>IF(ISERROR(VLOOKUP($U$150,'TAR FIN'!$A$1:$O$85,15,0)),0,VLOOKUP($U$150,'TAR FIN'!$A$1:$O$85,15,0))*(1-0.06)</f>
        <v>210.29679999999999</v>
      </c>
      <c r="Y150" s="70"/>
      <c r="Z150" s="70">
        <f ca="1">('TUSD BE'!$AM$12+'TUSD BF'!$AM$12+'TUSD CVA'!$AM$12)*1*(1-0.03)</f>
        <v>100.20590740050056</v>
      </c>
      <c r="AA150" s="70">
        <f>('TE BE'!$AA$6+'TE BF'!$AA$6+'TE CVA'!$AA$6)*1*(1-0.03)</f>
        <v>211.10051723004204</v>
      </c>
      <c r="AB150" s="70">
        <f>(SUBSIDIO!$J$150*SUBSIDIO!$V$150)*(0.06)/(1-0.06)</f>
        <v>0</v>
      </c>
      <c r="AC150" s="70">
        <f>((SUBSIDIO!$L$150*SUBSIDIO!$W$150)+(SUBSIDIO!$N$150*SUBSIDIO!$X$150))*(0.06)/(1-0.06)</f>
        <v>2070.2531159999999</v>
      </c>
      <c r="AD150" s="70">
        <f>(SUBSIDIO!$J$150*SUBSIDIO!$Y$150)*(0.03)/(1-0.03)</f>
        <v>0</v>
      </c>
      <c r="AE150" s="70">
        <f ca="1">((SUBSIDIO!$L$150*SUBSIDIO!$Z$150)+(SUBSIDIO!$N$150*SUBSIDIO!$AA$150))*(0.03)/(1-0.03)</f>
        <v>1122.5131990152279</v>
      </c>
      <c r="AF150" s="4" t="s">
        <v>565</v>
      </c>
    </row>
    <row r="151" spans="1:32" ht="11.25" customHeight="1" x14ac:dyDescent="0.25">
      <c r="A151" s="4" t="s">
        <v>21</v>
      </c>
      <c r="B151" s="4" t="s">
        <v>33</v>
      </c>
      <c r="C151" s="4" t="s">
        <v>34</v>
      </c>
      <c r="D151" s="4" t="s">
        <v>48</v>
      </c>
      <c r="E151" s="4" t="s">
        <v>49</v>
      </c>
      <c r="F151" s="4" t="s">
        <v>25</v>
      </c>
      <c r="G151" s="4" t="s">
        <v>25</v>
      </c>
      <c r="H151" s="4" t="s">
        <v>36</v>
      </c>
      <c r="I151" s="5">
        <v>44378</v>
      </c>
      <c r="J151" s="6">
        <v>0</v>
      </c>
      <c r="K151" s="70">
        <v>0</v>
      </c>
      <c r="L151" s="6">
        <v>112.50700000000001</v>
      </c>
      <c r="M151" s="70">
        <v>112.50700000000001</v>
      </c>
      <c r="N151" s="6">
        <v>112.50700000000001</v>
      </c>
      <c r="O151" s="70">
        <v>112.50700000000001</v>
      </c>
      <c r="P151" s="6">
        <v>0</v>
      </c>
      <c r="Q151" s="4" t="s">
        <v>26</v>
      </c>
      <c r="R151" s="4">
        <v>0</v>
      </c>
      <c r="S151" s="4">
        <v>0</v>
      </c>
      <c r="T151" s="4">
        <v>47</v>
      </c>
      <c r="U151" s="4">
        <v>27</v>
      </c>
      <c r="V151" s="70">
        <f>IF(ISERROR(VLOOKUP($S$151,'TAR FIN'!$A$1:$O$85,15,0)),0,VLOOKUP($S$151,'TAR FIN'!$A$1:$O$85,15,0))</f>
        <v>0</v>
      </c>
      <c r="W151" s="70">
        <f>IF(ISERROR(VLOOKUP($T$151,'TAR FIN'!$A$1:$O$85,15,0)),0,VLOOKUP($T$151,'TAR FIN'!$A$1:$O$85,15,0))*(1-0.06)</f>
        <v>67.896199999999993</v>
      </c>
      <c r="X151" s="70">
        <f>IF(ISERROR(VLOOKUP($U$151,'TAR FIN'!$A$1:$O$85,15,0)),0,VLOOKUP($U$151,'TAR FIN'!$A$1:$O$85,15,0))*(1-0.06)</f>
        <v>210.29679999999999</v>
      </c>
      <c r="Y151" s="70"/>
      <c r="Z151" s="70">
        <f ca="1">('TUSD BE'!$AM$12+'TUSD BF'!$AM$12+'TUSD CVA'!$AM$12)*1*(1-0.03)</f>
        <v>100.20590740050056</v>
      </c>
      <c r="AA151" s="70">
        <f>('TE BE'!$AA$6+'TE BF'!$AA$6+'TE CVA'!$AA$6)*1*(1-0.03)</f>
        <v>211.10051723004204</v>
      </c>
      <c r="AB151" s="70">
        <f>(SUBSIDIO!$J$151*SUBSIDIO!$V$151)*(0.06)/(1-0.06)</f>
        <v>0</v>
      </c>
      <c r="AC151" s="70">
        <f>((SUBSIDIO!$L$151*SUBSIDIO!$W$151)+(SUBSIDIO!$N$151*SUBSIDIO!$X$151))*(0.06)/(1-0.06)</f>
        <v>1997.7867989999997</v>
      </c>
      <c r="AD151" s="70">
        <f>(SUBSIDIO!$J$151*SUBSIDIO!$Y$151)*(0.03)/(1-0.03)</f>
        <v>0</v>
      </c>
      <c r="AE151" s="70">
        <f ca="1">((SUBSIDIO!$L$151*SUBSIDIO!$Z$151)+(SUBSIDIO!$N$151*SUBSIDIO!$AA$151))*(0.03)/(1-0.03)</f>
        <v>1083.2211932755192</v>
      </c>
      <c r="AF151" s="4" t="s">
        <v>565</v>
      </c>
    </row>
    <row r="152" spans="1:32" ht="11.25" customHeight="1" x14ac:dyDescent="0.25">
      <c r="A152" s="4" t="s">
        <v>21</v>
      </c>
      <c r="B152" s="4" t="s">
        <v>33</v>
      </c>
      <c r="C152" s="4" t="s">
        <v>34</v>
      </c>
      <c r="D152" s="4" t="s">
        <v>48</v>
      </c>
      <c r="E152" s="4" t="s">
        <v>49</v>
      </c>
      <c r="F152" s="4" t="s">
        <v>25</v>
      </c>
      <c r="G152" s="4" t="s">
        <v>25</v>
      </c>
      <c r="H152" s="4" t="s">
        <v>36</v>
      </c>
      <c r="I152" s="5">
        <v>44409</v>
      </c>
      <c r="J152" s="6">
        <v>0</v>
      </c>
      <c r="K152" s="70">
        <v>0</v>
      </c>
      <c r="L152" s="6">
        <v>112.31399999999999</v>
      </c>
      <c r="M152" s="70">
        <v>112.31399999999999</v>
      </c>
      <c r="N152" s="6">
        <v>112.31399999999999</v>
      </c>
      <c r="O152" s="70">
        <v>112.31399999999999</v>
      </c>
      <c r="P152" s="6">
        <v>0</v>
      </c>
      <c r="Q152" s="4" t="s">
        <v>26</v>
      </c>
      <c r="R152" s="4">
        <v>0</v>
      </c>
      <c r="S152" s="4">
        <v>0</v>
      </c>
      <c r="T152" s="4">
        <v>47</v>
      </c>
      <c r="U152" s="4">
        <v>27</v>
      </c>
      <c r="V152" s="70">
        <f>IF(ISERROR(VLOOKUP($S$152,'TAR FIN'!$A$1:$O$85,15,0)),0,VLOOKUP($S$152,'TAR FIN'!$A$1:$O$85,15,0))</f>
        <v>0</v>
      </c>
      <c r="W152" s="70">
        <f>IF(ISERROR(VLOOKUP($T$152,'TAR FIN'!$A$1:$O$85,15,0)),0,VLOOKUP($T$152,'TAR FIN'!$A$1:$O$85,15,0))*(1-0.06)</f>
        <v>67.896199999999993</v>
      </c>
      <c r="X152" s="70">
        <f>IF(ISERROR(VLOOKUP($U$152,'TAR FIN'!$A$1:$O$85,15,0)),0,VLOOKUP($U$152,'TAR FIN'!$A$1:$O$85,15,0))*(1-0.06)</f>
        <v>210.29679999999999</v>
      </c>
      <c r="Y152" s="70"/>
      <c r="Z152" s="70">
        <f ca="1">('TUSD BE'!$AM$12+'TUSD BF'!$AM$12+'TUSD CVA'!$AM$12)*1*(1-0.03)</f>
        <v>100.20590740050056</v>
      </c>
      <c r="AA152" s="70">
        <f>('TE BE'!$AA$6+'TE BF'!$AA$6+'TE CVA'!$AA$6)*1*(1-0.03)</f>
        <v>211.10051723004204</v>
      </c>
      <c r="AB152" s="70">
        <f>(SUBSIDIO!$J$152*SUBSIDIO!$V$152)*(0.06)/(1-0.06)</f>
        <v>0</v>
      </c>
      <c r="AC152" s="70">
        <f>((SUBSIDIO!$L$152*SUBSIDIO!$W$152)+(SUBSIDIO!$N$152*SUBSIDIO!$X$152))*(0.06)/(1-0.06)</f>
        <v>1994.3596979999998</v>
      </c>
      <c r="AD152" s="70">
        <f>(SUBSIDIO!$J$152*SUBSIDIO!$Y$152)*(0.03)/(1-0.03)</f>
        <v>0</v>
      </c>
      <c r="AE152" s="70">
        <f ca="1">((SUBSIDIO!$L$152*SUBSIDIO!$Z$152)+(SUBSIDIO!$N$152*SUBSIDIO!$AA$152))*(0.03)/(1-0.03)</f>
        <v>1081.3629827614875</v>
      </c>
      <c r="AF152" s="4" t="s">
        <v>565</v>
      </c>
    </row>
    <row r="153" spans="1:32" ht="11.25" customHeight="1" x14ac:dyDescent="0.25">
      <c r="A153" s="4" t="s">
        <v>21</v>
      </c>
      <c r="B153" s="4" t="s">
        <v>33</v>
      </c>
      <c r="C153" s="4" t="s">
        <v>34</v>
      </c>
      <c r="D153" s="4" t="s">
        <v>48</v>
      </c>
      <c r="E153" s="4" t="s">
        <v>49</v>
      </c>
      <c r="F153" s="4" t="s">
        <v>25</v>
      </c>
      <c r="G153" s="4" t="s">
        <v>25</v>
      </c>
      <c r="H153" s="4" t="s">
        <v>36</v>
      </c>
      <c r="I153" s="5">
        <v>44440</v>
      </c>
      <c r="J153" s="6">
        <v>0</v>
      </c>
      <c r="K153" s="70">
        <v>0</v>
      </c>
      <c r="L153" s="6">
        <v>116.23399999999999</v>
      </c>
      <c r="M153" s="70">
        <v>116.23399999999999</v>
      </c>
      <c r="N153" s="6">
        <v>116.23399999999999</v>
      </c>
      <c r="O153" s="70">
        <v>116.23399999999999</v>
      </c>
      <c r="P153" s="6">
        <v>0</v>
      </c>
      <c r="Q153" s="4" t="s">
        <v>26</v>
      </c>
      <c r="R153" s="4">
        <v>0</v>
      </c>
      <c r="S153" s="4">
        <v>0</v>
      </c>
      <c r="T153" s="4">
        <v>47</v>
      </c>
      <c r="U153" s="4">
        <v>27</v>
      </c>
      <c r="V153" s="70">
        <f>IF(ISERROR(VLOOKUP($S$153,'TAR FIN'!$A$1:$O$85,15,0)),0,VLOOKUP($S$153,'TAR FIN'!$A$1:$O$85,15,0))</f>
        <v>0</v>
      </c>
      <c r="W153" s="70">
        <f>IF(ISERROR(VLOOKUP($T$153,'TAR FIN'!$A$1:$O$85,15,0)),0,VLOOKUP($T$153,'TAR FIN'!$A$1:$O$85,15,0))*(1-0.06)</f>
        <v>67.896199999999993</v>
      </c>
      <c r="X153" s="70">
        <f>IF(ISERROR(VLOOKUP($U$153,'TAR FIN'!$A$1:$O$85,15,0)),0,VLOOKUP($U$153,'TAR FIN'!$A$1:$O$85,15,0))*(1-0.06)</f>
        <v>210.29679999999999</v>
      </c>
      <c r="Y153" s="70"/>
      <c r="Z153" s="70">
        <f ca="1">('TUSD BE'!$AM$12+'TUSD BF'!$AM$12+'TUSD CVA'!$AM$12)*1*(1-0.03)</f>
        <v>100.20590740050056</v>
      </c>
      <c r="AA153" s="70">
        <f>('TE BE'!$AA$6+'TE BF'!$AA$6+'TE CVA'!$AA$6)*1*(1-0.03)</f>
        <v>211.10051723004204</v>
      </c>
      <c r="AB153" s="70">
        <f>(SUBSIDIO!$J$153*SUBSIDIO!$V$153)*(0.06)/(1-0.06)</f>
        <v>0</v>
      </c>
      <c r="AC153" s="70">
        <f>((SUBSIDIO!$L$153*SUBSIDIO!$W$153)+(SUBSIDIO!$N$153*SUBSIDIO!$X$153))*(0.06)/(1-0.06)</f>
        <v>2063.967138</v>
      </c>
      <c r="AD153" s="70">
        <f>(SUBSIDIO!$J$153*SUBSIDIO!$Y$153)*(0.03)/(1-0.03)</f>
        <v>0</v>
      </c>
      <c r="AE153" s="70">
        <f ca="1">((SUBSIDIO!$L$153*SUBSIDIO!$Z$153)+(SUBSIDIO!$N$153*SUBSIDIO!$AA$153))*(0.03)/(1-0.03)</f>
        <v>1119.104875067211</v>
      </c>
      <c r="AF153" s="4" t="s">
        <v>565</v>
      </c>
    </row>
    <row r="154" spans="1:32" ht="11.25" customHeight="1" x14ac:dyDescent="0.25">
      <c r="A154" s="4" t="s">
        <v>21</v>
      </c>
      <c r="B154" s="4" t="s">
        <v>33</v>
      </c>
      <c r="C154" s="4" t="s">
        <v>34</v>
      </c>
      <c r="D154" s="4" t="s">
        <v>48</v>
      </c>
      <c r="E154" s="4" t="s">
        <v>49</v>
      </c>
      <c r="F154" s="4" t="s">
        <v>25</v>
      </c>
      <c r="G154" s="4" t="s">
        <v>25</v>
      </c>
      <c r="H154" s="4" t="s">
        <v>36</v>
      </c>
      <c r="I154" s="5">
        <v>44470</v>
      </c>
      <c r="J154" s="6">
        <v>0</v>
      </c>
      <c r="K154" s="70">
        <v>0</v>
      </c>
      <c r="L154" s="6">
        <v>113.712</v>
      </c>
      <c r="M154" s="70">
        <v>113.712</v>
      </c>
      <c r="N154" s="6">
        <v>113.712</v>
      </c>
      <c r="O154" s="70">
        <v>113.712</v>
      </c>
      <c r="P154" s="6">
        <v>0</v>
      </c>
      <c r="Q154" s="4" t="s">
        <v>26</v>
      </c>
      <c r="R154" s="4">
        <v>0</v>
      </c>
      <c r="S154" s="4">
        <v>0</v>
      </c>
      <c r="T154" s="4">
        <v>47</v>
      </c>
      <c r="U154" s="4">
        <v>27</v>
      </c>
      <c r="V154" s="70">
        <f>IF(ISERROR(VLOOKUP($S$154,'TAR FIN'!$A$1:$O$85,15,0)),0,VLOOKUP($S$154,'TAR FIN'!$A$1:$O$85,15,0))</f>
        <v>0</v>
      </c>
      <c r="W154" s="70">
        <f>IF(ISERROR(VLOOKUP($T$154,'TAR FIN'!$A$1:$O$85,15,0)),0,VLOOKUP($T$154,'TAR FIN'!$A$1:$O$85,15,0))*(1-0.06)</f>
        <v>67.896199999999993</v>
      </c>
      <c r="X154" s="70">
        <f>IF(ISERROR(VLOOKUP($U$154,'TAR FIN'!$A$1:$O$85,15,0)),0,VLOOKUP($U$154,'TAR FIN'!$A$1:$O$85,15,0))*(1-0.06)</f>
        <v>210.29679999999999</v>
      </c>
      <c r="Y154" s="70"/>
      <c r="Z154" s="70">
        <f ca="1">('TUSD BE'!$AM$12+'TUSD BF'!$AM$12+'TUSD CVA'!$AM$12)*1*(1-0.03)</f>
        <v>100.20590740050056</v>
      </c>
      <c r="AA154" s="70">
        <f>('TE BE'!$AA$6+'TE BF'!$AA$6+'TE CVA'!$AA$6)*1*(1-0.03)</f>
        <v>211.10051723004204</v>
      </c>
      <c r="AB154" s="70">
        <f>(SUBSIDIO!$J$154*SUBSIDIO!$V$154)*(0.06)/(1-0.06)</f>
        <v>0</v>
      </c>
      <c r="AC154" s="70">
        <f>((SUBSIDIO!$L$154*SUBSIDIO!$W$154)+(SUBSIDIO!$N$154*SUBSIDIO!$X$154))*(0.06)/(1-0.06)</f>
        <v>2019.1839839999998</v>
      </c>
      <c r="AD154" s="70">
        <f>(SUBSIDIO!$J$154*SUBSIDIO!$Y$154)*(0.03)/(1-0.03)</f>
        <v>0</v>
      </c>
      <c r="AE154" s="70">
        <f ca="1">((SUBSIDIO!$L$154*SUBSIDIO!$Z$154)+(SUBSIDIO!$N$154*SUBSIDIO!$AA$154))*(0.03)/(1-0.03)</f>
        <v>1094.8229739460287</v>
      </c>
      <c r="AF154" s="4" t="s">
        <v>565</v>
      </c>
    </row>
    <row r="155" spans="1:32" ht="11.25" customHeight="1" x14ac:dyDescent="0.25">
      <c r="A155" s="4" t="s">
        <v>21</v>
      </c>
      <c r="B155" s="4" t="s">
        <v>33</v>
      </c>
      <c r="C155" s="4" t="s">
        <v>34</v>
      </c>
      <c r="D155" s="4" t="s">
        <v>48</v>
      </c>
      <c r="E155" s="4" t="s">
        <v>49</v>
      </c>
      <c r="F155" s="4" t="s">
        <v>25</v>
      </c>
      <c r="G155" s="4" t="s">
        <v>25</v>
      </c>
      <c r="H155" s="4" t="s">
        <v>36</v>
      </c>
      <c r="I155" s="5">
        <v>44501</v>
      </c>
      <c r="J155" s="6">
        <v>0</v>
      </c>
      <c r="K155" s="70">
        <v>0</v>
      </c>
      <c r="L155" s="6">
        <v>114.208</v>
      </c>
      <c r="M155" s="70">
        <v>114.208</v>
      </c>
      <c r="N155" s="6">
        <v>114.208</v>
      </c>
      <c r="O155" s="70">
        <v>114.208</v>
      </c>
      <c r="P155" s="6">
        <v>0</v>
      </c>
      <c r="Q155" s="4" t="s">
        <v>26</v>
      </c>
      <c r="R155" s="4">
        <v>0</v>
      </c>
      <c r="S155" s="4">
        <v>0</v>
      </c>
      <c r="T155" s="4">
        <v>47</v>
      </c>
      <c r="U155" s="4">
        <v>27</v>
      </c>
      <c r="V155" s="70">
        <f>IF(ISERROR(VLOOKUP($S$155,'TAR FIN'!$A$1:$O$85,15,0)),0,VLOOKUP($S$155,'TAR FIN'!$A$1:$O$85,15,0))</f>
        <v>0</v>
      </c>
      <c r="W155" s="70">
        <f>IF(ISERROR(VLOOKUP($T$155,'TAR FIN'!$A$1:$O$85,15,0)),0,VLOOKUP($T$155,'TAR FIN'!$A$1:$O$85,15,0))*(1-0.06)</f>
        <v>67.896199999999993</v>
      </c>
      <c r="X155" s="70">
        <f>IF(ISERROR(VLOOKUP($U$155,'TAR FIN'!$A$1:$O$85,15,0)),0,VLOOKUP($U$155,'TAR FIN'!$A$1:$O$85,15,0))*(1-0.06)</f>
        <v>210.29679999999999</v>
      </c>
      <c r="Y155" s="70"/>
      <c r="Z155" s="70">
        <f ca="1">('TUSD BE'!$AM$12+'TUSD BF'!$AM$12+'TUSD CVA'!$AM$12)*1*(1-0.03)</f>
        <v>100.20590740050056</v>
      </c>
      <c r="AA155" s="70">
        <f>('TE BE'!$AA$6+'TE BF'!$AA$6+'TE CVA'!$AA$6)*1*(1-0.03)</f>
        <v>211.10051723004204</v>
      </c>
      <c r="AB155" s="70">
        <f>(SUBSIDIO!$J$155*SUBSIDIO!$V$155)*(0.06)/(1-0.06)</f>
        <v>0</v>
      </c>
      <c r="AC155" s="70">
        <f>((SUBSIDIO!$L$155*SUBSIDIO!$W$155)+(SUBSIDIO!$N$155*SUBSIDIO!$X$155))*(0.06)/(1-0.06)</f>
        <v>2027.991456</v>
      </c>
      <c r="AD155" s="70">
        <f>(SUBSIDIO!$J$155*SUBSIDIO!$Y$155)*(0.03)/(1-0.03)</f>
        <v>0</v>
      </c>
      <c r="AE155" s="70">
        <f ca="1">((SUBSIDIO!$L$155*SUBSIDIO!$Z$155)+(SUBSIDIO!$N$155*SUBSIDIO!$AA$155))*(0.03)/(1-0.03)</f>
        <v>1099.5984786867527</v>
      </c>
      <c r="AF155" s="4" t="s">
        <v>565</v>
      </c>
    </row>
    <row r="156" spans="1:32" ht="11.25" customHeight="1" x14ac:dyDescent="0.25">
      <c r="A156" s="4" t="s">
        <v>21</v>
      </c>
      <c r="B156" s="4" t="s">
        <v>33</v>
      </c>
      <c r="C156" s="4" t="s">
        <v>34</v>
      </c>
      <c r="D156" s="4" t="s">
        <v>48</v>
      </c>
      <c r="E156" s="4" t="s">
        <v>49</v>
      </c>
      <c r="F156" s="4" t="s">
        <v>25</v>
      </c>
      <c r="G156" s="4" t="s">
        <v>25</v>
      </c>
      <c r="H156" s="4" t="s">
        <v>36</v>
      </c>
      <c r="I156" s="5">
        <v>44531</v>
      </c>
      <c r="J156" s="6">
        <v>0</v>
      </c>
      <c r="K156" s="70">
        <v>0</v>
      </c>
      <c r="L156" s="6">
        <v>111.374</v>
      </c>
      <c r="M156" s="70">
        <v>111.374</v>
      </c>
      <c r="N156" s="6">
        <v>111.374</v>
      </c>
      <c r="O156" s="70">
        <v>111.374</v>
      </c>
      <c r="P156" s="6">
        <v>0</v>
      </c>
      <c r="Q156" s="4" t="s">
        <v>26</v>
      </c>
      <c r="R156" s="4">
        <v>0</v>
      </c>
      <c r="S156" s="4">
        <v>0</v>
      </c>
      <c r="T156" s="4">
        <v>47</v>
      </c>
      <c r="U156" s="4">
        <v>27</v>
      </c>
      <c r="V156" s="70">
        <f>IF(ISERROR(VLOOKUP($S$156,'TAR FIN'!$A$1:$O$85,15,0)),0,VLOOKUP($S$156,'TAR FIN'!$A$1:$O$85,15,0))</f>
        <v>0</v>
      </c>
      <c r="W156" s="70">
        <f>IF(ISERROR(VLOOKUP($T$156,'TAR FIN'!$A$1:$O$85,15,0)),0,VLOOKUP($T$156,'TAR FIN'!$A$1:$O$85,15,0))*(1-0.06)</f>
        <v>67.896199999999993</v>
      </c>
      <c r="X156" s="70">
        <f>IF(ISERROR(VLOOKUP($U$156,'TAR FIN'!$A$1:$O$85,15,0)),0,VLOOKUP($U$156,'TAR FIN'!$A$1:$O$85,15,0))*(1-0.06)</f>
        <v>210.29679999999999</v>
      </c>
      <c r="Y156" s="70"/>
      <c r="Z156" s="70">
        <f ca="1">('TUSD BE'!$AM$12+'TUSD BF'!$AM$12+'TUSD CVA'!$AM$12)*1*(1-0.03)</f>
        <v>100.20590740050056</v>
      </c>
      <c r="AA156" s="70">
        <f>('TE BE'!$AA$6+'TE BF'!$AA$6+'TE CVA'!$AA$6)*1*(1-0.03)</f>
        <v>211.10051723004204</v>
      </c>
      <c r="AB156" s="70">
        <f>(SUBSIDIO!$J$156*SUBSIDIO!$V$156)*(0.06)/(1-0.06)</f>
        <v>0</v>
      </c>
      <c r="AC156" s="70">
        <f>((SUBSIDIO!$L$156*SUBSIDIO!$W$156)+(SUBSIDIO!$N$156*SUBSIDIO!$X$156))*(0.06)/(1-0.06)</f>
        <v>1977.6681179999998</v>
      </c>
      <c r="AD156" s="70">
        <f>(SUBSIDIO!$J$156*SUBSIDIO!$Y$156)*(0.03)/(1-0.03)</f>
        <v>0</v>
      </c>
      <c r="AE156" s="70">
        <f ca="1">((SUBSIDIO!$L$156*SUBSIDIO!$Z$156)+(SUBSIDIO!$N$156*SUBSIDIO!$AA$156))*(0.03)/(1-0.03)</f>
        <v>1072.3126310351149</v>
      </c>
      <c r="AF156" s="4" t="s">
        <v>565</v>
      </c>
    </row>
    <row r="157" spans="1:32" ht="11.25" customHeight="1" x14ac:dyDescent="0.25">
      <c r="A157" s="4" t="s">
        <v>21</v>
      </c>
      <c r="B157" s="4" t="s">
        <v>33</v>
      </c>
      <c r="C157" s="4" t="s">
        <v>34</v>
      </c>
      <c r="D157" s="4" t="s">
        <v>48</v>
      </c>
      <c r="E157" s="4" t="s">
        <v>49</v>
      </c>
      <c r="F157" s="4" t="s">
        <v>25</v>
      </c>
      <c r="G157" s="4" t="s">
        <v>25</v>
      </c>
      <c r="H157" s="4" t="s">
        <v>36</v>
      </c>
      <c r="I157" s="5">
        <v>44562</v>
      </c>
      <c r="J157" s="6">
        <v>0</v>
      </c>
      <c r="K157" s="70">
        <v>0</v>
      </c>
      <c r="L157" s="6">
        <v>117.708</v>
      </c>
      <c r="M157" s="70">
        <v>117.708</v>
      </c>
      <c r="N157" s="6">
        <v>117.708</v>
      </c>
      <c r="O157" s="70">
        <v>117.708</v>
      </c>
      <c r="P157" s="6">
        <v>0</v>
      </c>
      <c r="Q157" s="4" t="s">
        <v>26</v>
      </c>
      <c r="R157" s="4">
        <v>0</v>
      </c>
      <c r="S157" s="4">
        <v>0</v>
      </c>
      <c r="T157" s="4">
        <v>47</v>
      </c>
      <c r="U157" s="4">
        <v>27</v>
      </c>
      <c r="V157" s="70">
        <f>IF(ISERROR(VLOOKUP($S$157,'TAR FIN'!$A$1:$O$85,15,0)),0,VLOOKUP($S$157,'TAR FIN'!$A$1:$O$85,15,0))</f>
        <v>0</v>
      </c>
      <c r="W157" s="70">
        <f>IF(ISERROR(VLOOKUP($T$157,'TAR FIN'!$A$1:$O$85,15,0)),0,VLOOKUP($T$157,'TAR FIN'!$A$1:$O$85,15,0))*(1-0.06)</f>
        <v>67.896199999999993</v>
      </c>
      <c r="X157" s="70">
        <f>IF(ISERROR(VLOOKUP($U$157,'TAR FIN'!$A$1:$O$85,15,0)),0,VLOOKUP($U$157,'TAR FIN'!$A$1:$O$85,15,0))*(1-0.06)</f>
        <v>210.29679999999999</v>
      </c>
      <c r="Y157" s="70"/>
      <c r="Z157" s="70">
        <f ca="1">('TUSD BE'!$AM$12+'TUSD BF'!$AM$12+'TUSD CVA'!$AM$12)*1*(1-0.03)</f>
        <v>100.20590740050056</v>
      </c>
      <c r="AA157" s="70">
        <f>('TE BE'!$AA$6+'TE BF'!$AA$6+'TE CVA'!$AA$6)*1*(1-0.03)</f>
        <v>211.10051723004204</v>
      </c>
      <c r="AB157" s="70">
        <f>(SUBSIDIO!$J$157*SUBSIDIO!$V$157)*(0.06)/(1-0.06)</f>
        <v>0</v>
      </c>
      <c r="AC157" s="70">
        <f>((SUBSIDIO!$L$157*SUBSIDIO!$W$157)+(SUBSIDIO!$N$157*SUBSIDIO!$X$157))*(0.06)/(1-0.06)</f>
        <v>2090.1409559999997</v>
      </c>
      <c r="AD157" s="70">
        <f>(SUBSIDIO!$J$157*SUBSIDIO!$Y$157)*(0.03)/(1-0.03)</f>
        <v>0</v>
      </c>
      <c r="AE157" s="70">
        <f ca="1">((SUBSIDIO!$L$157*SUBSIDIO!$Z$157)+(SUBSIDIO!$N$157*SUBSIDIO!$AA$157))*(0.03)/(1-0.03)</f>
        <v>1133.296596816863</v>
      </c>
      <c r="AF157" s="4" t="s">
        <v>565</v>
      </c>
    </row>
    <row r="158" spans="1:32" ht="11.25" customHeight="1" x14ac:dyDescent="0.25">
      <c r="A158" s="4" t="s">
        <v>21</v>
      </c>
      <c r="B158" s="4" t="s">
        <v>33</v>
      </c>
      <c r="C158" s="4" t="s">
        <v>34</v>
      </c>
      <c r="D158" s="4" t="s">
        <v>48</v>
      </c>
      <c r="E158" s="4" t="s">
        <v>49</v>
      </c>
      <c r="F158" s="4" t="s">
        <v>25</v>
      </c>
      <c r="G158" s="4" t="s">
        <v>25</v>
      </c>
      <c r="H158" s="4" t="s">
        <v>36</v>
      </c>
      <c r="I158" s="5">
        <v>44593</v>
      </c>
      <c r="J158" s="6">
        <v>0</v>
      </c>
      <c r="K158" s="70">
        <v>0</v>
      </c>
      <c r="L158" s="6">
        <v>132.66999999999999</v>
      </c>
      <c r="M158" s="70">
        <v>132.66999999999999</v>
      </c>
      <c r="N158" s="6">
        <v>132.66999999999999</v>
      </c>
      <c r="O158" s="70">
        <v>132.66999999999999</v>
      </c>
      <c r="P158" s="6">
        <v>0</v>
      </c>
      <c r="Q158" s="4" t="s">
        <v>26</v>
      </c>
      <c r="R158" s="4">
        <v>0</v>
      </c>
      <c r="S158" s="4">
        <v>0</v>
      </c>
      <c r="T158" s="4">
        <v>47</v>
      </c>
      <c r="U158" s="4">
        <v>27</v>
      </c>
      <c r="V158" s="70">
        <f>IF(ISERROR(VLOOKUP($S$158,'TAR FIN'!$A$1:$O$85,15,0)),0,VLOOKUP($S$158,'TAR FIN'!$A$1:$O$85,15,0))</f>
        <v>0</v>
      </c>
      <c r="W158" s="70">
        <f>IF(ISERROR(VLOOKUP($T$158,'TAR FIN'!$A$1:$O$85,15,0)),0,VLOOKUP($T$158,'TAR FIN'!$A$1:$O$85,15,0))*(1-0.06)</f>
        <v>67.896199999999993</v>
      </c>
      <c r="X158" s="70">
        <f>IF(ISERROR(VLOOKUP($U$158,'TAR FIN'!$A$1:$O$85,15,0)),0,VLOOKUP($U$158,'TAR FIN'!$A$1:$O$85,15,0))*(1-0.06)</f>
        <v>210.29679999999999</v>
      </c>
      <c r="Y158" s="70"/>
      <c r="Z158" s="70">
        <f ca="1">('TUSD BE'!$AM$12+'TUSD BF'!$AM$12+'TUSD CVA'!$AM$12)*1*(1-0.03)</f>
        <v>100.20590740050056</v>
      </c>
      <c r="AA158" s="70">
        <f>('TE BE'!$AA$6+'TE BF'!$AA$6+'TE CVA'!$AA$6)*1*(1-0.03)</f>
        <v>211.10051723004204</v>
      </c>
      <c r="AB158" s="70">
        <f>(SUBSIDIO!$J$158*SUBSIDIO!$V$158)*(0.06)/(1-0.06)</f>
        <v>0</v>
      </c>
      <c r="AC158" s="70">
        <f>((SUBSIDIO!$L$158*SUBSIDIO!$W$158)+(SUBSIDIO!$N$158*SUBSIDIO!$X$158))*(0.06)/(1-0.06)</f>
        <v>2355.8211899999997</v>
      </c>
      <c r="AD158" s="70">
        <f>(SUBSIDIO!$J$158*SUBSIDIO!$Y$158)*(0.03)/(1-0.03)</f>
        <v>0</v>
      </c>
      <c r="AE158" s="70">
        <f ca="1">((SUBSIDIO!$L$158*SUBSIDIO!$Z$158)+(SUBSIDIO!$N$158*SUBSIDIO!$AA$158))*(0.03)/(1-0.03)</f>
        <v>1277.3512378062087</v>
      </c>
      <c r="AF158" s="4" t="s">
        <v>565</v>
      </c>
    </row>
    <row r="159" spans="1:32" ht="11.25" customHeight="1" x14ac:dyDescent="0.25">
      <c r="A159" s="4" t="s">
        <v>54</v>
      </c>
      <c r="B159" s="4" t="s">
        <v>33</v>
      </c>
      <c r="C159" s="4" t="s">
        <v>34</v>
      </c>
      <c r="D159" s="4" t="s">
        <v>48</v>
      </c>
      <c r="E159" s="4" t="s">
        <v>49</v>
      </c>
      <c r="F159" s="4" t="s">
        <v>25</v>
      </c>
      <c r="G159" s="4" t="s">
        <v>25</v>
      </c>
      <c r="H159" s="4" t="s">
        <v>36</v>
      </c>
      <c r="I159" s="5">
        <v>44621</v>
      </c>
      <c r="J159" s="6">
        <v>0</v>
      </c>
      <c r="K159" s="70">
        <v>0</v>
      </c>
      <c r="L159" s="6">
        <v>132.66999999999999</v>
      </c>
      <c r="M159" s="70">
        <v>132.66999999999999</v>
      </c>
      <c r="N159" s="6">
        <v>132.66999999999999</v>
      </c>
      <c r="O159" s="70">
        <v>132.66999999999999</v>
      </c>
      <c r="P159" s="6">
        <v>0</v>
      </c>
      <c r="Q159" s="4" t="s">
        <v>26</v>
      </c>
      <c r="R159" s="4">
        <v>0</v>
      </c>
      <c r="S159" s="4">
        <v>0</v>
      </c>
      <c r="T159" s="4">
        <v>47</v>
      </c>
      <c r="U159" s="4">
        <v>27</v>
      </c>
      <c r="V159" s="70">
        <f>IF(ISERROR(VLOOKUP($S$159,'TAR FIN'!$A$1:$O$85,15,0)),0,VLOOKUP($S$159,'TAR FIN'!$A$1:$O$85,15,0))</f>
        <v>0</v>
      </c>
      <c r="W159" s="70">
        <f>IF(ISERROR(VLOOKUP($T$159,'TAR FIN'!$A$1:$O$85,15,0)),0,VLOOKUP($T$159,'TAR FIN'!$A$1:$O$85,15,0))*(1-0.06)</f>
        <v>67.896199999999993</v>
      </c>
      <c r="X159" s="70">
        <f>IF(ISERROR(VLOOKUP($U$159,'TAR FIN'!$A$1:$O$85,15,0)),0,VLOOKUP($U$159,'TAR FIN'!$A$1:$O$85,15,0))*(1-0.06)</f>
        <v>210.29679999999999</v>
      </c>
      <c r="Y159" s="70"/>
      <c r="Z159" s="70">
        <f ca="1">('TUSD BE'!$AM$12+'TUSD BF'!$AM$12+'TUSD CVA'!$AM$12)*1*(1-0.03)</f>
        <v>100.20590740050056</v>
      </c>
      <c r="AA159" s="70">
        <f>('TE BE'!$AA$6+'TE BF'!$AA$6+'TE CVA'!$AA$6)*1*(1-0.03)</f>
        <v>211.10051723004204</v>
      </c>
      <c r="AB159" s="70">
        <f>(SUBSIDIO!$J$159*SUBSIDIO!$V$159)*(0.06)/(1-0.06)</f>
        <v>0</v>
      </c>
      <c r="AC159" s="70">
        <f>((SUBSIDIO!$L$159*SUBSIDIO!$W$159)+(SUBSIDIO!$N$159*SUBSIDIO!$X$159))*(0.06)/(1-0.06)</f>
        <v>2355.8211899999997</v>
      </c>
      <c r="AD159" s="70">
        <f>(SUBSIDIO!$J$159*SUBSIDIO!$Y$159)*(0.03)/(1-0.03)</f>
        <v>0</v>
      </c>
      <c r="AE159" s="70">
        <f ca="1">((SUBSIDIO!$L$159*SUBSIDIO!$Z$159)+(SUBSIDIO!$N$159*SUBSIDIO!$AA$159))*(0.03)/(1-0.03)</f>
        <v>1277.3512378062087</v>
      </c>
      <c r="AF159" s="4" t="s">
        <v>565</v>
      </c>
    </row>
    <row r="160" spans="1:32" ht="11.25" customHeight="1" x14ac:dyDescent="0.25">
      <c r="A160" s="4" t="s">
        <v>21</v>
      </c>
      <c r="B160" s="4" t="s">
        <v>33</v>
      </c>
      <c r="C160" s="4" t="s">
        <v>34</v>
      </c>
      <c r="D160" s="4" t="s">
        <v>48</v>
      </c>
      <c r="E160" s="4" t="s">
        <v>49</v>
      </c>
      <c r="F160" s="4" t="s">
        <v>25</v>
      </c>
      <c r="G160" s="4" t="s">
        <v>25</v>
      </c>
      <c r="H160" s="4" t="s">
        <v>25</v>
      </c>
      <c r="I160" s="5">
        <v>44287</v>
      </c>
      <c r="J160" s="6">
        <v>325</v>
      </c>
      <c r="K160" s="71">
        <v>325</v>
      </c>
      <c r="L160" s="6">
        <v>0</v>
      </c>
      <c r="M160" s="70">
        <v>0</v>
      </c>
      <c r="N160" s="6">
        <v>0</v>
      </c>
      <c r="O160" s="70">
        <v>0</v>
      </c>
      <c r="P160" s="6">
        <v>3</v>
      </c>
      <c r="Q160" s="4" t="s">
        <v>26</v>
      </c>
      <c r="R160" s="4">
        <v>0</v>
      </c>
      <c r="S160" s="4">
        <v>65</v>
      </c>
      <c r="T160" s="4">
        <v>0</v>
      </c>
      <c r="U160" s="4">
        <v>0</v>
      </c>
      <c r="V160" s="70">
        <f>IF(ISERROR(VLOOKUP($S$160,'TAR FIN'!$A$1:$O$85,15,0)),0,VLOOKUP($S$160,'TAR FIN'!$A$1:$O$85,15,0))*(1-0.06)</f>
        <v>22.005399999999998</v>
      </c>
      <c r="W160" s="70">
        <f>IF(ISERROR(VLOOKUP($T$160,'TAR FIN'!$A$1:$O$85,15,0)),0,VLOOKUP($T$160,'TAR FIN'!$A$1:$O$85,15,0))</f>
        <v>0</v>
      </c>
      <c r="X160" s="70">
        <f>IF(ISERROR(VLOOKUP($U$160,'TAR FIN'!$A$1:$O$85,15,0)),0,VLOOKUP($U$160,'TAR FIN'!$A$1:$O$85,15,0))</f>
        <v>0</v>
      </c>
      <c r="Y160" s="70">
        <f ca="1">('TUSD BE'!$AM$10+'TUSD BF'!$AM$10+'TUSD CVA'!$AM$10)*1*(1-0.03)</f>
        <v>23.539881161583953</v>
      </c>
      <c r="Z160" s="70"/>
      <c r="AA160" s="70"/>
      <c r="AB160" s="70">
        <f>(SUBSIDIO!$J$160*SUBSIDIO!$V$160)*(0.06)/(1-0.06)</f>
        <v>456.49499999999995</v>
      </c>
      <c r="AC160" s="70">
        <f>((SUBSIDIO!$L$160*SUBSIDIO!$W$160)+(SUBSIDIO!$N$160*SUBSIDIO!$X$160))*(0.06)/(1-0.06)</f>
        <v>0</v>
      </c>
      <c r="AD160" s="70">
        <f ca="1">(SUBSIDIO!$J$160*SUBSIDIO!$Y$160)*(0.03)/(1-0.03)</f>
        <v>236.61220755200364</v>
      </c>
      <c r="AE160" s="70">
        <f>((SUBSIDIO!$L$160*SUBSIDIO!$Z$160)+(SUBSIDIO!$N$160*SUBSIDIO!$AA$160))*(0.03)/(1-0.03)</f>
        <v>0</v>
      </c>
      <c r="AF160" s="4" t="s">
        <v>565</v>
      </c>
    </row>
    <row r="161" spans="1:32" ht="11.25" customHeight="1" x14ac:dyDescent="0.25">
      <c r="A161" s="4" t="s">
        <v>21</v>
      </c>
      <c r="B161" s="4" t="s">
        <v>33</v>
      </c>
      <c r="C161" s="4" t="s">
        <v>34</v>
      </c>
      <c r="D161" s="4" t="s">
        <v>48</v>
      </c>
      <c r="E161" s="4" t="s">
        <v>49</v>
      </c>
      <c r="F161" s="4" t="s">
        <v>25</v>
      </c>
      <c r="G161" s="4" t="s">
        <v>25</v>
      </c>
      <c r="H161" s="4" t="s">
        <v>25</v>
      </c>
      <c r="I161" s="5">
        <v>44317</v>
      </c>
      <c r="J161" s="6">
        <v>324</v>
      </c>
      <c r="K161" s="71">
        <v>324</v>
      </c>
      <c r="L161" s="6">
        <v>0</v>
      </c>
      <c r="M161" s="70">
        <v>0</v>
      </c>
      <c r="N161" s="6">
        <v>0</v>
      </c>
      <c r="O161" s="70">
        <v>0</v>
      </c>
      <c r="P161" s="6">
        <v>3</v>
      </c>
      <c r="Q161" s="4" t="s">
        <v>26</v>
      </c>
      <c r="R161" s="4">
        <v>0</v>
      </c>
      <c r="S161" s="4">
        <v>65</v>
      </c>
      <c r="T161" s="4">
        <v>0</v>
      </c>
      <c r="U161" s="4">
        <v>0</v>
      </c>
      <c r="V161" s="70">
        <f>IF(ISERROR(VLOOKUP($S$161,'TAR FIN'!$A$1:$O$85,15,0)),0,VLOOKUP($S$161,'TAR FIN'!$A$1:$O$85,15,0))*(1-0.06)</f>
        <v>22.005399999999998</v>
      </c>
      <c r="W161" s="70">
        <f>IF(ISERROR(VLOOKUP($T$161,'TAR FIN'!$A$1:$O$85,15,0)),0,VLOOKUP($T$161,'TAR FIN'!$A$1:$O$85,15,0))</f>
        <v>0</v>
      </c>
      <c r="X161" s="70">
        <f>IF(ISERROR(VLOOKUP($U$161,'TAR FIN'!$A$1:$O$85,15,0)),0,VLOOKUP($U$161,'TAR FIN'!$A$1:$O$85,15,0))</f>
        <v>0</v>
      </c>
      <c r="Y161" s="70">
        <f ca="1">('TUSD BE'!$AM$10+'TUSD BF'!$AM$10+'TUSD CVA'!$AM$10)*1*(1-0.03)</f>
        <v>23.539881161583953</v>
      </c>
      <c r="Z161" s="70"/>
      <c r="AA161" s="70"/>
      <c r="AB161" s="70">
        <f>(SUBSIDIO!$J$161*SUBSIDIO!$V$161)*(0.06)/(1-0.06)</f>
        <v>455.09039999999993</v>
      </c>
      <c r="AC161" s="70">
        <f>((SUBSIDIO!$L$161*SUBSIDIO!$W$161)+(SUBSIDIO!$N$161*SUBSIDIO!$X$161))*(0.06)/(1-0.06)</f>
        <v>0</v>
      </c>
      <c r="AD161" s="70">
        <f ca="1">(SUBSIDIO!$J$161*SUBSIDIO!$Y$161)*(0.03)/(1-0.03)</f>
        <v>235.88416999030517</v>
      </c>
      <c r="AE161" s="70">
        <f>((SUBSIDIO!$L$161*SUBSIDIO!$Z$161)+(SUBSIDIO!$N$161*SUBSIDIO!$AA$161))*(0.03)/(1-0.03)</f>
        <v>0</v>
      </c>
      <c r="AF161" s="4" t="s">
        <v>565</v>
      </c>
    </row>
    <row r="162" spans="1:32" ht="11.25" customHeight="1" x14ac:dyDescent="0.25">
      <c r="A162" s="4" t="s">
        <v>21</v>
      </c>
      <c r="B162" s="4" t="s">
        <v>33</v>
      </c>
      <c r="C162" s="4" t="s">
        <v>34</v>
      </c>
      <c r="D162" s="4" t="s">
        <v>48</v>
      </c>
      <c r="E162" s="4" t="s">
        <v>49</v>
      </c>
      <c r="F162" s="4" t="s">
        <v>25</v>
      </c>
      <c r="G162" s="4" t="s">
        <v>25</v>
      </c>
      <c r="H162" s="4" t="s">
        <v>25</v>
      </c>
      <c r="I162" s="5">
        <v>44348</v>
      </c>
      <c r="J162" s="6">
        <v>324</v>
      </c>
      <c r="K162" s="71">
        <v>324</v>
      </c>
      <c r="L162" s="6">
        <v>0</v>
      </c>
      <c r="M162" s="70">
        <v>0</v>
      </c>
      <c r="N162" s="6">
        <v>0</v>
      </c>
      <c r="O162" s="70">
        <v>0</v>
      </c>
      <c r="P162" s="6">
        <v>3</v>
      </c>
      <c r="Q162" s="4" t="s">
        <v>26</v>
      </c>
      <c r="R162" s="4">
        <v>0</v>
      </c>
      <c r="S162" s="4">
        <v>65</v>
      </c>
      <c r="T162" s="4">
        <v>0</v>
      </c>
      <c r="U162" s="4">
        <v>0</v>
      </c>
      <c r="V162" s="70">
        <f>IF(ISERROR(VLOOKUP($S$162,'TAR FIN'!$A$1:$O$85,15,0)),0,VLOOKUP($S$162,'TAR FIN'!$A$1:$O$85,15,0))*(1-0.06)</f>
        <v>22.005399999999998</v>
      </c>
      <c r="W162" s="70">
        <f>IF(ISERROR(VLOOKUP($T$162,'TAR FIN'!$A$1:$O$85,15,0)),0,VLOOKUP($T$162,'TAR FIN'!$A$1:$O$85,15,0))</f>
        <v>0</v>
      </c>
      <c r="X162" s="70">
        <f>IF(ISERROR(VLOOKUP($U$162,'TAR FIN'!$A$1:$O$85,15,0)),0,VLOOKUP($U$162,'TAR FIN'!$A$1:$O$85,15,0))</f>
        <v>0</v>
      </c>
      <c r="Y162" s="70">
        <f ca="1">('TUSD BE'!$AM$10+'TUSD BF'!$AM$10+'TUSD CVA'!$AM$10)*1*(1-0.03)</f>
        <v>23.539881161583953</v>
      </c>
      <c r="Z162" s="70"/>
      <c r="AA162" s="70"/>
      <c r="AB162" s="70">
        <f>(SUBSIDIO!$J$162*SUBSIDIO!$V$162)*(0.06)/(1-0.06)</f>
        <v>455.09039999999993</v>
      </c>
      <c r="AC162" s="70">
        <f>((SUBSIDIO!$L$162*SUBSIDIO!$W$162)+(SUBSIDIO!$N$162*SUBSIDIO!$X$162))*(0.06)/(1-0.06)</f>
        <v>0</v>
      </c>
      <c r="AD162" s="70">
        <f ca="1">(SUBSIDIO!$J$162*SUBSIDIO!$Y$162)*(0.03)/(1-0.03)</f>
        <v>235.88416999030517</v>
      </c>
      <c r="AE162" s="70">
        <f>((SUBSIDIO!$L$162*SUBSIDIO!$Z$162)+(SUBSIDIO!$N$162*SUBSIDIO!$AA$162))*(0.03)/(1-0.03)</f>
        <v>0</v>
      </c>
      <c r="AF162" s="4" t="s">
        <v>565</v>
      </c>
    </row>
    <row r="163" spans="1:32" ht="11.25" customHeight="1" x14ac:dyDescent="0.25">
      <c r="A163" s="4" t="s">
        <v>21</v>
      </c>
      <c r="B163" s="4" t="s">
        <v>33</v>
      </c>
      <c r="C163" s="4" t="s">
        <v>34</v>
      </c>
      <c r="D163" s="4" t="s">
        <v>48</v>
      </c>
      <c r="E163" s="4" t="s">
        <v>49</v>
      </c>
      <c r="F163" s="4" t="s">
        <v>25</v>
      </c>
      <c r="G163" s="4" t="s">
        <v>25</v>
      </c>
      <c r="H163" s="4" t="s">
        <v>25</v>
      </c>
      <c r="I163" s="5">
        <v>44378</v>
      </c>
      <c r="J163" s="6">
        <v>336</v>
      </c>
      <c r="K163" s="71">
        <v>336</v>
      </c>
      <c r="L163" s="6">
        <v>0</v>
      </c>
      <c r="M163" s="70">
        <v>0</v>
      </c>
      <c r="N163" s="6">
        <v>0</v>
      </c>
      <c r="O163" s="70">
        <v>0</v>
      </c>
      <c r="P163" s="6">
        <v>3</v>
      </c>
      <c r="Q163" s="4" t="s">
        <v>26</v>
      </c>
      <c r="R163" s="4">
        <v>0</v>
      </c>
      <c r="S163" s="4">
        <v>65</v>
      </c>
      <c r="T163" s="4">
        <v>0</v>
      </c>
      <c r="U163" s="4">
        <v>0</v>
      </c>
      <c r="V163" s="70">
        <f>IF(ISERROR(VLOOKUP($S$163,'TAR FIN'!$A$1:$O$85,15,0)),0,VLOOKUP($S$163,'TAR FIN'!$A$1:$O$85,15,0))*(1-0.06)</f>
        <v>22.005399999999998</v>
      </c>
      <c r="W163" s="70">
        <f>IF(ISERROR(VLOOKUP($T$163,'TAR FIN'!$A$1:$O$85,15,0)),0,VLOOKUP($T$163,'TAR FIN'!$A$1:$O$85,15,0))</f>
        <v>0</v>
      </c>
      <c r="X163" s="70">
        <f>IF(ISERROR(VLOOKUP($U$163,'TAR FIN'!$A$1:$O$85,15,0)),0,VLOOKUP($U$163,'TAR FIN'!$A$1:$O$85,15,0))</f>
        <v>0</v>
      </c>
      <c r="Y163" s="70">
        <f ca="1">('TUSD BE'!$AM$10+'TUSD BF'!$AM$10+'TUSD CVA'!$AM$10)*1*(1-0.03)</f>
        <v>23.539881161583953</v>
      </c>
      <c r="Z163" s="70"/>
      <c r="AA163" s="70"/>
      <c r="AB163" s="70">
        <f>(SUBSIDIO!$J$163*SUBSIDIO!$V$163)*(0.06)/(1-0.06)</f>
        <v>471.94560000000001</v>
      </c>
      <c r="AC163" s="70">
        <f>((SUBSIDIO!$L$163*SUBSIDIO!$W$163)+(SUBSIDIO!$N$163*SUBSIDIO!$X$163))*(0.06)/(1-0.06)</f>
        <v>0</v>
      </c>
      <c r="AD163" s="70">
        <f ca="1">(SUBSIDIO!$J$163*SUBSIDIO!$Y$163)*(0.03)/(1-0.03)</f>
        <v>244.62062073068685</v>
      </c>
      <c r="AE163" s="70">
        <f>((SUBSIDIO!$L$163*SUBSIDIO!$Z$163)+(SUBSIDIO!$N$163*SUBSIDIO!$AA$163))*(0.03)/(1-0.03)</f>
        <v>0</v>
      </c>
      <c r="AF163" s="4" t="s">
        <v>565</v>
      </c>
    </row>
    <row r="164" spans="1:32" ht="11.25" customHeight="1" x14ac:dyDescent="0.25">
      <c r="A164" s="4" t="s">
        <v>21</v>
      </c>
      <c r="B164" s="4" t="s">
        <v>33</v>
      </c>
      <c r="C164" s="4" t="s">
        <v>34</v>
      </c>
      <c r="D164" s="4" t="s">
        <v>48</v>
      </c>
      <c r="E164" s="4" t="s">
        <v>49</v>
      </c>
      <c r="F164" s="4" t="s">
        <v>25</v>
      </c>
      <c r="G164" s="4" t="s">
        <v>25</v>
      </c>
      <c r="H164" s="4" t="s">
        <v>25</v>
      </c>
      <c r="I164" s="5">
        <v>44409</v>
      </c>
      <c r="J164" s="6">
        <v>329</v>
      </c>
      <c r="K164" s="71">
        <v>329</v>
      </c>
      <c r="L164" s="6">
        <v>0</v>
      </c>
      <c r="M164" s="70">
        <v>0</v>
      </c>
      <c r="N164" s="6">
        <v>0</v>
      </c>
      <c r="O164" s="70">
        <v>0</v>
      </c>
      <c r="P164" s="6">
        <v>3</v>
      </c>
      <c r="Q164" s="4" t="s">
        <v>26</v>
      </c>
      <c r="R164" s="4">
        <v>0</v>
      </c>
      <c r="S164" s="4">
        <v>65</v>
      </c>
      <c r="T164" s="4">
        <v>0</v>
      </c>
      <c r="U164" s="4">
        <v>0</v>
      </c>
      <c r="V164" s="70">
        <f>IF(ISERROR(VLOOKUP($S$164,'TAR FIN'!$A$1:$O$85,15,0)),0,VLOOKUP($S$164,'TAR FIN'!$A$1:$O$85,15,0))*(1-0.06)</f>
        <v>22.005399999999998</v>
      </c>
      <c r="W164" s="70">
        <f>IF(ISERROR(VLOOKUP($T$164,'TAR FIN'!$A$1:$O$85,15,0)),0,VLOOKUP($T$164,'TAR FIN'!$A$1:$O$85,15,0))</f>
        <v>0</v>
      </c>
      <c r="X164" s="70">
        <f>IF(ISERROR(VLOOKUP($U$164,'TAR FIN'!$A$1:$O$85,15,0)),0,VLOOKUP($U$164,'TAR FIN'!$A$1:$O$85,15,0))</f>
        <v>0</v>
      </c>
      <c r="Y164" s="70">
        <f ca="1">('TUSD BE'!$AM$10+'TUSD BF'!$AM$10+'TUSD CVA'!$AM$10)*1*(1-0.03)</f>
        <v>23.539881161583953</v>
      </c>
      <c r="Z164" s="70"/>
      <c r="AA164" s="70"/>
      <c r="AB164" s="70">
        <f>(SUBSIDIO!$J$164*SUBSIDIO!$V$164)*(0.06)/(1-0.06)</f>
        <v>462.11339999999996</v>
      </c>
      <c r="AC164" s="70">
        <f>((SUBSIDIO!$L$164*SUBSIDIO!$W$164)+(SUBSIDIO!$N$164*SUBSIDIO!$X$164))*(0.06)/(1-0.06)</f>
        <v>0</v>
      </c>
      <c r="AD164" s="70">
        <f ca="1">(SUBSIDIO!$J$164*SUBSIDIO!$Y$164)*(0.03)/(1-0.03)</f>
        <v>239.52435779879752</v>
      </c>
      <c r="AE164" s="70">
        <f>((SUBSIDIO!$L$164*SUBSIDIO!$Z$164)+(SUBSIDIO!$N$164*SUBSIDIO!$AA$164))*(0.03)/(1-0.03)</f>
        <v>0</v>
      </c>
      <c r="AF164" s="4" t="s">
        <v>565</v>
      </c>
    </row>
    <row r="165" spans="1:32" ht="11.25" customHeight="1" x14ac:dyDescent="0.25">
      <c r="A165" s="4" t="s">
        <v>21</v>
      </c>
      <c r="B165" s="4" t="s">
        <v>33</v>
      </c>
      <c r="C165" s="4" t="s">
        <v>34</v>
      </c>
      <c r="D165" s="4" t="s">
        <v>48</v>
      </c>
      <c r="E165" s="4" t="s">
        <v>49</v>
      </c>
      <c r="F165" s="4" t="s">
        <v>25</v>
      </c>
      <c r="G165" s="4" t="s">
        <v>25</v>
      </c>
      <c r="H165" s="4" t="s">
        <v>25</v>
      </c>
      <c r="I165" s="5">
        <v>44440</v>
      </c>
      <c r="J165" s="6">
        <v>313</v>
      </c>
      <c r="K165" s="71">
        <v>313</v>
      </c>
      <c r="L165" s="6">
        <v>0</v>
      </c>
      <c r="M165" s="70">
        <v>0</v>
      </c>
      <c r="N165" s="6">
        <v>0</v>
      </c>
      <c r="O165" s="70">
        <v>0</v>
      </c>
      <c r="P165" s="6">
        <v>3</v>
      </c>
      <c r="Q165" s="4" t="s">
        <v>26</v>
      </c>
      <c r="R165" s="4">
        <v>0</v>
      </c>
      <c r="S165" s="4">
        <v>65</v>
      </c>
      <c r="T165" s="4">
        <v>0</v>
      </c>
      <c r="U165" s="4">
        <v>0</v>
      </c>
      <c r="V165" s="70">
        <f>IF(ISERROR(VLOOKUP($S$165,'TAR FIN'!$A$1:$O$85,15,0)),0,VLOOKUP($S$165,'TAR FIN'!$A$1:$O$85,15,0))*(1-0.06)</f>
        <v>22.005399999999998</v>
      </c>
      <c r="W165" s="70">
        <f>IF(ISERROR(VLOOKUP($T$165,'TAR FIN'!$A$1:$O$85,15,0)),0,VLOOKUP($T$165,'TAR FIN'!$A$1:$O$85,15,0))</f>
        <v>0</v>
      </c>
      <c r="X165" s="70">
        <f>IF(ISERROR(VLOOKUP($U$165,'TAR FIN'!$A$1:$O$85,15,0)),0,VLOOKUP($U$165,'TAR FIN'!$A$1:$O$85,15,0))</f>
        <v>0</v>
      </c>
      <c r="Y165" s="70">
        <f ca="1">('TUSD BE'!$AM$10+'TUSD BF'!$AM$10+'TUSD CVA'!$AM$10)*1*(1-0.03)</f>
        <v>23.539881161583953</v>
      </c>
      <c r="Z165" s="70"/>
      <c r="AA165" s="70"/>
      <c r="AB165" s="70">
        <f>(SUBSIDIO!$J$165*SUBSIDIO!$V$165)*(0.06)/(1-0.06)</f>
        <v>439.63979999999998</v>
      </c>
      <c r="AC165" s="70">
        <f>((SUBSIDIO!$L$165*SUBSIDIO!$W$165)+(SUBSIDIO!$N$165*SUBSIDIO!$X$165))*(0.06)/(1-0.06)</f>
        <v>0</v>
      </c>
      <c r="AD165" s="70">
        <f ca="1">(SUBSIDIO!$J$165*SUBSIDIO!$Y$165)*(0.03)/(1-0.03)</f>
        <v>227.87575681162198</v>
      </c>
      <c r="AE165" s="70">
        <f>((SUBSIDIO!$L$165*SUBSIDIO!$Z$165)+(SUBSIDIO!$N$165*SUBSIDIO!$AA$165))*(0.03)/(1-0.03)</f>
        <v>0</v>
      </c>
      <c r="AF165" s="4" t="s">
        <v>565</v>
      </c>
    </row>
    <row r="166" spans="1:32" ht="11.25" customHeight="1" x14ac:dyDescent="0.25">
      <c r="A166" s="4" t="s">
        <v>21</v>
      </c>
      <c r="B166" s="4" t="s">
        <v>33</v>
      </c>
      <c r="C166" s="4" t="s">
        <v>34</v>
      </c>
      <c r="D166" s="4" t="s">
        <v>48</v>
      </c>
      <c r="E166" s="4" t="s">
        <v>49</v>
      </c>
      <c r="F166" s="4" t="s">
        <v>25</v>
      </c>
      <c r="G166" s="4" t="s">
        <v>25</v>
      </c>
      <c r="H166" s="4" t="s">
        <v>25</v>
      </c>
      <c r="I166" s="5">
        <v>44470</v>
      </c>
      <c r="J166" s="6">
        <v>313</v>
      </c>
      <c r="K166" s="71">
        <v>313</v>
      </c>
      <c r="L166" s="6">
        <v>0</v>
      </c>
      <c r="M166" s="70">
        <v>0</v>
      </c>
      <c r="N166" s="6">
        <v>0</v>
      </c>
      <c r="O166" s="70">
        <v>0</v>
      </c>
      <c r="P166" s="6">
        <v>3</v>
      </c>
      <c r="Q166" s="4" t="s">
        <v>26</v>
      </c>
      <c r="R166" s="4">
        <v>0</v>
      </c>
      <c r="S166" s="4">
        <v>65</v>
      </c>
      <c r="T166" s="4">
        <v>0</v>
      </c>
      <c r="U166" s="4">
        <v>0</v>
      </c>
      <c r="V166" s="70">
        <f>IF(ISERROR(VLOOKUP($S$166,'TAR FIN'!$A$1:$O$85,15,0)),0,VLOOKUP($S$166,'TAR FIN'!$A$1:$O$85,15,0))*(1-0.06)</f>
        <v>22.005399999999998</v>
      </c>
      <c r="W166" s="70">
        <f>IF(ISERROR(VLOOKUP($T$166,'TAR FIN'!$A$1:$O$85,15,0)),0,VLOOKUP($T$166,'TAR FIN'!$A$1:$O$85,15,0))</f>
        <v>0</v>
      </c>
      <c r="X166" s="70">
        <f>IF(ISERROR(VLOOKUP($U$166,'TAR FIN'!$A$1:$O$85,15,0)),0,VLOOKUP($U$166,'TAR FIN'!$A$1:$O$85,15,0))</f>
        <v>0</v>
      </c>
      <c r="Y166" s="70">
        <f ca="1">('TUSD BE'!$AM$10+'TUSD BF'!$AM$10+'TUSD CVA'!$AM$10)*1*(1-0.03)</f>
        <v>23.539881161583953</v>
      </c>
      <c r="Z166" s="70"/>
      <c r="AA166" s="70"/>
      <c r="AB166" s="70">
        <f>(SUBSIDIO!$J$166*SUBSIDIO!$V$166)*(0.06)/(1-0.06)</f>
        <v>439.63979999999998</v>
      </c>
      <c r="AC166" s="70">
        <f>((SUBSIDIO!$L$166*SUBSIDIO!$W$166)+(SUBSIDIO!$N$166*SUBSIDIO!$X$166))*(0.06)/(1-0.06)</f>
        <v>0</v>
      </c>
      <c r="AD166" s="70">
        <f ca="1">(SUBSIDIO!$J$166*SUBSIDIO!$Y$166)*(0.03)/(1-0.03)</f>
        <v>227.87575681162198</v>
      </c>
      <c r="AE166" s="70">
        <f>((SUBSIDIO!$L$166*SUBSIDIO!$Z$166)+(SUBSIDIO!$N$166*SUBSIDIO!$AA$166))*(0.03)/(1-0.03)</f>
        <v>0</v>
      </c>
      <c r="AF166" s="4" t="s">
        <v>565</v>
      </c>
    </row>
    <row r="167" spans="1:32" ht="11.25" customHeight="1" x14ac:dyDescent="0.25">
      <c r="A167" s="4" t="s">
        <v>21</v>
      </c>
      <c r="B167" s="4" t="s">
        <v>33</v>
      </c>
      <c r="C167" s="4" t="s">
        <v>34</v>
      </c>
      <c r="D167" s="4" t="s">
        <v>48</v>
      </c>
      <c r="E167" s="4" t="s">
        <v>49</v>
      </c>
      <c r="F167" s="4" t="s">
        <v>25</v>
      </c>
      <c r="G167" s="4" t="s">
        <v>25</v>
      </c>
      <c r="H167" s="4" t="s">
        <v>25</v>
      </c>
      <c r="I167" s="5">
        <v>44501</v>
      </c>
      <c r="J167" s="6">
        <v>321</v>
      </c>
      <c r="K167" s="71">
        <v>321</v>
      </c>
      <c r="L167" s="6">
        <v>0</v>
      </c>
      <c r="M167" s="70">
        <v>0</v>
      </c>
      <c r="N167" s="6">
        <v>0</v>
      </c>
      <c r="O167" s="70">
        <v>0</v>
      </c>
      <c r="P167" s="6">
        <v>3</v>
      </c>
      <c r="Q167" s="4" t="s">
        <v>26</v>
      </c>
      <c r="R167" s="4">
        <v>0</v>
      </c>
      <c r="S167" s="4">
        <v>65</v>
      </c>
      <c r="T167" s="4">
        <v>0</v>
      </c>
      <c r="U167" s="4">
        <v>0</v>
      </c>
      <c r="V167" s="70">
        <f>IF(ISERROR(VLOOKUP($S$167,'TAR FIN'!$A$1:$O$85,15,0)),0,VLOOKUP($S$167,'TAR FIN'!$A$1:$O$85,15,0))*(1-0.06)</f>
        <v>22.005399999999998</v>
      </c>
      <c r="W167" s="70">
        <f>IF(ISERROR(VLOOKUP($T$167,'TAR FIN'!$A$1:$O$85,15,0)),0,VLOOKUP($T$167,'TAR FIN'!$A$1:$O$85,15,0))</f>
        <v>0</v>
      </c>
      <c r="X167" s="70">
        <f>IF(ISERROR(VLOOKUP($U$167,'TAR FIN'!$A$1:$O$85,15,0)),0,VLOOKUP($U$167,'TAR FIN'!$A$1:$O$85,15,0))</f>
        <v>0</v>
      </c>
      <c r="Y167" s="70">
        <f ca="1">('TUSD BE'!$AM$10+'TUSD BF'!$AM$10+'TUSD CVA'!$AM$10)*1*(1-0.03)</f>
        <v>23.539881161583953</v>
      </c>
      <c r="Z167" s="70"/>
      <c r="AA167" s="70"/>
      <c r="AB167" s="70">
        <f>(SUBSIDIO!$J$167*SUBSIDIO!$V$167)*(0.06)/(1-0.06)</f>
        <v>450.87659999999994</v>
      </c>
      <c r="AC167" s="70">
        <f>((SUBSIDIO!$L$167*SUBSIDIO!$W$167)+(SUBSIDIO!$N$167*SUBSIDIO!$X$167))*(0.06)/(1-0.06)</f>
        <v>0</v>
      </c>
      <c r="AD167" s="70">
        <f ca="1">(SUBSIDIO!$J$167*SUBSIDIO!$Y$167)*(0.03)/(1-0.03)</f>
        <v>233.70005730520975</v>
      </c>
      <c r="AE167" s="70">
        <f>((SUBSIDIO!$L$167*SUBSIDIO!$Z$167)+(SUBSIDIO!$N$167*SUBSIDIO!$AA$167))*(0.03)/(1-0.03)</f>
        <v>0</v>
      </c>
      <c r="AF167" s="4" t="s">
        <v>565</v>
      </c>
    </row>
    <row r="168" spans="1:32" ht="11.25" customHeight="1" x14ac:dyDescent="0.25">
      <c r="A168" s="4" t="s">
        <v>21</v>
      </c>
      <c r="B168" s="4" t="s">
        <v>33</v>
      </c>
      <c r="C168" s="4" t="s">
        <v>34</v>
      </c>
      <c r="D168" s="4" t="s">
        <v>48</v>
      </c>
      <c r="E168" s="4" t="s">
        <v>49</v>
      </c>
      <c r="F168" s="4" t="s">
        <v>25</v>
      </c>
      <c r="G168" s="4" t="s">
        <v>25</v>
      </c>
      <c r="H168" s="4" t="s">
        <v>25</v>
      </c>
      <c r="I168" s="5">
        <v>44531</v>
      </c>
      <c r="J168" s="6">
        <v>323</v>
      </c>
      <c r="K168" s="71">
        <v>323</v>
      </c>
      <c r="L168" s="6">
        <v>0</v>
      </c>
      <c r="M168" s="70">
        <v>0</v>
      </c>
      <c r="N168" s="6">
        <v>0</v>
      </c>
      <c r="O168" s="70">
        <v>0</v>
      </c>
      <c r="P168" s="6">
        <v>3</v>
      </c>
      <c r="Q168" s="4" t="s">
        <v>26</v>
      </c>
      <c r="R168" s="4">
        <v>0</v>
      </c>
      <c r="S168" s="4">
        <v>65</v>
      </c>
      <c r="T168" s="4">
        <v>0</v>
      </c>
      <c r="U168" s="4">
        <v>0</v>
      </c>
      <c r="V168" s="70">
        <f>IF(ISERROR(VLOOKUP($S$168,'TAR FIN'!$A$1:$O$85,15,0)),0,VLOOKUP($S$168,'TAR FIN'!$A$1:$O$85,15,0))*(1-0.06)</f>
        <v>22.005399999999998</v>
      </c>
      <c r="W168" s="70">
        <f>IF(ISERROR(VLOOKUP($T$168,'TAR FIN'!$A$1:$O$85,15,0)),0,VLOOKUP($T$168,'TAR FIN'!$A$1:$O$85,15,0))</f>
        <v>0</v>
      </c>
      <c r="X168" s="70">
        <f>IF(ISERROR(VLOOKUP($U$168,'TAR FIN'!$A$1:$O$85,15,0)),0,VLOOKUP($U$168,'TAR FIN'!$A$1:$O$85,15,0))</f>
        <v>0</v>
      </c>
      <c r="Y168" s="70">
        <f ca="1">('TUSD BE'!$AM$10+'TUSD BF'!$AM$10+'TUSD CVA'!$AM$10)*1*(1-0.03)</f>
        <v>23.539881161583953</v>
      </c>
      <c r="Z168" s="70"/>
      <c r="AA168" s="70"/>
      <c r="AB168" s="70">
        <f>(SUBSIDIO!$J$168*SUBSIDIO!$V$168)*(0.06)/(1-0.06)</f>
        <v>453.68579999999997</v>
      </c>
      <c r="AC168" s="70">
        <f>((SUBSIDIO!$L$168*SUBSIDIO!$W$168)+(SUBSIDIO!$N$168*SUBSIDIO!$X$168))*(0.06)/(1-0.06)</f>
        <v>0</v>
      </c>
      <c r="AD168" s="70">
        <f ca="1">(SUBSIDIO!$J$168*SUBSIDIO!$Y$168)*(0.03)/(1-0.03)</f>
        <v>235.15613242860672</v>
      </c>
      <c r="AE168" s="70">
        <f>((SUBSIDIO!$L$168*SUBSIDIO!$Z$168)+(SUBSIDIO!$N$168*SUBSIDIO!$AA$168))*(0.03)/(1-0.03)</f>
        <v>0</v>
      </c>
      <c r="AF168" s="4" t="s">
        <v>565</v>
      </c>
    </row>
    <row r="169" spans="1:32" ht="11.25" customHeight="1" x14ac:dyDescent="0.25">
      <c r="A169" s="4" t="s">
        <v>21</v>
      </c>
      <c r="B169" s="4" t="s">
        <v>33</v>
      </c>
      <c r="C169" s="4" t="s">
        <v>34</v>
      </c>
      <c r="D169" s="4" t="s">
        <v>48</v>
      </c>
      <c r="E169" s="4" t="s">
        <v>49</v>
      </c>
      <c r="F169" s="4" t="s">
        <v>25</v>
      </c>
      <c r="G169" s="4" t="s">
        <v>25</v>
      </c>
      <c r="H169" s="4" t="s">
        <v>25</v>
      </c>
      <c r="I169" s="5">
        <v>44562</v>
      </c>
      <c r="J169" s="6">
        <v>322</v>
      </c>
      <c r="K169" s="71">
        <v>322</v>
      </c>
      <c r="L169" s="6">
        <v>0</v>
      </c>
      <c r="M169" s="70">
        <v>0</v>
      </c>
      <c r="N169" s="6">
        <v>0</v>
      </c>
      <c r="O169" s="70">
        <v>0</v>
      </c>
      <c r="P169" s="6">
        <v>3</v>
      </c>
      <c r="Q169" s="4" t="s">
        <v>26</v>
      </c>
      <c r="R169" s="4">
        <v>0</v>
      </c>
      <c r="S169" s="4">
        <v>65</v>
      </c>
      <c r="T169" s="4">
        <v>0</v>
      </c>
      <c r="U169" s="4">
        <v>0</v>
      </c>
      <c r="V169" s="70">
        <f>IF(ISERROR(VLOOKUP($S$169,'TAR FIN'!$A$1:$O$85,15,0)),0,VLOOKUP($S$169,'TAR FIN'!$A$1:$O$85,15,0))*(1-0.06)</f>
        <v>22.005399999999998</v>
      </c>
      <c r="W169" s="70">
        <f>IF(ISERROR(VLOOKUP($T$169,'TAR FIN'!$A$1:$O$85,15,0)),0,VLOOKUP($T$169,'TAR FIN'!$A$1:$O$85,15,0))</f>
        <v>0</v>
      </c>
      <c r="X169" s="70">
        <f>IF(ISERROR(VLOOKUP($U$169,'TAR FIN'!$A$1:$O$85,15,0)),0,VLOOKUP($U$169,'TAR FIN'!$A$1:$O$85,15,0))</f>
        <v>0</v>
      </c>
      <c r="Y169" s="70">
        <f ca="1">('TUSD BE'!$AM$10+'TUSD BF'!$AM$10+'TUSD CVA'!$AM$10)*1*(1-0.03)</f>
        <v>23.539881161583953</v>
      </c>
      <c r="Z169" s="70"/>
      <c r="AA169" s="70"/>
      <c r="AB169" s="70">
        <f>(SUBSIDIO!$J$169*SUBSIDIO!$V$169)*(0.06)/(1-0.06)</f>
        <v>452.28119999999996</v>
      </c>
      <c r="AC169" s="70">
        <f>((SUBSIDIO!$L$169*SUBSIDIO!$W$169)+(SUBSIDIO!$N$169*SUBSIDIO!$X$169))*(0.06)/(1-0.06)</f>
        <v>0</v>
      </c>
      <c r="AD169" s="70">
        <f ca="1">(SUBSIDIO!$J$169*SUBSIDIO!$Y$169)*(0.03)/(1-0.03)</f>
        <v>234.42809486690822</v>
      </c>
      <c r="AE169" s="70">
        <f>((SUBSIDIO!$L$169*SUBSIDIO!$Z$169)+(SUBSIDIO!$N$169*SUBSIDIO!$AA$169))*(0.03)/(1-0.03)</f>
        <v>0</v>
      </c>
      <c r="AF169" s="4" t="s">
        <v>565</v>
      </c>
    </row>
    <row r="170" spans="1:32" ht="11.25" customHeight="1" x14ac:dyDescent="0.25">
      <c r="A170" s="4" t="s">
        <v>21</v>
      </c>
      <c r="B170" s="4" t="s">
        <v>33</v>
      </c>
      <c r="C170" s="4" t="s">
        <v>34</v>
      </c>
      <c r="D170" s="4" t="s">
        <v>48</v>
      </c>
      <c r="E170" s="4" t="s">
        <v>49</v>
      </c>
      <c r="F170" s="4" t="s">
        <v>25</v>
      </c>
      <c r="G170" s="4" t="s">
        <v>25</v>
      </c>
      <c r="H170" s="4" t="s">
        <v>25</v>
      </c>
      <c r="I170" s="5">
        <v>44593</v>
      </c>
      <c r="J170" s="6">
        <v>313</v>
      </c>
      <c r="K170" s="71">
        <v>313</v>
      </c>
      <c r="L170" s="6">
        <v>0</v>
      </c>
      <c r="M170" s="70">
        <v>0</v>
      </c>
      <c r="N170" s="6">
        <v>0</v>
      </c>
      <c r="O170" s="70">
        <v>0</v>
      </c>
      <c r="P170" s="6">
        <v>3</v>
      </c>
      <c r="Q170" s="4" t="s">
        <v>26</v>
      </c>
      <c r="R170" s="4">
        <v>0</v>
      </c>
      <c r="S170" s="4">
        <v>65</v>
      </c>
      <c r="T170" s="4">
        <v>0</v>
      </c>
      <c r="U170" s="4">
        <v>0</v>
      </c>
      <c r="V170" s="70">
        <f>IF(ISERROR(VLOOKUP($S$170,'TAR FIN'!$A$1:$O$85,15,0)),0,VLOOKUP($S$170,'TAR FIN'!$A$1:$O$85,15,0))*(1-0.06)</f>
        <v>22.005399999999998</v>
      </c>
      <c r="W170" s="70">
        <f>IF(ISERROR(VLOOKUP($T$170,'TAR FIN'!$A$1:$O$85,15,0)),0,VLOOKUP($T$170,'TAR FIN'!$A$1:$O$85,15,0))</f>
        <v>0</v>
      </c>
      <c r="X170" s="70">
        <f>IF(ISERROR(VLOOKUP($U$170,'TAR FIN'!$A$1:$O$85,15,0)),0,VLOOKUP($U$170,'TAR FIN'!$A$1:$O$85,15,0))</f>
        <v>0</v>
      </c>
      <c r="Y170" s="70">
        <f ca="1">('TUSD BE'!$AM$10+'TUSD BF'!$AM$10+'TUSD CVA'!$AM$10)*1*(1-0.03)</f>
        <v>23.539881161583953</v>
      </c>
      <c r="Z170" s="70"/>
      <c r="AA170" s="70"/>
      <c r="AB170" s="70">
        <f>(SUBSIDIO!$J$170*SUBSIDIO!$V$170)*(0.06)/(1-0.06)</f>
        <v>439.63979999999998</v>
      </c>
      <c r="AC170" s="70">
        <f>((SUBSIDIO!$L$170*SUBSIDIO!$W$170)+(SUBSIDIO!$N$170*SUBSIDIO!$X$170))*(0.06)/(1-0.06)</f>
        <v>0</v>
      </c>
      <c r="AD170" s="70">
        <f ca="1">(SUBSIDIO!$J$170*SUBSIDIO!$Y$170)*(0.03)/(1-0.03)</f>
        <v>227.87575681162198</v>
      </c>
      <c r="AE170" s="70">
        <f>((SUBSIDIO!$L$170*SUBSIDIO!$Z$170)+(SUBSIDIO!$N$170*SUBSIDIO!$AA$170))*(0.03)/(1-0.03)</f>
        <v>0</v>
      </c>
      <c r="AF170" s="4" t="s">
        <v>565</v>
      </c>
    </row>
    <row r="171" spans="1:32" ht="11.25" customHeight="1" x14ac:dyDescent="0.25">
      <c r="A171" s="4" t="s">
        <v>54</v>
      </c>
      <c r="B171" s="4" t="s">
        <v>33</v>
      </c>
      <c r="C171" s="4" t="s">
        <v>34</v>
      </c>
      <c r="D171" s="4" t="s">
        <v>48</v>
      </c>
      <c r="E171" s="4" t="s">
        <v>49</v>
      </c>
      <c r="F171" s="4" t="s">
        <v>25</v>
      </c>
      <c r="G171" s="4" t="s">
        <v>25</v>
      </c>
      <c r="H171" s="4" t="s">
        <v>25</v>
      </c>
      <c r="I171" s="5">
        <v>44621</v>
      </c>
      <c r="J171" s="6">
        <v>313</v>
      </c>
      <c r="K171" s="71">
        <v>313</v>
      </c>
      <c r="L171" s="6">
        <v>0</v>
      </c>
      <c r="M171" s="70">
        <v>0</v>
      </c>
      <c r="N171" s="6">
        <v>0</v>
      </c>
      <c r="O171" s="70">
        <v>0</v>
      </c>
      <c r="P171" s="6">
        <v>3</v>
      </c>
      <c r="Q171" s="4" t="s">
        <v>26</v>
      </c>
      <c r="R171" s="4">
        <v>0</v>
      </c>
      <c r="S171" s="4">
        <v>65</v>
      </c>
      <c r="T171" s="4">
        <v>0</v>
      </c>
      <c r="U171" s="4">
        <v>0</v>
      </c>
      <c r="V171" s="70">
        <f>IF(ISERROR(VLOOKUP($S$171,'TAR FIN'!$A$1:$O$85,15,0)),0,VLOOKUP($S$171,'TAR FIN'!$A$1:$O$85,15,0))*(1-0.06)</f>
        <v>22.005399999999998</v>
      </c>
      <c r="W171" s="70">
        <f>IF(ISERROR(VLOOKUP($T$171,'TAR FIN'!$A$1:$O$85,15,0)),0,VLOOKUP($T$171,'TAR FIN'!$A$1:$O$85,15,0))</f>
        <v>0</v>
      </c>
      <c r="X171" s="70">
        <f>IF(ISERROR(VLOOKUP($U$171,'TAR FIN'!$A$1:$O$85,15,0)),0,VLOOKUP($U$171,'TAR FIN'!$A$1:$O$85,15,0))</f>
        <v>0</v>
      </c>
      <c r="Y171" s="70">
        <f ca="1">('TUSD BE'!$AM$10+'TUSD BF'!$AM$10+'TUSD CVA'!$AM$10)*1*(1-0.03)</f>
        <v>23.539881161583953</v>
      </c>
      <c r="Z171" s="70"/>
      <c r="AA171" s="70"/>
      <c r="AB171" s="70">
        <f>(SUBSIDIO!$J$171*SUBSIDIO!$V$171)*(0.06)/(1-0.06)</f>
        <v>439.63979999999998</v>
      </c>
      <c r="AC171" s="70">
        <f>((SUBSIDIO!$L$171*SUBSIDIO!$W$171)+(SUBSIDIO!$N$171*SUBSIDIO!$X$171))*(0.06)/(1-0.06)</f>
        <v>0</v>
      </c>
      <c r="AD171" s="70">
        <f ca="1">(SUBSIDIO!$J$171*SUBSIDIO!$Y$171)*(0.03)/(1-0.03)</f>
        <v>227.87575681162198</v>
      </c>
      <c r="AE171" s="70">
        <f>((SUBSIDIO!$L$171*SUBSIDIO!$Z$171)+(SUBSIDIO!$N$171*SUBSIDIO!$AA$171))*(0.03)/(1-0.03)</f>
        <v>0</v>
      </c>
      <c r="AF171" s="4" t="s">
        <v>565</v>
      </c>
    </row>
    <row r="172" spans="1:32" ht="11.25" customHeight="1" x14ac:dyDescent="0.25">
      <c r="A172" s="4" t="s">
        <v>21</v>
      </c>
      <c r="B172" s="4" t="s">
        <v>33</v>
      </c>
      <c r="C172" s="4" t="s">
        <v>34</v>
      </c>
      <c r="D172" s="4" t="s">
        <v>48</v>
      </c>
      <c r="E172" s="4" t="s">
        <v>49</v>
      </c>
      <c r="F172" s="4" t="s">
        <v>25</v>
      </c>
      <c r="G172" s="4" t="s">
        <v>25</v>
      </c>
      <c r="H172" s="4" t="s">
        <v>35</v>
      </c>
      <c r="I172" s="5">
        <v>44287</v>
      </c>
      <c r="J172" s="6">
        <v>0</v>
      </c>
      <c r="K172" s="70">
        <v>0</v>
      </c>
      <c r="L172" s="6">
        <v>14.055</v>
      </c>
      <c r="M172" s="70">
        <v>14.055</v>
      </c>
      <c r="N172" s="6">
        <v>14.055</v>
      </c>
      <c r="O172" s="70">
        <v>14.055</v>
      </c>
      <c r="P172" s="6">
        <v>0</v>
      </c>
      <c r="Q172" s="4" t="s">
        <v>26</v>
      </c>
      <c r="R172" s="4">
        <v>0</v>
      </c>
      <c r="S172" s="4">
        <v>0</v>
      </c>
      <c r="T172" s="4">
        <v>66</v>
      </c>
      <c r="U172" s="4">
        <v>6</v>
      </c>
      <c r="V172" s="70">
        <f>IF(ISERROR(VLOOKUP($S$172,'TAR FIN'!$A$1:$O$85,15,0)),0,VLOOKUP($S$172,'TAR FIN'!$A$1:$O$85,15,0))</f>
        <v>0</v>
      </c>
      <c r="W172" s="70">
        <f>IF(ISERROR(VLOOKUP($T$172,'TAR FIN'!$A$1:$O$85,15,0)),0,VLOOKUP($T$172,'TAR FIN'!$A$1:$O$85,15,0))*(1-0.06)</f>
        <v>2127.7651999999998</v>
      </c>
      <c r="X172" s="70">
        <f>IF(ISERROR(VLOOKUP($U$172,'TAR FIN'!$A$1:$O$85,15,0)),0,VLOOKUP($U$172,'TAR FIN'!$A$1:$O$85,15,0))*(1-0.06)</f>
        <v>210.29679999999999</v>
      </c>
      <c r="Y172" s="70"/>
      <c r="Z172" s="70">
        <f ca="1">('TUSD BE'!$AM$11+'TUSD BF'!$AM$11+'TUSD CVA'!$AM$11)*1*(1-0.03)</f>
        <v>2302.4656865967704</v>
      </c>
      <c r="AA172" s="70">
        <f>('TE BE'!$AA$5+'TE BF'!$AA$5+'TE CVA'!$AA$5)*1*(1-0.03)</f>
        <v>211.10051723004204</v>
      </c>
      <c r="AB172" s="70">
        <f>(SUBSIDIO!$J$172*SUBSIDIO!$V$172)*(0.06)/(1-0.06)</f>
        <v>0</v>
      </c>
      <c r="AC172" s="70">
        <f>((SUBSIDIO!$L$172*SUBSIDIO!$W$172)+(SUBSIDIO!$N$172*SUBSIDIO!$X$172))*(0.06)/(1-0.06)</f>
        <v>2097.54009</v>
      </c>
      <c r="AD172" s="70">
        <f>(SUBSIDIO!$J$172*SUBSIDIO!$Y$172)*(0.03)/(1-0.03)</f>
        <v>0</v>
      </c>
      <c r="AE172" s="70">
        <f ca="1">((SUBSIDIO!$L$172*SUBSIDIO!$Z$172)+(SUBSIDIO!$N$172*SUBSIDIO!$AA$172))*(0.03)/(1-0.03)</f>
        <v>1092.6239070552324</v>
      </c>
      <c r="AF172" s="4" t="s">
        <v>565</v>
      </c>
    </row>
    <row r="173" spans="1:32" ht="11.25" customHeight="1" x14ac:dyDescent="0.25">
      <c r="A173" s="4" t="s">
        <v>21</v>
      </c>
      <c r="B173" s="4" t="s">
        <v>33</v>
      </c>
      <c r="C173" s="4" t="s">
        <v>34</v>
      </c>
      <c r="D173" s="4" t="s">
        <v>48</v>
      </c>
      <c r="E173" s="4" t="s">
        <v>49</v>
      </c>
      <c r="F173" s="4" t="s">
        <v>25</v>
      </c>
      <c r="G173" s="4" t="s">
        <v>25</v>
      </c>
      <c r="H173" s="4" t="s">
        <v>35</v>
      </c>
      <c r="I173" s="5">
        <v>44317</v>
      </c>
      <c r="J173" s="6">
        <v>0</v>
      </c>
      <c r="K173" s="70">
        <v>0</v>
      </c>
      <c r="L173" s="6">
        <v>14.256</v>
      </c>
      <c r="M173" s="70">
        <v>14.256</v>
      </c>
      <c r="N173" s="6">
        <v>14.256</v>
      </c>
      <c r="O173" s="70">
        <v>14.256</v>
      </c>
      <c r="P173" s="6">
        <v>0</v>
      </c>
      <c r="Q173" s="4" t="s">
        <v>26</v>
      </c>
      <c r="R173" s="4">
        <v>0</v>
      </c>
      <c r="S173" s="4">
        <v>0</v>
      </c>
      <c r="T173" s="4">
        <v>66</v>
      </c>
      <c r="U173" s="4">
        <v>6</v>
      </c>
      <c r="V173" s="70">
        <f>IF(ISERROR(VLOOKUP($S$173,'TAR FIN'!$A$1:$O$85,15,0)),0,VLOOKUP($S$173,'TAR FIN'!$A$1:$O$85,15,0))</f>
        <v>0</v>
      </c>
      <c r="W173" s="70">
        <f>IF(ISERROR(VLOOKUP($T$173,'TAR FIN'!$A$1:$O$85,15,0)),0,VLOOKUP($T$173,'TAR FIN'!$A$1:$O$85,15,0))*(1-0.06)</f>
        <v>2127.7651999999998</v>
      </c>
      <c r="X173" s="70">
        <f>IF(ISERROR(VLOOKUP($U$173,'TAR FIN'!$A$1:$O$85,15,0)),0,VLOOKUP($U$173,'TAR FIN'!$A$1:$O$85,15,0))*(1-0.06)</f>
        <v>210.29679999999999</v>
      </c>
      <c r="Y173" s="70"/>
      <c r="Z173" s="70">
        <f ca="1">('TUSD BE'!$AM$11+'TUSD BF'!$AM$11+'TUSD CVA'!$AM$11)*1*(1-0.03)</f>
        <v>2302.4656865967704</v>
      </c>
      <c r="AA173" s="70">
        <f>('TE BE'!$AA$5+'TE BF'!$AA$5+'TE CVA'!$AA$5)*1*(1-0.03)</f>
        <v>211.10051723004204</v>
      </c>
      <c r="AB173" s="70">
        <f>(SUBSIDIO!$J$173*SUBSIDIO!$V$173)*(0.06)/(1-0.06)</f>
        <v>0</v>
      </c>
      <c r="AC173" s="70">
        <f>((SUBSIDIO!$L$173*SUBSIDIO!$W$173)+(SUBSIDIO!$N$173*SUBSIDIO!$X$173))*(0.06)/(1-0.06)</f>
        <v>2127.536928</v>
      </c>
      <c r="AD173" s="70">
        <f>(SUBSIDIO!$J$173*SUBSIDIO!$Y$173)*(0.03)/(1-0.03)</f>
        <v>0</v>
      </c>
      <c r="AE173" s="70">
        <f ca="1">((SUBSIDIO!$L$173*SUBSIDIO!$Z$173)+(SUBSIDIO!$N$173*SUBSIDIO!$AA$173))*(0.03)/(1-0.03)</f>
        <v>1108.2494784047949</v>
      </c>
      <c r="AF173" s="4" t="s">
        <v>565</v>
      </c>
    </row>
    <row r="174" spans="1:32" ht="11.25" customHeight="1" x14ac:dyDescent="0.25">
      <c r="A174" s="4" t="s">
        <v>21</v>
      </c>
      <c r="B174" s="4" t="s">
        <v>33</v>
      </c>
      <c r="C174" s="4" t="s">
        <v>34</v>
      </c>
      <c r="D174" s="4" t="s">
        <v>48</v>
      </c>
      <c r="E174" s="4" t="s">
        <v>49</v>
      </c>
      <c r="F174" s="4" t="s">
        <v>25</v>
      </c>
      <c r="G174" s="4" t="s">
        <v>25</v>
      </c>
      <c r="H174" s="4" t="s">
        <v>35</v>
      </c>
      <c r="I174" s="5">
        <v>44348</v>
      </c>
      <c r="J174" s="6">
        <v>0</v>
      </c>
      <c r="K174" s="70">
        <v>0</v>
      </c>
      <c r="L174" s="6">
        <v>12.856</v>
      </c>
      <c r="M174" s="70">
        <v>12.856</v>
      </c>
      <c r="N174" s="6">
        <v>12.856</v>
      </c>
      <c r="O174" s="70">
        <v>12.856</v>
      </c>
      <c r="P174" s="6">
        <v>0</v>
      </c>
      <c r="Q174" s="4" t="s">
        <v>26</v>
      </c>
      <c r="R174" s="4">
        <v>0</v>
      </c>
      <c r="S174" s="4">
        <v>0</v>
      </c>
      <c r="T174" s="4">
        <v>66</v>
      </c>
      <c r="U174" s="4">
        <v>6</v>
      </c>
      <c r="V174" s="70">
        <f>IF(ISERROR(VLOOKUP($S$174,'TAR FIN'!$A$1:$O$85,15,0)),0,VLOOKUP($S$174,'TAR FIN'!$A$1:$O$85,15,0))</f>
        <v>0</v>
      </c>
      <c r="W174" s="70">
        <f>IF(ISERROR(VLOOKUP($T$174,'TAR FIN'!$A$1:$O$85,15,0)),0,VLOOKUP($T$174,'TAR FIN'!$A$1:$O$85,15,0))*(1-0.06)</f>
        <v>2127.7651999999998</v>
      </c>
      <c r="X174" s="70">
        <f>IF(ISERROR(VLOOKUP($U$174,'TAR FIN'!$A$1:$O$85,15,0)),0,VLOOKUP($U$174,'TAR FIN'!$A$1:$O$85,15,0))*(1-0.06)</f>
        <v>210.29679999999999</v>
      </c>
      <c r="Y174" s="70"/>
      <c r="Z174" s="70">
        <f ca="1">('TUSD BE'!$AM$11+'TUSD BF'!$AM$11+'TUSD CVA'!$AM$11)*1*(1-0.03)</f>
        <v>2302.4656865967704</v>
      </c>
      <c r="AA174" s="70">
        <f>('TE BE'!$AA$5+'TE BF'!$AA$5+'TE CVA'!$AA$5)*1*(1-0.03)</f>
        <v>211.10051723004204</v>
      </c>
      <c r="AB174" s="70">
        <f>(SUBSIDIO!$J$174*SUBSIDIO!$V$174)*(0.06)/(1-0.06)</f>
        <v>0</v>
      </c>
      <c r="AC174" s="70">
        <f>((SUBSIDIO!$L$174*SUBSIDIO!$W$174)+(SUBSIDIO!$N$174*SUBSIDIO!$X$174))*(0.06)/(1-0.06)</f>
        <v>1918.603728</v>
      </c>
      <c r="AD174" s="70">
        <f>(SUBSIDIO!$J$174*SUBSIDIO!$Y$174)*(0.03)/(1-0.03)</f>
        <v>0</v>
      </c>
      <c r="AE174" s="70">
        <f ca="1">((SUBSIDIO!$L$174*SUBSIDIO!$Z$174)+(SUBSIDIO!$N$174*SUBSIDIO!$AA$174))*(0.03)/(1-0.03)</f>
        <v>999.41465308445868</v>
      </c>
      <c r="AF174" s="4" t="s">
        <v>565</v>
      </c>
    </row>
    <row r="175" spans="1:32" ht="11.25" customHeight="1" x14ac:dyDescent="0.25">
      <c r="A175" s="4" t="s">
        <v>21</v>
      </c>
      <c r="B175" s="4" t="s">
        <v>33</v>
      </c>
      <c r="C175" s="4" t="s">
        <v>34</v>
      </c>
      <c r="D175" s="4" t="s">
        <v>48</v>
      </c>
      <c r="E175" s="4" t="s">
        <v>49</v>
      </c>
      <c r="F175" s="4" t="s">
        <v>25</v>
      </c>
      <c r="G175" s="4" t="s">
        <v>25</v>
      </c>
      <c r="H175" s="4" t="s">
        <v>35</v>
      </c>
      <c r="I175" s="5">
        <v>44378</v>
      </c>
      <c r="J175" s="6">
        <v>0</v>
      </c>
      <c r="K175" s="70">
        <v>0</v>
      </c>
      <c r="L175" s="6">
        <v>12.365</v>
      </c>
      <c r="M175" s="70">
        <v>12.365</v>
      </c>
      <c r="N175" s="6">
        <v>12.365</v>
      </c>
      <c r="O175" s="70">
        <v>12.365</v>
      </c>
      <c r="P175" s="6">
        <v>0</v>
      </c>
      <c r="Q175" s="4" t="s">
        <v>26</v>
      </c>
      <c r="R175" s="4">
        <v>0</v>
      </c>
      <c r="S175" s="4">
        <v>0</v>
      </c>
      <c r="T175" s="4">
        <v>66</v>
      </c>
      <c r="U175" s="4">
        <v>6</v>
      </c>
      <c r="V175" s="70">
        <f>IF(ISERROR(VLOOKUP($S$175,'TAR FIN'!$A$1:$O$85,15,0)),0,VLOOKUP($S$175,'TAR FIN'!$A$1:$O$85,15,0))</f>
        <v>0</v>
      </c>
      <c r="W175" s="70">
        <f>IF(ISERROR(VLOOKUP($T$175,'TAR FIN'!$A$1:$O$85,15,0)),0,VLOOKUP($T$175,'TAR FIN'!$A$1:$O$85,15,0))*(1-0.06)</f>
        <v>2127.7651999999998</v>
      </c>
      <c r="X175" s="70">
        <f>IF(ISERROR(VLOOKUP($U$175,'TAR FIN'!$A$1:$O$85,15,0)),0,VLOOKUP($U$175,'TAR FIN'!$A$1:$O$85,15,0))*(1-0.06)</f>
        <v>210.29679999999999</v>
      </c>
      <c r="Y175" s="70"/>
      <c r="Z175" s="70">
        <f ca="1">('TUSD BE'!$AM$11+'TUSD BF'!$AM$11+'TUSD CVA'!$AM$11)*1*(1-0.03)</f>
        <v>2302.4656865967704</v>
      </c>
      <c r="AA175" s="70">
        <f>('TE BE'!$AA$5+'TE BF'!$AA$5+'TE CVA'!$AA$5)*1*(1-0.03)</f>
        <v>211.10051723004204</v>
      </c>
      <c r="AB175" s="70">
        <f>(SUBSIDIO!$J$175*SUBSIDIO!$V$175)*(0.06)/(1-0.06)</f>
        <v>0</v>
      </c>
      <c r="AC175" s="70">
        <f>((SUBSIDIO!$L$175*SUBSIDIO!$W$175)+(SUBSIDIO!$N$175*SUBSIDIO!$X$175))*(0.06)/(1-0.06)</f>
        <v>1845.3278699999998</v>
      </c>
      <c r="AD175" s="70">
        <f>(SUBSIDIO!$J$175*SUBSIDIO!$Y$175)*(0.03)/(1-0.03)</f>
        <v>0</v>
      </c>
      <c r="AE175" s="70">
        <f ca="1">((SUBSIDIO!$L$175*SUBSIDIO!$Z$175)+(SUBSIDIO!$N$175*SUBSIDIO!$AA$175))*(0.03)/(1-0.03)</f>
        <v>961.24472506139796</v>
      </c>
      <c r="AF175" s="4" t="s">
        <v>565</v>
      </c>
    </row>
    <row r="176" spans="1:32" ht="11.25" customHeight="1" x14ac:dyDescent="0.25">
      <c r="A176" s="4" t="s">
        <v>21</v>
      </c>
      <c r="B176" s="4" t="s">
        <v>33</v>
      </c>
      <c r="C176" s="4" t="s">
        <v>34</v>
      </c>
      <c r="D176" s="4" t="s">
        <v>48</v>
      </c>
      <c r="E176" s="4" t="s">
        <v>49</v>
      </c>
      <c r="F176" s="4" t="s">
        <v>25</v>
      </c>
      <c r="G176" s="4" t="s">
        <v>25</v>
      </c>
      <c r="H176" s="4" t="s">
        <v>35</v>
      </c>
      <c r="I176" s="5">
        <v>44409</v>
      </c>
      <c r="J176" s="6">
        <v>0</v>
      </c>
      <c r="K176" s="70">
        <v>0</v>
      </c>
      <c r="L176" s="6">
        <v>13.507999999999999</v>
      </c>
      <c r="M176" s="70">
        <v>13.507999999999999</v>
      </c>
      <c r="N176" s="6">
        <v>13.507999999999999</v>
      </c>
      <c r="O176" s="70">
        <v>13.507999999999999</v>
      </c>
      <c r="P176" s="6">
        <v>0</v>
      </c>
      <c r="Q176" s="4" t="s">
        <v>26</v>
      </c>
      <c r="R176" s="4">
        <v>0</v>
      </c>
      <c r="S176" s="4">
        <v>0</v>
      </c>
      <c r="T176" s="4">
        <v>66</v>
      </c>
      <c r="U176" s="4">
        <v>6</v>
      </c>
      <c r="V176" s="70">
        <f>IF(ISERROR(VLOOKUP($S$176,'TAR FIN'!$A$1:$O$85,15,0)),0,VLOOKUP($S$176,'TAR FIN'!$A$1:$O$85,15,0))</f>
        <v>0</v>
      </c>
      <c r="W176" s="70">
        <f>IF(ISERROR(VLOOKUP($T$176,'TAR FIN'!$A$1:$O$85,15,0)),0,VLOOKUP($T$176,'TAR FIN'!$A$1:$O$85,15,0))*(1-0.06)</f>
        <v>2127.7651999999998</v>
      </c>
      <c r="X176" s="70">
        <f>IF(ISERROR(VLOOKUP($U$176,'TAR FIN'!$A$1:$O$85,15,0)),0,VLOOKUP($U$176,'TAR FIN'!$A$1:$O$85,15,0))*(1-0.06)</f>
        <v>210.29679999999999</v>
      </c>
      <c r="Y176" s="70"/>
      <c r="Z176" s="70">
        <f ca="1">('TUSD BE'!$AM$11+'TUSD BF'!$AM$11+'TUSD CVA'!$AM$11)*1*(1-0.03)</f>
        <v>2302.4656865967704</v>
      </c>
      <c r="AA176" s="70">
        <f>('TE BE'!$AA$5+'TE BF'!$AA$5+'TE CVA'!$AA$5)*1*(1-0.03)</f>
        <v>211.10051723004204</v>
      </c>
      <c r="AB176" s="70">
        <f>(SUBSIDIO!$J$176*SUBSIDIO!$V$176)*(0.06)/(1-0.06)</f>
        <v>0</v>
      </c>
      <c r="AC176" s="70">
        <f>((SUBSIDIO!$L$176*SUBSIDIO!$W$176)+(SUBSIDIO!$N$176*SUBSIDIO!$X$176))*(0.06)/(1-0.06)</f>
        <v>2015.9069039999995</v>
      </c>
      <c r="AD176" s="70">
        <f>(SUBSIDIO!$J$176*SUBSIDIO!$Y$176)*(0.03)/(1-0.03)</f>
        <v>0</v>
      </c>
      <c r="AE176" s="70">
        <f ca="1">((SUBSIDIO!$L$176*SUBSIDIO!$Z$176)+(SUBSIDIO!$N$176*SUBSIDIO!$AA$176))*(0.03)/(1-0.03)</f>
        <v>1050.1005860193582</v>
      </c>
      <c r="AF176" s="4" t="s">
        <v>565</v>
      </c>
    </row>
    <row r="177" spans="1:32" ht="11.25" customHeight="1" x14ac:dyDescent="0.25">
      <c r="A177" s="4" t="s">
        <v>21</v>
      </c>
      <c r="B177" s="4" t="s">
        <v>33</v>
      </c>
      <c r="C177" s="4" t="s">
        <v>34</v>
      </c>
      <c r="D177" s="4" t="s">
        <v>48</v>
      </c>
      <c r="E177" s="4" t="s">
        <v>49</v>
      </c>
      <c r="F177" s="4" t="s">
        <v>25</v>
      </c>
      <c r="G177" s="4" t="s">
        <v>25</v>
      </c>
      <c r="H177" s="4" t="s">
        <v>35</v>
      </c>
      <c r="I177" s="5">
        <v>44440</v>
      </c>
      <c r="J177" s="6">
        <v>0</v>
      </c>
      <c r="K177" s="70">
        <v>0</v>
      </c>
      <c r="L177" s="6">
        <v>13.199</v>
      </c>
      <c r="M177" s="70">
        <v>13.199</v>
      </c>
      <c r="N177" s="6">
        <v>13.199</v>
      </c>
      <c r="O177" s="70">
        <v>13.199</v>
      </c>
      <c r="P177" s="6">
        <v>0</v>
      </c>
      <c r="Q177" s="4" t="s">
        <v>26</v>
      </c>
      <c r="R177" s="4">
        <v>0</v>
      </c>
      <c r="S177" s="4">
        <v>0</v>
      </c>
      <c r="T177" s="4">
        <v>66</v>
      </c>
      <c r="U177" s="4">
        <v>6</v>
      </c>
      <c r="V177" s="70">
        <f>IF(ISERROR(VLOOKUP($S$177,'TAR FIN'!$A$1:$O$85,15,0)),0,VLOOKUP($S$177,'TAR FIN'!$A$1:$O$85,15,0))</f>
        <v>0</v>
      </c>
      <c r="W177" s="70">
        <f>IF(ISERROR(VLOOKUP($T$177,'TAR FIN'!$A$1:$O$85,15,0)),0,VLOOKUP($T$177,'TAR FIN'!$A$1:$O$85,15,0))*(1-0.06)</f>
        <v>2127.7651999999998</v>
      </c>
      <c r="X177" s="70">
        <f>IF(ISERROR(VLOOKUP($U$177,'TAR FIN'!$A$1:$O$85,15,0)),0,VLOOKUP($U$177,'TAR FIN'!$A$1:$O$85,15,0))*(1-0.06)</f>
        <v>210.29679999999999</v>
      </c>
      <c r="Y177" s="70"/>
      <c r="Z177" s="70">
        <f ca="1">('TUSD BE'!$AM$11+'TUSD BF'!$AM$11+'TUSD CVA'!$AM$11)*1*(1-0.03)</f>
        <v>2302.4656865967704</v>
      </c>
      <c r="AA177" s="70">
        <f>('TE BE'!$AA$5+'TE BF'!$AA$5+'TE CVA'!$AA$5)*1*(1-0.03)</f>
        <v>211.10051723004204</v>
      </c>
      <c r="AB177" s="70">
        <f>(SUBSIDIO!$J$177*SUBSIDIO!$V$177)*(0.06)/(1-0.06)</f>
        <v>0</v>
      </c>
      <c r="AC177" s="70">
        <f>((SUBSIDIO!$L$177*SUBSIDIO!$W$177)+(SUBSIDIO!$N$177*SUBSIDIO!$X$177))*(0.06)/(1-0.06)</f>
        <v>1969.7923619999999</v>
      </c>
      <c r="AD177" s="70">
        <f>(SUBSIDIO!$J$177*SUBSIDIO!$Y$177)*(0.03)/(1-0.03)</f>
        <v>0</v>
      </c>
      <c r="AE177" s="70">
        <f ca="1">((SUBSIDIO!$L$177*SUBSIDIO!$Z$177)+(SUBSIDIO!$N$177*SUBSIDIO!$AA$177))*(0.03)/(1-0.03)</f>
        <v>1026.0791852879411</v>
      </c>
      <c r="AF177" s="4" t="s">
        <v>565</v>
      </c>
    </row>
    <row r="178" spans="1:32" ht="11.25" customHeight="1" x14ac:dyDescent="0.25">
      <c r="A178" s="4" t="s">
        <v>21</v>
      </c>
      <c r="B178" s="4" t="s">
        <v>33</v>
      </c>
      <c r="C178" s="4" t="s">
        <v>34</v>
      </c>
      <c r="D178" s="4" t="s">
        <v>48</v>
      </c>
      <c r="E178" s="4" t="s">
        <v>49</v>
      </c>
      <c r="F178" s="4" t="s">
        <v>25</v>
      </c>
      <c r="G178" s="4" t="s">
        <v>25</v>
      </c>
      <c r="H178" s="4" t="s">
        <v>35</v>
      </c>
      <c r="I178" s="5">
        <v>44470</v>
      </c>
      <c r="J178" s="6">
        <v>0</v>
      </c>
      <c r="K178" s="70">
        <v>0</v>
      </c>
      <c r="L178" s="6">
        <v>12.122999999999999</v>
      </c>
      <c r="M178" s="70">
        <v>12.122999999999999</v>
      </c>
      <c r="N178" s="6">
        <v>12.122999999999999</v>
      </c>
      <c r="O178" s="70">
        <v>12.122999999999999</v>
      </c>
      <c r="P178" s="6">
        <v>0</v>
      </c>
      <c r="Q178" s="4" t="s">
        <v>26</v>
      </c>
      <c r="R178" s="4">
        <v>0</v>
      </c>
      <c r="S178" s="4">
        <v>0</v>
      </c>
      <c r="T178" s="4">
        <v>66</v>
      </c>
      <c r="U178" s="4">
        <v>6</v>
      </c>
      <c r="V178" s="70">
        <f>IF(ISERROR(VLOOKUP($S$178,'TAR FIN'!$A$1:$O$85,15,0)),0,VLOOKUP($S$178,'TAR FIN'!$A$1:$O$85,15,0))</f>
        <v>0</v>
      </c>
      <c r="W178" s="70">
        <f>IF(ISERROR(VLOOKUP($T$178,'TAR FIN'!$A$1:$O$85,15,0)),0,VLOOKUP($T$178,'TAR FIN'!$A$1:$O$85,15,0))*(1-0.06)</f>
        <v>2127.7651999999998</v>
      </c>
      <c r="X178" s="70">
        <f>IF(ISERROR(VLOOKUP($U$178,'TAR FIN'!$A$1:$O$85,15,0)),0,VLOOKUP($U$178,'TAR FIN'!$A$1:$O$85,15,0))*(1-0.06)</f>
        <v>210.29679999999999</v>
      </c>
      <c r="Y178" s="70"/>
      <c r="Z178" s="70">
        <f ca="1">('TUSD BE'!$AM$11+'TUSD BF'!$AM$11+'TUSD CVA'!$AM$11)*1*(1-0.03)</f>
        <v>2302.4656865967704</v>
      </c>
      <c r="AA178" s="70">
        <f>('TE BE'!$AA$5+'TE BF'!$AA$5+'TE CVA'!$AA$5)*1*(1-0.03)</f>
        <v>211.10051723004204</v>
      </c>
      <c r="AB178" s="70">
        <f>(SUBSIDIO!$J$178*SUBSIDIO!$V$178)*(0.06)/(1-0.06)</f>
        <v>0</v>
      </c>
      <c r="AC178" s="70">
        <f>((SUBSIDIO!$L$178*SUBSIDIO!$W$178)+(SUBSIDIO!$N$178*SUBSIDIO!$X$178))*(0.06)/(1-0.06)</f>
        <v>1809.2122739999995</v>
      </c>
      <c r="AD178" s="70">
        <f>(SUBSIDIO!$J$178*SUBSIDIO!$Y$178)*(0.03)/(1-0.03)</f>
        <v>0</v>
      </c>
      <c r="AE178" s="70">
        <f ca="1">((SUBSIDIO!$L$178*SUBSIDIO!$Z$178)+(SUBSIDIO!$N$178*SUBSIDIO!$AA$178))*(0.03)/(1-0.03)</f>
        <v>942.43184811316837</v>
      </c>
      <c r="AF178" s="4" t="s">
        <v>565</v>
      </c>
    </row>
    <row r="179" spans="1:32" ht="11.25" customHeight="1" x14ac:dyDescent="0.25">
      <c r="A179" s="4" t="s">
        <v>21</v>
      </c>
      <c r="B179" s="4" t="s">
        <v>33</v>
      </c>
      <c r="C179" s="4" t="s">
        <v>34</v>
      </c>
      <c r="D179" s="4" t="s">
        <v>48</v>
      </c>
      <c r="E179" s="4" t="s">
        <v>49</v>
      </c>
      <c r="F179" s="4" t="s">
        <v>25</v>
      </c>
      <c r="G179" s="4" t="s">
        <v>25</v>
      </c>
      <c r="H179" s="4" t="s">
        <v>35</v>
      </c>
      <c r="I179" s="5">
        <v>44501</v>
      </c>
      <c r="J179" s="6">
        <v>0</v>
      </c>
      <c r="K179" s="70">
        <v>0</v>
      </c>
      <c r="L179" s="6">
        <v>13.7</v>
      </c>
      <c r="M179" s="70">
        <v>13.7</v>
      </c>
      <c r="N179" s="6">
        <v>13.7</v>
      </c>
      <c r="O179" s="70">
        <v>13.7</v>
      </c>
      <c r="P179" s="6">
        <v>0</v>
      </c>
      <c r="Q179" s="4" t="s">
        <v>26</v>
      </c>
      <c r="R179" s="4">
        <v>0</v>
      </c>
      <c r="S179" s="4">
        <v>0</v>
      </c>
      <c r="T179" s="4">
        <v>66</v>
      </c>
      <c r="U179" s="4">
        <v>6</v>
      </c>
      <c r="V179" s="70">
        <f>IF(ISERROR(VLOOKUP($S$179,'TAR FIN'!$A$1:$O$85,15,0)),0,VLOOKUP($S$179,'TAR FIN'!$A$1:$O$85,15,0))</f>
        <v>0</v>
      </c>
      <c r="W179" s="70">
        <f>IF(ISERROR(VLOOKUP($T$179,'TAR FIN'!$A$1:$O$85,15,0)),0,VLOOKUP($T$179,'TAR FIN'!$A$1:$O$85,15,0))*(1-0.06)</f>
        <v>2127.7651999999998</v>
      </c>
      <c r="X179" s="70">
        <f>IF(ISERROR(VLOOKUP($U$179,'TAR FIN'!$A$1:$O$85,15,0)),0,VLOOKUP($U$179,'TAR FIN'!$A$1:$O$85,15,0))*(1-0.06)</f>
        <v>210.29679999999999</v>
      </c>
      <c r="Y179" s="70"/>
      <c r="Z179" s="70">
        <f ca="1">('TUSD BE'!$AM$11+'TUSD BF'!$AM$11+'TUSD CVA'!$AM$11)*1*(1-0.03)</f>
        <v>2302.4656865967704</v>
      </c>
      <c r="AA179" s="70">
        <f>('TE BE'!$AA$5+'TE BF'!$AA$5+'TE CVA'!$AA$5)*1*(1-0.03)</f>
        <v>211.10051723004204</v>
      </c>
      <c r="AB179" s="70">
        <f>(SUBSIDIO!$J$179*SUBSIDIO!$V$179)*(0.06)/(1-0.06)</f>
        <v>0</v>
      </c>
      <c r="AC179" s="70">
        <f>((SUBSIDIO!$L$179*SUBSIDIO!$W$179)+(SUBSIDIO!$N$179*SUBSIDIO!$X$179))*(0.06)/(1-0.06)</f>
        <v>2044.5605999999996</v>
      </c>
      <c r="AD179" s="70">
        <f>(SUBSIDIO!$J$179*SUBSIDIO!$Y$179)*(0.03)/(1-0.03)</f>
        <v>0</v>
      </c>
      <c r="AE179" s="70">
        <f ca="1">((SUBSIDIO!$L$179*SUBSIDIO!$Z$179)+(SUBSIDIO!$N$179*SUBSIDIO!$AA$179))*(0.03)/(1-0.03)</f>
        <v>1065.0265049204327</v>
      </c>
      <c r="AF179" s="4" t="s">
        <v>565</v>
      </c>
    </row>
    <row r="180" spans="1:32" ht="11.25" customHeight="1" x14ac:dyDescent="0.25">
      <c r="A180" s="4" t="s">
        <v>21</v>
      </c>
      <c r="B180" s="4" t="s">
        <v>33</v>
      </c>
      <c r="C180" s="4" t="s">
        <v>34</v>
      </c>
      <c r="D180" s="4" t="s">
        <v>48</v>
      </c>
      <c r="E180" s="4" t="s">
        <v>49</v>
      </c>
      <c r="F180" s="4" t="s">
        <v>25</v>
      </c>
      <c r="G180" s="4" t="s">
        <v>25</v>
      </c>
      <c r="H180" s="4" t="s">
        <v>35</v>
      </c>
      <c r="I180" s="5">
        <v>44531</v>
      </c>
      <c r="J180" s="6">
        <v>0</v>
      </c>
      <c r="K180" s="70">
        <v>0</v>
      </c>
      <c r="L180" s="6">
        <v>14.138</v>
      </c>
      <c r="M180" s="70">
        <v>14.138</v>
      </c>
      <c r="N180" s="6">
        <v>14.138</v>
      </c>
      <c r="O180" s="70">
        <v>14.138</v>
      </c>
      <c r="P180" s="6">
        <v>0</v>
      </c>
      <c r="Q180" s="4" t="s">
        <v>26</v>
      </c>
      <c r="R180" s="4">
        <v>0</v>
      </c>
      <c r="S180" s="4">
        <v>0</v>
      </c>
      <c r="T180" s="4">
        <v>66</v>
      </c>
      <c r="U180" s="4">
        <v>6</v>
      </c>
      <c r="V180" s="70">
        <f>IF(ISERROR(VLOOKUP($S$180,'TAR FIN'!$A$1:$O$85,15,0)),0,VLOOKUP($S$180,'TAR FIN'!$A$1:$O$85,15,0))</f>
        <v>0</v>
      </c>
      <c r="W180" s="70">
        <f>IF(ISERROR(VLOOKUP($T$180,'TAR FIN'!$A$1:$O$85,15,0)),0,VLOOKUP($T$180,'TAR FIN'!$A$1:$O$85,15,0))*(1-0.06)</f>
        <v>2127.7651999999998</v>
      </c>
      <c r="X180" s="70">
        <f>IF(ISERROR(VLOOKUP($U$180,'TAR FIN'!$A$1:$O$85,15,0)),0,VLOOKUP($U$180,'TAR FIN'!$A$1:$O$85,15,0))*(1-0.06)</f>
        <v>210.29679999999999</v>
      </c>
      <c r="Y180" s="70"/>
      <c r="Z180" s="70">
        <f ca="1">('TUSD BE'!$AM$11+'TUSD BF'!$AM$11+'TUSD CVA'!$AM$11)*1*(1-0.03)</f>
        <v>2302.4656865967704</v>
      </c>
      <c r="AA180" s="70">
        <f>('TE BE'!$AA$5+'TE BF'!$AA$5+'TE CVA'!$AA$5)*1*(1-0.03)</f>
        <v>211.10051723004204</v>
      </c>
      <c r="AB180" s="70">
        <f>(SUBSIDIO!$J$180*SUBSIDIO!$V$180)*(0.06)/(1-0.06)</f>
        <v>0</v>
      </c>
      <c r="AC180" s="70">
        <f>((SUBSIDIO!$L$180*SUBSIDIO!$W$180)+(SUBSIDIO!$N$180*SUBSIDIO!$X$180))*(0.06)/(1-0.06)</f>
        <v>2109.9268439999996</v>
      </c>
      <c r="AD180" s="70">
        <f>(SUBSIDIO!$J$180*SUBSIDIO!$Y$180)*(0.03)/(1-0.03)</f>
        <v>0</v>
      </c>
      <c r="AE180" s="70">
        <f ca="1">((SUBSIDIO!$L$180*SUBSIDIO!$Z$180)+(SUBSIDIO!$N$180*SUBSIDIO!$AA$180))*(0.03)/(1-0.03)</f>
        <v>1099.0762574135097</v>
      </c>
      <c r="AF180" s="4" t="s">
        <v>565</v>
      </c>
    </row>
    <row r="181" spans="1:32" ht="11.25" customHeight="1" x14ac:dyDescent="0.25">
      <c r="A181" s="4" t="s">
        <v>21</v>
      </c>
      <c r="B181" s="4" t="s">
        <v>33</v>
      </c>
      <c r="C181" s="4" t="s">
        <v>34</v>
      </c>
      <c r="D181" s="4" t="s">
        <v>48</v>
      </c>
      <c r="E181" s="4" t="s">
        <v>49</v>
      </c>
      <c r="F181" s="4" t="s">
        <v>25</v>
      </c>
      <c r="G181" s="4" t="s">
        <v>25</v>
      </c>
      <c r="H181" s="4" t="s">
        <v>35</v>
      </c>
      <c r="I181" s="5">
        <v>44562</v>
      </c>
      <c r="J181" s="6">
        <v>0</v>
      </c>
      <c r="K181" s="70">
        <v>0</v>
      </c>
      <c r="L181" s="6">
        <v>13.545</v>
      </c>
      <c r="M181" s="70">
        <v>13.545</v>
      </c>
      <c r="N181" s="6">
        <v>13.545</v>
      </c>
      <c r="O181" s="70">
        <v>13.545</v>
      </c>
      <c r="P181" s="6">
        <v>0</v>
      </c>
      <c r="Q181" s="4" t="s">
        <v>26</v>
      </c>
      <c r="R181" s="4">
        <v>0</v>
      </c>
      <c r="S181" s="4">
        <v>0</v>
      </c>
      <c r="T181" s="4">
        <v>66</v>
      </c>
      <c r="U181" s="4">
        <v>6</v>
      </c>
      <c r="V181" s="70">
        <f>IF(ISERROR(VLOOKUP($S$181,'TAR FIN'!$A$1:$O$85,15,0)),0,VLOOKUP($S$181,'TAR FIN'!$A$1:$O$85,15,0))</f>
        <v>0</v>
      </c>
      <c r="W181" s="70">
        <f>IF(ISERROR(VLOOKUP($T$181,'TAR FIN'!$A$1:$O$85,15,0)),0,VLOOKUP($T$181,'TAR FIN'!$A$1:$O$85,15,0))*(1-0.06)</f>
        <v>2127.7651999999998</v>
      </c>
      <c r="X181" s="70">
        <f>IF(ISERROR(VLOOKUP($U$181,'TAR FIN'!$A$1:$O$85,15,0)),0,VLOOKUP($U$181,'TAR FIN'!$A$1:$O$85,15,0))*(1-0.06)</f>
        <v>210.29679999999999</v>
      </c>
      <c r="Y181" s="70"/>
      <c r="Z181" s="70">
        <f ca="1">('TUSD BE'!$AM$11+'TUSD BF'!$AM$11+'TUSD CVA'!$AM$11)*1*(1-0.03)</f>
        <v>2302.4656865967704</v>
      </c>
      <c r="AA181" s="70">
        <f>('TE BE'!$AA$5+'TE BF'!$AA$5+'TE CVA'!$AA$5)*1*(1-0.03)</f>
        <v>211.10051723004204</v>
      </c>
      <c r="AB181" s="70">
        <f>(SUBSIDIO!$J$181*SUBSIDIO!$V$181)*(0.06)/(1-0.06)</f>
        <v>0</v>
      </c>
      <c r="AC181" s="70">
        <f>((SUBSIDIO!$L$181*SUBSIDIO!$W$181)+(SUBSIDIO!$N$181*SUBSIDIO!$X$181))*(0.06)/(1-0.06)</f>
        <v>2021.4287099999999</v>
      </c>
      <c r="AD181" s="70">
        <f>(SUBSIDIO!$J$181*SUBSIDIO!$Y$181)*(0.03)/(1-0.03)</f>
        <v>0</v>
      </c>
      <c r="AE181" s="70">
        <f ca="1">((SUBSIDIO!$L$181*SUBSIDIO!$Z$181)+(SUBSIDIO!$N$181*SUBSIDIO!$AA$181))*(0.03)/(1-0.03)</f>
        <v>1052.9769349742528</v>
      </c>
      <c r="AF181" s="4" t="s">
        <v>565</v>
      </c>
    </row>
    <row r="182" spans="1:32" ht="11.25" customHeight="1" x14ac:dyDescent="0.25">
      <c r="A182" s="4" t="s">
        <v>21</v>
      </c>
      <c r="B182" s="4" t="s">
        <v>33</v>
      </c>
      <c r="C182" s="4" t="s">
        <v>34</v>
      </c>
      <c r="D182" s="4" t="s">
        <v>48</v>
      </c>
      <c r="E182" s="4" t="s">
        <v>49</v>
      </c>
      <c r="F182" s="4" t="s">
        <v>25</v>
      </c>
      <c r="G182" s="4" t="s">
        <v>25</v>
      </c>
      <c r="H182" s="4" t="s">
        <v>35</v>
      </c>
      <c r="I182" s="5">
        <v>44593</v>
      </c>
      <c r="J182" s="6">
        <v>0</v>
      </c>
      <c r="K182" s="70">
        <v>0</v>
      </c>
      <c r="L182" s="6">
        <v>16.222000000000001</v>
      </c>
      <c r="M182" s="70">
        <v>16.222000000000001</v>
      </c>
      <c r="N182" s="6">
        <v>16.222000000000001</v>
      </c>
      <c r="O182" s="70">
        <v>16.222000000000001</v>
      </c>
      <c r="P182" s="6">
        <v>0</v>
      </c>
      <c r="Q182" s="4" t="s">
        <v>26</v>
      </c>
      <c r="R182" s="4">
        <v>0</v>
      </c>
      <c r="S182" s="4">
        <v>0</v>
      </c>
      <c r="T182" s="4">
        <v>66</v>
      </c>
      <c r="U182" s="4">
        <v>6</v>
      </c>
      <c r="V182" s="70">
        <f>IF(ISERROR(VLOOKUP($S$182,'TAR FIN'!$A$1:$O$85,15,0)),0,VLOOKUP($S$182,'TAR FIN'!$A$1:$O$85,15,0))</f>
        <v>0</v>
      </c>
      <c r="W182" s="70">
        <f>IF(ISERROR(VLOOKUP($T$182,'TAR FIN'!$A$1:$O$85,15,0)),0,VLOOKUP($T$182,'TAR FIN'!$A$1:$O$85,15,0))*(1-0.06)</f>
        <v>2127.7651999999998</v>
      </c>
      <c r="X182" s="70">
        <f>IF(ISERROR(VLOOKUP($U$182,'TAR FIN'!$A$1:$O$85,15,0)),0,VLOOKUP($U$182,'TAR FIN'!$A$1:$O$85,15,0))*(1-0.06)</f>
        <v>210.29679999999999</v>
      </c>
      <c r="Y182" s="70"/>
      <c r="Z182" s="70">
        <f ca="1">('TUSD BE'!$AM$11+'TUSD BF'!$AM$11+'TUSD CVA'!$AM$11)*1*(1-0.03)</f>
        <v>2302.4656865967704</v>
      </c>
      <c r="AA182" s="70">
        <f>('TE BE'!$AA$5+'TE BF'!$AA$5+'TE CVA'!$AA$5)*1*(1-0.03)</f>
        <v>211.10051723004204</v>
      </c>
      <c r="AB182" s="70">
        <f>(SUBSIDIO!$J$182*SUBSIDIO!$V$182)*(0.06)/(1-0.06)</f>
        <v>0</v>
      </c>
      <c r="AC182" s="70">
        <f>((SUBSIDIO!$L$182*SUBSIDIO!$W$182)+(SUBSIDIO!$N$182*SUBSIDIO!$X$182))*(0.06)/(1-0.06)</f>
        <v>2420.9388360000003</v>
      </c>
      <c r="AD182" s="70">
        <f>(SUBSIDIO!$J$182*SUBSIDIO!$Y$182)*(0.03)/(1-0.03)</f>
        <v>0</v>
      </c>
      <c r="AE182" s="70">
        <f ca="1">((SUBSIDIO!$L$182*SUBSIDIO!$Z$182)+(SUBSIDIO!$N$182*SUBSIDIO!$AA$182))*(0.03)/(1-0.03)</f>
        <v>1261.0846688189245</v>
      </c>
      <c r="AF182" s="4" t="s">
        <v>565</v>
      </c>
    </row>
    <row r="183" spans="1:32" ht="11.25" customHeight="1" x14ac:dyDescent="0.25">
      <c r="A183" s="4" t="s">
        <v>54</v>
      </c>
      <c r="B183" s="4" t="s">
        <v>33</v>
      </c>
      <c r="C183" s="4" t="s">
        <v>34</v>
      </c>
      <c r="D183" s="4" t="s">
        <v>48</v>
      </c>
      <c r="E183" s="4" t="s">
        <v>49</v>
      </c>
      <c r="F183" s="4" t="s">
        <v>25</v>
      </c>
      <c r="G183" s="4" t="s">
        <v>25</v>
      </c>
      <c r="H183" s="4" t="s">
        <v>35</v>
      </c>
      <c r="I183" s="5">
        <v>44621</v>
      </c>
      <c r="J183" s="6">
        <v>0</v>
      </c>
      <c r="K183" s="70">
        <v>0</v>
      </c>
      <c r="L183" s="6">
        <v>16.222000000000001</v>
      </c>
      <c r="M183" s="70">
        <v>16.222000000000001</v>
      </c>
      <c r="N183" s="6">
        <v>16.222000000000001</v>
      </c>
      <c r="O183" s="70">
        <v>16.222000000000001</v>
      </c>
      <c r="P183" s="6">
        <v>0</v>
      </c>
      <c r="Q183" s="4" t="s">
        <v>26</v>
      </c>
      <c r="R183" s="4">
        <v>0</v>
      </c>
      <c r="S183" s="4">
        <v>0</v>
      </c>
      <c r="T183" s="4">
        <v>66</v>
      </c>
      <c r="U183" s="4">
        <v>6</v>
      </c>
      <c r="V183" s="70">
        <f>IF(ISERROR(VLOOKUP($S$183,'TAR FIN'!$A$1:$O$85,15,0)),0,VLOOKUP($S$183,'TAR FIN'!$A$1:$O$85,15,0))</f>
        <v>0</v>
      </c>
      <c r="W183" s="70">
        <f>IF(ISERROR(VLOOKUP($T$183,'TAR FIN'!$A$1:$O$85,15,0)),0,VLOOKUP($T$183,'TAR FIN'!$A$1:$O$85,15,0))*(1-0.06)</f>
        <v>2127.7651999999998</v>
      </c>
      <c r="X183" s="70">
        <f>IF(ISERROR(VLOOKUP($U$183,'TAR FIN'!$A$1:$O$85,15,0)),0,VLOOKUP($U$183,'TAR FIN'!$A$1:$O$85,15,0))*(1-0.06)</f>
        <v>210.29679999999999</v>
      </c>
      <c r="Y183" s="70"/>
      <c r="Z183" s="70">
        <f ca="1">('TUSD BE'!$AM$11+'TUSD BF'!$AM$11+'TUSD CVA'!$AM$11)*1*(1-0.03)</f>
        <v>2302.4656865967704</v>
      </c>
      <c r="AA183" s="70">
        <f>('TE BE'!$AA$5+'TE BF'!$AA$5+'TE CVA'!$AA$5)*1*(1-0.03)</f>
        <v>211.10051723004204</v>
      </c>
      <c r="AB183" s="70">
        <f>(SUBSIDIO!$J$183*SUBSIDIO!$V$183)*(0.06)/(1-0.06)</f>
        <v>0</v>
      </c>
      <c r="AC183" s="70">
        <f>((SUBSIDIO!$L$183*SUBSIDIO!$W$183)+(SUBSIDIO!$N$183*SUBSIDIO!$X$183))*(0.06)/(1-0.06)</f>
        <v>2420.9388360000003</v>
      </c>
      <c r="AD183" s="70">
        <f>(SUBSIDIO!$J$183*SUBSIDIO!$Y$183)*(0.03)/(1-0.03)</f>
        <v>0</v>
      </c>
      <c r="AE183" s="70">
        <f ca="1">((SUBSIDIO!$L$183*SUBSIDIO!$Z$183)+(SUBSIDIO!$N$183*SUBSIDIO!$AA$183))*(0.03)/(1-0.03)</f>
        <v>1261.0846688189245</v>
      </c>
      <c r="AF183" s="4" t="s">
        <v>565</v>
      </c>
    </row>
    <row r="184" spans="1:32" ht="11.25" customHeight="1" x14ac:dyDescent="0.25">
      <c r="A184" s="4" t="s">
        <v>21</v>
      </c>
      <c r="B184" s="4" t="s">
        <v>22</v>
      </c>
      <c r="C184" s="4" t="s">
        <v>23</v>
      </c>
      <c r="D184" s="4" t="s">
        <v>24</v>
      </c>
      <c r="E184" s="4" t="s">
        <v>24</v>
      </c>
      <c r="F184" s="4" t="s">
        <v>25</v>
      </c>
      <c r="G184" s="4" t="s">
        <v>25</v>
      </c>
      <c r="H184" s="4" t="s">
        <v>25</v>
      </c>
      <c r="I184" s="5">
        <v>44287</v>
      </c>
      <c r="J184" s="6">
        <v>0</v>
      </c>
      <c r="K184" s="6">
        <v>0</v>
      </c>
      <c r="L184" s="6">
        <v>2193.27</v>
      </c>
      <c r="M184" s="6">
        <v>2193.27</v>
      </c>
      <c r="N184" s="6">
        <v>2193.27</v>
      </c>
      <c r="O184" s="6">
        <v>2193.27</v>
      </c>
      <c r="P184" s="6">
        <v>8530</v>
      </c>
      <c r="Q184" s="4" t="s">
        <v>26</v>
      </c>
      <c r="R184" s="4">
        <v>0</v>
      </c>
      <c r="S184" s="4">
        <v>0</v>
      </c>
      <c r="T184" s="4">
        <v>53</v>
      </c>
      <c r="U184" s="4">
        <v>9</v>
      </c>
      <c r="V184" s="6">
        <f>IF(ISERROR(VLOOKUP($S$184,'TAR FIN'!$A$1:$O$85,15,0)),0,VLOOKUP($S$184,'TAR FIN'!$A$1:$O$85,15,0))</f>
        <v>0</v>
      </c>
      <c r="W184" s="6">
        <f>IF(ISERROR(VLOOKUP($T$184,'TAR FIN'!$A$1:$O$85,15,0)),0,VLOOKUP($T$184,'TAR FIN'!$A$1:$O$85,15,0))</f>
        <v>440.1</v>
      </c>
      <c r="X184" s="6">
        <f>IF(ISERROR(VLOOKUP($U$184,'TAR FIN'!$A$1:$O$85,15,0)),0,VLOOKUP($U$184,'TAR FIN'!$A$1:$O$85,15,0))</f>
        <v>223.72</v>
      </c>
      <c r="Y184" s="6"/>
      <c r="Z184" s="6">
        <f ca="1">('TUSD BE'!$AM$20+'TUSD BF'!$AM$20+'TUSD CVA'!$AM$20)*1</f>
        <v>494.3921362494865</v>
      </c>
      <c r="AA184" s="6">
        <f>('TE BE'!$AA$10+'TE BF'!$AA$10+'TE CVA'!$AA$10)*1</f>
        <v>217.62939920622892</v>
      </c>
      <c r="AB184" s="6">
        <f t="shared" ref="AB184:AB193" si="8">(J184-K184)*V184</f>
        <v>0</v>
      </c>
      <c r="AC184" s="6">
        <f t="shared" ref="AC184" si="9">(L184-M184)*W184+(N184-O184)*X184</f>
        <v>0</v>
      </c>
      <c r="AD184" s="6">
        <f t="shared" ref="AD184:AD193" si="10">(J184-K184)*Y184</f>
        <v>0</v>
      </c>
      <c r="AE184" s="6">
        <f t="shared" ref="AE184" ca="1" si="11">(L184-M184)*Z184+(N184-O184)*AA184</f>
        <v>0</v>
      </c>
    </row>
    <row r="185" spans="1:32" ht="11.25" customHeight="1" x14ac:dyDescent="0.25">
      <c r="A185" s="4" t="s">
        <v>21</v>
      </c>
      <c r="B185" s="4" t="s">
        <v>22</v>
      </c>
      <c r="C185" s="4" t="s">
        <v>23</v>
      </c>
      <c r="D185" s="4" t="s">
        <v>24</v>
      </c>
      <c r="E185" s="4" t="s">
        <v>29</v>
      </c>
      <c r="F185" s="4" t="s">
        <v>25</v>
      </c>
      <c r="G185" s="4" t="s">
        <v>25</v>
      </c>
      <c r="H185" s="4" t="s">
        <v>25</v>
      </c>
      <c r="I185" s="5">
        <v>44287</v>
      </c>
      <c r="J185" s="6">
        <v>0</v>
      </c>
      <c r="K185" s="6">
        <v>0</v>
      </c>
      <c r="L185" s="6">
        <v>1.32</v>
      </c>
      <c r="M185" s="6">
        <v>1.32</v>
      </c>
      <c r="N185" s="6">
        <v>1.32</v>
      </c>
      <c r="O185" s="6">
        <v>1.32</v>
      </c>
      <c r="P185" s="6">
        <v>0</v>
      </c>
      <c r="Q185" s="4" t="s">
        <v>26</v>
      </c>
      <c r="R185" s="4">
        <v>0</v>
      </c>
      <c r="S185" s="4">
        <v>0</v>
      </c>
      <c r="T185" s="4">
        <v>69</v>
      </c>
      <c r="U185" s="4">
        <v>10</v>
      </c>
      <c r="V185" s="6">
        <f>IF(ISERROR(VLOOKUP($S$185,'TAR FIN'!$A$1:$O$85,15,0)),0,VLOOKUP($S$185,'TAR FIN'!$A$1:$O$85,15,0))</f>
        <v>0</v>
      </c>
      <c r="W185" s="6">
        <f>IF(ISERROR(VLOOKUP($T$185,'TAR FIN'!$A$1:$O$85,15,0)),0,VLOOKUP($T$185,'TAR FIN'!$A$1:$O$85,15,0))</f>
        <v>131.74</v>
      </c>
      <c r="X185" s="6">
        <f>IF(ISERROR(VLOOKUP($U$185,'TAR FIN'!$A$1:$O$85,15,0)),0,VLOOKUP($U$185,'TAR FIN'!$A$1:$O$85,15,0))</f>
        <v>78.3</v>
      </c>
      <c r="Y185" s="6"/>
      <c r="Z185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185" s="6">
        <f>('TE BE'!$AA$11+'TE BF'!$AA$11+'TE CVA'!$AA$11)*(1-CUSTOS!$M$34)</f>
        <v>76.170289722180115</v>
      </c>
      <c r="AB185" s="6">
        <f t="shared" si="8"/>
        <v>0</v>
      </c>
      <c r="AC185" s="6">
        <f>(L185-M185)*(W185+X185)+($W$222+$X$222-$W$185-$X$185)*(L185)</f>
        <v>514.91880000000003</v>
      </c>
      <c r="AD185" s="6">
        <f t="shared" si="10"/>
        <v>0</v>
      </c>
      <c r="AE185" s="6">
        <f ca="1">(L185-M185)*(Z185+AA185)+($Z$222+$AA$222-$Z$185-$AA$185)*(L185)</f>
        <v>527.06204723165479</v>
      </c>
      <c r="AF185" s="4" t="s">
        <v>566</v>
      </c>
    </row>
    <row r="186" spans="1:32" ht="11.25" customHeight="1" x14ac:dyDescent="0.25">
      <c r="A186" s="4" t="s">
        <v>21</v>
      </c>
      <c r="B186" s="4" t="s">
        <v>22</v>
      </c>
      <c r="C186" s="4" t="s">
        <v>23</v>
      </c>
      <c r="D186" s="4" t="s">
        <v>24</v>
      </c>
      <c r="E186" s="4" t="s">
        <v>29</v>
      </c>
      <c r="F186" s="4" t="s">
        <v>25</v>
      </c>
      <c r="G186" s="4" t="s">
        <v>25</v>
      </c>
      <c r="H186" s="4" t="s">
        <v>25</v>
      </c>
      <c r="I186" s="5">
        <v>44317</v>
      </c>
      <c r="J186" s="6">
        <v>0</v>
      </c>
      <c r="K186" s="6">
        <v>0</v>
      </c>
      <c r="L186" s="6">
        <v>1.35</v>
      </c>
      <c r="M186" s="6">
        <v>1.35</v>
      </c>
      <c r="N186" s="6">
        <v>1.35</v>
      </c>
      <c r="O186" s="6">
        <v>1.35</v>
      </c>
      <c r="P186" s="6">
        <v>0</v>
      </c>
      <c r="Q186" s="4" t="s">
        <v>26</v>
      </c>
      <c r="R186" s="4">
        <v>0</v>
      </c>
      <c r="S186" s="4">
        <v>0</v>
      </c>
      <c r="T186" s="4">
        <v>69</v>
      </c>
      <c r="U186" s="4">
        <v>10</v>
      </c>
      <c r="V186" s="6">
        <f>IF(ISERROR(VLOOKUP($S$186,'TAR FIN'!$A$1:$O$85,15,0)),0,VLOOKUP($S$186,'TAR FIN'!$A$1:$O$85,15,0))</f>
        <v>0</v>
      </c>
      <c r="W186" s="6">
        <f>IF(ISERROR(VLOOKUP($T$186,'TAR FIN'!$A$1:$O$85,15,0)),0,VLOOKUP($T$186,'TAR FIN'!$A$1:$O$85,15,0))</f>
        <v>131.74</v>
      </c>
      <c r="X186" s="6">
        <f>IF(ISERROR(VLOOKUP($U$186,'TAR FIN'!$A$1:$O$85,15,0)),0,VLOOKUP($U$186,'TAR FIN'!$A$1:$O$85,15,0))</f>
        <v>78.3</v>
      </c>
      <c r="Y186" s="6"/>
      <c r="Z186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186" s="6">
        <f>('TE BE'!$AA$11+'TE BF'!$AA$11+'TE CVA'!$AA$11)*(1-CUSTOS!$M$34)</f>
        <v>76.170289722180115</v>
      </c>
      <c r="AB186" s="6">
        <f t="shared" si="8"/>
        <v>0</v>
      </c>
      <c r="AC186" s="6">
        <f>(L186-M186)*(W186+X186)+($W$222+$X$222-$W$186-$X$186)*(L186)</f>
        <v>526.62149999999997</v>
      </c>
      <c r="AD186" s="6">
        <f t="shared" si="10"/>
        <v>0</v>
      </c>
      <c r="AE186" s="6">
        <f ca="1">(L186-M186)*(Z186+AA186)+($Z$222+$AA$222-$Z$186-$AA$186)*(L186)</f>
        <v>539.04073012328331</v>
      </c>
      <c r="AF186" s="4" t="s">
        <v>566</v>
      </c>
    </row>
    <row r="187" spans="1:32" ht="11.25" customHeight="1" x14ac:dyDescent="0.25">
      <c r="A187" s="4" t="s">
        <v>21</v>
      </c>
      <c r="B187" s="4" t="s">
        <v>22</v>
      </c>
      <c r="C187" s="4" t="s">
        <v>23</v>
      </c>
      <c r="D187" s="4" t="s">
        <v>24</v>
      </c>
      <c r="E187" s="4" t="s">
        <v>29</v>
      </c>
      <c r="F187" s="4" t="s">
        <v>25</v>
      </c>
      <c r="G187" s="4" t="s">
        <v>25</v>
      </c>
      <c r="H187" s="4" t="s">
        <v>25</v>
      </c>
      <c r="I187" s="5">
        <v>44348</v>
      </c>
      <c r="J187" s="6">
        <v>0</v>
      </c>
      <c r="K187" s="6">
        <v>0</v>
      </c>
      <c r="L187" s="6">
        <v>1.38</v>
      </c>
      <c r="M187" s="6">
        <v>1.38</v>
      </c>
      <c r="N187" s="6">
        <v>1.38</v>
      </c>
      <c r="O187" s="6">
        <v>1.38</v>
      </c>
      <c r="P187" s="6">
        <v>0</v>
      </c>
      <c r="Q187" s="4" t="s">
        <v>26</v>
      </c>
      <c r="R187" s="4">
        <v>0</v>
      </c>
      <c r="S187" s="4">
        <v>0</v>
      </c>
      <c r="T187" s="4">
        <v>69</v>
      </c>
      <c r="U187" s="4">
        <v>10</v>
      </c>
      <c r="V187" s="6">
        <f>IF(ISERROR(VLOOKUP($S$187,'TAR FIN'!$A$1:$O$85,15,0)),0,VLOOKUP($S$187,'TAR FIN'!$A$1:$O$85,15,0))</f>
        <v>0</v>
      </c>
      <c r="W187" s="6">
        <f>IF(ISERROR(VLOOKUP($T$187,'TAR FIN'!$A$1:$O$85,15,0)),0,VLOOKUP($T$187,'TAR FIN'!$A$1:$O$85,15,0))</f>
        <v>131.74</v>
      </c>
      <c r="X187" s="6">
        <f>IF(ISERROR(VLOOKUP($U$187,'TAR FIN'!$A$1:$O$85,15,0)),0,VLOOKUP($U$187,'TAR FIN'!$A$1:$O$85,15,0))</f>
        <v>78.3</v>
      </c>
      <c r="Y187" s="6"/>
      <c r="Z187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187" s="6">
        <f>('TE BE'!$AA$11+'TE BF'!$AA$11+'TE CVA'!$AA$11)*(1-CUSTOS!$M$34)</f>
        <v>76.170289722180115</v>
      </c>
      <c r="AB187" s="6">
        <f t="shared" si="8"/>
        <v>0</v>
      </c>
      <c r="AC187" s="6">
        <f>(L187-M187)*(W187+X187)+($W$222+$X$222-$W$187-$X$187)*(L187)</f>
        <v>538.32419999999991</v>
      </c>
      <c r="AD187" s="6">
        <f t="shared" si="10"/>
        <v>0</v>
      </c>
      <c r="AE187" s="6">
        <f ca="1">(L187-M187)*(Z187+AA187)+($Z$222+$AA$222-$Z$187-$AA$187)*(L187)</f>
        <v>551.01941301491172</v>
      </c>
      <c r="AF187" s="4" t="s">
        <v>566</v>
      </c>
    </row>
    <row r="188" spans="1:32" ht="11.25" customHeight="1" x14ac:dyDescent="0.25">
      <c r="A188" s="4" t="s">
        <v>21</v>
      </c>
      <c r="B188" s="4" t="s">
        <v>22</v>
      </c>
      <c r="C188" s="4" t="s">
        <v>23</v>
      </c>
      <c r="D188" s="4" t="s">
        <v>24</v>
      </c>
      <c r="E188" s="4" t="s">
        <v>29</v>
      </c>
      <c r="F188" s="4" t="s">
        <v>25</v>
      </c>
      <c r="G188" s="4" t="s">
        <v>25</v>
      </c>
      <c r="H188" s="4" t="s">
        <v>25</v>
      </c>
      <c r="I188" s="5">
        <v>44378</v>
      </c>
      <c r="J188" s="6">
        <v>0</v>
      </c>
      <c r="K188" s="6">
        <v>0</v>
      </c>
      <c r="L188" s="6">
        <v>1.38</v>
      </c>
      <c r="M188" s="6">
        <v>1.38</v>
      </c>
      <c r="N188" s="6">
        <v>1.38</v>
      </c>
      <c r="O188" s="6">
        <v>1.38</v>
      </c>
      <c r="P188" s="6">
        <v>0</v>
      </c>
      <c r="Q188" s="4" t="s">
        <v>26</v>
      </c>
      <c r="R188" s="4">
        <v>0</v>
      </c>
      <c r="S188" s="4">
        <v>0</v>
      </c>
      <c r="T188" s="4">
        <v>69</v>
      </c>
      <c r="U188" s="4">
        <v>10</v>
      </c>
      <c r="V188" s="6">
        <f>IF(ISERROR(VLOOKUP($S$188,'TAR FIN'!$A$1:$O$85,15,0)),0,VLOOKUP($S$188,'TAR FIN'!$A$1:$O$85,15,0))</f>
        <v>0</v>
      </c>
      <c r="W188" s="6">
        <f>IF(ISERROR(VLOOKUP($T$188,'TAR FIN'!$A$1:$O$85,15,0)),0,VLOOKUP($T$188,'TAR FIN'!$A$1:$O$85,15,0))</f>
        <v>131.74</v>
      </c>
      <c r="X188" s="6">
        <f>IF(ISERROR(VLOOKUP($U$188,'TAR FIN'!$A$1:$O$85,15,0)),0,VLOOKUP($U$188,'TAR FIN'!$A$1:$O$85,15,0))</f>
        <v>78.3</v>
      </c>
      <c r="Y188" s="6"/>
      <c r="Z188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188" s="6">
        <f>('TE BE'!$AA$11+'TE BF'!$AA$11+'TE CVA'!$AA$11)*(1-CUSTOS!$M$34)</f>
        <v>76.170289722180115</v>
      </c>
      <c r="AB188" s="6">
        <f t="shared" si="8"/>
        <v>0</v>
      </c>
      <c r="AC188" s="6">
        <f>(L188-M188)*(W188+X188)+($W$222+$X$222-$W$188-$X$188)*(L188)</f>
        <v>538.32419999999991</v>
      </c>
      <c r="AD188" s="6">
        <f t="shared" si="10"/>
        <v>0</v>
      </c>
      <c r="AE188" s="6">
        <f ca="1">(L188-M188)*(Z188+AA188)+($Z$222+$AA$222-$Z$188-$AA$188)*(L188)</f>
        <v>551.01941301491172</v>
      </c>
      <c r="AF188" s="4" t="s">
        <v>566</v>
      </c>
    </row>
    <row r="189" spans="1:32" ht="11.25" customHeight="1" x14ac:dyDescent="0.25">
      <c r="A189" s="4" t="s">
        <v>21</v>
      </c>
      <c r="B189" s="4" t="s">
        <v>22</v>
      </c>
      <c r="C189" s="4" t="s">
        <v>23</v>
      </c>
      <c r="D189" s="4" t="s">
        <v>24</v>
      </c>
      <c r="E189" s="4" t="s">
        <v>29</v>
      </c>
      <c r="F189" s="4" t="s">
        <v>25</v>
      </c>
      <c r="G189" s="4" t="s">
        <v>25</v>
      </c>
      <c r="H189" s="4" t="s">
        <v>25</v>
      </c>
      <c r="I189" s="5">
        <v>44409</v>
      </c>
      <c r="J189" s="6">
        <v>0</v>
      </c>
      <c r="K189" s="6">
        <v>0</v>
      </c>
      <c r="L189" s="6">
        <v>1.47</v>
      </c>
      <c r="M189" s="6">
        <v>1.47</v>
      </c>
      <c r="N189" s="6">
        <v>1.47</v>
      </c>
      <c r="O189" s="6">
        <v>1.47</v>
      </c>
      <c r="P189" s="6">
        <v>0</v>
      </c>
      <c r="Q189" s="4" t="s">
        <v>26</v>
      </c>
      <c r="R189" s="4">
        <v>0</v>
      </c>
      <c r="S189" s="4">
        <v>0</v>
      </c>
      <c r="T189" s="4">
        <v>69</v>
      </c>
      <c r="U189" s="4">
        <v>10</v>
      </c>
      <c r="V189" s="6">
        <f>IF(ISERROR(VLOOKUP($S$189,'TAR FIN'!$A$1:$O$85,15,0)),0,VLOOKUP($S$189,'TAR FIN'!$A$1:$O$85,15,0))</f>
        <v>0</v>
      </c>
      <c r="W189" s="6">
        <f>IF(ISERROR(VLOOKUP($T$189,'TAR FIN'!$A$1:$O$85,15,0)),0,VLOOKUP($T$189,'TAR FIN'!$A$1:$O$85,15,0))</f>
        <v>131.74</v>
      </c>
      <c r="X189" s="6">
        <f>IF(ISERROR(VLOOKUP($U$189,'TAR FIN'!$A$1:$O$85,15,0)),0,VLOOKUP($U$189,'TAR FIN'!$A$1:$O$85,15,0))</f>
        <v>78.3</v>
      </c>
      <c r="Y189" s="6"/>
      <c r="Z189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189" s="6">
        <f>('TE BE'!$AA$11+'TE BF'!$AA$11+'TE CVA'!$AA$11)*(1-CUSTOS!$M$34)</f>
        <v>76.170289722180115</v>
      </c>
      <c r="AB189" s="6">
        <f t="shared" si="8"/>
        <v>0</v>
      </c>
      <c r="AC189" s="6">
        <f>(L189-M189)*(W189+X189)+($W$222+$X$222-$W$189-$X$189)*(L189)</f>
        <v>573.43229999999994</v>
      </c>
      <c r="AD189" s="6">
        <f t="shared" si="10"/>
        <v>0</v>
      </c>
      <c r="AE189" s="6">
        <f ca="1">(L189-M189)*(Z189+AA189)+($Z$222+$AA$222-$Z$189-$AA$189)*(L189)</f>
        <v>586.95546168979729</v>
      </c>
      <c r="AF189" s="4" t="s">
        <v>566</v>
      </c>
    </row>
    <row r="190" spans="1:32" ht="11.25" customHeight="1" x14ac:dyDescent="0.25">
      <c r="A190" s="4" t="s">
        <v>21</v>
      </c>
      <c r="B190" s="4" t="s">
        <v>22</v>
      </c>
      <c r="C190" s="4" t="s">
        <v>23</v>
      </c>
      <c r="D190" s="4" t="s">
        <v>24</v>
      </c>
      <c r="E190" s="4" t="s">
        <v>29</v>
      </c>
      <c r="F190" s="4" t="s">
        <v>25</v>
      </c>
      <c r="G190" s="4" t="s">
        <v>25</v>
      </c>
      <c r="H190" s="4" t="s">
        <v>25</v>
      </c>
      <c r="I190" s="5">
        <v>44440</v>
      </c>
      <c r="J190" s="6">
        <v>0</v>
      </c>
      <c r="K190" s="6">
        <v>0</v>
      </c>
      <c r="L190" s="6">
        <v>1.44</v>
      </c>
      <c r="M190" s="6">
        <v>1.44</v>
      </c>
      <c r="N190" s="6">
        <v>1.44</v>
      </c>
      <c r="O190" s="6">
        <v>1.44</v>
      </c>
      <c r="P190" s="6">
        <v>0</v>
      </c>
      <c r="Q190" s="4" t="s">
        <v>26</v>
      </c>
      <c r="R190" s="4">
        <v>0</v>
      </c>
      <c r="S190" s="4">
        <v>0</v>
      </c>
      <c r="T190" s="4">
        <v>69</v>
      </c>
      <c r="U190" s="4">
        <v>10</v>
      </c>
      <c r="V190" s="6">
        <f>IF(ISERROR(VLOOKUP($S$190,'TAR FIN'!$A$1:$O$85,15,0)),0,VLOOKUP($S$190,'TAR FIN'!$A$1:$O$85,15,0))</f>
        <v>0</v>
      </c>
      <c r="W190" s="6">
        <f>IF(ISERROR(VLOOKUP($T$190,'TAR FIN'!$A$1:$O$85,15,0)),0,VLOOKUP($T$190,'TAR FIN'!$A$1:$O$85,15,0))</f>
        <v>131.74</v>
      </c>
      <c r="X190" s="6">
        <f>IF(ISERROR(VLOOKUP($U$190,'TAR FIN'!$A$1:$O$85,15,0)),0,VLOOKUP($U$190,'TAR FIN'!$A$1:$O$85,15,0))</f>
        <v>78.3</v>
      </c>
      <c r="Y190" s="6"/>
      <c r="Z190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190" s="6">
        <f>('TE BE'!$AA$11+'TE BF'!$AA$11+'TE CVA'!$AA$11)*(1-CUSTOS!$M$34)</f>
        <v>76.170289722180115</v>
      </c>
      <c r="AB190" s="6">
        <f t="shared" si="8"/>
        <v>0</v>
      </c>
      <c r="AC190" s="6">
        <f>(L190-M190)*(W190+X190)+($W$222+$X$222-$W$190-$X$190)*(L190)</f>
        <v>561.72959999999989</v>
      </c>
      <c r="AD190" s="6">
        <f t="shared" si="10"/>
        <v>0</v>
      </c>
      <c r="AE190" s="6">
        <f ca="1">(L190-M190)*(Z190+AA190)+($Z$222+$AA$222-$Z$190-$AA$190)*(L190)</f>
        <v>574.97677879816877</v>
      </c>
      <c r="AF190" s="4" t="s">
        <v>566</v>
      </c>
    </row>
    <row r="191" spans="1:32" ht="11.25" customHeight="1" x14ac:dyDescent="0.25">
      <c r="A191" s="4" t="s">
        <v>21</v>
      </c>
      <c r="B191" s="4" t="s">
        <v>22</v>
      </c>
      <c r="C191" s="4" t="s">
        <v>23</v>
      </c>
      <c r="D191" s="4" t="s">
        <v>24</v>
      </c>
      <c r="E191" s="4" t="s">
        <v>29</v>
      </c>
      <c r="F191" s="4" t="s">
        <v>25</v>
      </c>
      <c r="G191" s="4" t="s">
        <v>25</v>
      </c>
      <c r="H191" s="4" t="s">
        <v>25</v>
      </c>
      <c r="I191" s="5">
        <v>44470</v>
      </c>
      <c r="J191" s="6">
        <v>0</v>
      </c>
      <c r="K191" s="6">
        <v>0</v>
      </c>
      <c r="L191" s="6">
        <v>1.44</v>
      </c>
      <c r="M191" s="6">
        <v>1.44</v>
      </c>
      <c r="N191" s="6">
        <v>1.44</v>
      </c>
      <c r="O191" s="6">
        <v>1.44</v>
      </c>
      <c r="P191" s="6">
        <v>0</v>
      </c>
      <c r="Q191" s="4" t="s">
        <v>26</v>
      </c>
      <c r="R191" s="4">
        <v>0</v>
      </c>
      <c r="S191" s="4">
        <v>0</v>
      </c>
      <c r="T191" s="4">
        <v>69</v>
      </c>
      <c r="U191" s="4">
        <v>10</v>
      </c>
      <c r="V191" s="6">
        <f>IF(ISERROR(VLOOKUP($S$191,'TAR FIN'!$A$1:$O$85,15,0)),0,VLOOKUP($S$191,'TAR FIN'!$A$1:$O$85,15,0))</f>
        <v>0</v>
      </c>
      <c r="W191" s="6">
        <f>IF(ISERROR(VLOOKUP($T$191,'TAR FIN'!$A$1:$O$85,15,0)),0,VLOOKUP($T$191,'TAR FIN'!$A$1:$O$85,15,0))</f>
        <v>131.74</v>
      </c>
      <c r="X191" s="6">
        <f>IF(ISERROR(VLOOKUP($U$191,'TAR FIN'!$A$1:$O$85,15,0)),0,VLOOKUP($U$191,'TAR FIN'!$A$1:$O$85,15,0))</f>
        <v>78.3</v>
      </c>
      <c r="Y191" s="6"/>
      <c r="Z191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191" s="6">
        <f>('TE BE'!$AA$11+'TE BF'!$AA$11+'TE CVA'!$AA$11)*(1-CUSTOS!$M$34)</f>
        <v>76.170289722180115</v>
      </c>
      <c r="AB191" s="6">
        <f t="shared" si="8"/>
        <v>0</v>
      </c>
      <c r="AC191" s="6">
        <f>(L191-M191)*(W191+X191)+($W$222+$X$222-$W$191-$X$191)*(L191)</f>
        <v>561.72959999999989</v>
      </c>
      <c r="AD191" s="6">
        <f t="shared" si="10"/>
        <v>0</v>
      </c>
      <c r="AE191" s="6">
        <f ca="1">(L191-M191)*(Z191+AA191)+($Z$222+$AA$222-$Z$191-$AA$191)*(L191)</f>
        <v>574.97677879816877</v>
      </c>
      <c r="AF191" s="4" t="s">
        <v>566</v>
      </c>
    </row>
    <row r="192" spans="1:32" ht="11.25" customHeight="1" x14ac:dyDescent="0.25">
      <c r="A192" s="4" t="s">
        <v>21</v>
      </c>
      <c r="B192" s="4" t="s">
        <v>22</v>
      </c>
      <c r="C192" s="4" t="s">
        <v>23</v>
      </c>
      <c r="D192" s="4" t="s">
        <v>24</v>
      </c>
      <c r="E192" s="4" t="s">
        <v>29</v>
      </c>
      <c r="F192" s="4" t="s">
        <v>25</v>
      </c>
      <c r="G192" s="4" t="s">
        <v>25</v>
      </c>
      <c r="H192" s="4" t="s">
        <v>25</v>
      </c>
      <c r="I192" s="5">
        <v>44501</v>
      </c>
      <c r="J192" s="6">
        <v>0</v>
      </c>
      <c r="K192" s="6">
        <v>0</v>
      </c>
      <c r="L192" s="6">
        <v>1.47</v>
      </c>
      <c r="M192" s="6">
        <v>1.47</v>
      </c>
      <c r="N192" s="6">
        <v>1.47</v>
      </c>
      <c r="O192" s="6">
        <v>1.47</v>
      </c>
      <c r="P192" s="6">
        <v>0</v>
      </c>
      <c r="Q192" s="4" t="s">
        <v>26</v>
      </c>
      <c r="R192" s="4">
        <v>0</v>
      </c>
      <c r="S192" s="4">
        <v>0</v>
      </c>
      <c r="T192" s="4">
        <v>69</v>
      </c>
      <c r="U192" s="4">
        <v>10</v>
      </c>
      <c r="V192" s="6">
        <f>IF(ISERROR(VLOOKUP($S$192,'TAR FIN'!$A$1:$O$85,15,0)),0,VLOOKUP($S$192,'TAR FIN'!$A$1:$O$85,15,0))</f>
        <v>0</v>
      </c>
      <c r="W192" s="6">
        <f>IF(ISERROR(VLOOKUP($T$192,'TAR FIN'!$A$1:$O$85,15,0)),0,VLOOKUP($T$192,'TAR FIN'!$A$1:$O$85,15,0))</f>
        <v>131.74</v>
      </c>
      <c r="X192" s="6">
        <f>IF(ISERROR(VLOOKUP($U$192,'TAR FIN'!$A$1:$O$85,15,0)),0,VLOOKUP($U$192,'TAR FIN'!$A$1:$O$85,15,0))</f>
        <v>78.3</v>
      </c>
      <c r="Y192" s="6"/>
      <c r="Z192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192" s="6">
        <f>('TE BE'!$AA$11+'TE BF'!$AA$11+'TE CVA'!$AA$11)*(1-CUSTOS!$M$34)</f>
        <v>76.170289722180115</v>
      </c>
      <c r="AB192" s="6">
        <f t="shared" si="8"/>
        <v>0</v>
      </c>
      <c r="AC192" s="6">
        <f>(L192-M192)*(W192+X192)+($W$222+$X$222-$W$192-$X$192)*(L192)</f>
        <v>573.43229999999994</v>
      </c>
      <c r="AD192" s="6">
        <f t="shared" si="10"/>
        <v>0</v>
      </c>
      <c r="AE192" s="6">
        <f ca="1">(L192-M192)*(Z192+AA192)+($Z$222+$AA$222-$Z$192-$AA$192)*(L192)</f>
        <v>586.95546168979729</v>
      </c>
      <c r="AF192" s="4" t="s">
        <v>566</v>
      </c>
    </row>
    <row r="193" spans="1:32" ht="11.25" customHeight="1" x14ac:dyDescent="0.25">
      <c r="A193" s="4" t="s">
        <v>21</v>
      </c>
      <c r="B193" s="4" t="s">
        <v>22</v>
      </c>
      <c r="C193" s="4" t="s">
        <v>23</v>
      </c>
      <c r="D193" s="4" t="s">
        <v>24</v>
      </c>
      <c r="E193" s="4" t="s">
        <v>29</v>
      </c>
      <c r="F193" s="4" t="s">
        <v>25</v>
      </c>
      <c r="G193" s="4" t="s">
        <v>25</v>
      </c>
      <c r="H193" s="4" t="s">
        <v>25</v>
      </c>
      <c r="I193" s="5">
        <v>44531</v>
      </c>
      <c r="J193" s="6">
        <v>0</v>
      </c>
      <c r="K193" s="6">
        <v>0</v>
      </c>
      <c r="L193" s="6">
        <v>1.47</v>
      </c>
      <c r="M193" s="6">
        <v>1.47</v>
      </c>
      <c r="N193" s="6">
        <v>1.47</v>
      </c>
      <c r="O193" s="6">
        <v>1.47</v>
      </c>
      <c r="P193" s="6">
        <v>0</v>
      </c>
      <c r="Q193" s="4" t="s">
        <v>26</v>
      </c>
      <c r="R193" s="4">
        <v>0</v>
      </c>
      <c r="S193" s="4">
        <v>0</v>
      </c>
      <c r="T193" s="4">
        <v>69</v>
      </c>
      <c r="U193" s="4">
        <v>10</v>
      </c>
      <c r="V193" s="6">
        <f>IF(ISERROR(VLOOKUP($S$193,'TAR FIN'!$A$1:$O$85,15,0)),0,VLOOKUP($S$193,'TAR FIN'!$A$1:$O$85,15,0))</f>
        <v>0</v>
      </c>
      <c r="W193" s="6">
        <f>IF(ISERROR(VLOOKUP($T$193,'TAR FIN'!$A$1:$O$85,15,0)),0,VLOOKUP($T$193,'TAR FIN'!$A$1:$O$85,15,0))</f>
        <v>131.74</v>
      </c>
      <c r="X193" s="6">
        <f>IF(ISERROR(VLOOKUP($U$193,'TAR FIN'!$A$1:$O$85,15,0)),0,VLOOKUP($U$193,'TAR FIN'!$A$1:$O$85,15,0))</f>
        <v>78.3</v>
      </c>
      <c r="Y193" s="6"/>
      <c r="Z193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193" s="6">
        <f>('TE BE'!$AA$11+'TE BF'!$AA$11+'TE CVA'!$AA$11)*(1-CUSTOS!$M$34)</f>
        <v>76.170289722180115</v>
      </c>
      <c r="AB193" s="6">
        <f t="shared" si="8"/>
        <v>0</v>
      </c>
      <c r="AC193" s="6">
        <f>(L193-M193)*(W193+X193)+($W$222+$X$222-$W$193-$X$193)*(L193)</f>
        <v>573.43229999999994</v>
      </c>
      <c r="AD193" s="6">
        <f t="shared" si="10"/>
        <v>0</v>
      </c>
      <c r="AE193" s="6">
        <f ca="1">(L193-M193)*(Z193+AA193)+($Z$222+$AA$222-$Z$193-$AA$193)*(L193)</f>
        <v>586.95546168979729</v>
      </c>
      <c r="AF193" s="4" t="s">
        <v>566</v>
      </c>
    </row>
    <row r="194" spans="1:32" ht="11.25" customHeight="1" x14ac:dyDescent="0.25">
      <c r="A194" s="4" t="s">
        <v>21</v>
      </c>
      <c r="B194" s="4" t="s">
        <v>22</v>
      </c>
      <c r="C194" s="4" t="s">
        <v>23</v>
      </c>
      <c r="D194" s="4" t="s">
        <v>24</v>
      </c>
      <c r="E194" s="4" t="s">
        <v>29</v>
      </c>
      <c r="F194" s="4" t="s">
        <v>25</v>
      </c>
      <c r="G194" s="4" t="s">
        <v>25</v>
      </c>
      <c r="H194" s="4" t="s">
        <v>25</v>
      </c>
      <c r="I194" s="5">
        <v>44562</v>
      </c>
      <c r="J194" s="6">
        <v>0</v>
      </c>
      <c r="K194" s="6">
        <v>0</v>
      </c>
      <c r="L194" s="6">
        <v>1.44</v>
      </c>
      <c r="M194" s="6">
        <v>1.44</v>
      </c>
      <c r="N194" s="6">
        <v>1.44</v>
      </c>
      <c r="O194" s="6">
        <v>1.44</v>
      </c>
      <c r="P194" s="6">
        <v>0</v>
      </c>
      <c r="Q194" s="4" t="s">
        <v>26</v>
      </c>
      <c r="R194" s="4">
        <v>0</v>
      </c>
      <c r="S194" s="4">
        <v>0</v>
      </c>
      <c r="T194" s="4">
        <v>69</v>
      </c>
      <c r="U194" s="4">
        <v>10</v>
      </c>
      <c r="V194" s="6">
        <f>IF(ISERROR(VLOOKUP($S$194,'TAR FIN'!$A$1:$O$85,15,0)),0,VLOOKUP($S$194,'TAR FIN'!$A$1:$O$85,15,0))</f>
        <v>0</v>
      </c>
      <c r="W194" s="6">
        <f>IF(ISERROR(VLOOKUP($T$194,'TAR FIN'!$A$1:$O$85,15,0)),0,VLOOKUP($T$194,'TAR FIN'!$A$1:$O$85,15,0))</f>
        <v>131.74</v>
      </c>
      <c r="X194" s="6">
        <f>IF(ISERROR(VLOOKUP($U$194,'TAR FIN'!$A$1:$O$85,15,0)),0,VLOOKUP($U$194,'TAR FIN'!$A$1:$O$85,15,0))</f>
        <v>78.3</v>
      </c>
      <c r="Y194" s="6"/>
      <c r="Z194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194" s="6">
        <f>('TE BE'!$AA$11+'TE BF'!$AA$11+'TE CVA'!$AA$11)*(1-CUSTOS!$M$34)</f>
        <v>76.170289722180115</v>
      </c>
      <c r="AB194" s="6">
        <f t="shared" ref="AB194:AB257" si="12">(J194-K194)*V194</f>
        <v>0</v>
      </c>
      <c r="AC194" s="6">
        <f>(L194-M194)*(W194+X194)+($W$222+$X$222-$W$194-$X$194)*(L194)</f>
        <v>561.72959999999989</v>
      </c>
      <c r="AD194" s="6">
        <f t="shared" ref="AD194:AD257" si="13">(J194-K194)*Y194</f>
        <v>0</v>
      </c>
      <c r="AE194" s="6">
        <f ca="1">(L194-M194)*(Z194+AA194)+($Z$222+$AA$222-$Z$194-$AA$194)*(L194)</f>
        <v>574.97677879816877</v>
      </c>
      <c r="AF194" s="4" t="s">
        <v>566</v>
      </c>
    </row>
    <row r="195" spans="1:32" ht="11.25" customHeight="1" x14ac:dyDescent="0.25">
      <c r="A195" s="4" t="s">
        <v>21</v>
      </c>
      <c r="B195" s="4" t="s">
        <v>22</v>
      </c>
      <c r="C195" s="4" t="s">
        <v>23</v>
      </c>
      <c r="D195" s="4" t="s">
        <v>24</v>
      </c>
      <c r="E195" s="4" t="s">
        <v>29</v>
      </c>
      <c r="F195" s="4" t="s">
        <v>25</v>
      </c>
      <c r="G195" s="4" t="s">
        <v>25</v>
      </c>
      <c r="H195" s="4" t="s">
        <v>25</v>
      </c>
      <c r="I195" s="5">
        <v>44593</v>
      </c>
      <c r="J195" s="6">
        <v>0</v>
      </c>
      <c r="K195" s="6">
        <v>0</v>
      </c>
      <c r="L195" s="6">
        <v>1.44</v>
      </c>
      <c r="M195" s="6">
        <v>1.44</v>
      </c>
      <c r="N195" s="6">
        <v>1.44</v>
      </c>
      <c r="O195" s="6">
        <v>1.44</v>
      </c>
      <c r="P195" s="6">
        <v>0</v>
      </c>
      <c r="Q195" s="4" t="s">
        <v>26</v>
      </c>
      <c r="R195" s="4">
        <v>0</v>
      </c>
      <c r="S195" s="4">
        <v>0</v>
      </c>
      <c r="T195" s="4">
        <v>69</v>
      </c>
      <c r="U195" s="4">
        <v>10</v>
      </c>
      <c r="V195" s="6">
        <f>IF(ISERROR(VLOOKUP($S$195,'TAR FIN'!$A$1:$O$85,15,0)),0,VLOOKUP($S$195,'TAR FIN'!$A$1:$O$85,15,0))</f>
        <v>0</v>
      </c>
      <c r="W195" s="6">
        <f>IF(ISERROR(VLOOKUP($T$195,'TAR FIN'!$A$1:$O$85,15,0)),0,VLOOKUP($T$195,'TAR FIN'!$A$1:$O$85,15,0))</f>
        <v>131.74</v>
      </c>
      <c r="X195" s="6">
        <f>IF(ISERROR(VLOOKUP($U$195,'TAR FIN'!$A$1:$O$85,15,0)),0,VLOOKUP($U$195,'TAR FIN'!$A$1:$O$85,15,0))</f>
        <v>78.3</v>
      </c>
      <c r="Y195" s="6"/>
      <c r="Z195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195" s="6">
        <f>('TE BE'!$AA$11+'TE BF'!$AA$11+'TE CVA'!$AA$11)*(1-CUSTOS!$M$34)</f>
        <v>76.170289722180115</v>
      </c>
      <c r="AB195" s="6">
        <f t="shared" si="12"/>
        <v>0</v>
      </c>
      <c r="AC195" s="6">
        <f>(L195-M195)*(W195+X195)+($W$222+$X$222-$W$195-$X$195)*(L195)</f>
        <v>561.72959999999989</v>
      </c>
      <c r="AD195" s="6">
        <f t="shared" si="13"/>
        <v>0</v>
      </c>
      <c r="AE195" s="6">
        <f ca="1">(L195-M195)*(Z195+AA195)+($Z$222+$AA$222-$Z$195-$AA$195)*(L195)</f>
        <v>574.97677879816877</v>
      </c>
      <c r="AF195" s="4" t="s">
        <v>566</v>
      </c>
    </row>
    <row r="196" spans="1:32" ht="11.25" customHeight="1" x14ac:dyDescent="0.25">
      <c r="A196" s="4" t="s">
        <v>54</v>
      </c>
      <c r="B196" s="4" t="s">
        <v>22</v>
      </c>
      <c r="C196" s="4" t="s">
        <v>23</v>
      </c>
      <c r="D196" s="4" t="s">
        <v>24</v>
      </c>
      <c r="E196" s="4" t="s">
        <v>29</v>
      </c>
      <c r="F196" s="4" t="s">
        <v>25</v>
      </c>
      <c r="G196" s="4" t="s">
        <v>25</v>
      </c>
      <c r="H196" s="4" t="s">
        <v>25</v>
      </c>
      <c r="I196" s="5">
        <v>44621</v>
      </c>
      <c r="J196" s="6">
        <v>0</v>
      </c>
      <c r="K196" s="6">
        <v>0</v>
      </c>
      <c r="L196" s="6">
        <v>1.44</v>
      </c>
      <c r="M196" s="6">
        <v>1.44</v>
      </c>
      <c r="N196" s="6">
        <v>1.44</v>
      </c>
      <c r="O196" s="6">
        <v>1.44</v>
      </c>
      <c r="P196" s="6">
        <v>0</v>
      </c>
      <c r="Q196" s="4" t="s">
        <v>26</v>
      </c>
      <c r="R196" s="4">
        <v>0</v>
      </c>
      <c r="S196" s="4">
        <v>0</v>
      </c>
      <c r="T196" s="4">
        <v>69</v>
      </c>
      <c r="U196" s="4">
        <v>10</v>
      </c>
      <c r="V196" s="6">
        <f>IF(ISERROR(VLOOKUP($S$196,'TAR FIN'!$A$1:$O$85,15,0)),0,VLOOKUP($S$196,'TAR FIN'!$A$1:$O$85,15,0))</f>
        <v>0</v>
      </c>
      <c r="W196" s="6">
        <f>IF(ISERROR(VLOOKUP($T$196,'TAR FIN'!$A$1:$O$85,15,0)),0,VLOOKUP($T$196,'TAR FIN'!$A$1:$O$85,15,0))</f>
        <v>131.74</v>
      </c>
      <c r="X196" s="6">
        <f>IF(ISERROR(VLOOKUP($U$196,'TAR FIN'!$A$1:$O$85,15,0)),0,VLOOKUP($U$196,'TAR FIN'!$A$1:$O$85,15,0))</f>
        <v>78.3</v>
      </c>
      <c r="Y196" s="6"/>
      <c r="Z196" s="6">
        <f ca="1">('TUSD BE'!$AM$21+'TUSD BF'!$AM$21+'TUSD CVA'!$AM$21-('TUSD BE'!$P$21+'TUSD BF'!$P$21+'TUSD CVA'!$P$21)-('TUSD BE'!$Q$21+'TUSD BF'!$Q$21+'TUSD CVA'!$Q$21)-('TUSD BE'!$R$21+'TUSD BF'!$R$21+'TUSD CVA'!$R$21))*(1-CUSTOS!$M$34)</f>
        <v>138.8317108967932</v>
      </c>
      <c r="AA196" s="6">
        <f>('TE BE'!$AA$11+'TE BF'!$AA$11+'TE CVA'!$AA$11)*(1-CUSTOS!$M$34)</f>
        <v>76.170289722180115</v>
      </c>
      <c r="AB196" s="6">
        <f t="shared" si="12"/>
        <v>0</v>
      </c>
      <c r="AC196" s="6">
        <f>(L196-M196)*(W196+X196)+($W$222+$X$222-$W$196-$X$196)*(L196)</f>
        <v>561.72959999999989</v>
      </c>
      <c r="AD196" s="6">
        <f t="shared" si="13"/>
        <v>0</v>
      </c>
      <c r="AE196" s="6">
        <f ca="1">(L196-M196)*(Z196+AA196)+($Z$222+$AA$222-$Z$196-$AA$196)*(L196)</f>
        <v>574.97677879816877</v>
      </c>
      <c r="AF196" s="4" t="s">
        <v>566</v>
      </c>
    </row>
    <row r="197" spans="1:32" ht="11.25" customHeight="1" x14ac:dyDescent="0.25">
      <c r="A197" s="4" t="s">
        <v>21</v>
      </c>
      <c r="B197" s="4" t="s">
        <v>22</v>
      </c>
      <c r="C197" s="4" t="s">
        <v>23</v>
      </c>
      <c r="D197" s="4" t="s">
        <v>24</v>
      </c>
      <c r="E197" s="4" t="s">
        <v>30</v>
      </c>
      <c r="F197" s="4" t="s">
        <v>25</v>
      </c>
      <c r="G197" s="4" t="s">
        <v>25</v>
      </c>
      <c r="H197" s="4" t="s">
        <v>25</v>
      </c>
      <c r="I197" s="5">
        <v>44287</v>
      </c>
      <c r="J197" s="6">
        <v>0</v>
      </c>
      <c r="K197" s="6">
        <v>0</v>
      </c>
      <c r="L197" s="6">
        <v>2.7629999999999999</v>
      </c>
      <c r="M197" s="6">
        <v>2.7629999999999999</v>
      </c>
      <c r="N197" s="6">
        <v>2.7629999999999999</v>
      </c>
      <c r="O197" s="6">
        <v>2.7629999999999999</v>
      </c>
      <c r="P197" s="6">
        <v>12</v>
      </c>
      <c r="Q197" s="4" t="s">
        <v>26</v>
      </c>
      <c r="R197" s="4">
        <v>0</v>
      </c>
      <c r="S197" s="4">
        <v>0</v>
      </c>
      <c r="T197" s="4">
        <v>70</v>
      </c>
      <c r="U197" s="4">
        <v>29</v>
      </c>
      <c r="V197" s="6">
        <f>IF(ISERROR(VLOOKUP($S$197,'TAR FIN'!$A$1:$O$85,15,0)),0,VLOOKUP($S$197,'TAR FIN'!$A$1:$O$85,15,0))</f>
        <v>0</v>
      </c>
      <c r="W197" s="6">
        <f>IF(ISERROR(VLOOKUP($T$197,'TAR FIN'!$A$1:$O$85,15,0)),0,VLOOKUP($T$197,'TAR FIN'!$A$1:$O$85,15,0))</f>
        <v>225.84</v>
      </c>
      <c r="X197" s="6">
        <f>IF(ISERROR(VLOOKUP($U$197,'TAR FIN'!$A$1:$O$85,15,0)),0,VLOOKUP($U$197,'TAR FIN'!$A$1:$O$85,15,0))</f>
        <v>134.22999999999999</v>
      </c>
      <c r="Y197" s="6"/>
      <c r="Z197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197" s="6">
        <f>('TE BE'!$AA$12+'TE BF'!$AA$12+'TE CVA'!$AA$12)*(1-CUSTOS!$M$35)</f>
        <v>130.57763952373736</v>
      </c>
      <c r="AB197" s="6">
        <f t="shared" si="12"/>
        <v>0</v>
      </c>
      <c r="AC197" s="6">
        <f>(L197-M197)*(W197+X197)+($W$222+$X$222-$W$197-$X$197)*(L197)</f>
        <v>663.28577999999993</v>
      </c>
      <c r="AD197" s="6">
        <f t="shared" si="13"/>
        <v>0</v>
      </c>
      <c r="AE197" s="6">
        <f ca="1">(L197-M197)*(Z197+AA197)+($Z$222+$AA$222-$Z$197-$AA$197)*(L197)</f>
        <v>678.91488881168391</v>
      </c>
      <c r="AF197" s="4" t="s">
        <v>566</v>
      </c>
    </row>
    <row r="198" spans="1:32" ht="11.25" customHeight="1" x14ac:dyDescent="0.25">
      <c r="A198" s="4" t="s">
        <v>21</v>
      </c>
      <c r="B198" s="4" t="s">
        <v>22</v>
      </c>
      <c r="C198" s="4" t="s">
        <v>23</v>
      </c>
      <c r="D198" s="4" t="s">
        <v>24</v>
      </c>
      <c r="E198" s="4" t="s">
        <v>30</v>
      </c>
      <c r="F198" s="4" t="s">
        <v>25</v>
      </c>
      <c r="G198" s="4" t="s">
        <v>25</v>
      </c>
      <c r="H198" s="4" t="s">
        <v>25</v>
      </c>
      <c r="I198" s="5">
        <v>44317</v>
      </c>
      <c r="J198" s="6">
        <v>0</v>
      </c>
      <c r="K198" s="6">
        <v>0</v>
      </c>
      <c r="L198" s="6">
        <v>2.8559999999999999</v>
      </c>
      <c r="M198" s="6">
        <v>2.8559999999999999</v>
      </c>
      <c r="N198" s="6">
        <v>2.8559999999999999</v>
      </c>
      <c r="O198" s="6">
        <v>2.8559999999999999</v>
      </c>
      <c r="P198" s="6">
        <v>12</v>
      </c>
      <c r="Q198" s="4" t="s">
        <v>26</v>
      </c>
      <c r="R198" s="4">
        <v>0</v>
      </c>
      <c r="S198" s="4">
        <v>0</v>
      </c>
      <c r="T198" s="4">
        <v>70</v>
      </c>
      <c r="U198" s="4">
        <v>29</v>
      </c>
      <c r="V198" s="6">
        <f>IF(ISERROR(VLOOKUP($S$198,'TAR FIN'!$A$1:$O$85,15,0)),0,VLOOKUP($S$198,'TAR FIN'!$A$1:$O$85,15,0))</f>
        <v>0</v>
      </c>
      <c r="W198" s="6">
        <f>IF(ISERROR(VLOOKUP($T$198,'TAR FIN'!$A$1:$O$85,15,0)),0,VLOOKUP($T$198,'TAR FIN'!$A$1:$O$85,15,0))</f>
        <v>225.84</v>
      </c>
      <c r="X198" s="6">
        <f>IF(ISERROR(VLOOKUP($U$198,'TAR FIN'!$A$1:$O$85,15,0)),0,VLOOKUP($U$198,'TAR FIN'!$A$1:$O$85,15,0))</f>
        <v>134.22999999999999</v>
      </c>
      <c r="Y198" s="6"/>
      <c r="Z198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198" s="6">
        <f>('TE BE'!$AA$12+'TE BF'!$AA$12+'TE CVA'!$AA$12)*(1-CUSTOS!$M$35)</f>
        <v>130.57763952373736</v>
      </c>
      <c r="AB198" s="6">
        <f t="shared" si="12"/>
        <v>0</v>
      </c>
      <c r="AC198" s="6">
        <f>(L198-M198)*(W198+X198)+($W$222+$X$222-$W$198-$X$198)*(L198)</f>
        <v>685.61135999999988</v>
      </c>
      <c r="AD198" s="6">
        <f t="shared" si="13"/>
        <v>0</v>
      </c>
      <c r="AE198" s="6">
        <f ca="1">(L198-M198)*(Z198+AA198)+($Z$222+$AA$222-$Z$198-$AA$198)*(L198)</f>
        <v>701.76653002032913</v>
      </c>
      <c r="AF198" s="4" t="s">
        <v>566</v>
      </c>
    </row>
    <row r="199" spans="1:32" ht="11.25" customHeight="1" x14ac:dyDescent="0.25">
      <c r="A199" s="4" t="s">
        <v>21</v>
      </c>
      <c r="B199" s="4" t="s">
        <v>22</v>
      </c>
      <c r="C199" s="4" t="s">
        <v>23</v>
      </c>
      <c r="D199" s="4" t="s">
        <v>24</v>
      </c>
      <c r="E199" s="4" t="s">
        <v>30</v>
      </c>
      <c r="F199" s="4" t="s">
        <v>25</v>
      </c>
      <c r="G199" s="4" t="s">
        <v>25</v>
      </c>
      <c r="H199" s="4" t="s">
        <v>25</v>
      </c>
      <c r="I199" s="5">
        <v>44348</v>
      </c>
      <c r="J199" s="6">
        <v>0</v>
      </c>
      <c r="K199" s="6">
        <v>0</v>
      </c>
      <c r="L199" s="6">
        <v>2.8679999999999999</v>
      </c>
      <c r="M199" s="6">
        <v>2.8679999999999999</v>
      </c>
      <c r="N199" s="6">
        <v>2.8679999999999999</v>
      </c>
      <c r="O199" s="6">
        <v>2.8679999999999999</v>
      </c>
      <c r="P199" s="6">
        <v>10</v>
      </c>
      <c r="Q199" s="4" t="s">
        <v>26</v>
      </c>
      <c r="R199" s="4">
        <v>0</v>
      </c>
      <c r="S199" s="4">
        <v>0</v>
      </c>
      <c r="T199" s="4">
        <v>70</v>
      </c>
      <c r="U199" s="4">
        <v>29</v>
      </c>
      <c r="V199" s="6">
        <f>IF(ISERROR(VLOOKUP($S$199,'TAR FIN'!$A$1:$O$85,15,0)),0,VLOOKUP($S$199,'TAR FIN'!$A$1:$O$85,15,0))</f>
        <v>0</v>
      </c>
      <c r="W199" s="6">
        <f>IF(ISERROR(VLOOKUP($T$199,'TAR FIN'!$A$1:$O$85,15,0)),0,VLOOKUP($T$199,'TAR FIN'!$A$1:$O$85,15,0))</f>
        <v>225.84</v>
      </c>
      <c r="X199" s="6">
        <f>IF(ISERROR(VLOOKUP($U$199,'TAR FIN'!$A$1:$O$85,15,0)),0,VLOOKUP($U$199,'TAR FIN'!$A$1:$O$85,15,0))</f>
        <v>134.22999999999999</v>
      </c>
      <c r="Y199" s="6"/>
      <c r="Z199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199" s="6">
        <f>('TE BE'!$AA$12+'TE BF'!$AA$12+'TE CVA'!$AA$12)*(1-CUSTOS!$M$35)</f>
        <v>130.57763952373736</v>
      </c>
      <c r="AB199" s="6">
        <f t="shared" si="12"/>
        <v>0</v>
      </c>
      <c r="AC199" s="6">
        <f>(L199-M199)*(W199+X199)+($W$222+$X$222-$W$199-$X$199)*(L199)</f>
        <v>688.49207999999987</v>
      </c>
      <c r="AD199" s="6">
        <f t="shared" si="13"/>
        <v>0</v>
      </c>
      <c r="AE199" s="6">
        <f ca="1">(L199-M199)*(Z199+AA199)+($Z$222+$AA$222-$Z$199-$AA$199)*(L199)</f>
        <v>704.71512888596078</v>
      </c>
      <c r="AF199" s="4" t="s">
        <v>566</v>
      </c>
    </row>
    <row r="200" spans="1:32" ht="11.25" customHeight="1" x14ac:dyDescent="0.25">
      <c r="A200" s="4" t="s">
        <v>21</v>
      </c>
      <c r="B200" s="4" t="s">
        <v>22</v>
      </c>
      <c r="C200" s="4" t="s">
        <v>23</v>
      </c>
      <c r="D200" s="4" t="s">
        <v>24</v>
      </c>
      <c r="E200" s="4" t="s">
        <v>30</v>
      </c>
      <c r="F200" s="4" t="s">
        <v>25</v>
      </c>
      <c r="G200" s="4" t="s">
        <v>25</v>
      </c>
      <c r="H200" s="4" t="s">
        <v>25</v>
      </c>
      <c r="I200" s="5">
        <v>44378</v>
      </c>
      <c r="J200" s="6">
        <v>0</v>
      </c>
      <c r="K200" s="6">
        <v>0</v>
      </c>
      <c r="L200" s="6">
        <v>2.835</v>
      </c>
      <c r="M200" s="6">
        <v>2.835</v>
      </c>
      <c r="N200" s="6">
        <v>2.835</v>
      </c>
      <c r="O200" s="6">
        <v>2.835</v>
      </c>
      <c r="P200" s="6">
        <v>14</v>
      </c>
      <c r="Q200" s="4" t="s">
        <v>26</v>
      </c>
      <c r="R200" s="4">
        <v>0</v>
      </c>
      <c r="S200" s="4">
        <v>0</v>
      </c>
      <c r="T200" s="4">
        <v>70</v>
      </c>
      <c r="U200" s="4">
        <v>29</v>
      </c>
      <c r="V200" s="6">
        <f>IF(ISERROR(VLOOKUP($S$200,'TAR FIN'!$A$1:$O$85,15,0)),0,VLOOKUP($S$200,'TAR FIN'!$A$1:$O$85,15,0))</f>
        <v>0</v>
      </c>
      <c r="W200" s="6">
        <f>IF(ISERROR(VLOOKUP($T$200,'TAR FIN'!$A$1:$O$85,15,0)),0,VLOOKUP($T$200,'TAR FIN'!$A$1:$O$85,15,0))</f>
        <v>225.84</v>
      </c>
      <c r="X200" s="6">
        <f>IF(ISERROR(VLOOKUP($U$200,'TAR FIN'!$A$1:$O$85,15,0)),0,VLOOKUP($U$200,'TAR FIN'!$A$1:$O$85,15,0))</f>
        <v>134.22999999999999</v>
      </c>
      <c r="Y200" s="6"/>
      <c r="Z200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200" s="6">
        <f>('TE BE'!$AA$12+'TE BF'!$AA$12+'TE CVA'!$AA$12)*(1-CUSTOS!$M$35)</f>
        <v>130.57763952373736</v>
      </c>
      <c r="AB200" s="6">
        <f t="shared" si="12"/>
        <v>0</v>
      </c>
      <c r="AC200" s="6">
        <f>(L200-M200)*(W200+X200)+($W$222+$X$222-$W$200-$X$200)*(L200)</f>
        <v>680.57009999999991</v>
      </c>
      <c r="AD200" s="6">
        <f t="shared" si="13"/>
        <v>0</v>
      </c>
      <c r="AE200" s="6">
        <f ca="1">(L200-M200)*(Z200+AA200)+($Z$222+$AA$222-$Z$200-$AA$200)*(L200)</f>
        <v>696.60648200547371</v>
      </c>
      <c r="AF200" s="4" t="s">
        <v>566</v>
      </c>
    </row>
    <row r="201" spans="1:32" ht="11.25" customHeight="1" x14ac:dyDescent="0.25">
      <c r="A201" s="4" t="s">
        <v>21</v>
      </c>
      <c r="B201" s="4" t="s">
        <v>22</v>
      </c>
      <c r="C201" s="4" t="s">
        <v>23</v>
      </c>
      <c r="D201" s="4" t="s">
        <v>24</v>
      </c>
      <c r="E201" s="4" t="s">
        <v>30</v>
      </c>
      <c r="F201" s="4" t="s">
        <v>25</v>
      </c>
      <c r="G201" s="4" t="s">
        <v>25</v>
      </c>
      <c r="H201" s="4" t="s">
        <v>25</v>
      </c>
      <c r="I201" s="5">
        <v>44409</v>
      </c>
      <c r="J201" s="6">
        <v>0</v>
      </c>
      <c r="K201" s="6">
        <v>0</v>
      </c>
      <c r="L201" s="6">
        <v>3.1</v>
      </c>
      <c r="M201" s="6">
        <v>3.1</v>
      </c>
      <c r="N201" s="6">
        <v>3.1</v>
      </c>
      <c r="O201" s="6">
        <v>3.1</v>
      </c>
      <c r="P201" s="6">
        <v>11</v>
      </c>
      <c r="Q201" s="4" t="s">
        <v>26</v>
      </c>
      <c r="R201" s="4">
        <v>0</v>
      </c>
      <c r="S201" s="4">
        <v>0</v>
      </c>
      <c r="T201" s="4">
        <v>70</v>
      </c>
      <c r="U201" s="4">
        <v>29</v>
      </c>
      <c r="V201" s="6">
        <f>IF(ISERROR(VLOOKUP($S$201,'TAR FIN'!$A$1:$O$85,15,0)),0,VLOOKUP($S$201,'TAR FIN'!$A$1:$O$85,15,0))</f>
        <v>0</v>
      </c>
      <c r="W201" s="6">
        <f>IF(ISERROR(VLOOKUP($T$201,'TAR FIN'!$A$1:$O$85,15,0)),0,VLOOKUP($T$201,'TAR FIN'!$A$1:$O$85,15,0))</f>
        <v>225.84</v>
      </c>
      <c r="X201" s="6">
        <f>IF(ISERROR(VLOOKUP($U$201,'TAR FIN'!$A$1:$O$85,15,0)),0,VLOOKUP($U$201,'TAR FIN'!$A$1:$O$85,15,0))</f>
        <v>134.22999999999999</v>
      </c>
      <c r="Y201" s="6"/>
      <c r="Z201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201" s="6">
        <f>('TE BE'!$AA$12+'TE BF'!$AA$12+'TE CVA'!$AA$12)*(1-CUSTOS!$M$35)</f>
        <v>130.57763952373736</v>
      </c>
      <c r="AB201" s="6">
        <f t="shared" si="12"/>
        <v>0</v>
      </c>
      <c r="AC201" s="6">
        <f>(L201-M201)*(W201+X201)+($W$222+$X$222-$W$201-$X$201)*(L201)</f>
        <v>744.18599999999992</v>
      </c>
      <c r="AD201" s="6">
        <f t="shared" si="13"/>
        <v>0</v>
      </c>
      <c r="AE201" s="6">
        <f ca="1">(L201-M201)*(Z201+AA201)+($Z$222+$AA$222-$Z$201-$AA$201)*(L201)</f>
        <v>761.72137362150579</v>
      </c>
      <c r="AF201" s="4" t="s">
        <v>566</v>
      </c>
    </row>
    <row r="202" spans="1:32" ht="11.25" customHeight="1" x14ac:dyDescent="0.25">
      <c r="A202" s="4" t="s">
        <v>21</v>
      </c>
      <c r="B202" s="4" t="s">
        <v>22</v>
      </c>
      <c r="C202" s="4" t="s">
        <v>23</v>
      </c>
      <c r="D202" s="4" t="s">
        <v>24</v>
      </c>
      <c r="E202" s="4" t="s">
        <v>30</v>
      </c>
      <c r="F202" s="4" t="s">
        <v>25</v>
      </c>
      <c r="G202" s="4" t="s">
        <v>25</v>
      </c>
      <c r="H202" s="4" t="s">
        <v>25</v>
      </c>
      <c r="I202" s="5">
        <v>44440</v>
      </c>
      <c r="J202" s="6">
        <v>0</v>
      </c>
      <c r="K202" s="6">
        <v>0</v>
      </c>
      <c r="L202" s="6">
        <v>3.0750000000000002</v>
      </c>
      <c r="M202" s="6">
        <v>3.0750000000000002</v>
      </c>
      <c r="N202" s="6">
        <v>3.0750000000000002</v>
      </c>
      <c r="O202" s="6">
        <v>3.0750000000000002</v>
      </c>
      <c r="P202" s="6">
        <v>12</v>
      </c>
      <c r="Q202" s="4" t="s">
        <v>26</v>
      </c>
      <c r="R202" s="4">
        <v>0</v>
      </c>
      <c r="S202" s="4">
        <v>0</v>
      </c>
      <c r="T202" s="4">
        <v>70</v>
      </c>
      <c r="U202" s="4">
        <v>29</v>
      </c>
      <c r="V202" s="6">
        <f>IF(ISERROR(VLOOKUP($S$202,'TAR FIN'!$A$1:$O$85,15,0)),0,VLOOKUP($S$202,'TAR FIN'!$A$1:$O$85,15,0))</f>
        <v>0</v>
      </c>
      <c r="W202" s="6">
        <f>IF(ISERROR(VLOOKUP($T$202,'TAR FIN'!$A$1:$O$85,15,0)),0,VLOOKUP($T$202,'TAR FIN'!$A$1:$O$85,15,0))</f>
        <v>225.84</v>
      </c>
      <c r="X202" s="6">
        <f>IF(ISERROR(VLOOKUP($U$202,'TAR FIN'!$A$1:$O$85,15,0)),0,VLOOKUP($U$202,'TAR FIN'!$A$1:$O$85,15,0))</f>
        <v>134.22999999999999</v>
      </c>
      <c r="Y202" s="6"/>
      <c r="Z202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202" s="6">
        <f>('TE BE'!$AA$12+'TE BF'!$AA$12+'TE CVA'!$AA$12)*(1-CUSTOS!$M$35)</f>
        <v>130.57763952373736</v>
      </c>
      <c r="AB202" s="6">
        <f t="shared" si="12"/>
        <v>0</v>
      </c>
      <c r="AC202" s="6">
        <f>(L202-M202)*(W202+X202)+($W$222+$X$222-$W$202-$X$202)*(L202)</f>
        <v>738.18449999999996</v>
      </c>
      <c r="AD202" s="6">
        <f t="shared" si="13"/>
        <v>0</v>
      </c>
      <c r="AE202" s="6">
        <f ca="1">(L202-M202)*(Z202+AA202)+($Z$222+$AA$222-$Z$202-$AA$202)*(L202)</f>
        <v>755.57845931810652</v>
      </c>
      <c r="AF202" s="4" t="s">
        <v>566</v>
      </c>
    </row>
    <row r="203" spans="1:32" ht="11.25" customHeight="1" x14ac:dyDescent="0.25">
      <c r="A203" s="4" t="s">
        <v>21</v>
      </c>
      <c r="B203" s="4" t="s">
        <v>22</v>
      </c>
      <c r="C203" s="4" t="s">
        <v>23</v>
      </c>
      <c r="D203" s="4" t="s">
        <v>24</v>
      </c>
      <c r="E203" s="4" t="s">
        <v>30</v>
      </c>
      <c r="F203" s="4" t="s">
        <v>25</v>
      </c>
      <c r="G203" s="4" t="s">
        <v>25</v>
      </c>
      <c r="H203" s="4" t="s">
        <v>25</v>
      </c>
      <c r="I203" s="5">
        <v>44470</v>
      </c>
      <c r="J203" s="6">
        <v>0</v>
      </c>
      <c r="K203" s="6">
        <v>0</v>
      </c>
      <c r="L203" s="6">
        <v>3.0350000000000001</v>
      </c>
      <c r="M203" s="6">
        <v>3.0350000000000001</v>
      </c>
      <c r="N203" s="6">
        <v>3.0350000000000001</v>
      </c>
      <c r="O203" s="6">
        <v>3.0350000000000001</v>
      </c>
      <c r="P203" s="6">
        <v>14</v>
      </c>
      <c r="Q203" s="4" t="s">
        <v>26</v>
      </c>
      <c r="R203" s="4">
        <v>0</v>
      </c>
      <c r="S203" s="4">
        <v>0</v>
      </c>
      <c r="T203" s="4">
        <v>70</v>
      </c>
      <c r="U203" s="4">
        <v>29</v>
      </c>
      <c r="V203" s="6">
        <f>IF(ISERROR(VLOOKUP($S$203,'TAR FIN'!$A$1:$O$85,15,0)),0,VLOOKUP($S$203,'TAR FIN'!$A$1:$O$85,15,0))</f>
        <v>0</v>
      </c>
      <c r="W203" s="6">
        <f>IF(ISERROR(VLOOKUP($T$203,'TAR FIN'!$A$1:$O$85,15,0)),0,VLOOKUP($T$203,'TAR FIN'!$A$1:$O$85,15,0))</f>
        <v>225.84</v>
      </c>
      <c r="X203" s="6">
        <f>IF(ISERROR(VLOOKUP($U$203,'TAR FIN'!$A$1:$O$85,15,0)),0,VLOOKUP($U$203,'TAR FIN'!$A$1:$O$85,15,0))</f>
        <v>134.22999999999999</v>
      </c>
      <c r="Y203" s="6"/>
      <c r="Z203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203" s="6">
        <f>('TE BE'!$AA$12+'TE BF'!$AA$12+'TE CVA'!$AA$12)*(1-CUSTOS!$M$35)</f>
        <v>130.57763952373736</v>
      </c>
      <c r="AB203" s="6">
        <f t="shared" si="12"/>
        <v>0</v>
      </c>
      <c r="AC203" s="6">
        <f>(L203-M203)*(W203+X203)+($W$222+$X$222-$W$203-$X$203)*(L203)</f>
        <v>728.58209999999997</v>
      </c>
      <c r="AD203" s="6">
        <f t="shared" si="13"/>
        <v>0</v>
      </c>
      <c r="AE203" s="6">
        <f ca="1">(L203-M203)*(Z203+AA203)+($Z$222+$AA$222-$Z$203-$AA$203)*(L203)</f>
        <v>745.74979643266772</v>
      </c>
      <c r="AF203" s="4" t="s">
        <v>566</v>
      </c>
    </row>
    <row r="204" spans="1:32" ht="11.25" customHeight="1" x14ac:dyDescent="0.25">
      <c r="A204" s="4" t="s">
        <v>21</v>
      </c>
      <c r="B204" s="4" t="s">
        <v>22</v>
      </c>
      <c r="C204" s="4" t="s">
        <v>23</v>
      </c>
      <c r="D204" s="4" t="s">
        <v>24</v>
      </c>
      <c r="E204" s="4" t="s">
        <v>30</v>
      </c>
      <c r="F204" s="4" t="s">
        <v>25</v>
      </c>
      <c r="G204" s="4" t="s">
        <v>25</v>
      </c>
      <c r="H204" s="4" t="s">
        <v>25</v>
      </c>
      <c r="I204" s="5">
        <v>44501</v>
      </c>
      <c r="J204" s="6">
        <v>0</v>
      </c>
      <c r="K204" s="6">
        <v>0</v>
      </c>
      <c r="L204" s="6">
        <v>3.1309999999999998</v>
      </c>
      <c r="M204" s="6">
        <v>3.1309999999999998</v>
      </c>
      <c r="N204" s="6">
        <v>3.1309999999999998</v>
      </c>
      <c r="O204" s="6">
        <v>3.1309999999999998</v>
      </c>
      <c r="P204" s="6">
        <v>11</v>
      </c>
      <c r="Q204" s="4" t="s">
        <v>26</v>
      </c>
      <c r="R204" s="4">
        <v>0</v>
      </c>
      <c r="S204" s="4">
        <v>0</v>
      </c>
      <c r="T204" s="4">
        <v>70</v>
      </c>
      <c r="U204" s="4">
        <v>29</v>
      </c>
      <c r="V204" s="6">
        <f>IF(ISERROR(VLOOKUP($S$204,'TAR FIN'!$A$1:$O$85,15,0)),0,VLOOKUP($S$204,'TAR FIN'!$A$1:$O$85,15,0))</f>
        <v>0</v>
      </c>
      <c r="W204" s="6">
        <f>IF(ISERROR(VLOOKUP($T$204,'TAR FIN'!$A$1:$O$85,15,0)),0,VLOOKUP($T$204,'TAR FIN'!$A$1:$O$85,15,0))</f>
        <v>225.84</v>
      </c>
      <c r="X204" s="6">
        <f>IF(ISERROR(VLOOKUP($U$204,'TAR FIN'!$A$1:$O$85,15,0)),0,VLOOKUP($U$204,'TAR FIN'!$A$1:$O$85,15,0))</f>
        <v>134.22999999999999</v>
      </c>
      <c r="Y204" s="6"/>
      <c r="Z204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204" s="6">
        <f>('TE BE'!$AA$12+'TE BF'!$AA$12+'TE CVA'!$AA$12)*(1-CUSTOS!$M$35)</f>
        <v>130.57763952373736</v>
      </c>
      <c r="AB204" s="6">
        <f t="shared" si="12"/>
        <v>0</v>
      </c>
      <c r="AC204" s="6">
        <f>(L204-M204)*(W204+X204)+($W$222+$X$222-$W$204-$X$204)*(L204)</f>
        <v>751.62785999999983</v>
      </c>
      <c r="AD204" s="6">
        <f t="shared" si="13"/>
        <v>0</v>
      </c>
      <c r="AE204" s="6">
        <f ca="1">(L204-M204)*(Z204+AA204)+($Z$222+$AA$222-$Z$204-$AA$204)*(L204)</f>
        <v>769.33858735772071</v>
      </c>
      <c r="AF204" s="4" t="s">
        <v>566</v>
      </c>
    </row>
    <row r="205" spans="1:32" ht="11.25" customHeight="1" x14ac:dyDescent="0.25">
      <c r="A205" s="4" t="s">
        <v>21</v>
      </c>
      <c r="B205" s="4" t="s">
        <v>22</v>
      </c>
      <c r="C205" s="4" t="s">
        <v>23</v>
      </c>
      <c r="D205" s="4" t="s">
        <v>24</v>
      </c>
      <c r="E205" s="4" t="s">
        <v>30</v>
      </c>
      <c r="F205" s="4" t="s">
        <v>25</v>
      </c>
      <c r="G205" s="4" t="s">
        <v>25</v>
      </c>
      <c r="H205" s="4" t="s">
        <v>25</v>
      </c>
      <c r="I205" s="5">
        <v>44531</v>
      </c>
      <c r="J205" s="6">
        <v>0</v>
      </c>
      <c r="K205" s="6">
        <v>0</v>
      </c>
      <c r="L205" s="6">
        <v>3.0840000000000001</v>
      </c>
      <c r="M205" s="6">
        <v>3.0840000000000001</v>
      </c>
      <c r="N205" s="6">
        <v>3.0840000000000001</v>
      </c>
      <c r="O205" s="6">
        <v>3.0840000000000001</v>
      </c>
      <c r="P205" s="6">
        <v>14</v>
      </c>
      <c r="Q205" s="4" t="s">
        <v>26</v>
      </c>
      <c r="R205" s="4">
        <v>0</v>
      </c>
      <c r="S205" s="4">
        <v>0</v>
      </c>
      <c r="T205" s="4">
        <v>70</v>
      </c>
      <c r="U205" s="4">
        <v>29</v>
      </c>
      <c r="V205" s="6">
        <f>IF(ISERROR(VLOOKUP($S$205,'TAR FIN'!$A$1:$O$85,15,0)),0,VLOOKUP($S$205,'TAR FIN'!$A$1:$O$85,15,0))</f>
        <v>0</v>
      </c>
      <c r="W205" s="6">
        <f>IF(ISERROR(VLOOKUP($T$205,'TAR FIN'!$A$1:$O$85,15,0)),0,VLOOKUP($T$205,'TAR FIN'!$A$1:$O$85,15,0))</f>
        <v>225.84</v>
      </c>
      <c r="X205" s="6">
        <f>IF(ISERROR(VLOOKUP($U$205,'TAR FIN'!$A$1:$O$85,15,0)),0,VLOOKUP($U$205,'TAR FIN'!$A$1:$O$85,15,0))</f>
        <v>134.22999999999999</v>
      </c>
      <c r="Y205" s="6"/>
      <c r="Z205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205" s="6">
        <f>('TE BE'!$AA$12+'TE BF'!$AA$12+'TE CVA'!$AA$12)*(1-CUSTOS!$M$35)</f>
        <v>130.57763952373736</v>
      </c>
      <c r="AB205" s="6">
        <f t="shared" si="12"/>
        <v>0</v>
      </c>
      <c r="AC205" s="6">
        <f>(L205-M205)*(W205+X205)+($W$222+$X$222-$W$205-$X$205)*(L205)</f>
        <v>740.34503999999993</v>
      </c>
      <c r="AD205" s="6">
        <f t="shared" si="13"/>
        <v>0</v>
      </c>
      <c r="AE205" s="6">
        <f ca="1">(L205-M205)*(Z205+AA205)+($Z$222+$AA$222-$Z$205-$AA$205)*(L205)</f>
        <v>757.78990846733018</v>
      </c>
      <c r="AF205" s="4" t="s">
        <v>566</v>
      </c>
    </row>
    <row r="206" spans="1:32" ht="11.25" customHeight="1" x14ac:dyDescent="0.25">
      <c r="A206" s="4" t="s">
        <v>21</v>
      </c>
      <c r="B206" s="4" t="s">
        <v>22</v>
      </c>
      <c r="C206" s="4" t="s">
        <v>23</v>
      </c>
      <c r="D206" s="4" t="s">
        <v>24</v>
      </c>
      <c r="E206" s="4" t="s">
        <v>30</v>
      </c>
      <c r="F206" s="4" t="s">
        <v>25</v>
      </c>
      <c r="G206" s="4" t="s">
        <v>25</v>
      </c>
      <c r="H206" s="4" t="s">
        <v>25</v>
      </c>
      <c r="I206" s="5">
        <v>44562</v>
      </c>
      <c r="J206" s="6">
        <v>0</v>
      </c>
      <c r="K206" s="6">
        <v>0</v>
      </c>
      <c r="L206" s="6">
        <v>3.0219999999999998</v>
      </c>
      <c r="M206" s="6">
        <v>3.0219999999999998</v>
      </c>
      <c r="N206" s="6">
        <v>3.0219999999999998</v>
      </c>
      <c r="O206" s="6">
        <v>3.0219999999999998</v>
      </c>
      <c r="P206" s="6">
        <v>12</v>
      </c>
      <c r="Q206" s="4" t="s">
        <v>26</v>
      </c>
      <c r="R206" s="4">
        <v>0</v>
      </c>
      <c r="S206" s="4">
        <v>0</v>
      </c>
      <c r="T206" s="4">
        <v>70</v>
      </c>
      <c r="U206" s="4">
        <v>29</v>
      </c>
      <c r="V206" s="6">
        <f>IF(ISERROR(VLOOKUP($S$206,'TAR FIN'!$A$1:$O$85,15,0)),0,VLOOKUP($S$206,'TAR FIN'!$A$1:$O$85,15,0))</f>
        <v>0</v>
      </c>
      <c r="W206" s="6">
        <f>IF(ISERROR(VLOOKUP($T$206,'TAR FIN'!$A$1:$O$85,15,0)),0,VLOOKUP($T$206,'TAR FIN'!$A$1:$O$85,15,0))</f>
        <v>225.84</v>
      </c>
      <c r="X206" s="6">
        <f>IF(ISERROR(VLOOKUP($U$206,'TAR FIN'!$A$1:$O$85,15,0)),0,VLOOKUP($U$206,'TAR FIN'!$A$1:$O$85,15,0))</f>
        <v>134.22999999999999</v>
      </c>
      <c r="Y206" s="6"/>
      <c r="Z206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206" s="6">
        <f>('TE BE'!$AA$12+'TE BF'!$AA$12+'TE CVA'!$AA$12)*(1-CUSTOS!$M$35)</f>
        <v>130.57763952373736</v>
      </c>
      <c r="AB206" s="6">
        <f t="shared" si="12"/>
        <v>0</v>
      </c>
      <c r="AC206" s="6">
        <f>(L206-M206)*(W206+X206)+($W$222+$X$222-$W$206-$X$206)*(L206)</f>
        <v>725.46131999999989</v>
      </c>
      <c r="AD206" s="6">
        <f t="shared" si="13"/>
        <v>0</v>
      </c>
      <c r="AE206" s="6">
        <f ca="1">(L206-M206)*(Z206+AA206)+($Z$222+$AA$222-$Z$206-$AA$206)*(L206)</f>
        <v>742.55548099489999</v>
      </c>
      <c r="AF206" s="4" t="s">
        <v>566</v>
      </c>
    </row>
    <row r="207" spans="1:32" ht="11.25" customHeight="1" x14ac:dyDescent="0.25">
      <c r="A207" s="4" t="s">
        <v>21</v>
      </c>
      <c r="B207" s="4" t="s">
        <v>22</v>
      </c>
      <c r="C207" s="4" t="s">
        <v>23</v>
      </c>
      <c r="D207" s="4" t="s">
        <v>24</v>
      </c>
      <c r="E207" s="4" t="s">
        <v>30</v>
      </c>
      <c r="F207" s="4" t="s">
        <v>25</v>
      </c>
      <c r="G207" s="4" t="s">
        <v>25</v>
      </c>
      <c r="H207" s="4" t="s">
        <v>25</v>
      </c>
      <c r="I207" s="5">
        <v>44593</v>
      </c>
      <c r="J207" s="6">
        <v>0</v>
      </c>
      <c r="K207" s="6">
        <v>0</v>
      </c>
      <c r="L207" s="6">
        <v>3.14</v>
      </c>
      <c r="M207" s="6">
        <v>3.14</v>
      </c>
      <c r="N207" s="6">
        <v>3.14</v>
      </c>
      <c r="O207" s="6">
        <v>3.14</v>
      </c>
      <c r="P207" s="6">
        <v>9</v>
      </c>
      <c r="Q207" s="4" t="s">
        <v>26</v>
      </c>
      <c r="R207" s="4">
        <v>0</v>
      </c>
      <c r="S207" s="4">
        <v>0</v>
      </c>
      <c r="T207" s="4">
        <v>70</v>
      </c>
      <c r="U207" s="4">
        <v>29</v>
      </c>
      <c r="V207" s="6">
        <f>IF(ISERROR(VLOOKUP($S$207,'TAR FIN'!$A$1:$O$85,15,0)),0,VLOOKUP($S$207,'TAR FIN'!$A$1:$O$85,15,0))</f>
        <v>0</v>
      </c>
      <c r="W207" s="6">
        <f>IF(ISERROR(VLOOKUP($T$207,'TAR FIN'!$A$1:$O$85,15,0)),0,VLOOKUP($T$207,'TAR FIN'!$A$1:$O$85,15,0))</f>
        <v>225.84</v>
      </c>
      <c r="X207" s="6">
        <f>IF(ISERROR(VLOOKUP($U$207,'TAR FIN'!$A$1:$O$85,15,0)),0,VLOOKUP($U$207,'TAR FIN'!$A$1:$O$85,15,0))</f>
        <v>134.22999999999999</v>
      </c>
      <c r="Y207" s="6"/>
      <c r="Z207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207" s="6">
        <f>('TE BE'!$AA$12+'TE BF'!$AA$12+'TE CVA'!$AA$12)*(1-CUSTOS!$M$35)</f>
        <v>130.57763952373736</v>
      </c>
      <c r="AB207" s="6">
        <f t="shared" si="12"/>
        <v>0</v>
      </c>
      <c r="AC207" s="6">
        <f>(L207-M207)*(W207+X207)+($W$222+$X$222-$W$207-$X$207)*(L207)</f>
        <v>753.78839999999991</v>
      </c>
      <c r="AD207" s="6">
        <f t="shared" si="13"/>
        <v>0</v>
      </c>
      <c r="AE207" s="6">
        <f ca="1">(L207-M207)*(Z207+AA207)+($Z$222+$AA$222-$Z$207-$AA$207)*(L207)</f>
        <v>771.55003650694448</v>
      </c>
      <c r="AF207" s="4" t="s">
        <v>566</v>
      </c>
    </row>
    <row r="208" spans="1:32" ht="11.25" customHeight="1" x14ac:dyDescent="0.25">
      <c r="A208" s="4" t="s">
        <v>54</v>
      </c>
      <c r="B208" s="4" t="s">
        <v>22</v>
      </c>
      <c r="C208" s="4" t="s">
        <v>23</v>
      </c>
      <c r="D208" s="4" t="s">
        <v>24</v>
      </c>
      <c r="E208" s="4" t="s">
        <v>30</v>
      </c>
      <c r="F208" s="4" t="s">
        <v>25</v>
      </c>
      <c r="G208" s="4" t="s">
        <v>25</v>
      </c>
      <c r="H208" s="4" t="s">
        <v>25</v>
      </c>
      <c r="I208" s="5">
        <v>44621</v>
      </c>
      <c r="J208" s="6">
        <v>0</v>
      </c>
      <c r="K208" s="6">
        <v>0</v>
      </c>
      <c r="L208" s="6">
        <v>3.14</v>
      </c>
      <c r="M208" s="6">
        <v>3.14</v>
      </c>
      <c r="N208" s="6">
        <v>3.14</v>
      </c>
      <c r="O208" s="6">
        <v>3.14</v>
      </c>
      <c r="P208" s="6">
        <v>9</v>
      </c>
      <c r="Q208" s="4" t="s">
        <v>26</v>
      </c>
      <c r="R208" s="4">
        <v>0</v>
      </c>
      <c r="S208" s="4">
        <v>0</v>
      </c>
      <c r="T208" s="4">
        <v>70</v>
      </c>
      <c r="U208" s="4">
        <v>29</v>
      </c>
      <c r="V208" s="6">
        <f>IF(ISERROR(VLOOKUP($S$208,'TAR FIN'!$A$1:$O$85,15,0)),0,VLOOKUP($S$208,'TAR FIN'!$A$1:$O$85,15,0))</f>
        <v>0</v>
      </c>
      <c r="W208" s="6">
        <f>IF(ISERROR(VLOOKUP($T$208,'TAR FIN'!$A$1:$O$85,15,0)),0,VLOOKUP($T$208,'TAR FIN'!$A$1:$O$85,15,0))</f>
        <v>225.84</v>
      </c>
      <c r="X208" s="6">
        <f>IF(ISERROR(VLOOKUP($U$208,'TAR FIN'!$A$1:$O$85,15,0)),0,VLOOKUP($U$208,'TAR FIN'!$A$1:$O$85,15,0))</f>
        <v>134.22999999999999</v>
      </c>
      <c r="Y208" s="6"/>
      <c r="Z208" s="6">
        <f ca="1">('TUSD BE'!$AM$22+'TUSD BF'!$AM$22+'TUSD CVA'!$AM$22-('TUSD BE'!$P$22+'TUSD BF'!$P$22+'TUSD CVA'!$P$22)-('TUSD BE'!$Q$22+'TUSD BF'!$Q$22+'TUSD CVA'!$Q$22)-('TUSD BE'!$R$22+'TUSD BF'!$R$22+'TUSD CVA'!$R$22))*(1-CUSTOS!$M$35)</f>
        <v>237.99721868021692</v>
      </c>
      <c r="AA208" s="6">
        <f>('TE BE'!$AA$12+'TE BF'!$AA$12+'TE CVA'!$AA$12)*(1-CUSTOS!$M$35)</f>
        <v>130.57763952373736</v>
      </c>
      <c r="AB208" s="6">
        <f t="shared" si="12"/>
        <v>0</v>
      </c>
      <c r="AC208" s="6">
        <f>(L208-M208)*(W208+X208)+($W$222+$X$222-$W$208-$X$208)*(L208)</f>
        <v>753.78839999999991</v>
      </c>
      <c r="AD208" s="6">
        <f t="shared" si="13"/>
        <v>0</v>
      </c>
      <c r="AE208" s="6">
        <f ca="1">(L208-M208)*(Z208+AA208)+($Z$222+$AA$222-$Z$208-$AA$208)*(L208)</f>
        <v>771.55003650694448</v>
      </c>
      <c r="AF208" s="4" t="s">
        <v>566</v>
      </c>
    </row>
    <row r="209" spans="1:32" ht="11.25" customHeight="1" x14ac:dyDescent="0.25">
      <c r="A209" s="4" t="s">
        <v>21</v>
      </c>
      <c r="B209" s="4" t="s">
        <v>22</v>
      </c>
      <c r="C209" s="4" t="s">
        <v>23</v>
      </c>
      <c r="D209" s="4" t="s">
        <v>24</v>
      </c>
      <c r="E209" s="4" t="s">
        <v>31</v>
      </c>
      <c r="F209" s="4" t="s">
        <v>25</v>
      </c>
      <c r="G209" s="4" t="s">
        <v>25</v>
      </c>
      <c r="H209" s="4" t="s">
        <v>25</v>
      </c>
      <c r="I209" s="5">
        <v>44287</v>
      </c>
      <c r="J209" s="6">
        <v>0</v>
      </c>
      <c r="K209" s="6">
        <v>0</v>
      </c>
      <c r="L209" s="6">
        <v>2.3380000000000001</v>
      </c>
      <c r="M209" s="6">
        <v>2.3380000000000001</v>
      </c>
      <c r="N209" s="6">
        <v>2.3380000000000001</v>
      </c>
      <c r="O209" s="6">
        <v>2.3380000000000001</v>
      </c>
      <c r="P209" s="6">
        <v>22</v>
      </c>
      <c r="Q209" s="4" t="s">
        <v>26</v>
      </c>
      <c r="R209" s="4">
        <v>0</v>
      </c>
      <c r="S209" s="4">
        <v>0</v>
      </c>
      <c r="T209" s="4">
        <v>54</v>
      </c>
      <c r="U209" s="4">
        <v>30</v>
      </c>
      <c r="V209" s="6">
        <f>IF(ISERROR(VLOOKUP($S$209,'TAR FIN'!$A$1:$O$85,15,0)),0,VLOOKUP($S$209,'TAR FIN'!$A$1:$O$85,15,0))</f>
        <v>0</v>
      </c>
      <c r="W209" s="6">
        <f>IF(ISERROR(VLOOKUP($T$209,'TAR FIN'!$A$1:$O$85,15,0)),0,VLOOKUP($T$209,'TAR FIN'!$A$1:$O$85,15,0))</f>
        <v>338.77</v>
      </c>
      <c r="X209" s="6">
        <f>IF(ISERROR(VLOOKUP($U$209,'TAR FIN'!$A$1:$O$85,15,0)),0,VLOOKUP($U$209,'TAR FIN'!$A$1:$O$85,15,0))</f>
        <v>201.35</v>
      </c>
      <c r="Y209" s="6"/>
      <c r="Z209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209" s="6">
        <f>('TE BE'!$AA$13+'TE BF'!$AA$13+'TE CVA'!$AA$13)*(1-CUSTOS!$M$36)</f>
        <v>195.86645928560603</v>
      </c>
      <c r="AB209" s="6">
        <f t="shared" si="12"/>
        <v>0</v>
      </c>
      <c r="AC209" s="6">
        <f>(L209-M209)*(W209+X209)+($W$222+$X$222-$W$209-$X$209)*(L209)</f>
        <v>140.30338000000006</v>
      </c>
      <c r="AD209" s="6">
        <f t="shared" si="13"/>
        <v>0</v>
      </c>
      <c r="AE209" s="6">
        <f ca="1">(L209-M209)*(Z209+AA209)+($Z$222+$AA$222-$Z$209-$AA$209)*(L209)</f>
        <v>143.62133641347432</v>
      </c>
      <c r="AF209" s="4" t="s">
        <v>566</v>
      </c>
    </row>
    <row r="210" spans="1:32" ht="11.25" customHeight="1" x14ac:dyDescent="0.25">
      <c r="A210" s="4" t="s">
        <v>21</v>
      </c>
      <c r="B210" s="4" t="s">
        <v>22</v>
      </c>
      <c r="C210" s="4" t="s">
        <v>23</v>
      </c>
      <c r="D210" s="4" t="s">
        <v>24</v>
      </c>
      <c r="E210" s="4" t="s">
        <v>31</v>
      </c>
      <c r="F210" s="4" t="s">
        <v>25</v>
      </c>
      <c r="G210" s="4" t="s">
        <v>25</v>
      </c>
      <c r="H210" s="4" t="s">
        <v>25</v>
      </c>
      <c r="I210" s="5">
        <v>44317</v>
      </c>
      <c r="J210" s="6">
        <v>0</v>
      </c>
      <c r="K210" s="6">
        <v>0</v>
      </c>
      <c r="L210" s="6">
        <v>2.4510000000000001</v>
      </c>
      <c r="M210" s="6">
        <v>2.4510000000000001</v>
      </c>
      <c r="N210" s="6">
        <v>2.4510000000000001</v>
      </c>
      <c r="O210" s="6">
        <v>2.4510000000000001</v>
      </c>
      <c r="P210" s="6">
        <v>24</v>
      </c>
      <c r="Q210" s="4" t="s">
        <v>26</v>
      </c>
      <c r="R210" s="4">
        <v>0</v>
      </c>
      <c r="S210" s="4">
        <v>0</v>
      </c>
      <c r="T210" s="4">
        <v>54</v>
      </c>
      <c r="U210" s="4">
        <v>30</v>
      </c>
      <c r="V210" s="6">
        <f>IF(ISERROR(VLOOKUP($S$210,'TAR FIN'!$A$1:$O$85,15,0)),0,VLOOKUP($S$210,'TAR FIN'!$A$1:$O$85,15,0))</f>
        <v>0</v>
      </c>
      <c r="W210" s="6">
        <f>IF(ISERROR(VLOOKUP($T$210,'TAR FIN'!$A$1:$O$85,15,0)),0,VLOOKUP($T$210,'TAR FIN'!$A$1:$O$85,15,0))</f>
        <v>338.77</v>
      </c>
      <c r="X210" s="6">
        <f>IF(ISERROR(VLOOKUP($U$210,'TAR FIN'!$A$1:$O$85,15,0)),0,VLOOKUP($U$210,'TAR FIN'!$A$1:$O$85,15,0))</f>
        <v>201.35</v>
      </c>
      <c r="Y210" s="6"/>
      <c r="Z210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210" s="6">
        <f>('TE BE'!$AA$13+'TE BF'!$AA$13+'TE CVA'!$AA$13)*(1-CUSTOS!$M$36)</f>
        <v>195.86645928560603</v>
      </c>
      <c r="AB210" s="6">
        <f t="shared" si="12"/>
        <v>0</v>
      </c>
      <c r="AC210" s="6">
        <f>(L210-M210)*(W210+X210)+($W$222+$X$222-$W$210-$X$210)*(L210)</f>
        <v>147.08451000000005</v>
      </c>
      <c r="AD210" s="6">
        <f t="shared" si="13"/>
        <v>0</v>
      </c>
      <c r="AE210" s="6">
        <f ca="1">(L210-M210)*(Z210+AA210)+($Z$222+$AA$222-$Z$210-$AA$210)*(L210)</f>
        <v>150.56282957631547</v>
      </c>
      <c r="AF210" s="4" t="s">
        <v>566</v>
      </c>
    </row>
    <row r="211" spans="1:32" ht="11.25" customHeight="1" x14ac:dyDescent="0.25">
      <c r="A211" s="4" t="s">
        <v>21</v>
      </c>
      <c r="B211" s="4" t="s">
        <v>22</v>
      </c>
      <c r="C211" s="4" t="s">
        <v>23</v>
      </c>
      <c r="D211" s="4" t="s">
        <v>24</v>
      </c>
      <c r="E211" s="4" t="s">
        <v>31</v>
      </c>
      <c r="F211" s="4" t="s">
        <v>25</v>
      </c>
      <c r="G211" s="4" t="s">
        <v>25</v>
      </c>
      <c r="H211" s="4" t="s">
        <v>25</v>
      </c>
      <c r="I211" s="5">
        <v>44348</v>
      </c>
      <c r="J211" s="6">
        <v>0</v>
      </c>
      <c r="K211" s="6">
        <v>0</v>
      </c>
      <c r="L211" s="6">
        <v>2.5870000000000002</v>
      </c>
      <c r="M211" s="6">
        <v>2.5870000000000002</v>
      </c>
      <c r="N211" s="6">
        <v>2.5870000000000002</v>
      </c>
      <c r="O211" s="6">
        <v>2.5870000000000002</v>
      </c>
      <c r="P211" s="6">
        <v>26</v>
      </c>
      <c r="Q211" s="4" t="s">
        <v>26</v>
      </c>
      <c r="R211" s="4">
        <v>0</v>
      </c>
      <c r="S211" s="4">
        <v>0</v>
      </c>
      <c r="T211" s="4">
        <v>54</v>
      </c>
      <c r="U211" s="4">
        <v>30</v>
      </c>
      <c r="V211" s="6">
        <f>IF(ISERROR(VLOOKUP($S$211,'TAR FIN'!$A$1:$O$85,15,0)),0,VLOOKUP($S$211,'TAR FIN'!$A$1:$O$85,15,0))</f>
        <v>0</v>
      </c>
      <c r="W211" s="6">
        <f>IF(ISERROR(VLOOKUP($T$211,'TAR FIN'!$A$1:$O$85,15,0)),0,VLOOKUP($T$211,'TAR FIN'!$A$1:$O$85,15,0))</f>
        <v>338.77</v>
      </c>
      <c r="X211" s="6">
        <f>IF(ISERROR(VLOOKUP($U$211,'TAR FIN'!$A$1:$O$85,15,0)),0,VLOOKUP($U$211,'TAR FIN'!$A$1:$O$85,15,0))</f>
        <v>201.35</v>
      </c>
      <c r="Y211" s="6"/>
      <c r="Z211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211" s="6">
        <f>('TE BE'!$AA$13+'TE BF'!$AA$13+'TE CVA'!$AA$13)*(1-CUSTOS!$M$36)</f>
        <v>195.86645928560603</v>
      </c>
      <c r="AB211" s="6">
        <f t="shared" si="12"/>
        <v>0</v>
      </c>
      <c r="AC211" s="6">
        <f>(L211-M211)*(W211+X211)+($W$222+$X$222-$W$211-$X$211)*(L211)</f>
        <v>155.24587000000005</v>
      </c>
      <c r="AD211" s="6">
        <f t="shared" si="13"/>
        <v>0</v>
      </c>
      <c r="AE211" s="6">
        <f ca="1">(L211-M211)*(Z211+AA211)+($Z$222+$AA$222-$Z$211-$AA$211)*(L211)</f>
        <v>158.91719302893844</v>
      </c>
      <c r="AF211" s="4" t="s">
        <v>566</v>
      </c>
    </row>
    <row r="212" spans="1:32" ht="11.25" customHeight="1" x14ac:dyDescent="0.25">
      <c r="A212" s="4" t="s">
        <v>21</v>
      </c>
      <c r="B212" s="4" t="s">
        <v>22</v>
      </c>
      <c r="C212" s="4" t="s">
        <v>23</v>
      </c>
      <c r="D212" s="4" t="s">
        <v>24</v>
      </c>
      <c r="E212" s="4" t="s">
        <v>31</v>
      </c>
      <c r="F212" s="4" t="s">
        <v>25</v>
      </c>
      <c r="G212" s="4" t="s">
        <v>25</v>
      </c>
      <c r="H212" s="4" t="s">
        <v>25</v>
      </c>
      <c r="I212" s="5">
        <v>44378</v>
      </c>
      <c r="J212" s="6">
        <v>0</v>
      </c>
      <c r="K212" s="6">
        <v>0</v>
      </c>
      <c r="L212" s="6">
        <v>2.5099999999999998</v>
      </c>
      <c r="M212" s="6">
        <v>2.5099999999999998</v>
      </c>
      <c r="N212" s="6">
        <v>2.5099999999999998</v>
      </c>
      <c r="O212" s="6">
        <v>2.5099999999999998</v>
      </c>
      <c r="P212" s="6">
        <v>23</v>
      </c>
      <c r="Q212" s="4" t="s">
        <v>26</v>
      </c>
      <c r="R212" s="4">
        <v>0</v>
      </c>
      <c r="S212" s="4">
        <v>0</v>
      </c>
      <c r="T212" s="4">
        <v>54</v>
      </c>
      <c r="U212" s="4">
        <v>30</v>
      </c>
      <c r="V212" s="6">
        <f>IF(ISERROR(VLOOKUP($S$212,'TAR FIN'!$A$1:$O$85,15,0)),0,VLOOKUP($S$212,'TAR FIN'!$A$1:$O$85,15,0))</f>
        <v>0</v>
      </c>
      <c r="W212" s="6">
        <f>IF(ISERROR(VLOOKUP($T$212,'TAR FIN'!$A$1:$O$85,15,0)),0,VLOOKUP($T$212,'TAR FIN'!$A$1:$O$85,15,0))</f>
        <v>338.77</v>
      </c>
      <c r="X212" s="6">
        <f>IF(ISERROR(VLOOKUP($U$212,'TAR FIN'!$A$1:$O$85,15,0)),0,VLOOKUP($U$212,'TAR FIN'!$A$1:$O$85,15,0))</f>
        <v>201.35</v>
      </c>
      <c r="Y212" s="6"/>
      <c r="Z212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212" s="6">
        <f>('TE BE'!$AA$13+'TE BF'!$AA$13+'TE CVA'!$AA$13)*(1-CUSTOS!$M$36)</f>
        <v>195.86645928560603</v>
      </c>
      <c r="AB212" s="6">
        <f t="shared" si="12"/>
        <v>0</v>
      </c>
      <c r="AC212" s="6">
        <f>(L212-M212)*(W212+X212)+($W$222+$X$222-$W$212-$X$212)*(L212)</f>
        <v>150.62510000000003</v>
      </c>
      <c r="AD212" s="6">
        <f t="shared" si="13"/>
        <v>0</v>
      </c>
      <c r="AE212" s="6">
        <f ca="1">(L212-M212)*(Z212+AA212)+($Z$222+$AA$222-$Z$212-$AA$212)*(L212)</f>
        <v>154.18714901532098</v>
      </c>
      <c r="AF212" s="4" t="s">
        <v>566</v>
      </c>
    </row>
    <row r="213" spans="1:32" ht="11.25" customHeight="1" x14ac:dyDescent="0.25">
      <c r="A213" s="4" t="s">
        <v>27</v>
      </c>
      <c r="B213" s="4" t="s">
        <v>22</v>
      </c>
      <c r="C213" s="4" t="s">
        <v>23</v>
      </c>
      <c r="D213" s="4" t="s">
        <v>24</v>
      </c>
      <c r="E213" s="4" t="s">
        <v>31</v>
      </c>
      <c r="F213" s="4" t="s">
        <v>25</v>
      </c>
      <c r="G213" s="4" t="s">
        <v>25</v>
      </c>
      <c r="H213" s="4" t="s">
        <v>25</v>
      </c>
      <c r="I213" s="5">
        <v>44378</v>
      </c>
      <c r="J213" s="6">
        <v>0</v>
      </c>
      <c r="K213" s="6">
        <v>0</v>
      </c>
      <c r="L213" s="6">
        <v>-1.0999999999999999E-2</v>
      </c>
      <c r="M213" s="6">
        <v>-1.0999999999999999E-2</v>
      </c>
      <c r="N213" s="6">
        <v>-1.0999999999999999E-2</v>
      </c>
      <c r="O213" s="6">
        <v>-1.0999999999999999E-2</v>
      </c>
      <c r="P213" s="6">
        <v>0</v>
      </c>
      <c r="Q213" s="4" t="s">
        <v>26</v>
      </c>
      <c r="R213" s="4">
        <v>0</v>
      </c>
      <c r="S213" s="4">
        <v>0</v>
      </c>
      <c r="T213" s="4">
        <v>54</v>
      </c>
      <c r="U213" s="4">
        <v>30</v>
      </c>
      <c r="V213" s="6">
        <f>IF(ISERROR(VLOOKUP($S$213,'TAR FIN'!$A$1:$O$85,15,0)),0,VLOOKUP($S$213,'TAR FIN'!$A$1:$O$85,15,0))</f>
        <v>0</v>
      </c>
      <c r="W213" s="6">
        <f>IF(ISERROR(VLOOKUP($T$213,'TAR FIN'!$A$1:$O$85,15,0)),0,VLOOKUP($T$213,'TAR FIN'!$A$1:$O$85,15,0))</f>
        <v>338.77</v>
      </c>
      <c r="X213" s="6">
        <f>IF(ISERROR(VLOOKUP($U$213,'TAR FIN'!$A$1:$O$85,15,0)),0,VLOOKUP($U$213,'TAR FIN'!$A$1:$O$85,15,0))</f>
        <v>201.35</v>
      </c>
      <c r="Y213" s="6"/>
      <c r="Z213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213" s="6">
        <f>('TE BE'!$AA$13+'TE BF'!$AA$13+'TE CVA'!$AA$13)*(1-CUSTOS!$M$36)</f>
        <v>195.86645928560603</v>
      </c>
      <c r="AB213" s="6">
        <f t="shared" si="12"/>
        <v>0</v>
      </c>
      <c r="AC213" s="6">
        <f>(L213-M213)*(W213+X213)+($W$222+$X$222-$W$213-$X$213)*(L213)</f>
        <v>-0.6601100000000002</v>
      </c>
      <c r="AD213" s="6">
        <f t="shared" si="13"/>
        <v>0</v>
      </c>
      <c r="AE213" s="6">
        <f ca="1">(L213-M213)*(Z213+AA213)+($Z$222+$AA$222-$Z$213-$AA$213)*(L213)</f>
        <v>-0.67572057337391667</v>
      </c>
      <c r="AF213" s="4" t="s">
        <v>566</v>
      </c>
    </row>
    <row r="214" spans="1:32" ht="11.25" customHeight="1" x14ac:dyDescent="0.25">
      <c r="A214" s="4" t="s">
        <v>21</v>
      </c>
      <c r="B214" s="4" t="s">
        <v>22</v>
      </c>
      <c r="C214" s="4" t="s">
        <v>23</v>
      </c>
      <c r="D214" s="4" t="s">
        <v>24</v>
      </c>
      <c r="E214" s="4" t="s">
        <v>31</v>
      </c>
      <c r="F214" s="4" t="s">
        <v>25</v>
      </c>
      <c r="G214" s="4" t="s">
        <v>25</v>
      </c>
      <c r="H214" s="4" t="s">
        <v>25</v>
      </c>
      <c r="I214" s="5">
        <v>44409</v>
      </c>
      <c r="J214" s="6">
        <v>0</v>
      </c>
      <c r="K214" s="6">
        <v>0</v>
      </c>
      <c r="L214" s="6">
        <v>2.9670000000000001</v>
      </c>
      <c r="M214" s="6">
        <v>2.9670000000000001</v>
      </c>
      <c r="N214" s="6">
        <v>2.9670000000000001</v>
      </c>
      <c r="O214" s="6">
        <v>2.9670000000000001</v>
      </c>
      <c r="P214" s="6">
        <v>27</v>
      </c>
      <c r="Q214" s="4" t="s">
        <v>26</v>
      </c>
      <c r="R214" s="4">
        <v>0</v>
      </c>
      <c r="S214" s="4">
        <v>0</v>
      </c>
      <c r="T214" s="4">
        <v>54</v>
      </c>
      <c r="U214" s="4">
        <v>30</v>
      </c>
      <c r="V214" s="6">
        <f>IF(ISERROR(VLOOKUP($S$214,'TAR FIN'!$A$1:$O$85,15,0)),0,VLOOKUP($S$214,'TAR FIN'!$A$1:$O$85,15,0))</f>
        <v>0</v>
      </c>
      <c r="W214" s="6">
        <f>IF(ISERROR(VLOOKUP($T$214,'TAR FIN'!$A$1:$O$85,15,0)),0,VLOOKUP($T$214,'TAR FIN'!$A$1:$O$85,15,0))</f>
        <v>338.77</v>
      </c>
      <c r="X214" s="6">
        <f>IF(ISERROR(VLOOKUP($U$214,'TAR FIN'!$A$1:$O$85,15,0)),0,VLOOKUP($U$214,'TAR FIN'!$A$1:$O$85,15,0))</f>
        <v>201.35</v>
      </c>
      <c r="Y214" s="6"/>
      <c r="Z214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214" s="6">
        <f>('TE BE'!$AA$13+'TE BF'!$AA$13+'TE CVA'!$AA$13)*(1-CUSTOS!$M$36)</f>
        <v>195.86645928560603</v>
      </c>
      <c r="AB214" s="6">
        <f t="shared" si="12"/>
        <v>0</v>
      </c>
      <c r="AC214" s="6">
        <f>(L214-M214)*(W214+X214)+($W$222+$X$222-$W$214-$X$214)*(L214)</f>
        <v>178.04967000000005</v>
      </c>
      <c r="AD214" s="6">
        <f t="shared" si="13"/>
        <v>0</v>
      </c>
      <c r="AE214" s="6">
        <f ca="1">(L214-M214)*(Z214+AA214)+($Z$222+$AA$222-$Z$214-$AA$214)*(L214)</f>
        <v>182.26026738185556</v>
      </c>
      <c r="AF214" s="4" t="s">
        <v>566</v>
      </c>
    </row>
    <row r="215" spans="1:32" ht="11.25" customHeight="1" x14ac:dyDescent="0.25">
      <c r="A215" s="4" t="s">
        <v>21</v>
      </c>
      <c r="B215" s="4" t="s">
        <v>22</v>
      </c>
      <c r="C215" s="4" t="s">
        <v>23</v>
      </c>
      <c r="D215" s="4" t="s">
        <v>24</v>
      </c>
      <c r="E215" s="4" t="s">
        <v>31</v>
      </c>
      <c r="F215" s="4" t="s">
        <v>25</v>
      </c>
      <c r="G215" s="4" t="s">
        <v>25</v>
      </c>
      <c r="H215" s="4" t="s">
        <v>25</v>
      </c>
      <c r="I215" s="5">
        <v>44440</v>
      </c>
      <c r="J215" s="6">
        <v>0</v>
      </c>
      <c r="K215" s="6">
        <v>0</v>
      </c>
      <c r="L215" s="6">
        <v>2.8450000000000002</v>
      </c>
      <c r="M215" s="6">
        <v>2.8450000000000002</v>
      </c>
      <c r="N215" s="6">
        <v>2.8450000000000002</v>
      </c>
      <c r="O215" s="6">
        <v>2.8450000000000002</v>
      </c>
      <c r="P215" s="6">
        <v>23</v>
      </c>
      <c r="Q215" s="4" t="s">
        <v>26</v>
      </c>
      <c r="R215" s="4">
        <v>0</v>
      </c>
      <c r="S215" s="4">
        <v>0</v>
      </c>
      <c r="T215" s="4">
        <v>54</v>
      </c>
      <c r="U215" s="4">
        <v>30</v>
      </c>
      <c r="V215" s="6">
        <f>IF(ISERROR(VLOOKUP($S$215,'TAR FIN'!$A$1:$O$85,15,0)),0,VLOOKUP($S$215,'TAR FIN'!$A$1:$O$85,15,0))</f>
        <v>0</v>
      </c>
      <c r="W215" s="6">
        <f>IF(ISERROR(VLOOKUP($T$215,'TAR FIN'!$A$1:$O$85,15,0)),0,VLOOKUP($T$215,'TAR FIN'!$A$1:$O$85,15,0))</f>
        <v>338.77</v>
      </c>
      <c r="X215" s="6">
        <f>IF(ISERROR(VLOOKUP($U$215,'TAR FIN'!$A$1:$O$85,15,0)),0,VLOOKUP($U$215,'TAR FIN'!$A$1:$O$85,15,0))</f>
        <v>201.35</v>
      </c>
      <c r="Y215" s="6"/>
      <c r="Z215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215" s="6">
        <f>('TE BE'!$AA$13+'TE BF'!$AA$13+'TE CVA'!$AA$13)*(1-CUSTOS!$M$36)</f>
        <v>195.86645928560603</v>
      </c>
      <c r="AB215" s="6">
        <f t="shared" si="12"/>
        <v>0</v>
      </c>
      <c r="AC215" s="6">
        <f>(L215-M215)*(W215+X215)+($W$222+$X$222-$W$215-$X$215)*(L215)</f>
        <v>170.72845000000007</v>
      </c>
      <c r="AD215" s="6">
        <f t="shared" si="13"/>
        <v>0</v>
      </c>
      <c r="AE215" s="6">
        <f ca="1">(L215-M215)*(Z215+AA215)+($Z$222+$AA$222-$Z$215-$AA$215)*(L215)</f>
        <v>174.76591193170847</v>
      </c>
      <c r="AF215" s="4" t="s">
        <v>566</v>
      </c>
    </row>
    <row r="216" spans="1:32" ht="11.25" customHeight="1" x14ac:dyDescent="0.25">
      <c r="A216" s="4" t="s">
        <v>21</v>
      </c>
      <c r="B216" s="4" t="s">
        <v>22</v>
      </c>
      <c r="C216" s="4" t="s">
        <v>23</v>
      </c>
      <c r="D216" s="4" t="s">
        <v>24</v>
      </c>
      <c r="E216" s="4" t="s">
        <v>31</v>
      </c>
      <c r="F216" s="4" t="s">
        <v>25</v>
      </c>
      <c r="G216" s="4" t="s">
        <v>25</v>
      </c>
      <c r="H216" s="4" t="s">
        <v>25</v>
      </c>
      <c r="I216" s="5">
        <v>44470</v>
      </c>
      <c r="J216" s="6">
        <v>0</v>
      </c>
      <c r="K216" s="6">
        <v>0</v>
      </c>
      <c r="L216" s="6">
        <v>2.8010000000000002</v>
      </c>
      <c r="M216" s="6">
        <v>2.8010000000000002</v>
      </c>
      <c r="N216" s="6">
        <v>2.8010000000000002</v>
      </c>
      <c r="O216" s="6">
        <v>2.8010000000000002</v>
      </c>
      <c r="P216" s="6">
        <v>26</v>
      </c>
      <c r="Q216" s="4" t="s">
        <v>26</v>
      </c>
      <c r="R216" s="4">
        <v>0</v>
      </c>
      <c r="S216" s="4">
        <v>0</v>
      </c>
      <c r="T216" s="4">
        <v>54</v>
      </c>
      <c r="U216" s="4">
        <v>30</v>
      </c>
      <c r="V216" s="6">
        <f>IF(ISERROR(VLOOKUP($S$216,'TAR FIN'!$A$1:$O$85,15,0)),0,VLOOKUP($S$216,'TAR FIN'!$A$1:$O$85,15,0))</f>
        <v>0</v>
      </c>
      <c r="W216" s="6">
        <f>IF(ISERROR(VLOOKUP($T$216,'TAR FIN'!$A$1:$O$85,15,0)),0,VLOOKUP($T$216,'TAR FIN'!$A$1:$O$85,15,0))</f>
        <v>338.77</v>
      </c>
      <c r="X216" s="6">
        <f>IF(ISERROR(VLOOKUP($U$216,'TAR FIN'!$A$1:$O$85,15,0)),0,VLOOKUP($U$216,'TAR FIN'!$A$1:$O$85,15,0))</f>
        <v>201.35</v>
      </c>
      <c r="Y216" s="6"/>
      <c r="Z216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216" s="6">
        <f>('TE BE'!$AA$13+'TE BF'!$AA$13+'TE CVA'!$AA$13)*(1-CUSTOS!$M$36)</f>
        <v>195.86645928560603</v>
      </c>
      <c r="AB216" s="6">
        <f t="shared" si="12"/>
        <v>0</v>
      </c>
      <c r="AC216" s="6">
        <f>(L216-M216)*(W216+X216)+($W$222+$X$222-$W$216-$X$216)*(L216)</f>
        <v>168.08801000000005</v>
      </c>
      <c r="AD216" s="6">
        <f t="shared" si="13"/>
        <v>0</v>
      </c>
      <c r="AE216" s="6">
        <f ca="1">(L216-M216)*(Z216+AA216)+($Z$222+$AA$222-$Z$216-$AA$216)*(L216)</f>
        <v>172.06302963821281</v>
      </c>
      <c r="AF216" s="4" t="s">
        <v>566</v>
      </c>
    </row>
    <row r="217" spans="1:32" ht="11.25" customHeight="1" x14ac:dyDescent="0.25">
      <c r="A217" s="4" t="s">
        <v>21</v>
      </c>
      <c r="B217" s="4" t="s">
        <v>22</v>
      </c>
      <c r="C217" s="4" t="s">
        <v>23</v>
      </c>
      <c r="D217" s="4" t="s">
        <v>24</v>
      </c>
      <c r="E217" s="4" t="s">
        <v>31</v>
      </c>
      <c r="F217" s="4" t="s">
        <v>25</v>
      </c>
      <c r="G217" s="4" t="s">
        <v>25</v>
      </c>
      <c r="H217" s="4" t="s">
        <v>25</v>
      </c>
      <c r="I217" s="5">
        <v>44501</v>
      </c>
      <c r="J217" s="6">
        <v>0</v>
      </c>
      <c r="K217" s="6">
        <v>0</v>
      </c>
      <c r="L217" s="6">
        <v>2.819</v>
      </c>
      <c r="M217" s="6">
        <v>2.819</v>
      </c>
      <c r="N217" s="6">
        <v>2.819</v>
      </c>
      <c r="O217" s="6">
        <v>2.819</v>
      </c>
      <c r="P217" s="6">
        <v>24</v>
      </c>
      <c r="Q217" s="4" t="s">
        <v>26</v>
      </c>
      <c r="R217" s="4">
        <v>0</v>
      </c>
      <c r="S217" s="4">
        <v>0</v>
      </c>
      <c r="T217" s="4">
        <v>54</v>
      </c>
      <c r="U217" s="4">
        <v>30</v>
      </c>
      <c r="V217" s="6">
        <f>IF(ISERROR(VLOOKUP($S$217,'TAR FIN'!$A$1:$O$85,15,0)),0,VLOOKUP($S$217,'TAR FIN'!$A$1:$O$85,15,0))</f>
        <v>0</v>
      </c>
      <c r="W217" s="6">
        <f>IF(ISERROR(VLOOKUP($T$217,'TAR FIN'!$A$1:$O$85,15,0)),0,VLOOKUP($T$217,'TAR FIN'!$A$1:$O$85,15,0))</f>
        <v>338.77</v>
      </c>
      <c r="X217" s="6">
        <f>IF(ISERROR(VLOOKUP($U$217,'TAR FIN'!$A$1:$O$85,15,0)),0,VLOOKUP($U$217,'TAR FIN'!$A$1:$O$85,15,0))</f>
        <v>201.35</v>
      </c>
      <c r="Y217" s="6"/>
      <c r="Z217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217" s="6">
        <f>('TE BE'!$AA$13+'TE BF'!$AA$13+'TE CVA'!$AA$13)*(1-CUSTOS!$M$36)</f>
        <v>195.86645928560603</v>
      </c>
      <c r="AB217" s="6">
        <f t="shared" si="12"/>
        <v>0</v>
      </c>
      <c r="AC217" s="6">
        <f>(L217-M217)*(W217+X217)+($W$222+$X$222-$W$217-$X$217)*(L217)</f>
        <v>169.16819000000004</v>
      </c>
      <c r="AD217" s="6">
        <f t="shared" si="13"/>
        <v>0</v>
      </c>
      <c r="AE217" s="6">
        <f ca="1">(L217-M217)*(Z217+AA217)+($Z$222+$AA$222-$Z$217-$AA$217)*(L217)</f>
        <v>173.16875421282467</v>
      </c>
      <c r="AF217" s="4" t="s">
        <v>566</v>
      </c>
    </row>
    <row r="218" spans="1:32" ht="11.25" customHeight="1" x14ac:dyDescent="0.25">
      <c r="A218" s="4" t="s">
        <v>21</v>
      </c>
      <c r="B218" s="4" t="s">
        <v>22</v>
      </c>
      <c r="C218" s="4" t="s">
        <v>23</v>
      </c>
      <c r="D218" s="4" t="s">
        <v>24</v>
      </c>
      <c r="E218" s="4" t="s">
        <v>31</v>
      </c>
      <c r="F218" s="4" t="s">
        <v>25</v>
      </c>
      <c r="G218" s="4" t="s">
        <v>25</v>
      </c>
      <c r="H218" s="4" t="s">
        <v>25</v>
      </c>
      <c r="I218" s="5">
        <v>44531</v>
      </c>
      <c r="J218" s="6">
        <v>0</v>
      </c>
      <c r="K218" s="6">
        <v>0</v>
      </c>
      <c r="L218" s="6">
        <v>2.585</v>
      </c>
      <c r="M218" s="6">
        <v>2.585</v>
      </c>
      <c r="N218" s="6">
        <v>2.585</v>
      </c>
      <c r="O218" s="6">
        <v>2.585</v>
      </c>
      <c r="P218" s="6">
        <v>25</v>
      </c>
      <c r="Q218" s="4" t="s">
        <v>26</v>
      </c>
      <c r="R218" s="4">
        <v>0</v>
      </c>
      <c r="S218" s="4">
        <v>0</v>
      </c>
      <c r="T218" s="4">
        <v>54</v>
      </c>
      <c r="U218" s="4">
        <v>30</v>
      </c>
      <c r="V218" s="6">
        <f>IF(ISERROR(VLOOKUP($S$218,'TAR FIN'!$A$1:$O$85,15,0)),0,VLOOKUP($S$218,'TAR FIN'!$A$1:$O$85,15,0))</f>
        <v>0</v>
      </c>
      <c r="W218" s="6">
        <f>IF(ISERROR(VLOOKUP($T$218,'TAR FIN'!$A$1:$O$85,15,0)),0,VLOOKUP($T$218,'TAR FIN'!$A$1:$O$85,15,0))</f>
        <v>338.77</v>
      </c>
      <c r="X218" s="6">
        <f>IF(ISERROR(VLOOKUP($U$218,'TAR FIN'!$A$1:$O$85,15,0)),0,VLOOKUP($U$218,'TAR FIN'!$A$1:$O$85,15,0))</f>
        <v>201.35</v>
      </c>
      <c r="Y218" s="6"/>
      <c r="Z218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218" s="6">
        <f>('TE BE'!$AA$13+'TE BF'!$AA$13+'TE CVA'!$AA$13)*(1-CUSTOS!$M$36)</f>
        <v>195.86645928560603</v>
      </c>
      <c r="AB218" s="6">
        <f t="shared" si="12"/>
        <v>0</v>
      </c>
      <c r="AC218" s="6">
        <f>(L218-M218)*(W218+X218)+($W$222+$X$222-$W$218-$X$218)*(L218)</f>
        <v>155.12585000000004</v>
      </c>
      <c r="AD218" s="6">
        <f t="shared" si="13"/>
        <v>0</v>
      </c>
      <c r="AE218" s="6">
        <f ca="1">(L218-M218)*(Z218+AA218)+($Z$222+$AA$222-$Z$218-$AA$218)*(L218)</f>
        <v>158.79433474287043</v>
      </c>
      <c r="AF218" s="4" t="s">
        <v>566</v>
      </c>
    </row>
    <row r="219" spans="1:32" ht="11.25" customHeight="1" x14ac:dyDescent="0.25">
      <c r="A219" s="4" t="s">
        <v>21</v>
      </c>
      <c r="B219" s="4" t="s">
        <v>22</v>
      </c>
      <c r="C219" s="4" t="s">
        <v>23</v>
      </c>
      <c r="D219" s="4" t="s">
        <v>24</v>
      </c>
      <c r="E219" s="4" t="s">
        <v>31</v>
      </c>
      <c r="F219" s="4" t="s">
        <v>25</v>
      </c>
      <c r="G219" s="4" t="s">
        <v>25</v>
      </c>
      <c r="H219" s="4" t="s">
        <v>25</v>
      </c>
      <c r="I219" s="5">
        <v>44562</v>
      </c>
      <c r="J219" s="6">
        <v>0</v>
      </c>
      <c r="K219" s="6">
        <v>0</v>
      </c>
      <c r="L219" s="6">
        <v>2.6150000000000002</v>
      </c>
      <c r="M219" s="6">
        <v>2.6150000000000002</v>
      </c>
      <c r="N219" s="6">
        <v>2.6150000000000002</v>
      </c>
      <c r="O219" s="6">
        <v>2.6150000000000002</v>
      </c>
      <c r="P219" s="6">
        <v>27</v>
      </c>
      <c r="Q219" s="4" t="s">
        <v>26</v>
      </c>
      <c r="R219" s="4">
        <v>0</v>
      </c>
      <c r="S219" s="4">
        <v>0</v>
      </c>
      <c r="T219" s="4">
        <v>54</v>
      </c>
      <c r="U219" s="4">
        <v>30</v>
      </c>
      <c r="V219" s="6">
        <f>IF(ISERROR(VLOOKUP($S$219,'TAR FIN'!$A$1:$O$85,15,0)),0,VLOOKUP($S$219,'TAR FIN'!$A$1:$O$85,15,0))</f>
        <v>0</v>
      </c>
      <c r="W219" s="6">
        <f>IF(ISERROR(VLOOKUP($T$219,'TAR FIN'!$A$1:$O$85,15,0)),0,VLOOKUP($T$219,'TAR FIN'!$A$1:$O$85,15,0))</f>
        <v>338.77</v>
      </c>
      <c r="X219" s="6">
        <f>IF(ISERROR(VLOOKUP($U$219,'TAR FIN'!$A$1:$O$85,15,0)),0,VLOOKUP($U$219,'TAR FIN'!$A$1:$O$85,15,0))</f>
        <v>201.35</v>
      </c>
      <c r="Y219" s="6"/>
      <c r="Z219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219" s="6">
        <f>('TE BE'!$AA$13+'TE BF'!$AA$13+'TE CVA'!$AA$13)*(1-CUSTOS!$M$36)</f>
        <v>195.86645928560603</v>
      </c>
      <c r="AB219" s="6">
        <f t="shared" si="12"/>
        <v>0</v>
      </c>
      <c r="AC219" s="6">
        <f>(L219-M219)*(W219+X219)+($W$222+$X$222-$W$219-$X$219)*(L219)</f>
        <v>156.92615000000006</v>
      </c>
      <c r="AD219" s="6">
        <f t="shared" si="13"/>
        <v>0</v>
      </c>
      <c r="AE219" s="6">
        <f ca="1">(L219-M219)*(Z219+AA219)+($Z$222+$AA$222-$Z$219-$AA$219)*(L219)</f>
        <v>160.63720903389023</v>
      </c>
      <c r="AF219" s="4" t="s">
        <v>566</v>
      </c>
    </row>
    <row r="220" spans="1:32" ht="11.25" customHeight="1" x14ac:dyDescent="0.25">
      <c r="A220" s="4" t="s">
        <v>21</v>
      </c>
      <c r="B220" s="4" t="s">
        <v>22</v>
      </c>
      <c r="C220" s="4" t="s">
        <v>23</v>
      </c>
      <c r="D220" s="4" t="s">
        <v>24</v>
      </c>
      <c r="E220" s="4" t="s">
        <v>31</v>
      </c>
      <c r="F220" s="4" t="s">
        <v>25</v>
      </c>
      <c r="G220" s="4" t="s">
        <v>25</v>
      </c>
      <c r="H220" s="4" t="s">
        <v>25</v>
      </c>
      <c r="I220" s="5">
        <v>44593</v>
      </c>
      <c r="J220" s="6">
        <v>0</v>
      </c>
      <c r="K220" s="6">
        <v>0</v>
      </c>
      <c r="L220" s="6">
        <v>3.1640000000000001</v>
      </c>
      <c r="M220" s="6">
        <v>3.1640000000000001</v>
      </c>
      <c r="N220" s="6">
        <v>3.1640000000000001</v>
      </c>
      <c r="O220" s="6">
        <v>3.1640000000000001</v>
      </c>
      <c r="P220" s="6">
        <v>23</v>
      </c>
      <c r="Q220" s="4" t="s">
        <v>26</v>
      </c>
      <c r="R220" s="4">
        <v>0</v>
      </c>
      <c r="S220" s="4">
        <v>0</v>
      </c>
      <c r="T220" s="4">
        <v>54</v>
      </c>
      <c r="U220" s="4">
        <v>30</v>
      </c>
      <c r="V220" s="6">
        <f>IF(ISERROR(VLOOKUP($S$220,'TAR FIN'!$A$1:$O$85,15,0)),0,VLOOKUP($S$220,'TAR FIN'!$A$1:$O$85,15,0))</f>
        <v>0</v>
      </c>
      <c r="W220" s="6">
        <f>IF(ISERROR(VLOOKUP($T$220,'TAR FIN'!$A$1:$O$85,15,0)),0,VLOOKUP($T$220,'TAR FIN'!$A$1:$O$85,15,0))</f>
        <v>338.77</v>
      </c>
      <c r="X220" s="6">
        <f>IF(ISERROR(VLOOKUP($U$220,'TAR FIN'!$A$1:$O$85,15,0)),0,VLOOKUP($U$220,'TAR FIN'!$A$1:$O$85,15,0))</f>
        <v>201.35</v>
      </c>
      <c r="Y220" s="6"/>
      <c r="Z220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220" s="6">
        <f>('TE BE'!$AA$13+'TE BF'!$AA$13+'TE CVA'!$AA$13)*(1-CUSTOS!$M$36)</f>
        <v>195.86645928560603</v>
      </c>
      <c r="AB220" s="6">
        <f t="shared" si="12"/>
        <v>0</v>
      </c>
      <c r="AC220" s="6">
        <f>(L220-M220)*(W220+X220)+($W$222+$X$222-$W$220-$X$220)*(L220)</f>
        <v>189.87164000000007</v>
      </c>
      <c r="AD220" s="6">
        <f t="shared" si="13"/>
        <v>0</v>
      </c>
      <c r="AE220" s="6">
        <f ca="1">(L220-M220)*(Z220+AA220)+($Z$222+$AA$222-$Z$220-$AA$220)*(L220)</f>
        <v>194.36180855955206</v>
      </c>
      <c r="AF220" s="4" t="s">
        <v>566</v>
      </c>
    </row>
    <row r="221" spans="1:32" ht="11.25" customHeight="1" x14ac:dyDescent="0.25">
      <c r="A221" s="4" t="s">
        <v>54</v>
      </c>
      <c r="B221" s="4" t="s">
        <v>22</v>
      </c>
      <c r="C221" s="4" t="s">
        <v>23</v>
      </c>
      <c r="D221" s="4" t="s">
        <v>24</v>
      </c>
      <c r="E221" s="4" t="s">
        <v>31</v>
      </c>
      <c r="F221" s="4" t="s">
        <v>25</v>
      </c>
      <c r="G221" s="4" t="s">
        <v>25</v>
      </c>
      <c r="H221" s="4" t="s">
        <v>25</v>
      </c>
      <c r="I221" s="5">
        <v>44621</v>
      </c>
      <c r="J221" s="6">
        <v>0</v>
      </c>
      <c r="K221" s="6">
        <v>0</v>
      </c>
      <c r="L221" s="6">
        <v>3.1640000000000001</v>
      </c>
      <c r="M221" s="6">
        <v>3.1640000000000001</v>
      </c>
      <c r="N221" s="6">
        <v>3.1640000000000001</v>
      </c>
      <c r="O221" s="6">
        <v>3.1640000000000001</v>
      </c>
      <c r="P221" s="6">
        <v>23</v>
      </c>
      <c r="Q221" s="4" t="s">
        <v>26</v>
      </c>
      <c r="R221" s="4">
        <v>0</v>
      </c>
      <c r="S221" s="4">
        <v>0</v>
      </c>
      <c r="T221" s="4">
        <v>54</v>
      </c>
      <c r="U221" s="4">
        <v>30</v>
      </c>
      <c r="V221" s="6">
        <f>IF(ISERROR(VLOOKUP($S$221,'TAR FIN'!$A$1:$O$85,15,0)),0,VLOOKUP($S$221,'TAR FIN'!$A$1:$O$85,15,0))</f>
        <v>0</v>
      </c>
      <c r="W221" s="6">
        <f>IF(ISERROR(VLOOKUP($T$221,'TAR FIN'!$A$1:$O$85,15,0)),0,VLOOKUP($T$221,'TAR FIN'!$A$1:$O$85,15,0))</f>
        <v>338.77</v>
      </c>
      <c r="X221" s="6">
        <f>IF(ISERROR(VLOOKUP($U$221,'TAR FIN'!$A$1:$O$85,15,0)),0,VLOOKUP($U$221,'TAR FIN'!$A$1:$O$85,15,0))</f>
        <v>201.35</v>
      </c>
      <c r="Y221" s="6"/>
      <c r="Z221" s="6">
        <f ca="1">('TUSD BE'!$AM$23+'TUSD BF'!$AM$23+'TUSD CVA'!$AM$23-('TUSD BE'!$P$23+'TUSD BF'!$P$23+'TUSD CVA'!$P$23)-('TUSD BE'!$Q$23+'TUSD BF'!$Q$23+'TUSD CVA'!$Q$23)-('TUSD BE'!$R$23+'TUSD BF'!$R$23+'TUSD CVA'!$R$23))*(1-CUSTOS!$M$36)</f>
        <v>356.9958280203254</v>
      </c>
      <c r="AA221" s="6">
        <f>('TE BE'!$AA$13+'TE BF'!$AA$13+'TE CVA'!$AA$13)*(1-CUSTOS!$M$36)</f>
        <v>195.86645928560603</v>
      </c>
      <c r="AB221" s="6">
        <f t="shared" si="12"/>
        <v>0</v>
      </c>
      <c r="AC221" s="6">
        <f>(L221-M221)*(W221+X221)+($W$222+$X$222-$W$221-$X$221)*(L221)</f>
        <v>189.87164000000007</v>
      </c>
      <c r="AD221" s="6">
        <f t="shared" si="13"/>
        <v>0</v>
      </c>
      <c r="AE221" s="6">
        <f ca="1">(L221-M221)*(Z221+AA221)+($Z$222+$AA$222-$Z$221-$AA$221)*(L221)</f>
        <v>194.36180855955206</v>
      </c>
      <c r="AF221" s="4" t="s">
        <v>566</v>
      </c>
    </row>
    <row r="222" spans="1:32" ht="11.25" customHeight="1" x14ac:dyDescent="0.25">
      <c r="A222" s="4" t="s">
        <v>21</v>
      </c>
      <c r="B222" s="4" t="s">
        <v>22</v>
      </c>
      <c r="C222" s="4" t="s">
        <v>23</v>
      </c>
      <c r="D222" s="4" t="s">
        <v>24</v>
      </c>
      <c r="E222" s="4" t="s">
        <v>32</v>
      </c>
      <c r="F222" s="4" t="s">
        <v>25</v>
      </c>
      <c r="G222" s="4" t="s">
        <v>25</v>
      </c>
      <c r="H222" s="4" t="s">
        <v>25</v>
      </c>
      <c r="I222" s="5">
        <v>44287</v>
      </c>
      <c r="J222" s="6">
        <v>0</v>
      </c>
      <c r="K222" s="6">
        <v>0</v>
      </c>
      <c r="L222" s="6">
        <v>0.67500000000000004</v>
      </c>
      <c r="M222" s="6">
        <v>0.67500000000000004</v>
      </c>
      <c r="N222" s="6">
        <v>0.67500000000000004</v>
      </c>
      <c r="O222" s="6">
        <v>0.67500000000000004</v>
      </c>
      <c r="P222" s="6">
        <v>10</v>
      </c>
      <c r="Q222" s="4" t="s">
        <v>26</v>
      </c>
      <c r="R222" s="4">
        <v>0</v>
      </c>
      <c r="S222" s="4">
        <v>0</v>
      </c>
      <c r="T222" s="4">
        <v>55</v>
      </c>
      <c r="U222" s="4">
        <v>31</v>
      </c>
      <c r="V222" s="6">
        <f>IF(ISERROR(VLOOKUP($S$222,'TAR FIN'!$A$1:$O$85,15,0)),0,VLOOKUP($S$222,'TAR FIN'!$A$1:$O$85,15,0))</f>
        <v>0</v>
      </c>
      <c r="W222" s="6">
        <f>IF(ISERROR(VLOOKUP($T$222,'TAR FIN'!$A$1:$O$85,15,0)),0,VLOOKUP($T$222,'TAR FIN'!$A$1:$O$85,15,0))</f>
        <v>376.41</v>
      </c>
      <c r="X222" s="6">
        <f>IF(ISERROR(VLOOKUP($U$222,'TAR FIN'!$A$1:$O$85,15,0)),0,VLOOKUP($U$222,'TAR FIN'!$A$1:$O$85,15,0))</f>
        <v>223.72</v>
      </c>
      <c r="Y222" s="6"/>
      <c r="Z222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222" s="6">
        <f>('TE BE'!$AA$14+'TE BF'!$AA$14+'TE CVA'!$AA$14)*(1-CUSTOS!$M$37)</f>
        <v>217.62939920622892</v>
      </c>
      <c r="AB222" s="6">
        <f t="shared" si="12"/>
        <v>0</v>
      </c>
      <c r="AC222" s="6">
        <f>(L222-M222)*(W222+X222)+($W$222+$X$222-$W$222-$X$222)*(L222)</f>
        <v>-1.9184653865522706E-14</v>
      </c>
      <c r="AD222" s="6">
        <f t="shared" si="13"/>
        <v>0</v>
      </c>
      <c r="AE222" s="6">
        <f ca="1">(L222-M222)*(Z222+AA222)+($Z$222+$AA$222-$Z$222-$AA$222)*(L222)</f>
        <v>3.8369307731045413E-14</v>
      </c>
      <c r="AF222" s="4" t="s">
        <v>566</v>
      </c>
    </row>
    <row r="223" spans="1:32" ht="11.25" customHeight="1" x14ac:dyDescent="0.25">
      <c r="A223" s="4" t="s">
        <v>21</v>
      </c>
      <c r="B223" s="4" t="s">
        <v>22</v>
      </c>
      <c r="C223" s="4" t="s">
        <v>23</v>
      </c>
      <c r="D223" s="4" t="s">
        <v>24</v>
      </c>
      <c r="E223" s="4" t="s">
        <v>32</v>
      </c>
      <c r="F223" s="4" t="s">
        <v>25</v>
      </c>
      <c r="G223" s="4" t="s">
        <v>25</v>
      </c>
      <c r="H223" s="4" t="s">
        <v>25</v>
      </c>
      <c r="I223" s="5">
        <v>44317</v>
      </c>
      <c r="J223" s="6">
        <v>0</v>
      </c>
      <c r="K223" s="6">
        <v>0</v>
      </c>
      <c r="L223" s="6">
        <v>0.72299999999999998</v>
      </c>
      <c r="M223" s="6">
        <v>0.72299999999999998</v>
      </c>
      <c r="N223" s="6">
        <v>0.72299999999999998</v>
      </c>
      <c r="O223" s="6">
        <v>0.72299999999999998</v>
      </c>
      <c r="P223" s="6">
        <v>9</v>
      </c>
      <c r="Q223" s="4" t="s">
        <v>26</v>
      </c>
      <c r="R223" s="4">
        <v>0</v>
      </c>
      <c r="S223" s="4">
        <v>0</v>
      </c>
      <c r="T223" s="4">
        <v>55</v>
      </c>
      <c r="U223" s="4">
        <v>31</v>
      </c>
      <c r="V223" s="6">
        <f>IF(ISERROR(VLOOKUP($S$223,'TAR FIN'!$A$1:$O$85,15,0)),0,VLOOKUP($S$223,'TAR FIN'!$A$1:$O$85,15,0))</f>
        <v>0</v>
      </c>
      <c r="W223" s="6">
        <f>IF(ISERROR(VLOOKUP($T$223,'TAR FIN'!$A$1:$O$85,15,0)),0,VLOOKUP($T$223,'TAR FIN'!$A$1:$O$85,15,0))</f>
        <v>376.41</v>
      </c>
      <c r="X223" s="6">
        <f>IF(ISERROR(VLOOKUP($U$223,'TAR FIN'!$A$1:$O$85,15,0)),0,VLOOKUP($U$223,'TAR FIN'!$A$1:$O$85,15,0))</f>
        <v>223.72</v>
      </c>
      <c r="Y223" s="6"/>
      <c r="Z223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223" s="6">
        <f>('TE BE'!$AA$14+'TE BF'!$AA$14+'TE CVA'!$AA$14)*(1-CUSTOS!$M$37)</f>
        <v>217.62939920622892</v>
      </c>
      <c r="AB223" s="6">
        <f t="shared" si="12"/>
        <v>0</v>
      </c>
      <c r="AC223" s="6">
        <f>(L223-M223)*(W223+X223)+($W$222+$X$222-$W$223-$X$223)*(L223)</f>
        <v>-2.0548895918182097E-14</v>
      </c>
      <c r="AD223" s="6">
        <f t="shared" si="13"/>
        <v>0</v>
      </c>
      <c r="AE223" s="6">
        <f ca="1">(L223-M223)*(Z223+AA223)+($Z$222+$AA$222-$Z$223-$AA$223)*(L223)</f>
        <v>4.1097791836364193E-14</v>
      </c>
      <c r="AF223" s="4" t="s">
        <v>566</v>
      </c>
    </row>
    <row r="224" spans="1:32" ht="11.25" customHeight="1" x14ac:dyDescent="0.25">
      <c r="A224" s="4" t="s">
        <v>21</v>
      </c>
      <c r="B224" s="4" t="s">
        <v>22</v>
      </c>
      <c r="C224" s="4" t="s">
        <v>23</v>
      </c>
      <c r="D224" s="4" t="s">
        <v>24</v>
      </c>
      <c r="E224" s="4" t="s">
        <v>32</v>
      </c>
      <c r="F224" s="4" t="s">
        <v>25</v>
      </c>
      <c r="G224" s="4" t="s">
        <v>25</v>
      </c>
      <c r="H224" s="4" t="s">
        <v>25</v>
      </c>
      <c r="I224" s="5">
        <v>44348</v>
      </c>
      <c r="J224" s="6">
        <v>0</v>
      </c>
      <c r="K224" s="6">
        <v>0</v>
      </c>
      <c r="L224" s="6">
        <v>1.0489999999999999</v>
      </c>
      <c r="M224" s="6">
        <v>1.0489999999999999</v>
      </c>
      <c r="N224" s="6">
        <v>1.0489999999999999</v>
      </c>
      <c r="O224" s="6">
        <v>1.0489999999999999</v>
      </c>
      <c r="P224" s="6">
        <v>10</v>
      </c>
      <c r="Q224" s="4" t="s">
        <v>26</v>
      </c>
      <c r="R224" s="4">
        <v>0</v>
      </c>
      <c r="S224" s="4">
        <v>0</v>
      </c>
      <c r="T224" s="4">
        <v>55</v>
      </c>
      <c r="U224" s="4">
        <v>31</v>
      </c>
      <c r="V224" s="6">
        <f>IF(ISERROR(VLOOKUP($S$224,'TAR FIN'!$A$1:$O$85,15,0)),0,VLOOKUP($S$224,'TAR FIN'!$A$1:$O$85,15,0))</f>
        <v>0</v>
      </c>
      <c r="W224" s="6">
        <f>IF(ISERROR(VLOOKUP($T$224,'TAR FIN'!$A$1:$O$85,15,0)),0,VLOOKUP($T$224,'TAR FIN'!$A$1:$O$85,15,0))</f>
        <v>376.41</v>
      </c>
      <c r="X224" s="6">
        <f>IF(ISERROR(VLOOKUP($U$224,'TAR FIN'!$A$1:$O$85,15,0)),0,VLOOKUP($U$224,'TAR FIN'!$A$1:$O$85,15,0))</f>
        <v>223.72</v>
      </c>
      <c r="Y224" s="6"/>
      <c r="Z224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224" s="6">
        <f>('TE BE'!$AA$14+'TE BF'!$AA$14+'TE CVA'!$AA$14)*(1-CUSTOS!$M$37)</f>
        <v>217.62939920622892</v>
      </c>
      <c r="AB224" s="6">
        <f t="shared" si="12"/>
        <v>0</v>
      </c>
      <c r="AC224" s="6">
        <f>(L224-M224)*(W224+X224)+($W$222+$X$222-$W$224-$X$224)*(L224)</f>
        <v>-2.9814373192493802E-14</v>
      </c>
      <c r="AD224" s="6">
        <f t="shared" si="13"/>
        <v>0</v>
      </c>
      <c r="AE224" s="6">
        <f ca="1">(L224-M224)*(Z224+AA224)+($Z$222+$AA$222-$Z$224-$AA$224)*(L224)</f>
        <v>5.9628746384987604E-14</v>
      </c>
      <c r="AF224" s="4" t="s">
        <v>566</v>
      </c>
    </row>
    <row r="225" spans="1:32" ht="11.25" customHeight="1" x14ac:dyDescent="0.25">
      <c r="A225" s="4" t="s">
        <v>21</v>
      </c>
      <c r="B225" s="4" t="s">
        <v>22</v>
      </c>
      <c r="C225" s="4" t="s">
        <v>23</v>
      </c>
      <c r="D225" s="4" t="s">
        <v>24</v>
      </c>
      <c r="E225" s="4" t="s">
        <v>32</v>
      </c>
      <c r="F225" s="4" t="s">
        <v>25</v>
      </c>
      <c r="G225" s="4" t="s">
        <v>25</v>
      </c>
      <c r="H225" s="4" t="s">
        <v>25</v>
      </c>
      <c r="I225" s="5">
        <v>44378</v>
      </c>
      <c r="J225" s="6">
        <v>0</v>
      </c>
      <c r="K225" s="6">
        <v>0</v>
      </c>
      <c r="L225" s="6">
        <v>0.41299999999999998</v>
      </c>
      <c r="M225" s="6">
        <v>0.41299999999999998</v>
      </c>
      <c r="N225" s="6">
        <v>0.41299999999999998</v>
      </c>
      <c r="O225" s="6">
        <v>0.41299999999999998</v>
      </c>
      <c r="P225" s="6">
        <v>9</v>
      </c>
      <c r="Q225" s="4" t="s">
        <v>26</v>
      </c>
      <c r="R225" s="4">
        <v>0</v>
      </c>
      <c r="S225" s="4">
        <v>0</v>
      </c>
      <c r="T225" s="4">
        <v>55</v>
      </c>
      <c r="U225" s="4">
        <v>31</v>
      </c>
      <c r="V225" s="6">
        <f>IF(ISERROR(VLOOKUP($S$225,'TAR FIN'!$A$1:$O$85,15,0)),0,VLOOKUP($S$225,'TAR FIN'!$A$1:$O$85,15,0))</f>
        <v>0</v>
      </c>
      <c r="W225" s="6">
        <f>IF(ISERROR(VLOOKUP($T$225,'TAR FIN'!$A$1:$O$85,15,0)),0,VLOOKUP($T$225,'TAR FIN'!$A$1:$O$85,15,0))</f>
        <v>376.41</v>
      </c>
      <c r="X225" s="6">
        <f>IF(ISERROR(VLOOKUP($U$225,'TAR FIN'!$A$1:$O$85,15,0)),0,VLOOKUP($U$225,'TAR FIN'!$A$1:$O$85,15,0))</f>
        <v>223.72</v>
      </c>
      <c r="Y225" s="6"/>
      <c r="Z225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225" s="6">
        <f>('TE BE'!$AA$14+'TE BF'!$AA$14+'TE CVA'!$AA$14)*(1-CUSTOS!$M$37)</f>
        <v>217.62939920622892</v>
      </c>
      <c r="AB225" s="6">
        <f t="shared" si="12"/>
        <v>0</v>
      </c>
      <c r="AC225" s="6">
        <f>(L225-M225)*(W225+X225)+($W$222+$X$222-$W$225-$X$225)*(L225)</f>
        <v>-1.1738165994756854E-14</v>
      </c>
      <c r="AD225" s="6">
        <f t="shared" si="13"/>
        <v>0</v>
      </c>
      <c r="AE225" s="6">
        <f ca="1">(L225-M225)*(Z225+AA225)+($Z$222+$AA$222-$Z$225-$AA$225)*(L225)</f>
        <v>2.3476331989513709E-14</v>
      </c>
      <c r="AF225" s="4" t="s">
        <v>566</v>
      </c>
    </row>
    <row r="226" spans="1:32" ht="11.25" customHeight="1" x14ac:dyDescent="0.25">
      <c r="A226" s="4" t="s">
        <v>27</v>
      </c>
      <c r="B226" s="4" t="s">
        <v>22</v>
      </c>
      <c r="C226" s="4" t="s">
        <v>23</v>
      </c>
      <c r="D226" s="4" t="s">
        <v>24</v>
      </c>
      <c r="E226" s="4" t="s">
        <v>32</v>
      </c>
      <c r="F226" s="4" t="s">
        <v>25</v>
      </c>
      <c r="G226" s="4" t="s">
        <v>25</v>
      </c>
      <c r="H226" s="4" t="s">
        <v>25</v>
      </c>
      <c r="I226" s="5">
        <v>44378</v>
      </c>
      <c r="J226" s="6">
        <v>0</v>
      </c>
      <c r="K226" s="6">
        <v>0</v>
      </c>
      <c r="L226" s="6">
        <v>-0.29499999999999998</v>
      </c>
      <c r="M226" s="6">
        <v>-0.29499999999999998</v>
      </c>
      <c r="N226" s="6">
        <v>-0.29499999999999998</v>
      </c>
      <c r="O226" s="6">
        <v>-0.29499999999999998</v>
      </c>
      <c r="P226" s="6">
        <v>0</v>
      </c>
      <c r="Q226" s="4" t="s">
        <v>26</v>
      </c>
      <c r="R226" s="4">
        <v>0</v>
      </c>
      <c r="S226" s="4">
        <v>0</v>
      </c>
      <c r="T226" s="4">
        <v>55</v>
      </c>
      <c r="U226" s="4">
        <v>31</v>
      </c>
      <c r="V226" s="6">
        <f>IF(ISERROR(VLOOKUP($S$226,'TAR FIN'!$A$1:$O$85,15,0)),0,VLOOKUP($S$226,'TAR FIN'!$A$1:$O$85,15,0))</f>
        <v>0</v>
      </c>
      <c r="W226" s="6">
        <f>IF(ISERROR(VLOOKUP($T$226,'TAR FIN'!$A$1:$O$85,15,0)),0,VLOOKUP($T$226,'TAR FIN'!$A$1:$O$85,15,0))</f>
        <v>376.41</v>
      </c>
      <c r="X226" s="6">
        <f>IF(ISERROR(VLOOKUP($U$226,'TAR FIN'!$A$1:$O$85,15,0)),0,VLOOKUP($U$226,'TAR FIN'!$A$1:$O$85,15,0))</f>
        <v>223.72</v>
      </c>
      <c r="Y226" s="6"/>
      <c r="Z226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226" s="6">
        <f>('TE BE'!$AA$14+'TE BF'!$AA$14+'TE CVA'!$AA$14)*(1-CUSTOS!$M$37)</f>
        <v>217.62939920622892</v>
      </c>
      <c r="AB226" s="6">
        <f t="shared" si="12"/>
        <v>0</v>
      </c>
      <c r="AC226" s="6">
        <f>(L226-M226)*(W226+X226)+($W$222+$X$222-$W$226-$X$226)*(L226)</f>
        <v>8.3844042819691818E-15</v>
      </c>
      <c r="AD226" s="6">
        <f t="shared" si="13"/>
        <v>0</v>
      </c>
      <c r="AE226" s="6">
        <f ca="1">(L226-M226)*(Z226+AA226)+($Z$222+$AA$222-$Z$226-$AA$226)*(L226)</f>
        <v>-1.6768808563938364E-14</v>
      </c>
      <c r="AF226" s="4" t="s">
        <v>566</v>
      </c>
    </row>
    <row r="227" spans="1:32" ht="11.25" customHeight="1" x14ac:dyDescent="0.25">
      <c r="A227" s="4" t="s">
        <v>21</v>
      </c>
      <c r="B227" s="4" t="s">
        <v>22</v>
      </c>
      <c r="C227" s="4" t="s">
        <v>23</v>
      </c>
      <c r="D227" s="4" t="s">
        <v>24</v>
      </c>
      <c r="E227" s="4" t="s">
        <v>32</v>
      </c>
      <c r="F227" s="4" t="s">
        <v>25</v>
      </c>
      <c r="G227" s="4" t="s">
        <v>25</v>
      </c>
      <c r="H227" s="4" t="s">
        <v>25</v>
      </c>
      <c r="I227" s="5">
        <v>44409</v>
      </c>
      <c r="J227" s="6">
        <v>0</v>
      </c>
      <c r="K227" s="6">
        <v>0</v>
      </c>
      <c r="L227" s="6">
        <v>0.92400000000000004</v>
      </c>
      <c r="M227" s="6">
        <v>0.92400000000000004</v>
      </c>
      <c r="N227" s="6">
        <v>0.92400000000000004</v>
      </c>
      <c r="O227" s="6">
        <v>0.92400000000000004</v>
      </c>
      <c r="P227" s="6">
        <v>11</v>
      </c>
      <c r="Q227" s="4" t="s">
        <v>26</v>
      </c>
      <c r="R227" s="4">
        <v>0</v>
      </c>
      <c r="S227" s="4">
        <v>0</v>
      </c>
      <c r="T227" s="4">
        <v>55</v>
      </c>
      <c r="U227" s="4">
        <v>31</v>
      </c>
      <c r="V227" s="6">
        <f>IF(ISERROR(VLOOKUP($S$227,'TAR FIN'!$A$1:$O$85,15,0)),0,VLOOKUP($S$227,'TAR FIN'!$A$1:$O$85,15,0))</f>
        <v>0</v>
      </c>
      <c r="W227" s="6">
        <f>IF(ISERROR(VLOOKUP($T$227,'TAR FIN'!$A$1:$O$85,15,0)),0,VLOOKUP($T$227,'TAR FIN'!$A$1:$O$85,15,0))</f>
        <v>376.41</v>
      </c>
      <c r="X227" s="6">
        <f>IF(ISERROR(VLOOKUP($U$227,'TAR FIN'!$A$1:$O$85,15,0)),0,VLOOKUP($U$227,'TAR FIN'!$A$1:$O$85,15,0))</f>
        <v>223.72</v>
      </c>
      <c r="Y227" s="6"/>
      <c r="Z227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227" s="6">
        <f>('TE BE'!$AA$14+'TE BF'!$AA$14+'TE CVA'!$AA$14)*(1-CUSTOS!$M$37)</f>
        <v>217.62939920622892</v>
      </c>
      <c r="AB227" s="6">
        <f t="shared" si="12"/>
        <v>0</v>
      </c>
      <c r="AC227" s="6">
        <f>(L227-M227)*(W227+X227)+($W$222+$X$222-$W$227-$X$227)*(L227)</f>
        <v>-2.6261659513693304E-14</v>
      </c>
      <c r="AD227" s="6">
        <f t="shared" si="13"/>
        <v>0</v>
      </c>
      <c r="AE227" s="6">
        <f ca="1">(L227-M227)*(Z227+AA227)+($Z$222+$AA$222-$Z$227-$AA$227)*(L227)</f>
        <v>5.2523319027386608E-14</v>
      </c>
      <c r="AF227" s="4" t="s">
        <v>566</v>
      </c>
    </row>
    <row r="228" spans="1:32" ht="11.25" customHeight="1" x14ac:dyDescent="0.25">
      <c r="A228" s="4" t="s">
        <v>21</v>
      </c>
      <c r="B228" s="4" t="s">
        <v>22</v>
      </c>
      <c r="C228" s="4" t="s">
        <v>23</v>
      </c>
      <c r="D228" s="4" t="s">
        <v>24</v>
      </c>
      <c r="E228" s="4" t="s">
        <v>32</v>
      </c>
      <c r="F228" s="4" t="s">
        <v>25</v>
      </c>
      <c r="G228" s="4" t="s">
        <v>25</v>
      </c>
      <c r="H228" s="4" t="s">
        <v>25</v>
      </c>
      <c r="I228" s="5">
        <v>44440</v>
      </c>
      <c r="J228" s="6">
        <v>0</v>
      </c>
      <c r="K228" s="6">
        <v>0</v>
      </c>
      <c r="L228" s="6">
        <v>0.90300000000000002</v>
      </c>
      <c r="M228" s="6">
        <v>0.90300000000000002</v>
      </c>
      <c r="N228" s="6">
        <v>0.90300000000000002</v>
      </c>
      <c r="O228" s="6">
        <v>0.90300000000000002</v>
      </c>
      <c r="P228" s="6">
        <v>13</v>
      </c>
      <c r="Q228" s="4" t="s">
        <v>26</v>
      </c>
      <c r="R228" s="4">
        <v>0</v>
      </c>
      <c r="S228" s="4">
        <v>0</v>
      </c>
      <c r="T228" s="4">
        <v>55</v>
      </c>
      <c r="U228" s="4">
        <v>31</v>
      </c>
      <c r="V228" s="6">
        <f>IF(ISERROR(VLOOKUP($S$228,'TAR FIN'!$A$1:$O$85,15,0)),0,VLOOKUP($S$228,'TAR FIN'!$A$1:$O$85,15,0))</f>
        <v>0</v>
      </c>
      <c r="W228" s="6">
        <f>IF(ISERROR(VLOOKUP($T$228,'TAR FIN'!$A$1:$O$85,15,0)),0,VLOOKUP($T$228,'TAR FIN'!$A$1:$O$85,15,0))</f>
        <v>376.41</v>
      </c>
      <c r="X228" s="6">
        <f>IF(ISERROR(VLOOKUP($U$228,'TAR FIN'!$A$1:$O$85,15,0)),0,VLOOKUP($U$228,'TAR FIN'!$A$1:$O$85,15,0))</f>
        <v>223.72</v>
      </c>
      <c r="Y228" s="6"/>
      <c r="Z228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228" s="6">
        <f>('TE BE'!$AA$14+'TE BF'!$AA$14+'TE CVA'!$AA$14)*(1-CUSTOS!$M$37)</f>
        <v>217.62939920622892</v>
      </c>
      <c r="AB228" s="6">
        <f t="shared" si="12"/>
        <v>0</v>
      </c>
      <c r="AC228" s="6">
        <f>(L228-M228)*(W228+X228)+($W$222+$X$222-$W$228-$X$228)*(L228)</f>
        <v>-2.5664803615654819E-14</v>
      </c>
      <c r="AD228" s="6">
        <f t="shared" si="13"/>
        <v>0</v>
      </c>
      <c r="AE228" s="6">
        <f ca="1">(L228-M228)*(Z228+AA228)+($Z$222+$AA$222-$Z$228-$AA$228)*(L228)</f>
        <v>5.1329607231309639E-14</v>
      </c>
      <c r="AF228" s="4" t="s">
        <v>566</v>
      </c>
    </row>
    <row r="229" spans="1:32" ht="11.25" customHeight="1" x14ac:dyDescent="0.25">
      <c r="A229" s="4" t="s">
        <v>21</v>
      </c>
      <c r="B229" s="4" t="s">
        <v>22</v>
      </c>
      <c r="C229" s="4" t="s">
        <v>23</v>
      </c>
      <c r="D229" s="4" t="s">
        <v>24</v>
      </c>
      <c r="E229" s="4" t="s">
        <v>32</v>
      </c>
      <c r="F229" s="4" t="s">
        <v>25</v>
      </c>
      <c r="G229" s="4" t="s">
        <v>25</v>
      </c>
      <c r="H229" s="4" t="s">
        <v>25</v>
      </c>
      <c r="I229" s="5">
        <v>44470</v>
      </c>
      <c r="J229" s="6">
        <v>0</v>
      </c>
      <c r="K229" s="6">
        <v>0</v>
      </c>
      <c r="L229" s="6">
        <v>0.79</v>
      </c>
      <c r="M229" s="6">
        <v>0.79</v>
      </c>
      <c r="N229" s="6">
        <v>0.79</v>
      </c>
      <c r="O229" s="6">
        <v>0.79</v>
      </c>
      <c r="P229" s="6">
        <v>8</v>
      </c>
      <c r="Q229" s="4" t="s">
        <v>26</v>
      </c>
      <c r="R229" s="4">
        <v>0</v>
      </c>
      <c r="S229" s="4">
        <v>0</v>
      </c>
      <c r="T229" s="4">
        <v>55</v>
      </c>
      <c r="U229" s="4">
        <v>31</v>
      </c>
      <c r="V229" s="6">
        <f>IF(ISERROR(VLOOKUP($S$229,'TAR FIN'!$A$1:$O$85,15,0)),0,VLOOKUP($S$229,'TAR FIN'!$A$1:$O$85,15,0))</f>
        <v>0</v>
      </c>
      <c r="W229" s="6">
        <f>IF(ISERROR(VLOOKUP($T$229,'TAR FIN'!$A$1:$O$85,15,0)),0,VLOOKUP($T$229,'TAR FIN'!$A$1:$O$85,15,0))</f>
        <v>376.41</v>
      </c>
      <c r="X229" s="6">
        <f>IF(ISERROR(VLOOKUP($U$229,'TAR FIN'!$A$1:$O$85,15,0)),0,VLOOKUP($U$229,'TAR FIN'!$A$1:$O$85,15,0))</f>
        <v>223.72</v>
      </c>
      <c r="Y229" s="6"/>
      <c r="Z229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229" s="6">
        <f>('TE BE'!$AA$14+'TE BF'!$AA$14+'TE CVA'!$AA$14)*(1-CUSTOS!$M$37)</f>
        <v>217.62939920622892</v>
      </c>
      <c r="AB229" s="6">
        <f t="shared" si="12"/>
        <v>0</v>
      </c>
      <c r="AC229" s="6">
        <f>(L229-M229)*(W229+X229)+($W$222+$X$222-$W$229-$X$229)*(L229)</f>
        <v>-2.2453150450019167E-14</v>
      </c>
      <c r="AD229" s="6">
        <f t="shared" si="13"/>
        <v>0</v>
      </c>
      <c r="AE229" s="6">
        <f ca="1">(L229-M229)*(Z229+AA229)+($Z$222+$AA$222-$Z$229-$AA$229)*(L229)</f>
        <v>4.4906300900038334E-14</v>
      </c>
      <c r="AF229" s="4" t="s">
        <v>566</v>
      </c>
    </row>
    <row r="230" spans="1:32" ht="11.25" customHeight="1" x14ac:dyDescent="0.25">
      <c r="A230" s="4" t="s">
        <v>21</v>
      </c>
      <c r="B230" s="4" t="s">
        <v>22</v>
      </c>
      <c r="C230" s="4" t="s">
        <v>23</v>
      </c>
      <c r="D230" s="4" t="s">
        <v>24</v>
      </c>
      <c r="E230" s="4" t="s">
        <v>32</v>
      </c>
      <c r="F230" s="4" t="s">
        <v>25</v>
      </c>
      <c r="G230" s="4" t="s">
        <v>25</v>
      </c>
      <c r="H230" s="4" t="s">
        <v>25</v>
      </c>
      <c r="I230" s="5">
        <v>44501</v>
      </c>
      <c r="J230" s="6">
        <v>0</v>
      </c>
      <c r="K230" s="6">
        <v>0</v>
      </c>
      <c r="L230" s="6">
        <v>1.0900000000000001</v>
      </c>
      <c r="M230" s="6">
        <v>1.0900000000000001</v>
      </c>
      <c r="N230" s="6">
        <v>1.0900000000000001</v>
      </c>
      <c r="O230" s="6">
        <v>1.0900000000000001</v>
      </c>
      <c r="P230" s="6">
        <v>14</v>
      </c>
      <c r="Q230" s="4" t="s">
        <v>26</v>
      </c>
      <c r="R230" s="4">
        <v>0</v>
      </c>
      <c r="S230" s="4">
        <v>0</v>
      </c>
      <c r="T230" s="4">
        <v>55</v>
      </c>
      <c r="U230" s="4">
        <v>31</v>
      </c>
      <c r="V230" s="6">
        <f>IF(ISERROR(VLOOKUP($S$230,'TAR FIN'!$A$1:$O$85,15,0)),0,VLOOKUP($S$230,'TAR FIN'!$A$1:$O$85,15,0))</f>
        <v>0</v>
      </c>
      <c r="W230" s="6">
        <f>IF(ISERROR(VLOOKUP($T$230,'TAR FIN'!$A$1:$O$85,15,0)),0,VLOOKUP($T$230,'TAR FIN'!$A$1:$O$85,15,0))</f>
        <v>376.41</v>
      </c>
      <c r="X230" s="6">
        <f>IF(ISERROR(VLOOKUP($U$230,'TAR FIN'!$A$1:$O$85,15,0)),0,VLOOKUP($U$230,'TAR FIN'!$A$1:$O$85,15,0))</f>
        <v>223.72</v>
      </c>
      <c r="Y230" s="6"/>
      <c r="Z230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230" s="6">
        <f>('TE BE'!$AA$14+'TE BF'!$AA$14+'TE CVA'!$AA$14)*(1-CUSTOS!$M$37)</f>
        <v>217.62939920622892</v>
      </c>
      <c r="AB230" s="6">
        <f t="shared" si="12"/>
        <v>0</v>
      </c>
      <c r="AC230" s="6">
        <f>(L230-M230)*(W230+X230)+($W$222+$X$222-$W$230-$X$230)*(L230)</f>
        <v>-3.097966327914037E-14</v>
      </c>
      <c r="AD230" s="6">
        <f t="shared" si="13"/>
        <v>0</v>
      </c>
      <c r="AE230" s="6">
        <f ca="1">(L230-M230)*(Z230+AA230)+($Z$222+$AA$222-$Z$230-$AA$230)*(L230)</f>
        <v>6.1959326558280741E-14</v>
      </c>
      <c r="AF230" s="4" t="s">
        <v>566</v>
      </c>
    </row>
    <row r="231" spans="1:32" ht="11.25" customHeight="1" x14ac:dyDescent="0.25">
      <c r="A231" s="4" t="s">
        <v>21</v>
      </c>
      <c r="B231" s="4" t="s">
        <v>22</v>
      </c>
      <c r="C231" s="4" t="s">
        <v>23</v>
      </c>
      <c r="D231" s="4" t="s">
        <v>24</v>
      </c>
      <c r="E231" s="4" t="s">
        <v>32</v>
      </c>
      <c r="F231" s="4" t="s">
        <v>25</v>
      </c>
      <c r="G231" s="4" t="s">
        <v>25</v>
      </c>
      <c r="H231" s="4" t="s">
        <v>25</v>
      </c>
      <c r="I231" s="5">
        <v>44531</v>
      </c>
      <c r="J231" s="6">
        <v>0</v>
      </c>
      <c r="K231" s="6">
        <v>0</v>
      </c>
      <c r="L231" s="6">
        <v>0.83899999999999997</v>
      </c>
      <c r="M231" s="6">
        <v>0.83899999999999997</v>
      </c>
      <c r="N231" s="6">
        <v>0.83899999999999997</v>
      </c>
      <c r="O231" s="6">
        <v>0.83899999999999997</v>
      </c>
      <c r="P231" s="6">
        <v>10</v>
      </c>
      <c r="Q231" s="4" t="s">
        <v>26</v>
      </c>
      <c r="R231" s="4">
        <v>0</v>
      </c>
      <c r="S231" s="4">
        <v>0</v>
      </c>
      <c r="T231" s="4">
        <v>55</v>
      </c>
      <c r="U231" s="4">
        <v>31</v>
      </c>
      <c r="V231" s="6">
        <f>IF(ISERROR(VLOOKUP($S$231,'TAR FIN'!$A$1:$O$85,15,0)),0,VLOOKUP($S$231,'TAR FIN'!$A$1:$O$85,15,0))</f>
        <v>0</v>
      </c>
      <c r="W231" s="6">
        <f>IF(ISERROR(VLOOKUP($T$231,'TAR FIN'!$A$1:$O$85,15,0)),0,VLOOKUP($T$231,'TAR FIN'!$A$1:$O$85,15,0))</f>
        <v>376.41</v>
      </c>
      <c r="X231" s="6">
        <f>IF(ISERROR(VLOOKUP($U$231,'TAR FIN'!$A$1:$O$85,15,0)),0,VLOOKUP($U$231,'TAR FIN'!$A$1:$O$85,15,0))</f>
        <v>223.72</v>
      </c>
      <c r="Y231" s="6"/>
      <c r="Z231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231" s="6">
        <f>('TE BE'!$AA$14+'TE BF'!$AA$14+'TE CVA'!$AA$14)*(1-CUSTOS!$M$37)</f>
        <v>217.62939920622892</v>
      </c>
      <c r="AB231" s="6">
        <f t="shared" si="12"/>
        <v>0</v>
      </c>
      <c r="AC231" s="6">
        <f>(L231-M231)*(W231+X231)+($W$222+$X$222-$W$231-$X$231)*(L231)</f>
        <v>-2.3845814212108961E-14</v>
      </c>
      <c r="AD231" s="6">
        <f t="shared" si="13"/>
        <v>0</v>
      </c>
      <c r="AE231" s="6">
        <f ca="1">(L231-M231)*(Z231+AA231)+($Z$222+$AA$222-$Z$231-$AA$231)*(L231)</f>
        <v>4.7691628424217923E-14</v>
      </c>
      <c r="AF231" s="4" t="s">
        <v>566</v>
      </c>
    </row>
    <row r="232" spans="1:32" ht="11.25" customHeight="1" x14ac:dyDescent="0.25">
      <c r="A232" s="4" t="s">
        <v>21</v>
      </c>
      <c r="B232" s="4" t="s">
        <v>22</v>
      </c>
      <c r="C232" s="4" t="s">
        <v>23</v>
      </c>
      <c r="D232" s="4" t="s">
        <v>24</v>
      </c>
      <c r="E232" s="4" t="s">
        <v>32</v>
      </c>
      <c r="F232" s="4" t="s">
        <v>25</v>
      </c>
      <c r="G232" s="4" t="s">
        <v>25</v>
      </c>
      <c r="H232" s="4" t="s">
        <v>25</v>
      </c>
      <c r="I232" s="5">
        <v>44562</v>
      </c>
      <c r="J232" s="6">
        <v>0</v>
      </c>
      <c r="K232" s="6">
        <v>0</v>
      </c>
      <c r="L232" s="6">
        <v>0.78500000000000003</v>
      </c>
      <c r="M232" s="6">
        <v>0.78500000000000003</v>
      </c>
      <c r="N232" s="6">
        <v>0.78500000000000003</v>
      </c>
      <c r="O232" s="6">
        <v>0.78500000000000003</v>
      </c>
      <c r="P232" s="6">
        <v>9</v>
      </c>
      <c r="Q232" s="4" t="s">
        <v>26</v>
      </c>
      <c r="R232" s="4">
        <v>0</v>
      </c>
      <c r="S232" s="4">
        <v>0</v>
      </c>
      <c r="T232" s="4">
        <v>55</v>
      </c>
      <c r="U232" s="4">
        <v>31</v>
      </c>
      <c r="V232" s="6">
        <f>IF(ISERROR(VLOOKUP($S$232,'TAR FIN'!$A$1:$O$85,15,0)),0,VLOOKUP($S$232,'TAR FIN'!$A$1:$O$85,15,0))</f>
        <v>0</v>
      </c>
      <c r="W232" s="6">
        <f>IF(ISERROR(VLOOKUP($T$232,'TAR FIN'!$A$1:$O$85,15,0)),0,VLOOKUP($T$232,'TAR FIN'!$A$1:$O$85,15,0))</f>
        <v>376.41</v>
      </c>
      <c r="X232" s="6">
        <f>IF(ISERROR(VLOOKUP($U$232,'TAR FIN'!$A$1:$O$85,15,0)),0,VLOOKUP($U$232,'TAR FIN'!$A$1:$O$85,15,0))</f>
        <v>223.72</v>
      </c>
      <c r="Y232" s="6"/>
      <c r="Z232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232" s="6">
        <f>('TE BE'!$AA$14+'TE BF'!$AA$14+'TE CVA'!$AA$14)*(1-CUSTOS!$M$37)</f>
        <v>217.62939920622892</v>
      </c>
      <c r="AB232" s="6">
        <f t="shared" si="12"/>
        <v>0</v>
      </c>
      <c r="AC232" s="6">
        <f>(L232-M232)*(W232+X232)+($W$222+$X$222-$W$232-$X$232)*(L232)</f>
        <v>-2.2311041902867147E-14</v>
      </c>
      <c r="AD232" s="6">
        <f t="shared" si="13"/>
        <v>0</v>
      </c>
      <c r="AE232" s="6">
        <f ca="1">(L232-M232)*(Z232+AA232)+($Z$222+$AA$222-$Z$232-$AA$232)*(L232)</f>
        <v>4.4622083805734293E-14</v>
      </c>
      <c r="AF232" s="4" t="s">
        <v>566</v>
      </c>
    </row>
    <row r="233" spans="1:32" ht="11.25" customHeight="1" x14ac:dyDescent="0.25">
      <c r="A233" s="4" t="s">
        <v>21</v>
      </c>
      <c r="B233" s="4" t="s">
        <v>22</v>
      </c>
      <c r="C233" s="4" t="s">
        <v>23</v>
      </c>
      <c r="D233" s="4" t="s">
        <v>24</v>
      </c>
      <c r="E233" s="4" t="s">
        <v>32</v>
      </c>
      <c r="F233" s="4" t="s">
        <v>25</v>
      </c>
      <c r="G233" s="4" t="s">
        <v>25</v>
      </c>
      <c r="H233" s="4" t="s">
        <v>25</v>
      </c>
      <c r="I233" s="5">
        <v>44593</v>
      </c>
      <c r="J233" s="6">
        <v>0</v>
      </c>
      <c r="K233" s="6">
        <v>0</v>
      </c>
      <c r="L233" s="6">
        <v>1.3360000000000001</v>
      </c>
      <c r="M233" s="6">
        <v>1.3360000000000001</v>
      </c>
      <c r="N233" s="6">
        <v>1.3360000000000001</v>
      </c>
      <c r="O233" s="6">
        <v>1.3360000000000001</v>
      </c>
      <c r="P233" s="6">
        <v>16</v>
      </c>
      <c r="Q233" s="4" t="s">
        <v>26</v>
      </c>
      <c r="R233" s="4">
        <v>0</v>
      </c>
      <c r="S233" s="4">
        <v>0</v>
      </c>
      <c r="T233" s="4">
        <v>55</v>
      </c>
      <c r="U233" s="4">
        <v>31</v>
      </c>
      <c r="V233" s="6">
        <f>IF(ISERROR(VLOOKUP($S$233,'TAR FIN'!$A$1:$O$85,15,0)),0,VLOOKUP($S$233,'TAR FIN'!$A$1:$O$85,15,0))</f>
        <v>0</v>
      </c>
      <c r="W233" s="6">
        <f>IF(ISERROR(VLOOKUP($T$233,'TAR FIN'!$A$1:$O$85,15,0)),0,VLOOKUP($T$233,'TAR FIN'!$A$1:$O$85,15,0))</f>
        <v>376.41</v>
      </c>
      <c r="X233" s="6">
        <f>IF(ISERROR(VLOOKUP($U$233,'TAR FIN'!$A$1:$O$85,15,0)),0,VLOOKUP($U$233,'TAR FIN'!$A$1:$O$85,15,0))</f>
        <v>223.72</v>
      </c>
      <c r="Y233" s="6"/>
      <c r="Z233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233" s="6">
        <f>('TE BE'!$AA$14+'TE BF'!$AA$14+'TE CVA'!$AA$14)*(1-CUSTOS!$M$37)</f>
        <v>217.62939920622892</v>
      </c>
      <c r="AB233" s="6">
        <f t="shared" si="12"/>
        <v>0</v>
      </c>
      <c r="AC233" s="6">
        <f>(L233-M233)*(W233+X233)+($W$222+$X$222-$W$233-$X$233)*(L233)</f>
        <v>-3.7971403799019756E-14</v>
      </c>
      <c r="AD233" s="6">
        <f t="shared" si="13"/>
        <v>0</v>
      </c>
      <c r="AE233" s="6">
        <f ca="1">(L233-M233)*(Z233+AA233)+($Z$222+$AA$222-$Z$233-$AA$233)*(L233)</f>
        <v>7.5942807598039512E-14</v>
      </c>
      <c r="AF233" s="4" t="s">
        <v>566</v>
      </c>
    </row>
    <row r="234" spans="1:32" ht="11.25" customHeight="1" x14ac:dyDescent="0.25">
      <c r="A234" s="4" t="s">
        <v>54</v>
      </c>
      <c r="B234" s="4" t="s">
        <v>22</v>
      </c>
      <c r="C234" s="4" t="s">
        <v>23</v>
      </c>
      <c r="D234" s="4" t="s">
        <v>24</v>
      </c>
      <c r="E234" s="4" t="s">
        <v>32</v>
      </c>
      <c r="F234" s="4" t="s">
        <v>25</v>
      </c>
      <c r="G234" s="4" t="s">
        <v>25</v>
      </c>
      <c r="H234" s="4" t="s">
        <v>25</v>
      </c>
      <c r="I234" s="5">
        <v>44621</v>
      </c>
      <c r="J234" s="6">
        <v>0</v>
      </c>
      <c r="K234" s="6">
        <v>0</v>
      </c>
      <c r="L234" s="6">
        <v>1.3360000000000001</v>
      </c>
      <c r="M234" s="6">
        <v>1.3360000000000001</v>
      </c>
      <c r="N234" s="6">
        <v>1.3360000000000001</v>
      </c>
      <c r="O234" s="6">
        <v>1.3360000000000001</v>
      </c>
      <c r="P234" s="6">
        <v>16</v>
      </c>
      <c r="Q234" s="4" t="s">
        <v>26</v>
      </c>
      <c r="R234" s="4">
        <v>0</v>
      </c>
      <c r="S234" s="4">
        <v>0</v>
      </c>
      <c r="T234" s="4">
        <v>55</v>
      </c>
      <c r="U234" s="4">
        <v>31</v>
      </c>
      <c r="V234" s="6">
        <f>IF(ISERROR(VLOOKUP($S$234,'TAR FIN'!$A$1:$O$85,15,0)),0,VLOOKUP($S$234,'TAR FIN'!$A$1:$O$85,15,0))</f>
        <v>0</v>
      </c>
      <c r="W234" s="6">
        <f>IF(ISERROR(VLOOKUP($T$234,'TAR FIN'!$A$1:$O$85,15,0)),0,VLOOKUP($T$234,'TAR FIN'!$A$1:$O$85,15,0))</f>
        <v>376.41</v>
      </c>
      <c r="X234" s="6">
        <f>IF(ISERROR(VLOOKUP($U$234,'TAR FIN'!$A$1:$O$85,15,0)),0,VLOOKUP($U$234,'TAR FIN'!$A$1:$O$85,15,0))</f>
        <v>223.72</v>
      </c>
      <c r="Y234" s="6"/>
      <c r="Z234" s="6">
        <f ca="1">('TUSD BE'!$AM$24+'TUSD BF'!$AM$24+'TUSD CVA'!$AM$24-('TUSD BE'!$P$24+'TUSD BF'!$P$24+'TUSD CVA'!$P$24)-('TUSD BE'!$Q$24+'TUSD BF'!$Q$24+'TUSD CVA'!$Q$24)-('TUSD BE'!$R$24+'TUSD BF'!$R$24+'TUSD CVA'!$R$24))*(1-CUSTOS!$M$37)</f>
        <v>396.66203113369488</v>
      </c>
      <c r="AA234" s="6">
        <f>('TE BE'!$AA$14+'TE BF'!$AA$14+'TE CVA'!$AA$14)*(1-CUSTOS!$M$37)</f>
        <v>217.62939920622892</v>
      </c>
      <c r="AB234" s="6">
        <f t="shared" si="12"/>
        <v>0</v>
      </c>
      <c r="AC234" s="6">
        <f>(L234-M234)*(W234+X234)+($W$222+$X$222-$W$234-$X$234)*(L234)</f>
        <v>-3.7971403799019756E-14</v>
      </c>
      <c r="AD234" s="6">
        <f t="shared" si="13"/>
        <v>0</v>
      </c>
      <c r="AE234" s="6">
        <f ca="1">(L234-M234)*(Z234+AA234)+($Z$222+$AA$222-$Z$234-$AA$234)*(L234)</f>
        <v>7.5942807598039512E-14</v>
      </c>
      <c r="AF234" s="4" t="s">
        <v>566</v>
      </c>
    </row>
    <row r="235" spans="1:32" ht="11.25" customHeight="1" x14ac:dyDescent="0.25">
      <c r="A235" s="4" t="s">
        <v>21</v>
      </c>
      <c r="B235" s="4" t="s">
        <v>40</v>
      </c>
      <c r="C235" s="4" t="s">
        <v>23</v>
      </c>
      <c r="D235" s="4" t="s">
        <v>41</v>
      </c>
      <c r="E235" s="4" t="s">
        <v>50</v>
      </c>
      <c r="F235" s="4" t="s">
        <v>51</v>
      </c>
      <c r="G235" s="4" t="s">
        <v>25</v>
      </c>
      <c r="H235" s="4" t="s">
        <v>25</v>
      </c>
      <c r="I235" s="5">
        <v>44287</v>
      </c>
      <c r="J235" s="6">
        <v>0</v>
      </c>
      <c r="K235" s="6">
        <v>0</v>
      </c>
      <c r="L235" s="6">
        <v>1925.53</v>
      </c>
      <c r="M235" s="6">
        <v>1925.53</v>
      </c>
      <c r="N235" s="6">
        <v>1925.53</v>
      </c>
      <c r="O235" s="6">
        <v>1925.53</v>
      </c>
      <c r="P235" s="6">
        <v>0</v>
      </c>
      <c r="Q235" s="4" t="s">
        <v>26</v>
      </c>
      <c r="R235" s="4">
        <v>0</v>
      </c>
      <c r="S235" s="4">
        <v>0</v>
      </c>
      <c r="T235" s="4">
        <v>60</v>
      </c>
      <c r="U235" s="4">
        <v>16</v>
      </c>
      <c r="V235" s="6">
        <f>IF(ISERROR(VLOOKUP($S$235,'TAR FIN'!$A$1:$O$85,15,0)),0,VLOOKUP($S$235,'TAR FIN'!$A$1:$O$85,15,0))</f>
        <v>0</v>
      </c>
      <c r="W235" s="6">
        <f>IF(ISERROR(VLOOKUP($T$235,'TAR FIN'!$A$1:$O$85,15,0)),0,VLOOKUP($T$235,'TAR FIN'!$A$1:$O$85,15,0))</f>
        <v>387.29</v>
      </c>
      <c r="X235" s="6">
        <f>IF(ISERROR(VLOOKUP($U$235,'TAR FIN'!$A$1:$O$85,15,0)),0,VLOOKUP($U$235,'TAR FIN'!$A$1:$O$85,15,0))</f>
        <v>196.87</v>
      </c>
      <c r="Y235" s="6"/>
      <c r="Z235" s="6">
        <f ca="1">('TUSD BE'!$AM$33+'TUSD BF'!$AM$33+'TUSD CVA'!$AM$33)*(1-CUSTOS!$M$38)</f>
        <v>464.7286080745173</v>
      </c>
      <c r="AA235" s="6">
        <f>('TE BE'!$AA$23+'TE BF'!$AA$23+'TE CVA'!$AA$23)*(1-CUSTOS!$M$38)</f>
        <v>204.57163525385519</v>
      </c>
      <c r="AB235" s="6">
        <f t="shared" si="12"/>
        <v>0</v>
      </c>
      <c r="AC235" s="6">
        <f>(L235-M235)*(W235+X235)+($W$184+$X$184-$W$235-$X$235)*(L235)</f>
        <v>153387.71980000005</v>
      </c>
      <c r="AD235" s="6">
        <f t="shared" si="13"/>
        <v>0</v>
      </c>
      <c r="AE235" s="6">
        <f ca="1">(L235-M235)*(Z235+AA235)+($Z$184+$AA$184-$Z$235-$AA$235)*(L235)</f>
        <v>82261.129629962525</v>
      </c>
      <c r="AF235" s="4" t="s">
        <v>563</v>
      </c>
    </row>
    <row r="236" spans="1:32" ht="11.25" customHeight="1" x14ac:dyDescent="0.25">
      <c r="A236" s="4" t="s">
        <v>28</v>
      </c>
      <c r="B236" s="4" t="s">
        <v>40</v>
      </c>
      <c r="C236" s="4" t="s">
        <v>23</v>
      </c>
      <c r="D236" s="4" t="s">
        <v>41</v>
      </c>
      <c r="E236" s="4" t="s">
        <v>50</v>
      </c>
      <c r="F236" s="4" t="s">
        <v>51</v>
      </c>
      <c r="G236" s="4" t="s">
        <v>25</v>
      </c>
      <c r="H236" s="4" t="s">
        <v>25</v>
      </c>
      <c r="I236" s="5">
        <v>44287</v>
      </c>
      <c r="J236" s="6">
        <v>0</v>
      </c>
      <c r="K236" s="6">
        <v>0</v>
      </c>
      <c r="L236" s="6">
        <v>0.1</v>
      </c>
      <c r="M236" s="6">
        <v>0.1</v>
      </c>
      <c r="N236" s="6">
        <v>0.1</v>
      </c>
      <c r="O236" s="6">
        <v>0.1</v>
      </c>
      <c r="P236" s="6">
        <v>0</v>
      </c>
      <c r="Q236" s="4" t="s">
        <v>26</v>
      </c>
      <c r="R236" s="4">
        <v>0</v>
      </c>
      <c r="S236" s="4">
        <v>0</v>
      </c>
      <c r="T236" s="4">
        <v>60</v>
      </c>
      <c r="U236" s="4">
        <v>16</v>
      </c>
      <c r="V236" s="6">
        <f>IF(ISERROR(VLOOKUP($S$236,'TAR FIN'!$A$1:$O$85,15,0)),0,VLOOKUP($S$236,'TAR FIN'!$A$1:$O$85,15,0))</f>
        <v>0</v>
      </c>
      <c r="W236" s="6">
        <f>IF(ISERROR(VLOOKUP($T$236,'TAR FIN'!$A$1:$O$85,15,0)),0,VLOOKUP($T$236,'TAR FIN'!$A$1:$O$85,15,0))</f>
        <v>387.29</v>
      </c>
      <c r="X236" s="6">
        <f>IF(ISERROR(VLOOKUP($U$236,'TAR FIN'!$A$1:$O$85,15,0)),0,VLOOKUP($U$236,'TAR FIN'!$A$1:$O$85,15,0))</f>
        <v>196.87</v>
      </c>
      <c r="Y236" s="6"/>
      <c r="Z236" s="6">
        <f ca="1">('TUSD BE'!$AM$33+'TUSD BF'!$AM$33+'TUSD CVA'!$AM$33)*(1-CUSTOS!$M$38)</f>
        <v>464.7286080745173</v>
      </c>
      <c r="AA236" s="6">
        <f>('TE BE'!$AA$23+'TE BF'!$AA$23+'TE CVA'!$AA$23)*(1-CUSTOS!$M$38)</f>
        <v>204.57163525385519</v>
      </c>
      <c r="AB236" s="6">
        <f t="shared" si="12"/>
        <v>0</v>
      </c>
      <c r="AC236" s="6">
        <f>(L236-M236)*(W236+X236)+($W$184+$X$184-$W$236-$X$236)*(L236)</f>
        <v>7.9660000000000029</v>
      </c>
      <c r="AD236" s="6">
        <f t="shared" si="13"/>
        <v>0</v>
      </c>
      <c r="AE236" s="6">
        <f ca="1">(L236-M236)*(Z236+AA236)+($Z$184+$AA$184-$Z$236-$AA$236)*(L236)</f>
        <v>4.2721292127342876</v>
      </c>
      <c r="AF236" s="4" t="s">
        <v>563</v>
      </c>
    </row>
    <row r="237" spans="1:32" ht="11.25" customHeight="1" x14ac:dyDescent="0.25">
      <c r="A237" s="4" t="s">
        <v>21</v>
      </c>
      <c r="B237" s="4" t="s">
        <v>40</v>
      </c>
      <c r="C237" s="4" t="s">
        <v>23</v>
      </c>
      <c r="D237" s="4" t="s">
        <v>41</v>
      </c>
      <c r="E237" s="4" t="s">
        <v>50</v>
      </c>
      <c r="F237" s="4" t="s">
        <v>51</v>
      </c>
      <c r="G237" s="4" t="s">
        <v>25</v>
      </c>
      <c r="H237" s="4" t="s">
        <v>25</v>
      </c>
      <c r="I237" s="5">
        <v>44317</v>
      </c>
      <c r="J237" s="6">
        <v>0</v>
      </c>
      <c r="K237" s="6">
        <v>0</v>
      </c>
      <c r="L237" s="6">
        <v>2103.8020000000001</v>
      </c>
      <c r="M237" s="6">
        <v>2103.8020000000001</v>
      </c>
      <c r="N237" s="6">
        <v>2103.8020000000001</v>
      </c>
      <c r="O237" s="6">
        <v>2103.8020000000001</v>
      </c>
      <c r="P237" s="6">
        <v>0</v>
      </c>
      <c r="Q237" s="4" t="s">
        <v>26</v>
      </c>
      <c r="R237" s="4">
        <v>0</v>
      </c>
      <c r="S237" s="4">
        <v>0</v>
      </c>
      <c r="T237" s="4">
        <v>60</v>
      </c>
      <c r="U237" s="4">
        <v>16</v>
      </c>
      <c r="V237" s="6">
        <f>IF(ISERROR(VLOOKUP($S$237,'TAR FIN'!$A$1:$O$85,15,0)),0,VLOOKUP($S$237,'TAR FIN'!$A$1:$O$85,15,0))</f>
        <v>0</v>
      </c>
      <c r="W237" s="6">
        <f>IF(ISERROR(VLOOKUP($T$237,'TAR FIN'!$A$1:$O$85,15,0)),0,VLOOKUP($T$237,'TAR FIN'!$A$1:$O$85,15,0))</f>
        <v>387.29</v>
      </c>
      <c r="X237" s="6">
        <f>IF(ISERROR(VLOOKUP($U$237,'TAR FIN'!$A$1:$O$85,15,0)),0,VLOOKUP($U$237,'TAR FIN'!$A$1:$O$85,15,0))</f>
        <v>196.87</v>
      </c>
      <c r="Y237" s="6"/>
      <c r="Z237" s="6">
        <f ca="1">('TUSD BE'!$AM$33+'TUSD BF'!$AM$33+'TUSD CVA'!$AM$33)*(1-CUSTOS!$M$38)</f>
        <v>464.7286080745173</v>
      </c>
      <c r="AA237" s="6">
        <f>('TE BE'!$AA$23+'TE BF'!$AA$23+'TE CVA'!$AA$23)*(1-CUSTOS!$M$38)</f>
        <v>204.57163525385519</v>
      </c>
      <c r="AB237" s="6">
        <f t="shared" si="12"/>
        <v>0</v>
      </c>
      <c r="AC237" s="6">
        <f>(L237-M237)*(W237+X237)+($W$184+$X$184-$W$237-$X$237)*(L237)</f>
        <v>167588.86732000008</v>
      </c>
      <c r="AD237" s="6">
        <f t="shared" si="13"/>
        <v>0</v>
      </c>
      <c r="AE237" s="6">
        <f ca="1">(L237-M237)*(Z237+AA237)+($Z$184+$AA$184-$Z$237-$AA$237)*(L237)</f>
        <v>89877.13982008821</v>
      </c>
      <c r="AF237" s="4" t="s">
        <v>563</v>
      </c>
    </row>
    <row r="238" spans="1:32" ht="11.25" customHeight="1" x14ac:dyDescent="0.25">
      <c r="A238" s="4" t="s">
        <v>28</v>
      </c>
      <c r="B238" s="4" t="s">
        <v>40</v>
      </c>
      <c r="C238" s="4" t="s">
        <v>23</v>
      </c>
      <c r="D238" s="4" t="s">
        <v>41</v>
      </c>
      <c r="E238" s="4" t="s">
        <v>50</v>
      </c>
      <c r="F238" s="4" t="s">
        <v>51</v>
      </c>
      <c r="G238" s="4" t="s">
        <v>25</v>
      </c>
      <c r="H238" s="4" t="s">
        <v>25</v>
      </c>
      <c r="I238" s="5">
        <v>44317</v>
      </c>
      <c r="J238" s="6">
        <v>0</v>
      </c>
      <c r="K238" s="6">
        <v>0</v>
      </c>
      <c r="L238" s="6">
        <v>18.318000000000001</v>
      </c>
      <c r="M238" s="6">
        <v>18.318000000000001</v>
      </c>
      <c r="N238" s="6">
        <v>18.318000000000001</v>
      </c>
      <c r="O238" s="6">
        <v>18.318000000000001</v>
      </c>
      <c r="P238" s="6">
        <v>0</v>
      </c>
      <c r="Q238" s="4" t="s">
        <v>26</v>
      </c>
      <c r="R238" s="4">
        <v>0</v>
      </c>
      <c r="S238" s="4">
        <v>0</v>
      </c>
      <c r="T238" s="4">
        <v>60</v>
      </c>
      <c r="U238" s="4">
        <v>16</v>
      </c>
      <c r="V238" s="6">
        <f>IF(ISERROR(VLOOKUP($S$238,'TAR FIN'!$A$1:$O$85,15,0)),0,VLOOKUP($S$238,'TAR FIN'!$A$1:$O$85,15,0))</f>
        <v>0</v>
      </c>
      <c r="W238" s="6">
        <f>IF(ISERROR(VLOOKUP($T$238,'TAR FIN'!$A$1:$O$85,15,0)),0,VLOOKUP($T$238,'TAR FIN'!$A$1:$O$85,15,0))</f>
        <v>387.29</v>
      </c>
      <c r="X238" s="6">
        <f>IF(ISERROR(VLOOKUP($U$238,'TAR FIN'!$A$1:$O$85,15,0)),0,VLOOKUP($U$238,'TAR FIN'!$A$1:$O$85,15,0))</f>
        <v>196.87</v>
      </c>
      <c r="Y238" s="6"/>
      <c r="Z238" s="6">
        <f ca="1">('TUSD BE'!$AM$33+'TUSD BF'!$AM$33+'TUSD CVA'!$AM$33)*(1-CUSTOS!$M$38)</f>
        <v>464.7286080745173</v>
      </c>
      <c r="AA238" s="6">
        <f>('TE BE'!$AA$23+'TE BF'!$AA$23+'TE CVA'!$AA$23)*(1-CUSTOS!$M$38)</f>
        <v>204.57163525385519</v>
      </c>
      <c r="AB238" s="6">
        <f t="shared" si="12"/>
        <v>0</v>
      </c>
      <c r="AC238" s="6">
        <f>(L238-M238)*(W238+X238)+($W$184+$X$184-$W$238-$X$238)*(L238)</f>
        <v>1459.2118800000005</v>
      </c>
      <c r="AD238" s="6">
        <f t="shared" si="13"/>
        <v>0</v>
      </c>
      <c r="AE238" s="6">
        <f ca="1">(L238-M238)*(Z238+AA238)+($Z$184+$AA$184-$Z$238-$AA$238)*(L238)</f>
        <v>782.56862918866693</v>
      </c>
      <c r="AF238" s="4" t="s">
        <v>563</v>
      </c>
    </row>
    <row r="239" spans="1:32" ht="11.25" customHeight="1" x14ac:dyDescent="0.25">
      <c r="A239" s="4" t="s">
        <v>21</v>
      </c>
      <c r="B239" s="4" t="s">
        <v>40</v>
      </c>
      <c r="C239" s="4" t="s">
        <v>23</v>
      </c>
      <c r="D239" s="4" t="s">
        <v>41</v>
      </c>
      <c r="E239" s="4" t="s">
        <v>50</v>
      </c>
      <c r="F239" s="4" t="s">
        <v>51</v>
      </c>
      <c r="G239" s="4" t="s">
        <v>25</v>
      </c>
      <c r="H239" s="4" t="s">
        <v>25</v>
      </c>
      <c r="I239" s="5">
        <v>44348</v>
      </c>
      <c r="J239" s="6">
        <v>0</v>
      </c>
      <c r="K239" s="6">
        <v>0</v>
      </c>
      <c r="L239" s="6">
        <v>712.08299999999997</v>
      </c>
      <c r="M239" s="6">
        <v>712.08299999999997</v>
      </c>
      <c r="N239" s="6">
        <v>712.08299999999997</v>
      </c>
      <c r="O239" s="6">
        <v>712.08299999999997</v>
      </c>
      <c r="P239" s="6">
        <v>0</v>
      </c>
      <c r="Q239" s="4" t="s">
        <v>26</v>
      </c>
      <c r="R239" s="4">
        <v>0</v>
      </c>
      <c r="S239" s="4">
        <v>0</v>
      </c>
      <c r="T239" s="4">
        <v>60</v>
      </c>
      <c r="U239" s="4">
        <v>16</v>
      </c>
      <c r="V239" s="6">
        <f>IF(ISERROR(VLOOKUP($S$239,'TAR FIN'!$A$1:$O$85,15,0)),0,VLOOKUP($S$239,'TAR FIN'!$A$1:$O$85,15,0))</f>
        <v>0</v>
      </c>
      <c r="W239" s="6">
        <f>IF(ISERROR(VLOOKUP($T$239,'TAR FIN'!$A$1:$O$85,15,0)),0,VLOOKUP($T$239,'TAR FIN'!$A$1:$O$85,15,0))</f>
        <v>387.29</v>
      </c>
      <c r="X239" s="6">
        <f>IF(ISERROR(VLOOKUP($U$239,'TAR FIN'!$A$1:$O$85,15,0)),0,VLOOKUP($U$239,'TAR FIN'!$A$1:$O$85,15,0))</f>
        <v>196.87</v>
      </c>
      <c r="Y239" s="6"/>
      <c r="Z239" s="6">
        <f ca="1">('TUSD BE'!$AM$33+'TUSD BF'!$AM$33+'TUSD CVA'!$AM$33)*(1-CUSTOS!$M$38)</f>
        <v>464.7286080745173</v>
      </c>
      <c r="AA239" s="6">
        <f>('TE BE'!$AA$23+'TE BF'!$AA$23+'TE CVA'!$AA$23)*(1-CUSTOS!$M$38)</f>
        <v>204.57163525385519</v>
      </c>
      <c r="AB239" s="6">
        <f t="shared" si="12"/>
        <v>0</v>
      </c>
      <c r="AC239" s="6">
        <f>(L239-M239)*(W239+X239)+($W$184+$X$184-$W$239-$X$239)*(L239)</f>
        <v>56724.531780000012</v>
      </c>
      <c r="AD239" s="6">
        <f t="shared" si="13"/>
        <v>0</v>
      </c>
      <c r="AE239" s="6">
        <f ca="1">(L239-M239)*(Z239+AA239)+($Z$184+$AA$184-$Z$239-$AA$239)*(L239)</f>
        <v>30421.105861914697</v>
      </c>
      <c r="AF239" s="4" t="s">
        <v>563</v>
      </c>
    </row>
    <row r="240" spans="1:32" ht="11.25" customHeight="1" x14ac:dyDescent="0.25">
      <c r="A240" s="4" t="s">
        <v>28</v>
      </c>
      <c r="B240" s="4" t="s">
        <v>40</v>
      </c>
      <c r="C240" s="4" t="s">
        <v>23</v>
      </c>
      <c r="D240" s="4" t="s">
        <v>41</v>
      </c>
      <c r="E240" s="4" t="s">
        <v>50</v>
      </c>
      <c r="F240" s="4" t="s">
        <v>51</v>
      </c>
      <c r="G240" s="4" t="s">
        <v>25</v>
      </c>
      <c r="H240" s="4" t="s">
        <v>25</v>
      </c>
      <c r="I240" s="5">
        <v>44348</v>
      </c>
      <c r="J240" s="6">
        <v>0</v>
      </c>
      <c r="K240" s="6">
        <v>0</v>
      </c>
      <c r="L240" s="6">
        <v>0.1</v>
      </c>
      <c r="M240" s="6">
        <v>0.1</v>
      </c>
      <c r="N240" s="6">
        <v>0.1</v>
      </c>
      <c r="O240" s="6">
        <v>0.1</v>
      </c>
      <c r="P240" s="6">
        <v>0</v>
      </c>
      <c r="Q240" s="4" t="s">
        <v>26</v>
      </c>
      <c r="R240" s="4">
        <v>0</v>
      </c>
      <c r="S240" s="4">
        <v>0</v>
      </c>
      <c r="T240" s="4">
        <v>60</v>
      </c>
      <c r="U240" s="4">
        <v>16</v>
      </c>
      <c r="V240" s="6">
        <f>IF(ISERROR(VLOOKUP($S$240,'TAR FIN'!$A$1:$O$85,15,0)),0,VLOOKUP($S$240,'TAR FIN'!$A$1:$O$85,15,0))</f>
        <v>0</v>
      </c>
      <c r="W240" s="6">
        <f>IF(ISERROR(VLOOKUP($T$240,'TAR FIN'!$A$1:$O$85,15,0)),0,VLOOKUP($T$240,'TAR FIN'!$A$1:$O$85,15,0))</f>
        <v>387.29</v>
      </c>
      <c r="X240" s="6">
        <f>IF(ISERROR(VLOOKUP($U$240,'TAR FIN'!$A$1:$O$85,15,0)),0,VLOOKUP($U$240,'TAR FIN'!$A$1:$O$85,15,0))</f>
        <v>196.87</v>
      </c>
      <c r="Y240" s="6"/>
      <c r="Z240" s="6">
        <f ca="1">('TUSD BE'!$AM$33+'TUSD BF'!$AM$33+'TUSD CVA'!$AM$33)*(1-CUSTOS!$M$38)</f>
        <v>464.7286080745173</v>
      </c>
      <c r="AA240" s="6">
        <f>('TE BE'!$AA$23+'TE BF'!$AA$23+'TE CVA'!$AA$23)*(1-CUSTOS!$M$38)</f>
        <v>204.57163525385519</v>
      </c>
      <c r="AB240" s="6">
        <f t="shared" si="12"/>
        <v>0</v>
      </c>
      <c r="AC240" s="6">
        <f>(L240-M240)*(W240+X240)+($W$184+$X$184-$W$240-$X$240)*(L240)</f>
        <v>7.9660000000000029</v>
      </c>
      <c r="AD240" s="6">
        <f t="shared" si="13"/>
        <v>0</v>
      </c>
      <c r="AE240" s="6">
        <f ca="1">(L240-M240)*(Z240+AA240)+($Z$184+$AA$184-$Z$240-$AA$240)*(L240)</f>
        <v>4.2721292127342876</v>
      </c>
      <c r="AF240" s="4" t="s">
        <v>563</v>
      </c>
    </row>
    <row r="241" spans="1:32" ht="11.25" customHeight="1" x14ac:dyDescent="0.25">
      <c r="A241" s="4" t="s">
        <v>21</v>
      </c>
      <c r="B241" s="4" t="s">
        <v>40</v>
      </c>
      <c r="C241" s="4" t="s">
        <v>23</v>
      </c>
      <c r="D241" s="4" t="s">
        <v>41</v>
      </c>
      <c r="E241" s="4" t="s">
        <v>50</v>
      </c>
      <c r="F241" s="4" t="s">
        <v>51</v>
      </c>
      <c r="G241" s="4" t="s">
        <v>25</v>
      </c>
      <c r="H241" s="4" t="s">
        <v>25</v>
      </c>
      <c r="I241" s="5">
        <v>44378</v>
      </c>
      <c r="J241" s="6">
        <v>0</v>
      </c>
      <c r="K241" s="6">
        <v>0</v>
      </c>
      <c r="L241" s="6">
        <v>5156.4939999999997</v>
      </c>
      <c r="M241" s="6">
        <v>5156.4939999999997</v>
      </c>
      <c r="N241" s="6">
        <v>5156.4939999999997</v>
      </c>
      <c r="O241" s="6">
        <v>5156.4939999999997</v>
      </c>
      <c r="P241" s="6">
        <v>0</v>
      </c>
      <c r="Q241" s="4" t="s">
        <v>26</v>
      </c>
      <c r="R241" s="4">
        <v>0</v>
      </c>
      <c r="S241" s="4">
        <v>0</v>
      </c>
      <c r="T241" s="4">
        <v>60</v>
      </c>
      <c r="U241" s="4">
        <v>16</v>
      </c>
      <c r="V241" s="6">
        <f>IF(ISERROR(VLOOKUP($S$241,'TAR FIN'!$A$1:$O$85,15,0)),0,VLOOKUP($S$241,'TAR FIN'!$A$1:$O$85,15,0))</f>
        <v>0</v>
      </c>
      <c r="W241" s="6">
        <f>IF(ISERROR(VLOOKUP($T$241,'TAR FIN'!$A$1:$O$85,15,0)),0,VLOOKUP($T$241,'TAR FIN'!$A$1:$O$85,15,0))</f>
        <v>387.29</v>
      </c>
      <c r="X241" s="6">
        <f>IF(ISERROR(VLOOKUP($U$241,'TAR FIN'!$A$1:$O$85,15,0)),0,VLOOKUP($U$241,'TAR FIN'!$A$1:$O$85,15,0))</f>
        <v>196.87</v>
      </c>
      <c r="Y241" s="6"/>
      <c r="Z241" s="6">
        <f ca="1">('TUSD BE'!$AM$33+'TUSD BF'!$AM$33+'TUSD CVA'!$AM$33)*(1-CUSTOS!$M$38)</f>
        <v>464.7286080745173</v>
      </c>
      <c r="AA241" s="6">
        <f>('TE BE'!$AA$23+'TE BF'!$AA$23+'TE CVA'!$AA$23)*(1-CUSTOS!$M$38)</f>
        <v>204.57163525385519</v>
      </c>
      <c r="AB241" s="6">
        <f t="shared" si="12"/>
        <v>0</v>
      </c>
      <c r="AC241" s="6">
        <f>(L241-M241)*(W241+X241)+($W$184+$X$184-$W$241-$X$241)*(L241)</f>
        <v>410766.31204000011</v>
      </c>
      <c r="AD241" s="6">
        <f t="shared" si="13"/>
        <v>0</v>
      </c>
      <c r="AE241" s="6">
        <f ca="1">(L241-M241)*(Z241+AA241)+($Z$184+$AA$184-$Z$241-$AA$241)*(L241)</f>
        <v>220292.08652689078</v>
      </c>
      <c r="AF241" s="4" t="s">
        <v>563</v>
      </c>
    </row>
    <row r="242" spans="1:32" ht="11.25" customHeight="1" x14ac:dyDescent="0.25">
      <c r="A242" s="4" t="s">
        <v>27</v>
      </c>
      <c r="B242" s="4" t="s">
        <v>40</v>
      </c>
      <c r="C242" s="4" t="s">
        <v>23</v>
      </c>
      <c r="D242" s="4" t="s">
        <v>41</v>
      </c>
      <c r="E242" s="4" t="s">
        <v>50</v>
      </c>
      <c r="F242" s="4" t="s">
        <v>51</v>
      </c>
      <c r="G242" s="4" t="s">
        <v>25</v>
      </c>
      <c r="H242" s="4" t="s">
        <v>25</v>
      </c>
      <c r="I242" s="5">
        <v>44378</v>
      </c>
      <c r="J242" s="6">
        <v>0</v>
      </c>
      <c r="K242" s="6">
        <v>0</v>
      </c>
      <c r="L242" s="6">
        <v>-3.8</v>
      </c>
      <c r="M242" s="6">
        <v>-3.8</v>
      </c>
      <c r="N242" s="6">
        <v>-3.8</v>
      </c>
      <c r="O242" s="6">
        <v>-3.8</v>
      </c>
      <c r="P242" s="6">
        <v>0</v>
      </c>
      <c r="Q242" s="4" t="s">
        <v>26</v>
      </c>
      <c r="R242" s="4">
        <v>0</v>
      </c>
      <c r="S242" s="4">
        <v>0</v>
      </c>
      <c r="T242" s="4">
        <v>60</v>
      </c>
      <c r="U242" s="4">
        <v>16</v>
      </c>
      <c r="V242" s="6">
        <f>IF(ISERROR(VLOOKUP($S$242,'TAR FIN'!$A$1:$O$85,15,0)),0,VLOOKUP($S$242,'TAR FIN'!$A$1:$O$85,15,0))</f>
        <v>0</v>
      </c>
      <c r="W242" s="6">
        <f>IF(ISERROR(VLOOKUP($T$242,'TAR FIN'!$A$1:$O$85,15,0)),0,VLOOKUP($T$242,'TAR FIN'!$A$1:$O$85,15,0))</f>
        <v>387.29</v>
      </c>
      <c r="X242" s="6">
        <f>IF(ISERROR(VLOOKUP($U$242,'TAR FIN'!$A$1:$O$85,15,0)),0,VLOOKUP($U$242,'TAR FIN'!$A$1:$O$85,15,0))</f>
        <v>196.87</v>
      </c>
      <c r="Y242" s="6"/>
      <c r="Z242" s="6">
        <f ca="1">('TUSD BE'!$AM$33+'TUSD BF'!$AM$33+'TUSD CVA'!$AM$33)*(1-CUSTOS!$M$38)</f>
        <v>464.7286080745173</v>
      </c>
      <c r="AA242" s="6">
        <f>('TE BE'!$AA$23+'TE BF'!$AA$23+'TE CVA'!$AA$23)*(1-CUSTOS!$M$38)</f>
        <v>204.57163525385519</v>
      </c>
      <c r="AB242" s="6">
        <f t="shared" si="12"/>
        <v>0</v>
      </c>
      <c r="AC242" s="6">
        <f>(L242-M242)*(W242+X242)+($W$184+$X$184-$W$242-$X$242)*(L242)</f>
        <v>-302.70800000000008</v>
      </c>
      <c r="AD242" s="6">
        <f t="shared" si="13"/>
        <v>0</v>
      </c>
      <c r="AE242" s="6">
        <f ca="1">(L242-M242)*(Z242+AA242)+($Z$184+$AA$184-$Z$242-$AA$242)*(L242)</f>
        <v>-162.34091008390294</v>
      </c>
      <c r="AF242" s="4" t="s">
        <v>563</v>
      </c>
    </row>
    <row r="243" spans="1:32" ht="11.25" customHeight="1" x14ac:dyDescent="0.25">
      <c r="A243" s="4" t="s">
        <v>28</v>
      </c>
      <c r="B243" s="4" t="s">
        <v>40</v>
      </c>
      <c r="C243" s="4" t="s">
        <v>23</v>
      </c>
      <c r="D243" s="4" t="s">
        <v>41</v>
      </c>
      <c r="E243" s="4" t="s">
        <v>50</v>
      </c>
      <c r="F243" s="4" t="s">
        <v>51</v>
      </c>
      <c r="G243" s="4" t="s">
        <v>25</v>
      </c>
      <c r="H243" s="4" t="s">
        <v>25</v>
      </c>
      <c r="I243" s="5">
        <v>44378</v>
      </c>
      <c r="J243" s="6">
        <v>0</v>
      </c>
      <c r="K243" s="6">
        <v>0</v>
      </c>
      <c r="L243" s="6">
        <v>0.2</v>
      </c>
      <c r="M243" s="6">
        <v>0.2</v>
      </c>
      <c r="N243" s="6">
        <v>0.2</v>
      </c>
      <c r="O243" s="6">
        <v>0.2</v>
      </c>
      <c r="P243" s="6">
        <v>0</v>
      </c>
      <c r="Q243" s="4" t="s">
        <v>26</v>
      </c>
      <c r="R243" s="4">
        <v>0</v>
      </c>
      <c r="S243" s="4">
        <v>0</v>
      </c>
      <c r="T243" s="4">
        <v>60</v>
      </c>
      <c r="U243" s="4">
        <v>16</v>
      </c>
      <c r="V243" s="6">
        <f>IF(ISERROR(VLOOKUP($S$243,'TAR FIN'!$A$1:$O$85,15,0)),0,VLOOKUP($S$243,'TAR FIN'!$A$1:$O$85,15,0))</f>
        <v>0</v>
      </c>
      <c r="W243" s="6">
        <f>IF(ISERROR(VLOOKUP($T$243,'TAR FIN'!$A$1:$O$85,15,0)),0,VLOOKUP($T$243,'TAR FIN'!$A$1:$O$85,15,0))</f>
        <v>387.29</v>
      </c>
      <c r="X243" s="6">
        <f>IF(ISERROR(VLOOKUP($U$243,'TAR FIN'!$A$1:$O$85,15,0)),0,VLOOKUP($U$243,'TAR FIN'!$A$1:$O$85,15,0))</f>
        <v>196.87</v>
      </c>
      <c r="Y243" s="6"/>
      <c r="Z243" s="6">
        <f ca="1">('TUSD BE'!$AM$33+'TUSD BF'!$AM$33+'TUSD CVA'!$AM$33)*(1-CUSTOS!$M$38)</f>
        <v>464.7286080745173</v>
      </c>
      <c r="AA243" s="6">
        <f>('TE BE'!$AA$23+'TE BF'!$AA$23+'TE CVA'!$AA$23)*(1-CUSTOS!$M$38)</f>
        <v>204.57163525385519</v>
      </c>
      <c r="AB243" s="6">
        <f t="shared" si="12"/>
        <v>0</v>
      </c>
      <c r="AC243" s="6">
        <f>(L243-M243)*(W243+X243)+($W$184+$X$184-$W$243-$X$243)*(L243)</f>
        <v>15.932000000000006</v>
      </c>
      <c r="AD243" s="6">
        <f t="shared" si="13"/>
        <v>0</v>
      </c>
      <c r="AE243" s="6">
        <f ca="1">(L243-M243)*(Z243+AA243)+($Z$184+$AA$184-$Z$243-$AA$243)*(L243)</f>
        <v>8.5442584254685752</v>
      </c>
      <c r="AF243" s="4" t="s">
        <v>563</v>
      </c>
    </row>
    <row r="244" spans="1:32" ht="11.25" customHeight="1" x14ac:dyDescent="0.25">
      <c r="A244" s="4" t="s">
        <v>21</v>
      </c>
      <c r="B244" s="4" t="s">
        <v>40</v>
      </c>
      <c r="C244" s="4" t="s">
        <v>23</v>
      </c>
      <c r="D244" s="4" t="s">
        <v>41</v>
      </c>
      <c r="E244" s="4" t="s">
        <v>50</v>
      </c>
      <c r="F244" s="4" t="s">
        <v>51</v>
      </c>
      <c r="G244" s="4" t="s">
        <v>25</v>
      </c>
      <c r="H244" s="4" t="s">
        <v>25</v>
      </c>
      <c r="I244" s="5">
        <v>44409</v>
      </c>
      <c r="J244" s="6">
        <v>0</v>
      </c>
      <c r="K244" s="6">
        <v>0</v>
      </c>
      <c r="L244" s="6">
        <v>1334.6210000000001</v>
      </c>
      <c r="M244" s="6">
        <v>1334.6210000000001</v>
      </c>
      <c r="N244" s="6">
        <v>1334.6210000000001</v>
      </c>
      <c r="O244" s="6">
        <v>1334.6210000000001</v>
      </c>
      <c r="P244" s="6">
        <v>0</v>
      </c>
      <c r="Q244" s="4" t="s">
        <v>26</v>
      </c>
      <c r="R244" s="4">
        <v>0</v>
      </c>
      <c r="S244" s="4">
        <v>0</v>
      </c>
      <c r="T244" s="4">
        <v>60</v>
      </c>
      <c r="U244" s="4">
        <v>16</v>
      </c>
      <c r="V244" s="6">
        <f>IF(ISERROR(VLOOKUP($S$244,'TAR FIN'!$A$1:$O$85,15,0)),0,VLOOKUP($S$244,'TAR FIN'!$A$1:$O$85,15,0))</f>
        <v>0</v>
      </c>
      <c r="W244" s="6">
        <f>IF(ISERROR(VLOOKUP($T$244,'TAR FIN'!$A$1:$O$85,15,0)),0,VLOOKUP($T$244,'TAR FIN'!$A$1:$O$85,15,0))</f>
        <v>387.29</v>
      </c>
      <c r="X244" s="6">
        <f>IF(ISERROR(VLOOKUP($U$244,'TAR FIN'!$A$1:$O$85,15,0)),0,VLOOKUP($U$244,'TAR FIN'!$A$1:$O$85,15,0))</f>
        <v>196.87</v>
      </c>
      <c r="Y244" s="6"/>
      <c r="Z244" s="6">
        <f ca="1">('TUSD BE'!$AM$33+'TUSD BF'!$AM$33+'TUSD CVA'!$AM$33)*(1-CUSTOS!$M$38)</f>
        <v>464.7286080745173</v>
      </c>
      <c r="AA244" s="6">
        <f>('TE BE'!$AA$23+'TE BF'!$AA$23+'TE CVA'!$AA$23)*(1-CUSTOS!$M$38)</f>
        <v>204.57163525385519</v>
      </c>
      <c r="AB244" s="6">
        <f t="shared" si="12"/>
        <v>0</v>
      </c>
      <c r="AC244" s="6">
        <f>(L244-M244)*(W244+X244)+($W$184+$X$184-$W$244-$X$244)*(L244)</f>
        <v>106315.90886000004</v>
      </c>
      <c r="AD244" s="6">
        <f t="shared" si="13"/>
        <v>0</v>
      </c>
      <c r="AE244" s="6">
        <f ca="1">(L244-M244)*(Z244+AA244)+($Z$184+$AA$184-$Z$244-$AA$244)*(L244)</f>
        <v>57016.733620286483</v>
      </c>
      <c r="AF244" s="4" t="s">
        <v>563</v>
      </c>
    </row>
    <row r="245" spans="1:32" ht="11.25" customHeight="1" x14ac:dyDescent="0.25">
      <c r="A245" s="4" t="s">
        <v>27</v>
      </c>
      <c r="B245" s="4" t="s">
        <v>40</v>
      </c>
      <c r="C245" s="4" t="s">
        <v>23</v>
      </c>
      <c r="D245" s="4" t="s">
        <v>41</v>
      </c>
      <c r="E245" s="4" t="s">
        <v>50</v>
      </c>
      <c r="F245" s="4" t="s">
        <v>51</v>
      </c>
      <c r="G245" s="4" t="s">
        <v>25</v>
      </c>
      <c r="H245" s="4" t="s">
        <v>25</v>
      </c>
      <c r="I245" s="5">
        <v>44409</v>
      </c>
      <c r="J245" s="6">
        <v>0</v>
      </c>
      <c r="K245" s="6">
        <v>0</v>
      </c>
      <c r="L245" s="6">
        <v>-4000.4</v>
      </c>
      <c r="M245" s="6">
        <v>-4000.4</v>
      </c>
      <c r="N245" s="6">
        <v>-4000.4</v>
      </c>
      <c r="O245" s="6">
        <v>-4000.4</v>
      </c>
      <c r="P245" s="6">
        <v>0</v>
      </c>
      <c r="Q245" s="4" t="s">
        <v>26</v>
      </c>
      <c r="R245" s="4">
        <v>0</v>
      </c>
      <c r="S245" s="4">
        <v>0</v>
      </c>
      <c r="T245" s="4">
        <v>60</v>
      </c>
      <c r="U245" s="4">
        <v>16</v>
      </c>
      <c r="V245" s="6">
        <f>IF(ISERROR(VLOOKUP($S$245,'TAR FIN'!$A$1:$O$85,15,0)),0,VLOOKUP($S$245,'TAR FIN'!$A$1:$O$85,15,0))</f>
        <v>0</v>
      </c>
      <c r="W245" s="6">
        <f>IF(ISERROR(VLOOKUP($T$245,'TAR FIN'!$A$1:$O$85,15,0)),0,VLOOKUP($T$245,'TAR FIN'!$A$1:$O$85,15,0))</f>
        <v>387.29</v>
      </c>
      <c r="X245" s="6">
        <f>IF(ISERROR(VLOOKUP($U$245,'TAR FIN'!$A$1:$O$85,15,0)),0,VLOOKUP($U$245,'TAR FIN'!$A$1:$O$85,15,0))</f>
        <v>196.87</v>
      </c>
      <c r="Y245" s="6"/>
      <c r="Z245" s="6">
        <f ca="1">('TUSD BE'!$AM$33+'TUSD BF'!$AM$33+'TUSD CVA'!$AM$33)*(1-CUSTOS!$M$38)</f>
        <v>464.7286080745173</v>
      </c>
      <c r="AA245" s="6">
        <f>('TE BE'!$AA$23+'TE BF'!$AA$23+'TE CVA'!$AA$23)*(1-CUSTOS!$M$38)</f>
        <v>204.57163525385519</v>
      </c>
      <c r="AB245" s="6">
        <f t="shared" si="12"/>
        <v>0</v>
      </c>
      <c r="AC245" s="6">
        <f>(L245-M245)*(W245+X245)+($W$184+$X$184-$W$245-$X$245)*(L245)</f>
        <v>-318671.86400000012</v>
      </c>
      <c r="AD245" s="6">
        <f t="shared" si="13"/>
        <v>0</v>
      </c>
      <c r="AE245" s="6">
        <f ca="1">(L245-M245)*(Z245+AA245)+($Z$184+$AA$184-$Z$245-$AA$245)*(L245)</f>
        <v>-170902.25702622245</v>
      </c>
      <c r="AF245" s="4" t="s">
        <v>563</v>
      </c>
    </row>
    <row r="246" spans="1:32" ht="11.25" customHeight="1" x14ac:dyDescent="0.25">
      <c r="A246" s="4" t="s">
        <v>28</v>
      </c>
      <c r="B246" s="4" t="s">
        <v>40</v>
      </c>
      <c r="C246" s="4" t="s">
        <v>23</v>
      </c>
      <c r="D246" s="4" t="s">
        <v>41</v>
      </c>
      <c r="E246" s="4" t="s">
        <v>50</v>
      </c>
      <c r="F246" s="4" t="s">
        <v>51</v>
      </c>
      <c r="G246" s="4" t="s">
        <v>25</v>
      </c>
      <c r="H246" s="4" t="s">
        <v>25</v>
      </c>
      <c r="I246" s="5">
        <v>44409</v>
      </c>
      <c r="J246" s="6">
        <v>0</v>
      </c>
      <c r="K246" s="6">
        <v>0</v>
      </c>
      <c r="L246" s="6">
        <v>1.9319999999999999</v>
      </c>
      <c r="M246" s="6">
        <v>1.9319999999999999</v>
      </c>
      <c r="N246" s="6">
        <v>1.9319999999999999</v>
      </c>
      <c r="O246" s="6">
        <v>1.9319999999999999</v>
      </c>
      <c r="P246" s="6">
        <v>0</v>
      </c>
      <c r="Q246" s="4" t="s">
        <v>26</v>
      </c>
      <c r="R246" s="4">
        <v>0</v>
      </c>
      <c r="S246" s="4">
        <v>0</v>
      </c>
      <c r="T246" s="4">
        <v>60</v>
      </c>
      <c r="U246" s="4">
        <v>16</v>
      </c>
      <c r="V246" s="6">
        <f>IF(ISERROR(VLOOKUP($S$246,'TAR FIN'!$A$1:$O$85,15,0)),0,VLOOKUP($S$246,'TAR FIN'!$A$1:$O$85,15,0))</f>
        <v>0</v>
      </c>
      <c r="W246" s="6">
        <f>IF(ISERROR(VLOOKUP($T$246,'TAR FIN'!$A$1:$O$85,15,0)),0,VLOOKUP($T$246,'TAR FIN'!$A$1:$O$85,15,0))</f>
        <v>387.29</v>
      </c>
      <c r="X246" s="6">
        <f>IF(ISERROR(VLOOKUP($U$246,'TAR FIN'!$A$1:$O$85,15,0)),0,VLOOKUP($U$246,'TAR FIN'!$A$1:$O$85,15,0))</f>
        <v>196.87</v>
      </c>
      <c r="Y246" s="6"/>
      <c r="Z246" s="6">
        <f ca="1">('TUSD BE'!$AM$33+'TUSD BF'!$AM$33+'TUSD CVA'!$AM$33)*(1-CUSTOS!$M$38)</f>
        <v>464.7286080745173</v>
      </c>
      <c r="AA246" s="6">
        <f>('TE BE'!$AA$23+'TE BF'!$AA$23+'TE CVA'!$AA$23)*(1-CUSTOS!$M$38)</f>
        <v>204.57163525385519</v>
      </c>
      <c r="AB246" s="6">
        <f t="shared" si="12"/>
        <v>0</v>
      </c>
      <c r="AC246" s="6">
        <f>(L246-M246)*(W246+X246)+($W$184+$X$184-$W$246-$X$246)*(L246)</f>
        <v>153.90312000000003</v>
      </c>
      <c r="AD246" s="6">
        <f t="shared" si="13"/>
        <v>0</v>
      </c>
      <c r="AE246" s="6">
        <f ca="1">(L246-M246)*(Z246+AA246)+($Z$184+$AA$184-$Z$246-$AA$246)*(L246)</f>
        <v>82.537536390026432</v>
      </c>
      <c r="AF246" s="4" t="s">
        <v>563</v>
      </c>
    </row>
    <row r="247" spans="1:32" ht="11.25" customHeight="1" x14ac:dyDescent="0.25">
      <c r="A247" s="4" t="s">
        <v>21</v>
      </c>
      <c r="B247" s="4" t="s">
        <v>40</v>
      </c>
      <c r="C247" s="4" t="s">
        <v>23</v>
      </c>
      <c r="D247" s="4" t="s">
        <v>41</v>
      </c>
      <c r="E247" s="4" t="s">
        <v>50</v>
      </c>
      <c r="F247" s="4" t="s">
        <v>51</v>
      </c>
      <c r="G247" s="4" t="s">
        <v>25</v>
      </c>
      <c r="H247" s="4" t="s">
        <v>25</v>
      </c>
      <c r="I247" s="5">
        <v>44440</v>
      </c>
      <c r="J247" s="6">
        <v>0</v>
      </c>
      <c r="K247" s="6">
        <v>0</v>
      </c>
      <c r="L247" s="6">
        <v>1521.9469999999999</v>
      </c>
      <c r="M247" s="6">
        <v>1521.9469999999999</v>
      </c>
      <c r="N247" s="6">
        <v>1521.9469999999999</v>
      </c>
      <c r="O247" s="6">
        <v>1521.9469999999999</v>
      </c>
      <c r="P247" s="6">
        <v>0</v>
      </c>
      <c r="Q247" s="4" t="s">
        <v>26</v>
      </c>
      <c r="R247" s="4">
        <v>0</v>
      </c>
      <c r="S247" s="4">
        <v>0</v>
      </c>
      <c r="T247" s="4">
        <v>60</v>
      </c>
      <c r="U247" s="4">
        <v>16</v>
      </c>
      <c r="V247" s="6">
        <f>IF(ISERROR(VLOOKUP($S$247,'TAR FIN'!$A$1:$O$85,15,0)),0,VLOOKUP($S$247,'TAR FIN'!$A$1:$O$85,15,0))</f>
        <v>0</v>
      </c>
      <c r="W247" s="6">
        <f>IF(ISERROR(VLOOKUP($T$247,'TAR FIN'!$A$1:$O$85,15,0)),0,VLOOKUP($T$247,'TAR FIN'!$A$1:$O$85,15,0))</f>
        <v>387.29</v>
      </c>
      <c r="X247" s="6">
        <f>IF(ISERROR(VLOOKUP($U$247,'TAR FIN'!$A$1:$O$85,15,0)),0,VLOOKUP($U$247,'TAR FIN'!$A$1:$O$85,15,0))</f>
        <v>196.87</v>
      </c>
      <c r="Y247" s="6"/>
      <c r="Z247" s="6">
        <f ca="1">('TUSD BE'!$AM$33+'TUSD BF'!$AM$33+'TUSD CVA'!$AM$33)*(1-CUSTOS!$M$38)</f>
        <v>464.7286080745173</v>
      </c>
      <c r="AA247" s="6">
        <f>('TE BE'!$AA$23+'TE BF'!$AA$23+'TE CVA'!$AA$23)*(1-CUSTOS!$M$38)</f>
        <v>204.57163525385519</v>
      </c>
      <c r="AB247" s="6">
        <f t="shared" si="12"/>
        <v>0</v>
      </c>
      <c r="AC247" s="6">
        <f>(L247-M247)*(W247+X247)+($W$184+$X$184-$W$247-$X$247)*(L247)</f>
        <v>121238.29802000003</v>
      </c>
      <c r="AD247" s="6">
        <f t="shared" si="13"/>
        <v>0</v>
      </c>
      <c r="AE247" s="6">
        <f ca="1">(L247-M247)*(Z247+AA247)+($Z$184+$AA$184-$Z$247-$AA$247)*(L247)</f>
        <v>65019.542389333103</v>
      </c>
      <c r="AF247" s="4" t="s">
        <v>563</v>
      </c>
    </row>
    <row r="248" spans="1:32" ht="11.25" customHeight="1" x14ac:dyDescent="0.25">
      <c r="A248" s="4" t="s">
        <v>28</v>
      </c>
      <c r="B248" s="4" t="s">
        <v>40</v>
      </c>
      <c r="C248" s="4" t="s">
        <v>23</v>
      </c>
      <c r="D248" s="4" t="s">
        <v>41</v>
      </c>
      <c r="E248" s="4" t="s">
        <v>50</v>
      </c>
      <c r="F248" s="4" t="s">
        <v>51</v>
      </c>
      <c r="G248" s="4" t="s">
        <v>25</v>
      </c>
      <c r="H248" s="4" t="s">
        <v>25</v>
      </c>
      <c r="I248" s="5">
        <v>44440</v>
      </c>
      <c r="J248" s="6">
        <v>0</v>
      </c>
      <c r="K248" s="6">
        <v>0</v>
      </c>
      <c r="L248" s="6">
        <v>0.1</v>
      </c>
      <c r="M248" s="6">
        <v>0.1</v>
      </c>
      <c r="N248" s="6">
        <v>0.1</v>
      </c>
      <c r="O248" s="6">
        <v>0.1</v>
      </c>
      <c r="P248" s="6">
        <v>0</v>
      </c>
      <c r="Q248" s="4" t="s">
        <v>26</v>
      </c>
      <c r="R248" s="4">
        <v>0</v>
      </c>
      <c r="S248" s="4">
        <v>0</v>
      </c>
      <c r="T248" s="4">
        <v>60</v>
      </c>
      <c r="U248" s="4">
        <v>16</v>
      </c>
      <c r="V248" s="6">
        <f>IF(ISERROR(VLOOKUP($S$248,'TAR FIN'!$A$1:$O$85,15,0)),0,VLOOKUP($S$248,'TAR FIN'!$A$1:$O$85,15,0))</f>
        <v>0</v>
      </c>
      <c r="W248" s="6">
        <f>IF(ISERROR(VLOOKUP($T$248,'TAR FIN'!$A$1:$O$85,15,0)),0,VLOOKUP($T$248,'TAR FIN'!$A$1:$O$85,15,0))</f>
        <v>387.29</v>
      </c>
      <c r="X248" s="6">
        <f>IF(ISERROR(VLOOKUP($U$248,'TAR FIN'!$A$1:$O$85,15,0)),0,VLOOKUP($U$248,'TAR FIN'!$A$1:$O$85,15,0))</f>
        <v>196.87</v>
      </c>
      <c r="Y248" s="6"/>
      <c r="Z248" s="6">
        <f ca="1">('TUSD BE'!$AM$33+'TUSD BF'!$AM$33+'TUSD CVA'!$AM$33)*(1-CUSTOS!$M$38)</f>
        <v>464.7286080745173</v>
      </c>
      <c r="AA248" s="6">
        <f>('TE BE'!$AA$23+'TE BF'!$AA$23+'TE CVA'!$AA$23)*(1-CUSTOS!$M$38)</f>
        <v>204.57163525385519</v>
      </c>
      <c r="AB248" s="6">
        <f t="shared" si="12"/>
        <v>0</v>
      </c>
      <c r="AC248" s="6">
        <f>(L248-M248)*(W248+X248)+($W$184+$X$184-$W$248-$X$248)*(L248)</f>
        <v>7.9660000000000029</v>
      </c>
      <c r="AD248" s="6">
        <f t="shared" si="13"/>
        <v>0</v>
      </c>
      <c r="AE248" s="6">
        <f ca="1">(L248-M248)*(Z248+AA248)+($Z$184+$AA$184-$Z$248-$AA$248)*(L248)</f>
        <v>4.2721292127342876</v>
      </c>
      <c r="AF248" s="4" t="s">
        <v>563</v>
      </c>
    </row>
    <row r="249" spans="1:32" ht="11.25" customHeight="1" x14ac:dyDescent="0.25">
      <c r="A249" s="4" t="s">
        <v>21</v>
      </c>
      <c r="B249" s="4" t="s">
        <v>40</v>
      </c>
      <c r="C249" s="4" t="s">
        <v>23</v>
      </c>
      <c r="D249" s="4" t="s">
        <v>41</v>
      </c>
      <c r="E249" s="4" t="s">
        <v>50</v>
      </c>
      <c r="F249" s="4" t="s">
        <v>51</v>
      </c>
      <c r="G249" s="4" t="s">
        <v>25</v>
      </c>
      <c r="H249" s="4" t="s">
        <v>25</v>
      </c>
      <c r="I249" s="5">
        <v>44470</v>
      </c>
      <c r="J249" s="6">
        <v>0</v>
      </c>
      <c r="K249" s="6">
        <v>0</v>
      </c>
      <c r="L249" s="6">
        <v>1443.8409999999999</v>
      </c>
      <c r="M249" s="6">
        <v>1443.8409999999999</v>
      </c>
      <c r="N249" s="6">
        <v>1443.8409999999999</v>
      </c>
      <c r="O249" s="6">
        <v>1443.8409999999999</v>
      </c>
      <c r="P249" s="6">
        <v>0</v>
      </c>
      <c r="Q249" s="4" t="s">
        <v>26</v>
      </c>
      <c r="R249" s="4">
        <v>0</v>
      </c>
      <c r="S249" s="4">
        <v>0</v>
      </c>
      <c r="T249" s="4">
        <v>60</v>
      </c>
      <c r="U249" s="4">
        <v>16</v>
      </c>
      <c r="V249" s="6">
        <f>IF(ISERROR(VLOOKUP($S$249,'TAR FIN'!$A$1:$O$85,15,0)),0,VLOOKUP($S$249,'TAR FIN'!$A$1:$O$85,15,0))</f>
        <v>0</v>
      </c>
      <c r="W249" s="6">
        <f>IF(ISERROR(VLOOKUP($T$249,'TAR FIN'!$A$1:$O$85,15,0)),0,VLOOKUP($T$249,'TAR FIN'!$A$1:$O$85,15,0))</f>
        <v>387.29</v>
      </c>
      <c r="X249" s="6">
        <f>IF(ISERROR(VLOOKUP($U$249,'TAR FIN'!$A$1:$O$85,15,0)),0,VLOOKUP($U$249,'TAR FIN'!$A$1:$O$85,15,0))</f>
        <v>196.87</v>
      </c>
      <c r="Y249" s="6"/>
      <c r="Z249" s="6">
        <f ca="1">('TUSD BE'!$AM$33+'TUSD BF'!$AM$33+'TUSD CVA'!$AM$33)*(1-CUSTOS!$M$38)</f>
        <v>464.7286080745173</v>
      </c>
      <c r="AA249" s="6">
        <f>('TE BE'!$AA$23+'TE BF'!$AA$23+'TE CVA'!$AA$23)*(1-CUSTOS!$M$38)</f>
        <v>204.57163525385519</v>
      </c>
      <c r="AB249" s="6">
        <f t="shared" si="12"/>
        <v>0</v>
      </c>
      <c r="AC249" s="6">
        <f>(L249-M249)*(W249+X249)+($W$184+$X$184-$W$249-$X$249)*(L249)</f>
        <v>115016.37406000003</v>
      </c>
      <c r="AD249" s="6">
        <f t="shared" si="13"/>
        <v>0</v>
      </c>
      <c r="AE249" s="6">
        <f ca="1">(L249-M249)*(Z249+AA249)+($Z$184+$AA$184-$Z$249-$AA$249)*(L249)</f>
        <v>61682.753146434865</v>
      </c>
      <c r="AF249" s="4" t="s">
        <v>563</v>
      </c>
    </row>
    <row r="250" spans="1:32" ht="11.25" customHeight="1" x14ac:dyDescent="0.25">
      <c r="A250" s="4" t="s">
        <v>28</v>
      </c>
      <c r="B250" s="4" t="s">
        <v>40</v>
      </c>
      <c r="C250" s="4" t="s">
        <v>23</v>
      </c>
      <c r="D250" s="4" t="s">
        <v>41</v>
      </c>
      <c r="E250" s="4" t="s">
        <v>50</v>
      </c>
      <c r="F250" s="4" t="s">
        <v>51</v>
      </c>
      <c r="G250" s="4" t="s">
        <v>25</v>
      </c>
      <c r="H250" s="4" t="s">
        <v>25</v>
      </c>
      <c r="I250" s="5">
        <v>44470</v>
      </c>
      <c r="J250" s="6">
        <v>0</v>
      </c>
      <c r="K250" s="6">
        <v>0</v>
      </c>
      <c r="L250" s="6">
        <v>7.3</v>
      </c>
      <c r="M250" s="6">
        <v>7.3</v>
      </c>
      <c r="N250" s="6">
        <v>7.3</v>
      </c>
      <c r="O250" s="6">
        <v>7.3</v>
      </c>
      <c r="P250" s="6">
        <v>0</v>
      </c>
      <c r="Q250" s="4" t="s">
        <v>26</v>
      </c>
      <c r="R250" s="4">
        <v>0</v>
      </c>
      <c r="S250" s="4">
        <v>0</v>
      </c>
      <c r="T250" s="4">
        <v>60</v>
      </c>
      <c r="U250" s="4">
        <v>16</v>
      </c>
      <c r="V250" s="6">
        <f>IF(ISERROR(VLOOKUP($S$250,'TAR FIN'!$A$1:$O$85,15,0)),0,VLOOKUP($S$250,'TAR FIN'!$A$1:$O$85,15,0))</f>
        <v>0</v>
      </c>
      <c r="W250" s="6">
        <f>IF(ISERROR(VLOOKUP($T$250,'TAR FIN'!$A$1:$O$85,15,0)),0,VLOOKUP($T$250,'TAR FIN'!$A$1:$O$85,15,0))</f>
        <v>387.29</v>
      </c>
      <c r="X250" s="6">
        <f>IF(ISERROR(VLOOKUP($U$250,'TAR FIN'!$A$1:$O$85,15,0)),0,VLOOKUP($U$250,'TAR FIN'!$A$1:$O$85,15,0))</f>
        <v>196.87</v>
      </c>
      <c r="Y250" s="6"/>
      <c r="Z250" s="6">
        <f ca="1">('TUSD BE'!$AM$33+'TUSD BF'!$AM$33+'TUSD CVA'!$AM$33)*(1-CUSTOS!$M$38)</f>
        <v>464.7286080745173</v>
      </c>
      <c r="AA250" s="6">
        <f>('TE BE'!$AA$23+'TE BF'!$AA$23+'TE CVA'!$AA$23)*(1-CUSTOS!$M$38)</f>
        <v>204.57163525385519</v>
      </c>
      <c r="AB250" s="6">
        <f t="shared" si="12"/>
        <v>0</v>
      </c>
      <c r="AC250" s="6">
        <f>(L250-M250)*(W250+X250)+($W$184+$X$184-$W$250-$X$250)*(L250)</f>
        <v>581.51800000000014</v>
      </c>
      <c r="AD250" s="6">
        <f t="shared" si="13"/>
        <v>0</v>
      </c>
      <c r="AE250" s="6">
        <f ca="1">(L250-M250)*(Z250+AA250)+($Z$184+$AA$184-$Z$250-$AA$250)*(L250)</f>
        <v>311.86543252960303</v>
      </c>
      <c r="AF250" s="4" t="s">
        <v>563</v>
      </c>
    </row>
    <row r="251" spans="1:32" ht="11.25" customHeight="1" x14ac:dyDescent="0.25">
      <c r="A251" s="4" t="s">
        <v>21</v>
      </c>
      <c r="B251" s="4" t="s">
        <v>40</v>
      </c>
      <c r="C251" s="4" t="s">
        <v>23</v>
      </c>
      <c r="D251" s="4" t="s">
        <v>41</v>
      </c>
      <c r="E251" s="4" t="s">
        <v>50</v>
      </c>
      <c r="F251" s="4" t="s">
        <v>51</v>
      </c>
      <c r="G251" s="4" t="s">
        <v>25</v>
      </c>
      <c r="H251" s="4" t="s">
        <v>25</v>
      </c>
      <c r="I251" s="5">
        <v>44501</v>
      </c>
      <c r="J251" s="6">
        <v>0</v>
      </c>
      <c r="K251" s="6">
        <v>0</v>
      </c>
      <c r="L251" s="6">
        <v>1907.675</v>
      </c>
      <c r="M251" s="6">
        <v>1907.675</v>
      </c>
      <c r="N251" s="6">
        <v>1907.675</v>
      </c>
      <c r="O251" s="6">
        <v>1907.675</v>
      </c>
      <c r="P251" s="6">
        <v>0</v>
      </c>
      <c r="Q251" s="4" t="s">
        <v>26</v>
      </c>
      <c r="R251" s="4">
        <v>0</v>
      </c>
      <c r="S251" s="4">
        <v>0</v>
      </c>
      <c r="T251" s="4">
        <v>60</v>
      </c>
      <c r="U251" s="4">
        <v>16</v>
      </c>
      <c r="V251" s="6">
        <f>IF(ISERROR(VLOOKUP($S$251,'TAR FIN'!$A$1:$O$85,15,0)),0,VLOOKUP($S$251,'TAR FIN'!$A$1:$O$85,15,0))</f>
        <v>0</v>
      </c>
      <c r="W251" s="6">
        <f>IF(ISERROR(VLOOKUP($T$251,'TAR FIN'!$A$1:$O$85,15,0)),0,VLOOKUP($T$251,'TAR FIN'!$A$1:$O$85,15,0))</f>
        <v>387.29</v>
      </c>
      <c r="X251" s="6">
        <f>IF(ISERROR(VLOOKUP($U$251,'TAR FIN'!$A$1:$O$85,15,0)),0,VLOOKUP($U$251,'TAR FIN'!$A$1:$O$85,15,0))</f>
        <v>196.87</v>
      </c>
      <c r="Y251" s="6"/>
      <c r="Z251" s="6">
        <f ca="1">('TUSD BE'!$AM$33+'TUSD BF'!$AM$33+'TUSD CVA'!$AM$33)*(1-CUSTOS!$M$38)</f>
        <v>464.7286080745173</v>
      </c>
      <c r="AA251" s="6">
        <f>('TE BE'!$AA$23+'TE BF'!$AA$23+'TE CVA'!$AA$23)*(1-CUSTOS!$M$38)</f>
        <v>204.57163525385519</v>
      </c>
      <c r="AB251" s="6">
        <f t="shared" si="12"/>
        <v>0</v>
      </c>
      <c r="AC251" s="6">
        <f>(L251-M251)*(W251+X251)+($W$184+$X$184-$W$251-$X$251)*(L251)</f>
        <v>151965.39050000004</v>
      </c>
      <c r="AD251" s="6">
        <f t="shared" si="13"/>
        <v>0</v>
      </c>
      <c r="AE251" s="6">
        <f ca="1">(L251-M251)*(Z251+AA251)+($Z$184+$AA$184-$Z$251-$AA$251)*(L251)</f>
        <v>81498.340959028821</v>
      </c>
      <c r="AF251" s="4" t="s">
        <v>563</v>
      </c>
    </row>
    <row r="252" spans="1:32" ht="11.25" customHeight="1" x14ac:dyDescent="0.25">
      <c r="A252" s="4" t="s">
        <v>28</v>
      </c>
      <c r="B252" s="4" t="s">
        <v>40</v>
      </c>
      <c r="C252" s="4" t="s">
        <v>23</v>
      </c>
      <c r="D252" s="4" t="s">
        <v>41</v>
      </c>
      <c r="E252" s="4" t="s">
        <v>50</v>
      </c>
      <c r="F252" s="4" t="s">
        <v>51</v>
      </c>
      <c r="G252" s="4" t="s">
        <v>25</v>
      </c>
      <c r="H252" s="4" t="s">
        <v>25</v>
      </c>
      <c r="I252" s="5">
        <v>44501</v>
      </c>
      <c r="J252" s="6">
        <v>0</v>
      </c>
      <c r="K252" s="6">
        <v>0</v>
      </c>
      <c r="L252" s="6">
        <v>25.234000000000002</v>
      </c>
      <c r="M252" s="6">
        <v>25.234000000000002</v>
      </c>
      <c r="N252" s="6">
        <v>25.234000000000002</v>
      </c>
      <c r="O252" s="6">
        <v>25.234000000000002</v>
      </c>
      <c r="P252" s="6">
        <v>0</v>
      </c>
      <c r="Q252" s="4" t="s">
        <v>26</v>
      </c>
      <c r="R252" s="4">
        <v>0</v>
      </c>
      <c r="S252" s="4">
        <v>0</v>
      </c>
      <c r="T252" s="4">
        <v>60</v>
      </c>
      <c r="U252" s="4">
        <v>16</v>
      </c>
      <c r="V252" s="6">
        <f>IF(ISERROR(VLOOKUP($S$252,'TAR FIN'!$A$1:$O$85,15,0)),0,VLOOKUP($S$252,'TAR FIN'!$A$1:$O$85,15,0))</f>
        <v>0</v>
      </c>
      <c r="W252" s="6">
        <f>IF(ISERROR(VLOOKUP($T$252,'TAR FIN'!$A$1:$O$85,15,0)),0,VLOOKUP($T$252,'TAR FIN'!$A$1:$O$85,15,0))</f>
        <v>387.29</v>
      </c>
      <c r="X252" s="6">
        <f>IF(ISERROR(VLOOKUP($U$252,'TAR FIN'!$A$1:$O$85,15,0)),0,VLOOKUP($U$252,'TAR FIN'!$A$1:$O$85,15,0))</f>
        <v>196.87</v>
      </c>
      <c r="Y252" s="6"/>
      <c r="Z252" s="6">
        <f ca="1">('TUSD BE'!$AM$33+'TUSD BF'!$AM$33+'TUSD CVA'!$AM$33)*(1-CUSTOS!$M$38)</f>
        <v>464.7286080745173</v>
      </c>
      <c r="AA252" s="6">
        <f>('TE BE'!$AA$23+'TE BF'!$AA$23+'TE CVA'!$AA$23)*(1-CUSTOS!$M$38)</f>
        <v>204.57163525385519</v>
      </c>
      <c r="AB252" s="6">
        <f t="shared" si="12"/>
        <v>0</v>
      </c>
      <c r="AC252" s="6">
        <f>(L252-M252)*(W252+X252)+($W$184+$X$184-$W$252-$X$252)*(L252)</f>
        <v>2010.1404400000008</v>
      </c>
      <c r="AD252" s="6">
        <f t="shared" si="13"/>
        <v>0</v>
      </c>
      <c r="AE252" s="6">
        <f ca="1">(L252-M252)*(Z252+AA252)+($Z$184+$AA$184-$Z$252-$AA$252)*(L252)</f>
        <v>1078.0290855413703</v>
      </c>
      <c r="AF252" s="4" t="s">
        <v>563</v>
      </c>
    </row>
    <row r="253" spans="1:32" ht="11.25" customHeight="1" x14ac:dyDescent="0.25">
      <c r="A253" s="4" t="s">
        <v>21</v>
      </c>
      <c r="B253" s="4" t="s">
        <v>40</v>
      </c>
      <c r="C253" s="4" t="s">
        <v>23</v>
      </c>
      <c r="D253" s="4" t="s">
        <v>41</v>
      </c>
      <c r="E253" s="4" t="s">
        <v>50</v>
      </c>
      <c r="F253" s="4" t="s">
        <v>51</v>
      </c>
      <c r="G253" s="4" t="s">
        <v>25</v>
      </c>
      <c r="H253" s="4" t="s">
        <v>25</v>
      </c>
      <c r="I253" s="5">
        <v>44531</v>
      </c>
      <c r="J253" s="6">
        <v>0</v>
      </c>
      <c r="K253" s="6">
        <v>0</v>
      </c>
      <c r="L253" s="6">
        <v>1652.027</v>
      </c>
      <c r="M253" s="6">
        <v>1652.027</v>
      </c>
      <c r="N253" s="6">
        <v>1652.027</v>
      </c>
      <c r="O253" s="6">
        <v>1652.027</v>
      </c>
      <c r="P253" s="6">
        <v>0</v>
      </c>
      <c r="Q253" s="4" t="s">
        <v>26</v>
      </c>
      <c r="R253" s="4">
        <v>0</v>
      </c>
      <c r="S253" s="4">
        <v>0</v>
      </c>
      <c r="T253" s="4">
        <v>60</v>
      </c>
      <c r="U253" s="4">
        <v>16</v>
      </c>
      <c r="V253" s="6">
        <f>IF(ISERROR(VLOOKUP($S$253,'TAR FIN'!$A$1:$O$85,15,0)),0,VLOOKUP($S$253,'TAR FIN'!$A$1:$O$85,15,0))</f>
        <v>0</v>
      </c>
      <c r="W253" s="6">
        <f>IF(ISERROR(VLOOKUP($T$253,'TAR FIN'!$A$1:$O$85,15,0)),0,VLOOKUP($T$253,'TAR FIN'!$A$1:$O$85,15,0))</f>
        <v>387.29</v>
      </c>
      <c r="X253" s="6">
        <f>IF(ISERROR(VLOOKUP($U$253,'TAR FIN'!$A$1:$O$85,15,0)),0,VLOOKUP($U$253,'TAR FIN'!$A$1:$O$85,15,0))</f>
        <v>196.87</v>
      </c>
      <c r="Y253" s="6"/>
      <c r="Z253" s="6">
        <f ca="1">('TUSD BE'!$AM$33+'TUSD BF'!$AM$33+'TUSD CVA'!$AM$33)*(1-CUSTOS!$M$38)</f>
        <v>464.7286080745173</v>
      </c>
      <c r="AA253" s="6">
        <f>('TE BE'!$AA$23+'TE BF'!$AA$23+'TE CVA'!$AA$23)*(1-CUSTOS!$M$38)</f>
        <v>204.57163525385519</v>
      </c>
      <c r="AB253" s="6">
        <f t="shared" si="12"/>
        <v>0</v>
      </c>
      <c r="AC253" s="6">
        <f>(L253-M253)*(W253+X253)+($W$184+$X$184-$W$253-$X$253)*(L253)</f>
        <v>131600.47082000005</v>
      </c>
      <c r="AD253" s="6">
        <f t="shared" si="13"/>
        <v>0</v>
      </c>
      <c r="AE253" s="6">
        <f ca="1">(L253-M253)*(Z253+AA253)+($Z$184+$AA$184-$Z$253-$AA$253)*(L253)</f>
        <v>70576.728069257879</v>
      </c>
      <c r="AF253" s="4" t="s">
        <v>563</v>
      </c>
    </row>
    <row r="254" spans="1:32" ht="11.25" customHeight="1" x14ac:dyDescent="0.25">
      <c r="A254" s="4" t="s">
        <v>27</v>
      </c>
      <c r="B254" s="4" t="s">
        <v>40</v>
      </c>
      <c r="C254" s="4" t="s">
        <v>23</v>
      </c>
      <c r="D254" s="4" t="s">
        <v>41</v>
      </c>
      <c r="E254" s="4" t="s">
        <v>50</v>
      </c>
      <c r="F254" s="4" t="s">
        <v>51</v>
      </c>
      <c r="G254" s="4" t="s">
        <v>25</v>
      </c>
      <c r="H254" s="4" t="s">
        <v>25</v>
      </c>
      <c r="I254" s="5">
        <v>44531</v>
      </c>
      <c r="J254" s="6">
        <v>0</v>
      </c>
      <c r="K254" s="6">
        <v>0</v>
      </c>
      <c r="L254" s="6">
        <v>120.685</v>
      </c>
      <c r="M254" s="6">
        <v>120.685</v>
      </c>
      <c r="N254" s="6">
        <v>120.685</v>
      </c>
      <c r="O254" s="6">
        <v>120.685</v>
      </c>
      <c r="P254" s="6">
        <v>0</v>
      </c>
      <c r="Q254" s="4" t="s">
        <v>26</v>
      </c>
      <c r="R254" s="4">
        <v>0</v>
      </c>
      <c r="S254" s="4">
        <v>0</v>
      </c>
      <c r="T254" s="4">
        <v>60</v>
      </c>
      <c r="U254" s="4">
        <v>16</v>
      </c>
      <c r="V254" s="6">
        <f>IF(ISERROR(VLOOKUP($S$254,'TAR FIN'!$A$1:$O$85,15,0)),0,VLOOKUP($S$254,'TAR FIN'!$A$1:$O$85,15,0))</f>
        <v>0</v>
      </c>
      <c r="W254" s="6">
        <f>IF(ISERROR(VLOOKUP($T$254,'TAR FIN'!$A$1:$O$85,15,0)),0,VLOOKUP($T$254,'TAR FIN'!$A$1:$O$85,15,0))</f>
        <v>387.29</v>
      </c>
      <c r="X254" s="6">
        <f>IF(ISERROR(VLOOKUP($U$254,'TAR FIN'!$A$1:$O$85,15,0)),0,VLOOKUP($U$254,'TAR FIN'!$A$1:$O$85,15,0))</f>
        <v>196.87</v>
      </c>
      <c r="Y254" s="6"/>
      <c r="Z254" s="6">
        <f ca="1">('TUSD BE'!$AM$33+'TUSD BF'!$AM$33+'TUSD CVA'!$AM$33)*(1-CUSTOS!$M$38)</f>
        <v>464.7286080745173</v>
      </c>
      <c r="AA254" s="6">
        <f>('TE BE'!$AA$23+'TE BF'!$AA$23+'TE CVA'!$AA$23)*(1-CUSTOS!$M$38)</f>
        <v>204.57163525385519</v>
      </c>
      <c r="AB254" s="6">
        <f t="shared" si="12"/>
        <v>0</v>
      </c>
      <c r="AC254" s="6">
        <f>(L254-M254)*(W254+X254)+($W$184+$X$184-$W$254-$X$254)*(L254)</f>
        <v>9613.7671000000028</v>
      </c>
      <c r="AD254" s="6">
        <f t="shared" si="13"/>
        <v>0</v>
      </c>
      <c r="AE254" s="6">
        <f ca="1">(L254-M254)*(Z254+AA254)+($Z$184+$AA$184-$Z$254-$AA$254)*(L254)</f>
        <v>5155.8191403883757</v>
      </c>
      <c r="AF254" s="4" t="s">
        <v>563</v>
      </c>
    </row>
    <row r="255" spans="1:32" ht="11.25" customHeight="1" x14ac:dyDescent="0.25">
      <c r="A255" s="4" t="s">
        <v>28</v>
      </c>
      <c r="B255" s="4" t="s">
        <v>40</v>
      </c>
      <c r="C255" s="4" t="s">
        <v>23</v>
      </c>
      <c r="D255" s="4" t="s">
        <v>41</v>
      </c>
      <c r="E255" s="4" t="s">
        <v>50</v>
      </c>
      <c r="F255" s="4" t="s">
        <v>51</v>
      </c>
      <c r="G255" s="4" t="s">
        <v>25</v>
      </c>
      <c r="H255" s="4" t="s">
        <v>25</v>
      </c>
      <c r="I255" s="5">
        <v>44531</v>
      </c>
      <c r="J255" s="6">
        <v>0</v>
      </c>
      <c r="K255" s="6">
        <v>0</v>
      </c>
      <c r="L255" s="6">
        <v>24.227</v>
      </c>
      <c r="M255" s="6">
        <v>24.227</v>
      </c>
      <c r="N255" s="6">
        <v>24.227</v>
      </c>
      <c r="O255" s="6">
        <v>24.227</v>
      </c>
      <c r="P255" s="6">
        <v>0</v>
      </c>
      <c r="Q255" s="4" t="s">
        <v>26</v>
      </c>
      <c r="R255" s="4">
        <v>0</v>
      </c>
      <c r="S255" s="4">
        <v>0</v>
      </c>
      <c r="T255" s="4">
        <v>60</v>
      </c>
      <c r="U255" s="4">
        <v>16</v>
      </c>
      <c r="V255" s="6">
        <f>IF(ISERROR(VLOOKUP($S$255,'TAR FIN'!$A$1:$O$85,15,0)),0,VLOOKUP($S$255,'TAR FIN'!$A$1:$O$85,15,0))</f>
        <v>0</v>
      </c>
      <c r="W255" s="6">
        <f>IF(ISERROR(VLOOKUP($T$255,'TAR FIN'!$A$1:$O$85,15,0)),0,VLOOKUP($T$255,'TAR FIN'!$A$1:$O$85,15,0))</f>
        <v>387.29</v>
      </c>
      <c r="X255" s="6">
        <f>IF(ISERROR(VLOOKUP($U$255,'TAR FIN'!$A$1:$O$85,15,0)),0,VLOOKUP($U$255,'TAR FIN'!$A$1:$O$85,15,0))</f>
        <v>196.87</v>
      </c>
      <c r="Y255" s="6"/>
      <c r="Z255" s="6">
        <f ca="1">('TUSD BE'!$AM$33+'TUSD BF'!$AM$33+'TUSD CVA'!$AM$33)*(1-CUSTOS!$M$38)</f>
        <v>464.7286080745173</v>
      </c>
      <c r="AA255" s="6">
        <f>('TE BE'!$AA$23+'TE BF'!$AA$23+'TE CVA'!$AA$23)*(1-CUSTOS!$M$38)</f>
        <v>204.57163525385519</v>
      </c>
      <c r="AB255" s="6">
        <f t="shared" si="12"/>
        <v>0</v>
      </c>
      <c r="AC255" s="6">
        <f>(L255-M255)*(W255+X255)+($W$184+$X$184-$W$255-$X$255)*(L255)</f>
        <v>1929.9228200000007</v>
      </c>
      <c r="AD255" s="6">
        <f t="shared" si="13"/>
        <v>0</v>
      </c>
      <c r="AE255" s="6">
        <f ca="1">(L255-M255)*(Z255+AA255)+($Z$184+$AA$184-$Z$255-$AA$255)*(L255)</f>
        <v>1035.0087443691359</v>
      </c>
      <c r="AF255" s="4" t="s">
        <v>563</v>
      </c>
    </row>
    <row r="256" spans="1:32" ht="11.25" customHeight="1" x14ac:dyDescent="0.25">
      <c r="A256" s="4" t="s">
        <v>21</v>
      </c>
      <c r="B256" s="4" t="s">
        <v>40</v>
      </c>
      <c r="C256" s="4" t="s">
        <v>23</v>
      </c>
      <c r="D256" s="4" t="s">
        <v>41</v>
      </c>
      <c r="E256" s="4" t="s">
        <v>50</v>
      </c>
      <c r="F256" s="4" t="s">
        <v>51</v>
      </c>
      <c r="G256" s="4" t="s">
        <v>25</v>
      </c>
      <c r="H256" s="4" t="s">
        <v>25</v>
      </c>
      <c r="I256" s="5">
        <v>44562</v>
      </c>
      <c r="J256" s="6">
        <v>0</v>
      </c>
      <c r="K256" s="6">
        <v>0</v>
      </c>
      <c r="L256" s="6">
        <v>1415.28</v>
      </c>
      <c r="M256" s="6">
        <v>1415.28</v>
      </c>
      <c r="N256" s="6">
        <v>1415.28</v>
      </c>
      <c r="O256" s="6">
        <v>1415.28</v>
      </c>
      <c r="P256" s="6">
        <v>0</v>
      </c>
      <c r="Q256" s="4" t="s">
        <v>26</v>
      </c>
      <c r="R256" s="4">
        <v>0</v>
      </c>
      <c r="S256" s="4">
        <v>0</v>
      </c>
      <c r="T256" s="4">
        <v>60</v>
      </c>
      <c r="U256" s="4">
        <v>16</v>
      </c>
      <c r="V256" s="6">
        <f>IF(ISERROR(VLOOKUP($S$256,'TAR FIN'!$A$1:$O$85,15,0)),0,VLOOKUP($S$256,'TAR FIN'!$A$1:$O$85,15,0))</f>
        <v>0</v>
      </c>
      <c r="W256" s="6">
        <f>IF(ISERROR(VLOOKUP($T$256,'TAR FIN'!$A$1:$O$85,15,0)),0,VLOOKUP($T$256,'TAR FIN'!$A$1:$O$85,15,0))</f>
        <v>387.29</v>
      </c>
      <c r="X256" s="6">
        <f>IF(ISERROR(VLOOKUP($U$256,'TAR FIN'!$A$1:$O$85,15,0)),0,VLOOKUP($U$256,'TAR FIN'!$A$1:$O$85,15,0))</f>
        <v>196.87</v>
      </c>
      <c r="Y256" s="6"/>
      <c r="Z256" s="6">
        <f ca="1">('TUSD BE'!$AM$33+'TUSD BF'!$AM$33+'TUSD CVA'!$AM$33)*(1-CUSTOS!$M$38)</f>
        <v>464.7286080745173</v>
      </c>
      <c r="AA256" s="6">
        <f>('TE BE'!$AA$23+'TE BF'!$AA$23+'TE CVA'!$AA$23)*(1-CUSTOS!$M$38)</f>
        <v>204.57163525385519</v>
      </c>
      <c r="AB256" s="6">
        <f t="shared" si="12"/>
        <v>0</v>
      </c>
      <c r="AC256" s="6">
        <f>(L256-M256)*(W256+X256)+($W$184+$X$184-$W$256-$X$256)*(L256)</f>
        <v>112741.20480000004</v>
      </c>
      <c r="AD256" s="6">
        <f t="shared" si="13"/>
        <v>0</v>
      </c>
      <c r="AE256" s="6">
        <f ca="1">(L256-M256)*(Z256+AA256)+($Z$184+$AA$184-$Z$256-$AA$256)*(L256)</f>
        <v>60462.59032198583</v>
      </c>
      <c r="AF256" s="4" t="s">
        <v>563</v>
      </c>
    </row>
    <row r="257" spans="1:32" ht="11.25" customHeight="1" x14ac:dyDescent="0.25">
      <c r="A257" s="4" t="s">
        <v>28</v>
      </c>
      <c r="B257" s="4" t="s">
        <v>40</v>
      </c>
      <c r="C257" s="4" t="s">
        <v>23</v>
      </c>
      <c r="D257" s="4" t="s">
        <v>41</v>
      </c>
      <c r="E257" s="4" t="s">
        <v>50</v>
      </c>
      <c r="F257" s="4" t="s">
        <v>51</v>
      </c>
      <c r="G257" s="4" t="s">
        <v>25</v>
      </c>
      <c r="H257" s="4" t="s">
        <v>25</v>
      </c>
      <c r="I257" s="5">
        <v>44562</v>
      </c>
      <c r="J257" s="6">
        <v>0</v>
      </c>
      <c r="K257" s="6">
        <v>0</v>
      </c>
      <c r="L257" s="6">
        <v>10.531000000000001</v>
      </c>
      <c r="M257" s="6">
        <v>10.531000000000001</v>
      </c>
      <c r="N257" s="6">
        <v>10.531000000000001</v>
      </c>
      <c r="O257" s="6">
        <v>10.531000000000001</v>
      </c>
      <c r="P257" s="6">
        <v>0</v>
      </c>
      <c r="Q257" s="4" t="s">
        <v>26</v>
      </c>
      <c r="R257" s="4">
        <v>0</v>
      </c>
      <c r="S257" s="4">
        <v>0</v>
      </c>
      <c r="T257" s="4">
        <v>60</v>
      </c>
      <c r="U257" s="4">
        <v>16</v>
      </c>
      <c r="V257" s="6">
        <f>IF(ISERROR(VLOOKUP($S$257,'TAR FIN'!$A$1:$O$85,15,0)),0,VLOOKUP($S$257,'TAR FIN'!$A$1:$O$85,15,0))</f>
        <v>0</v>
      </c>
      <c r="W257" s="6">
        <f>IF(ISERROR(VLOOKUP($T$257,'TAR FIN'!$A$1:$O$85,15,0)),0,VLOOKUP($T$257,'TAR FIN'!$A$1:$O$85,15,0))</f>
        <v>387.29</v>
      </c>
      <c r="X257" s="6">
        <f>IF(ISERROR(VLOOKUP($U$257,'TAR FIN'!$A$1:$O$85,15,0)),0,VLOOKUP($U$257,'TAR FIN'!$A$1:$O$85,15,0))</f>
        <v>196.87</v>
      </c>
      <c r="Y257" s="6"/>
      <c r="Z257" s="6">
        <f ca="1">('TUSD BE'!$AM$33+'TUSD BF'!$AM$33+'TUSD CVA'!$AM$33)*(1-CUSTOS!$M$38)</f>
        <v>464.7286080745173</v>
      </c>
      <c r="AA257" s="6">
        <f>('TE BE'!$AA$23+'TE BF'!$AA$23+'TE CVA'!$AA$23)*(1-CUSTOS!$M$38)</f>
        <v>204.57163525385519</v>
      </c>
      <c r="AB257" s="6">
        <f t="shared" si="12"/>
        <v>0</v>
      </c>
      <c r="AC257" s="6">
        <f>(L257-M257)*(W257+X257)+($W$184+$X$184-$W$257-$X$257)*(L257)</f>
        <v>838.89946000000032</v>
      </c>
      <c r="AD257" s="6">
        <f t="shared" si="13"/>
        <v>0</v>
      </c>
      <c r="AE257" s="6">
        <f ca="1">(L257-M257)*(Z257+AA257)+($Z$184+$AA$184-$Z$257-$AA$257)*(L257)</f>
        <v>449.89792739304789</v>
      </c>
      <c r="AF257" s="4" t="s">
        <v>563</v>
      </c>
    </row>
    <row r="258" spans="1:32" ht="11.25" customHeight="1" x14ac:dyDescent="0.25">
      <c r="A258" s="4" t="s">
        <v>21</v>
      </c>
      <c r="B258" s="4" t="s">
        <v>40</v>
      </c>
      <c r="C258" s="4" t="s">
        <v>23</v>
      </c>
      <c r="D258" s="4" t="s">
        <v>41</v>
      </c>
      <c r="E258" s="4" t="s">
        <v>50</v>
      </c>
      <c r="F258" s="4" t="s">
        <v>51</v>
      </c>
      <c r="G258" s="4" t="s">
        <v>25</v>
      </c>
      <c r="H258" s="4" t="s">
        <v>25</v>
      </c>
      <c r="I258" s="5">
        <v>44593</v>
      </c>
      <c r="J258" s="6">
        <v>0</v>
      </c>
      <c r="K258" s="6">
        <v>0</v>
      </c>
      <c r="L258" s="6">
        <v>1298.3779999999999</v>
      </c>
      <c r="M258" s="6">
        <v>1298.3779999999999</v>
      </c>
      <c r="N258" s="6">
        <v>1298.3779999999999</v>
      </c>
      <c r="O258" s="6">
        <v>1298.3779999999999</v>
      </c>
      <c r="P258" s="6">
        <v>0</v>
      </c>
      <c r="Q258" s="4" t="s">
        <v>26</v>
      </c>
      <c r="R258" s="4">
        <v>0</v>
      </c>
      <c r="S258" s="4">
        <v>0</v>
      </c>
      <c r="T258" s="4">
        <v>60</v>
      </c>
      <c r="U258" s="4">
        <v>16</v>
      </c>
      <c r="V258" s="6">
        <f>IF(ISERROR(VLOOKUP($S$258,'TAR FIN'!$A$1:$O$85,15,0)),0,VLOOKUP($S$258,'TAR FIN'!$A$1:$O$85,15,0))</f>
        <v>0</v>
      </c>
      <c r="W258" s="6">
        <f>IF(ISERROR(VLOOKUP($T$258,'TAR FIN'!$A$1:$O$85,15,0)),0,VLOOKUP($T$258,'TAR FIN'!$A$1:$O$85,15,0))</f>
        <v>387.29</v>
      </c>
      <c r="X258" s="6">
        <f>IF(ISERROR(VLOOKUP($U$258,'TAR FIN'!$A$1:$O$85,15,0)),0,VLOOKUP($U$258,'TAR FIN'!$A$1:$O$85,15,0))</f>
        <v>196.87</v>
      </c>
      <c r="Y258" s="6"/>
      <c r="Z258" s="6">
        <f ca="1">('TUSD BE'!$AM$33+'TUSD BF'!$AM$33+'TUSD CVA'!$AM$33)*(1-CUSTOS!$M$38)</f>
        <v>464.7286080745173</v>
      </c>
      <c r="AA258" s="6">
        <f>('TE BE'!$AA$23+'TE BF'!$AA$23+'TE CVA'!$AA$23)*(1-CUSTOS!$M$38)</f>
        <v>204.57163525385519</v>
      </c>
      <c r="AB258" s="6">
        <f t="shared" ref="AB258:AB321" si="14">(J258-K258)*V258</f>
        <v>0</v>
      </c>
      <c r="AC258" s="6">
        <f>(L258-M258)*(W258+X258)+($W$184+$X$184-$W$258-$X$258)*(L258)</f>
        <v>103428.79148000003</v>
      </c>
      <c r="AD258" s="6">
        <f t="shared" ref="AD258:AD321" si="15">(J258-K258)*Y258</f>
        <v>0</v>
      </c>
      <c r="AE258" s="6">
        <f ca="1">(L258-M258)*(Z258+AA258)+($Z$184+$AA$184-$Z$258-$AA$258)*(L258)</f>
        <v>55468.385829715189</v>
      </c>
      <c r="AF258" s="4" t="s">
        <v>563</v>
      </c>
    </row>
    <row r="259" spans="1:32" ht="11.25" customHeight="1" x14ac:dyDescent="0.25">
      <c r="A259" s="4" t="s">
        <v>28</v>
      </c>
      <c r="B259" s="4" t="s">
        <v>40</v>
      </c>
      <c r="C259" s="4" t="s">
        <v>23</v>
      </c>
      <c r="D259" s="4" t="s">
        <v>41</v>
      </c>
      <c r="E259" s="4" t="s">
        <v>50</v>
      </c>
      <c r="F259" s="4" t="s">
        <v>51</v>
      </c>
      <c r="G259" s="4" t="s">
        <v>25</v>
      </c>
      <c r="H259" s="4" t="s">
        <v>25</v>
      </c>
      <c r="I259" s="5">
        <v>44593</v>
      </c>
      <c r="J259" s="6">
        <v>0</v>
      </c>
      <c r="K259" s="6">
        <v>0</v>
      </c>
      <c r="L259" s="6">
        <v>17.302</v>
      </c>
      <c r="M259" s="6">
        <v>17.302</v>
      </c>
      <c r="N259" s="6">
        <v>17.302</v>
      </c>
      <c r="O259" s="6">
        <v>17.302</v>
      </c>
      <c r="P259" s="6">
        <v>0</v>
      </c>
      <c r="Q259" s="4" t="s">
        <v>26</v>
      </c>
      <c r="R259" s="4">
        <v>0</v>
      </c>
      <c r="S259" s="4">
        <v>0</v>
      </c>
      <c r="T259" s="4">
        <v>60</v>
      </c>
      <c r="U259" s="4">
        <v>16</v>
      </c>
      <c r="V259" s="6">
        <f>IF(ISERROR(VLOOKUP($S$259,'TAR FIN'!$A$1:$O$85,15,0)),0,VLOOKUP($S$259,'TAR FIN'!$A$1:$O$85,15,0))</f>
        <v>0</v>
      </c>
      <c r="W259" s="6">
        <f>IF(ISERROR(VLOOKUP($T$259,'TAR FIN'!$A$1:$O$85,15,0)),0,VLOOKUP($T$259,'TAR FIN'!$A$1:$O$85,15,0))</f>
        <v>387.29</v>
      </c>
      <c r="X259" s="6">
        <f>IF(ISERROR(VLOOKUP($U$259,'TAR FIN'!$A$1:$O$85,15,0)),0,VLOOKUP($U$259,'TAR FIN'!$A$1:$O$85,15,0))</f>
        <v>196.87</v>
      </c>
      <c r="Y259" s="6"/>
      <c r="Z259" s="6">
        <f ca="1">('TUSD BE'!$AM$33+'TUSD BF'!$AM$33+'TUSD CVA'!$AM$33)*(1-CUSTOS!$M$38)</f>
        <v>464.7286080745173</v>
      </c>
      <c r="AA259" s="6">
        <f>('TE BE'!$AA$23+'TE BF'!$AA$23+'TE CVA'!$AA$23)*(1-CUSTOS!$M$38)</f>
        <v>204.57163525385519</v>
      </c>
      <c r="AB259" s="6">
        <f t="shared" si="14"/>
        <v>0</v>
      </c>
      <c r="AC259" s="6">
        <f>(L259-M259)*(W259+X259)+($W$184+$X$184-$W$259-$X$259)*(L259)</f>
        <v>1378.2773200000004</v>
      </c>
      <c r="AD259" s="6">
        <f t="shared" si="15"/>
        <v>0</v>
      </c>
      <c r="AE259" s="6">
        <f ca="1">(L259-M259)*(Z259+AA259)+($Z$184+$AA$184-$Z$259-$AA$259)*(L259)</f>
        <v>739.16379638728642</v>
      </c>
      <c r="AF259" s="4" t="s">
        <v>563</v>
      </c>
    </row>
    <row r="260" spans="1:32" ht="11.25" customHeight="1" x14ac:dyDescent="0.25">
      <c r="A260" s="4" t="s">
        <v>54</v>
      </c>
      <c r="B260" s="4" t="s">
        <v>40</v>
      </c>
      <c r="C260" s="4" t="s">
        <v>23</v>
      </c>
      <c r="D260" s="4" t="s">
        <v>41</v>
      </c>
      <c r="E260" s="4" t="s">
        <v>50</v>
      </c>
      <c r="F260" s="4" t="s">
        <v>51</v>
      </c>
      <c r="G260" s="4" t="s">
        <v>25</v>
      </c>
      <c r="H260" s="4" t="s">
        <v>25</v>
      </c>
      <c r="I260" s="5">
        <v>44621</v>
      </c>
      <c r="J260" s="6">
        <v>0</v>
      </c>
      <c r="K260" s="6">
        <v>0</v>
      </c>
      <c r="L260" s="6">
        <v>1298.3779999999999</v>
      </c>
      <c r="M260" s="6">
        <v>1298.3779999999999</v>
      </c>
      <c r="N260" s="6">
        <v>1298.3779999999999</v>
      </c>
      <c r="O260" s="6">
        <v>1298.3779999999999</v>
      </c>
      <c r="P260" s="6">
        <v>0</v>
      </c>
      <c r="Q260" s="4" t="s">
        <v>26</v>
      </c>
      <c r="R260" s="4">
        <v>0</v>
      </c>
      <c r="S260" s="4">
        <v>0</v>
      </c>
      <c r="T260" s="4">
        <v>60</v>
      </c>
      <c r="U260" s="4">
        <v>16</v>
      </c>
      <c r="V260" s="6">
        <f>IF(ISERROR(VLOOKUP($S$260,'TAR FIN'!$A$1:$O$85,15,0)),0,VLOOKUP($S$260,'TAR FIN'!$A$1:$O$85,15,0))</f>
        <v>0</v>
      </c>
      <c r="W260" s="6">
        <f>IF(ISERROR(VLOOKUP($T$260,'TAR FIN'!$A$1:$O$85,15,0)),0,VLOOKUP($T$260,'TAR FIN'!$A$1:$O$85,15,0))</f>
        <v>387.29</v>
      </c>
      <c r="X260" s="6">
        <f>IF(ISERROR(VLOOKUP($U$260,'TAR FIN'!$A$1:$O$85,15,0)),0,VLOOKUP($U$260,'TAR FIN'!$A$1:$O$85,15,0))</f>
        <v>196.87</v>
      </c>
      <c r="Y260" s="6"/>
      <c r="Z260" s="6">
        <f ca="1">('TUSD BE'!$AM$33+'TUSD BF'!$AM$33+'TUSD CVA'!$AM$33)*(1-CUSTOS!$M$38)</f>
        <v>464.7286080745173</v>
      </c>
      <c r="AA260" s="6">
        <f>('TE BE'!$AA$23+'TE BF'!$AA$23+'TE CVA'!$AA$23)*(1-CUSTOS!$M$38)</f>
        <v>204.57163525385519</v>
      </c>
      <c r="AB260" s="6">
        <f t="shared" si="14"/>
        <v>0</v>
      </c>
      <c r="AC260" s="6">
        <f>(L260-M260)*(W260+X260)+($W$184+$X$184-$W$260-$X$260)*(L260)</f>
        <v>103428.79148000003</v>
      </c>
      <c r="AD260" s="6">
        <f t="shared" si="15"/>
        <v>0</v>
      </c>
      <c r="AE260" s="6">
        <f ca="1">(L260-M260)*(Z260+AA260)+($Z$184+$AA$184-$Z$260-$AA$260)*(L260)</f>
        <v>55468.385829715189</v>
      </c>
      <c r="AF260" s="4" t="s">
        <v>563</v>
      </c>
    </row>
    <row r="261" spans="1:32" ht="11.25" customHeight="1" x14ac:dyDescent="0.25">
      <c r="A261" s="4" t="s">
        <v>54</v>
      </c>
      <c r="B261" s="4" t="s">
        <v>40</v>
      </c>
      <c r="C261" s="4" t="s">
        <v>23</v>
      </c>
      <c r="D261" s="4" t="s">
        <v>41</v>
      </c>
      <c r="E261" s="4" t="s">
        <v>50</v>
      </c>
      <c r="F261" s="4" t="s">
        <v>51</v>
      </c>
      <c r="G261" s="4" t="s">
        <v>25</v>
      </c>
      <c r="H261" s="4" t="s">
        <v>25</v>
      </c>
      <c r="I261" s="5">
        <v>44621</v>
      </c>
      <c r="J261" s="6">
        <v>0</v>
      </c>
      <c r="K261" s="6">
        <v>0</v>
      </c>
      <c r="L261" s="6">
        <v>17.302</v>
      </c>
      <c r="M261" s="6">
        <v>17.302</v>
      </c>
      <c r="N261" s="6">
        <v>17.302</v>
      </c>
      <c r="O261" s="6">
        <v>17.302</v>
      </c>
      <c r="P261" s="6">
        <v>0</v>
      </c>
      <c r="Q261" s="4" t="s">
        <v>26</v>
      </c>
      <c r="R261" s="4">
        <v>0</v>
      </c>
      <c r="S261" s="4">
        <v>0</v>
      </c>
      <c r="T261" s="4">
        <v>60</v>
      </c>
      <c r="U261" s="4">
        <v>16</v>
      </c>
      <c r="V261" s="6">
        <f>IF(ISERROR(VLOOKUP($S$261,'TAR FIN'!$A$1:$O$85,15,0)),0,VLOOKUP($S$261,'TAR FIN'!$A$1:$O$85,15,0))</f>
        <v>0</v>
      </c>
      <c r="W261" s="6">
        <f>IF(ISERROR(VLOOKUP($T$261,'TAR FIN'!$A$1:$O$85,15,0)),0,VLOOKUP($T$261,'TAR FIN'!$A$1:$O$85,15,0))</f>
        <v>387.29</v>
      </c>
      <c r="X261" s="6">
        <f>IF(ISERROR(VLOOKUP($U$261,'TAR FIN'!$A$1:$O$85,15,0)),0,VLOOKUP($U$261,'TAR FIN'!$A$1:$O$85,15,0))</f>
        <v>196.87</v>
      </c>
      <c r="Y261" s="6"/>
      <c r="Z261" s="6">
        <f ca="1">('TUSD BE'!$AM$33+'TUSD BF'!$AM$33+'TUSD CVA'!$AM$33)*(1-CUSTOS!$M$38)</f>
        <v>464.7286080745173</v>
      </c>
      <c r="AA261" s="6">
        <f>('TE BE'!$AA$23+'TE BF'!$AA$23+'TE CVA'!$AA$23)*(1-CUSTOS!$M$38)</f>
        <v>204.57163525385519</v>
      </c>
      <c r="AB261" s="6">
        <f t="shared" si="14"/>
        <v>0</v>
      </c>
      <c r="AC261" s="6">
        <f>(L261-M261)*(W261+X261)+($W$184+$X$184-$W$261-$X$261)*(L261)</f>
        <v>1378.2773200000004</v>
      </c>
      <c r="AD261" s="6">
        <f t="shared" si="15"/>
        <v>0</v>
      </c>
      <c r="AE261" s="6">
        <f ca="1">(L261-M261)*(Z261+AA261)+($Z$184+$AA$184-$Z$261-$AA$261)*(L261)</f>
        <v>739.16379638728642</v>
      </c>
      <c r="AF261" s="4" t="s">
        <v>563</v>
      </c>
    </row>
    <row r="262" spans="1:32" ht="11.25" customHeight="1" x14ac:dyDescent="0.25">
      <c r="A262" s="4" t="s">
        <v>21</v>
      </c>
      <c r="B262" s="4" t="s">
        <v>40</v>
      </c>
      <c r="C262" s="4" t="s">
        <v>23</v>
      </c>
      <c r="D262" s="4" t="s">
        <v>41</v>
      </c>
      <c r="E262" s="4" t="s">
        <v>50</v>
      </c>
      <c r="F262" s="4" t="s">
        <v>52</v>
      </c>
      <c r="G262" s="4" t="s">
        <v>25</v>
      </c>
      <c r="H262" s="4" t="s">
        <v>25</v>
      </c>
      <c r="I262" s="5">
        <v>44287</v>
      </c>
      <c r="J262" s="6">
        <v>0</v>
      </c>
      <c r="K262" s="6">
        <v>0</v>
      </c>
      <c r="L262" s="6">
        <v>1064.1079999999999</v>
      </c>
      <c r="M262" s="6">
        <v>425.64319999999998</v>
      </c>
      <c r="N262" s="6">
        <v>1064.1079999999999</v>
      </c>
      <c r="O262" s="6">
        <v>425.64319999999998</v>
      </c>
      <c r="P262" s="6">
        <v>0</v>
      </c>
      <c r="Q262" s="4" t="s">
        <v>26</v>
      </c>
      <c r="R262" s="4">
        <v>0</v>
      </c>
      <c r="S262" s="4">
        <v>0</v>
      </c>
      <c r="T262" s="4">
        <v>60</v>
      </c>
      <c r="U262" s="4">
        <v>16</v>
      </c>
      <c r="V262" s="6">
        <f>IF(ISERROR(VLOOKUP($S$262,'TAR FIN'!$A$1:$O$85,15,0)),0,VLOOKUP($S$262,'TAR FIN'!$A$1:$O$85,15,0))</f>
        <v>0</v>
      </c>
      <c r="W262" s="6">
        <f>IF(ISERROR(VLOOKUP($T$262,'TAR FIN'!$A$1:$O$85,15,0)),0,VLOOKUP($T$262,'TAR FIN'!$A$1:$O$85,15,0))</f>
        <v>387.29</v>
      </c>
      <c r="X262" s="6">
        <f>IF(ISERROR(VLOOKUP($U$262,'TAR FIN'!$A$1:$O$85,15,0)),0,VLOOKUP($U$262,'TAR FIN'!$A$1:$O$85,15,0))</f>
        <v>196.87</v>
      </c>
      <c r="Y262" s="6"/>
      <c r="Z262" s="6">
        <f ca="1">('TUSD BE'!$AM$33+'TUSD BF'!$AM$33+'TUSD CVA'!$AM$33)*(1-CUSTOS!$M$38)</f>
        <v>464.7286080745173</v>
      </c>
      <c r="AA262" s="6">
        <f>('TE BE'!$AA$23+'TE BF'!$AA$23+'TE CVA'!$AA$23)*(1-CUSTOS!$M$38)</f>
        <v>204.57163525385519</v>
      </c>
      <c r="AB262" s="6">
        <f t="shared" si="14"/>
        <v>0</v>
      </c>
      <c r="AC262" s="6">
        <f>(L262-M262)*(W262+X262)+($W$184+$X$184-$W$262-$X$262)*(L262)</f>
        <v>457732.44084800006</v>
      </c>
      <c r="AD262" s="6">
        <f t="shared" si="15"/>
        <v>0</v>
      </c>
      <c r="AE262" s="6">
        <f ca="1">(L262-M262)*(Z262+AA262)+($Z$184+$AA$184-$Z$262-$AA$262)*(L262)</f>
        <v>472784.71471964323</v>
      </c>
      <c r="AF262" s="4" t="s">
        <v>564</v>
      </c>
    </row>
    <row r="263" spans="1:32" ht="11.25" customHeight="1" x14ac:dyDescent="0.25">
      <c r="A263" s="4" t="s">
        <v>21</v>
      </c>
      <c r="B263" s="4" t="s">
        <v>40</v>
      </c>
      <c r="C263" s="4" t="s">
        <v>23</v>
      </c>
      <c r="D263" s="4" t="s">
        <v>41</v>
      </c>
      <c r="E263" s="4" t="s">
        <v>50</v>
      </c>
      <c r="F263" s="4" t="s">
        <v>52</v>
      </c>
      <c r="G263" s="4" t="s">
        <v>25</v>
      </c>
      <c r="H263" s="4" t="s">
        <v>25</v>
      </c>
      <c r="I263" s="5">
        <v>44317</v>
      </c>
      <c r="J263" s="6">
        <v>0</v>
      </c>
      <c r="K263" s="6">
        <v>0</v>
      </c>
      <c r="L263" s="6">
        <v>1083.645</v>
      </c>
      <c r="M263" s="6">
        <v>433.45800000000003</v>
      </c>
      <c r="N263" s="6">
        <v>1083.645</v>
      </c>
      <c r="O263" s="6">
        <v>433.45800000000003</v>
      </c>
      <c r="P263" s="6">
        <v>0</v>
      </c>
      <c r="Q263" s="4" t="s">
        <v>26</v>
      </c>
      <c r="R263" s="4">
        <v>0</v>
      </c>
      <c r="S263" s="4">
        <v>0</v>
      </c>
      <c r="T263" s="4">
        <v>60</v>
      </c>
      <c r="U263" s="4">
        <v>16</v>
      </c>
      <c r="V263" s="6">
        <f>IF(ISERROR(VLOOKUP($S$263,'TAR FIN'!$A$1:$O$85,15,0)),0,VLOOKUP($S$263,'TAR FIN'!$A$1:$O$85,15,0))</f>
        <v>0</v>
      </c>
      <c r="W263" s="6">
        <f>IF(ISERROR(VLOOKUP($T$263,'TAR FIN'!$A$1:$O$85,15,0)),0,VLOOKUP($T$263,'TAR FIN'!$A$1:$O$85,15,0))</f>
        <v>387.29</v>
      </c>
      <c r="X263" s="6">
        <f>IF(ISERROR(VLOOKUP($U$263,'TAR FIN'!$A$1:$O$85,15,0)),0,VLOOKUP($U$263,'TAR FIN'!$A$1:$O$85,15,0))</f>
        <v>196.87</v>
      </c>
      <c r="Y263" s="6"/>
      <c r="Z263" s="6">
        <f ca="1">('TUSD BE'!$AM$33+'TUSD BF'!$AM$33+'TUSD CVA'!$AM$33)*(1-CUSTOS!$M$38)</f>
        <v>464.7286080745173</v>
      </c>
      <c r="AA263" s="6">
        <f>('TE BE'!$AA$23+'TE BF'!$AA$23+'TE CVA'!$AA$23)*(1-CUSTOS!$M$38)</f>
        <v>204.57163525385519</v>
      </c>
      <c r="AB263" s="6">
        <f t="shared" si="14"/>
        <v>0</v>
      </c>
      <c r="AC263" s="6">
        <f>(L263-M263)*(W263+X263)+($W$184+$X$184-$W$263-$X$263)*(L263)</f>
        <v>466136.39861999999</v>
      </c>
      <c r="AD263" s="6">
        <f t="shared" si="15"/>
        <v>0</v>
      </c>
      <c r="AE263" s="6">
        <f ca="1">(L263-M263)*(Z263+AA263)+($Z$184+$AA$184-$Z$263-$AA$263)*(L263)</f>
        <v>481465.03191627894</v>
      </c>
      <c r="AF263" s="4" t="s">
        <v>564</v>
      </c>
    </row>
    <row r="264" spans="1:32" ht="11.25" customHeight="1" x14ac:dyDescent="0.25">
      <c r="A264" s="4" t="s">
        <v>28</v>
      </c>
      <c r="B264" s="4" t="s">
        <v>40</v>
      </c>
      <c r="C264" s="4" t="s">
        <v>23</v>
      </c>
      <c r="D264" s="4" t="s">
        <v>41</v>
      </c>
      <c r="E264" s="4" t="s">
        <v>50</v>
      </c>
      <c r="F264" s="4" t="s">
        <v>52</v>
      </c>
      <c r="G264" s="4" t="s">
        <v>25</v>
      </c>
      <c r="H264" s="4" t="s">
        <v>25</v>
      </c>
      <c r="I264" s="5">
        <v>44317</v>
      </c>
      <c r="J264" s="6">
        <v>0</v>
      </c>
      <c r="K264" s="6">
        <v>0</v>
      </c>
      <c r="L264" s="6">
        <v>10.56</v>
      </c>
      <c r="M264" s="6">
        <v>10.56</v>
      </c>
      <c r="N264" s="6">
        <v>10.56</v>
      </c>
      <c r="O264" s="6">
        <v>10.56</v>
      </c>
      <c r="P264" s="6">
        <v>0</v>
      </c>
      <c r="Q264" s="4" t="s">
        <v>26</v>
      </c>
      <c r="R264" s="4">
        <v>0</v>
      </c>
      <c r="S264" s="4">
        <v>0</v>
      </c>
      <c r="T264" s="4">
        <v>60</v>
      </c>
      <c r="U264" s="4">
        <v>16</v>
      </c>
      <c r="V264" s="6">
        <f>IF(ISERROR(VLOOKUP($S$264,'TAR FIN'!$A$1:$O$85,15,0)),0,VLOOKUP($S$264,'TAR FIN'!$A$1:$O$85,15,0))</f>
        <v>0</v>
      </c>
      <c r="W264" s="6">
        <f>IF(ISERROR(VLOOKUP($T$264,'TAR FIN'!$A$1:$O$85,15,0)),0,VLOOKUP($T$264,'TAR FIN'!$A$1:$O$85,15,0))</f>
        <v>387.29</v>
      </c>
      <c r="X264" s="6">
        <f>IF(ISERROR(VLOOKUP($U$264,'TAR FIN'!$A$1:$O$85,15,0)),0,VLOOKUP($U$264,'TAR FIN'!$A$1:$O$85,15,0))</f>
        <v>196.87</v>
      </c>
      <c r="Y264" s="6"/>
      <c r="Z264" s="6">
        <f ca="1">('TUSD BE'!$AM$33+'TUSD BF'!$AM$33+'TUSD CVA'!$AM$33)*(1-CUSTOS!$M$38)</f>
        <v>464.7286080745173</v>
      </c>
      <c r="AA264" s="6">
        <f>('TE BE'!$AA$23+'TE BF'!$AA$23+'TE CVA'!$AA$23)*(1-CUSTOS!$M$38)</f>
        <v>204.57163525385519</v>
      </c>
      <c r="AB264" s="6">
        <f t="shared" si="14"/>
        <v>0</v>
      </c>
      <c r="AC264" s="6">
        <f>(L264-M264)*(W264+X264)+($W$184+$X$184-$W$264-$X$264)*(L264)</f>
        <v>841.20960000000025</v>
      </c>
      <c r="AD264" s="6">
        <f t="shared" si="15"/>
        <v>0</v>
      </c>
      <c r="AE264" s="6">
        <f ca="1">(L264-M264)*(Z264+AA264)+($Z$184+$AA$184-$Z$264-$AA$264)*(L264)</f>
        <v>451.13684486474079</v>
      </c>
      <c r="AF264" s="4" t="s">
        <v>563</v>
      </c>
    </row>
    <row r="265" spans="1:32" ht="11.25" customHeight="1" x14ac:dyDescent="0.25">
      <c r="A265" s="4" t="s">
        <v>21</v>
      </c>
      <c r="B265" s="4" t="s">
        <v>40</v>
      </c>
      <c r="C265" s="4" t="s">
        <v>23</v>
      </c>
      <c r="D265" s="4" t="s">
        <v>41</v>
      </c>
      <c r="E265" s="4" t="s">
        <v>50</v>
      </c>
      <c r="F265" s="4" t="s">
        <v>52</v>
      </c>
      <c r="G265" s="4" t="s">
        <v>25</v>
      </c>
      <c r="H265" s="4" t="s">
        <v>25</v>
      </c>
      <c r="I265" s="5">
        <v>44348</v>
      </c>
      <c r="J265" s="6">
        <v>0</v>
      </c>
      <c r="K265" s="6">
        <v>0</v>
      </c>
      <c r="L265" s="6">
        <v>398.53300000000002</v>
      </c>
      <c r="M265" s="6">
        <v>159.41319999999999</v>
      </c>
      <c r="N265" s="6">
        <v>398.53300000000002</v>
      </c>
      <c r="O265" s="6">
        <v>159.41319999999999</v>
      </c>
      <c r="P265" s="6">
        <v>0</v>
      </c>
      <c r="Q265" s="4" t="s">
        <v>26</v>
      </c>
      <c r="R265" s="4">
        <v>0</v>
      </c>
      <c r="S265" s="4">
        <v>0</v>
      </c>
      <c r="T265" s="4">
        <v>60</v>
      </c>
      <c r="U265" s="4">
        <v>16</v>
      </c>
      <c r="V265" s="6">
        <f>IF(ISERROR(VLOOKUP($S$265,'TAR FIN'!$A$1:$O$85,15,0)),0,VLOOKUP($S$265,'TAR FIN'!$A$1:$O$85,15,0))</f>
        <v>0</v>
      </c>
      <c r="W265" s="6">
        <f>IF(ISERROR(VLOOKUP($T$265,'TAR FIN'!$A$1:$O$85,15,0)),0,VLOOKUP($T$265,'TAR FIN'!$A$1:$O$85,15,0))</f>
        <v>387.29</v>
      </c>
      <c r="X265" s="6">
        <f>IF(ISERROR(VLOOKUP($U$265,'TAR FIN'!$A$1:$O$85,15,0)),0,VLOOKUP($U$265,'TAR FIN'!$A$1:$O$85,15,0))</f>
        <v>196.87</v>
      </c>
      <c r="Y265" s="6"/>
      <c r="Z265" s="6">
        <f ca="1">('TUSD BE'!$AM$33+'TUSD BF'!$AM$33+'TUSD CVA'!$AM$33)*(1-CUSTOS!$M$38)</f>
        <v>464.7286080745173</v>
      </c>
      <c r="AA265" s="6">
        <f>('TE BE'!$AA$23+'TE BF'!$AA$23+'TE CVA'!$AA$23)*(1-CUSTOS!$M$38)</f>
        <v>204.57163525385519</v>
      </c>
      <c r="AB265" s="6">
        <f t="shared" si="14"/>
        <v>0</v>
      </c>
      <c r="AC265" s="6">
        <f>(L265-M265)*(W265+X265)+($W$184+$X$184-$W$265-$X$265)*(L265)</f>
        <v>171431.36114800005</v>
      </c>
      <c r="AD265" s="6">
        <f t="shared" si="15"/>
        <v>0</v>
      </c>
      <c r="AE265" s="6">
        <f ca="1">(L265-M265)*(Z265+AA265)+($Z$184+$AA$184-$Z$265-$AA$265)*(L265)</f>
        <v>177068.78504001812</v>
      </c>
      <c r="AF265" s="4" t="s">
        <v>564</v>
      </c>
    </row>
    <row r="266" spans="1:32" ht="11.25" customHeight="1" x14ac:dyDescent="0.25">
      <c r="A266" s="4" t="s">
        <v>21</v>
      </c>
      <c r="B266" s="4" t="s">
        <v>40</v>
      </c>
      <c r="C266" s="4" t="s">
        <v>23</v>
      </c>
      <c r="D266" s="4" t="s">
        <v>41</v>
      </c>
      <c r="E266" s="4" t="s">
        <v>50</v>
      </c>
      <c r="F266" s="4" t="s">
        <v>52</v>
      </c>
      <c r="G266" s="4" t="s">
        <v>25</v>
      </c>
      <c r="H266" s="4" t="s">
        <v>25</v>
      </c>
      <c r="I266" s="5">
        <v>44378</v>
      </c>
      <c r="J266" s="6">
        <v>0</v>
      </c>
      <c r="K266" s="6">
        <v>0</v>
      </c>
      <c r="L266" s="6">
        <v>710.33799999999997</v>
      </c>
      <c r="M266" s="6">
        <v>284.1352</v>
      </c>
      <c r="N266" s="6">
        <v>710.33799999999997</v>
      </c>
      <c r="O266" s="6">
        <v>284.1352</v>
      </c>
      <c r="P266" s="6">
        <v>0</v>
      </c>
      <c r="Q266" s="4" t="s">
        <v>26</v>
      </c>
      <c r="R266" s="4">
        <v>0</v>
      </c>
      <c r="S266" s="4">
        <v>0</v>
      </c>
      <c r="T266" s="4">
        <v>60</v>
      </c>
      <c r="U266" s="4">
        <v>16</v>
      </c>
      <c r="V266" s="6">
        <f>IF(ISERROR(VLOOKUP($S$266,'TAR FIN'!$A$1:$O$85,15,0)),0,VLOOKUP($S$266,'TAR FIN'!$A$1:$O$85,15,0))</f>
        <v>0</v>
      </c>
      <c r="W266" s="6">
        <f>IF(ISERROR(VLOOKUP($T$266,'TAR FIN'!$A$1:$O$85,15,0)),0,VLOOKUP($T$266,'TAR FIN'!$A$1:$O$85,15,0))</f>
        <v>387.29</v>
      </c>
      <c r="X266" s="6">
        <f>IF(ISERROR(VLOOKUP($U$266,'TAR FIN'!$A$1:$O$85,15,0)),0,VLOOKUP($U$266,'TAR FIN'!$A$1:$O$85,15,0))</f>
        <v>196.87</v>
      </c>
      <c r="Y266" s="6"/>
      <c r="Z266" s="6">
        <f ca="1">('TUSD BE'!$AM$33+'TUSD BF'!$AM$33+'TUSD CVA'!$AM$33)*(1-CUSTOS!$M$38)</f>
        <v>464.7286080745173</v>
      </c>
      <c r="AA266" s="6">
        <f>('TE BE'!$AA$23+'TE BF'!$AA$23+'TE CVA'!$AA$23)*(1-CUSTOS!$M$38)</f>
        <v>204.57163525385519</v>
      </c>
      <c r="AB266" s="6">
        <f t="shared" si="14"/>
        <v>0</v>
      </c>
      <c r="AC266" s="6">
        <f>(L266-M266)*(W266+X266)+($W$184+$X$184-$W$266-$X$266)*(L266)</f>
        <v>305556.15272800002</v>
      </c>
      <c r="AD266" s="6">
        <f t="shared" si="15"/>
        <v>0</v>
      </c>
      <c r="AE266" s="6">
        <f ca="1">(L266-M266)*(Z266+AA266)+($Z$184+$AA$184-$Z$266-$AA$266)*(L266)</f>
        <v>315604.19495438616</v>
      </c>
      <c r="AF266" s="4" t="s">
        <v>564</v>
      </c>
    </row>
    <row r="267" spans="1:32" ht="11.25" customHeight="1" x14ac:dyDescent="0.25">
      <c r="A267" s="4" t="s">
        <v>27</v>
      </c>
      <c r="B267" s="4" t="s">
        <v>40</v>
      </c>
      <c r="C267" s="4" t="s">
        <v>23</v>
      </c>
      <c r="D267" s="4" t="s">
        <v>41</v>
      </c>
      <c r="E267" s="4" t="s">
        <v>50</v>
      </c>
      <c r="F267" s="4" t="s">
        <v>52</v>
      </c>
      <c r="G267" s="4" t="s">
        <v>25</v>
      </c>
      <c r="H267" s="4" t="s">
        <v>25</v>
      </c>
      <c r="I267" s="5">
        <v>44378</v>
      </c>
      <c r="J267" s="6">
        <v>0</v>
      </c>
      <c r="K267" s="6">
        <v>0</v>
      </c>
      <c r="L267" s="6">
        <v>-1.8</v>
      </c>
      <c r="M267" s="6">
        <v>-0.72</v>
      </c>
      <c r="N267" s="6">
        <v>-1.8</v>
      </c>
      <c r="O267" s="6">
        <v>-0.72</v>
      </c>
      <c r="P267" s="6">
        <v>0</v>
      </c>
      <c r="Q267" s="4" t="s">
        <v>26</v>
      </c>
      <c r="R267" s="4">
        <v>0</v>
      </c>
      <c r="S267" s="4">
        <v>0</v>
      </c>
      <c r="T267" s="4">
        <v>60</v>
      </c>
      <c r="U267" s="4">
        <v>16</v>
      </c>
      <c r="V267" s="6">
        <f>IF(ISERROR(VLOOKUP($S$267,'TAR FIN'!$A$1:$O$85,15,0)),0,VLOOKUP($S$267,'TAR FIN'!$A$1:$O$85,15,0))</f>
        <v>0</v>
      </c>
      <c r="W267" s="6">
        <f>IF(ISERROR(VLOOKUP($T$267,'TAR FIN'!$A$1:$O$85,15,0)),0,VLOOKUP($T$267,'TAR FIN'!$A$1:$O$85,15,0))</f>
        <v>387.29</v>
      </c>
      <c r="X267" s="6">
        <f>IF(ISERROR(VLOOKUP($U$267,'TAR FIN'!$A$1:$O$85,15,0)),0,VLOOKUP($U$267,'TAR FIN'!$A$1:$O$85,15,0))</f>
        <v>196.87</v>
      </c>
      <c r="Y267" s="6"/>
      <c r="Z267" s="6">
        <f ca="1">('TUSD BE'!$AM$33+'TUSD BF'!$AM$33+'TUSD CVA'!$AM$33)*(1-CUSTOS!$M$38)</f>
        <v>464.7286080745173</v>
      </c>
      <c r="AA267" s="6">
        <f>('TE BE'!$AA$23+'TE BF'!$AA$23+'TE CVA'!$AA$23)*(1-CUSTOS!$M$38)</f>
        <v>204.57163525385519</v>
      </c>
      <c r="AB267" s="6">
        <f t="shared" si="14"/>
        <v>0</v>
      </c>
      <c r="AC267" s="6">
        <f>(L267-M267)*(W267+X267)+($W$184+$X$184-$W$267-$X$267)*(L267)</f>
        <v>-774.28080000000011</v>
      </c>
      <c r="AD267" s="6">
        <f t="shared" si="15"/>
        <v>0</v>
      </c>
      <c r="AE267" s="6">
        <f ca="1">(L267-M267)*(Z267+AA267)+($Z$184+$AA$184-$Z$267-$AA$267)*(L267)</f>
        <v>-799.74258862385955</v>
      </c>
      <c r="AF267" s="4" t="s">
        <v>564</v>
      </c>
    </row>
    <row r="268" spans="1:32" ht="11.25" customHeight="1" x14ac:dyDescent="0.25">
      <c r="A268" s="4" t="s">
        <v>21</v>
      </c>
      <c r="B268" s="4" t="s">
        <v>40</v>
      </c>
      <c r="C268" s="4" t="s">
        <v>23</v>
      </c>
      <c r="D268" s="4" t="s">
        <v>41</v>
      </c>
      <c r="E268" s="4" t="s">
        <v>50</v>
      </c>
      <c r="F268" s="4" t="s">
        <v>52</v>
      </c>
      <c r="G268" s="4" t="s">
        <v>25</v>
      </c>
      <c r="H268" s="4" t="s">
        <v>25</v>
      </c>
      <c r="I268" s="5">
        <v>44409</v>
      </c>
      <c r="J268" s="6">
        <v>0</v>
      </c>
      <c r="K268" s="6">
        <v>0</v>
      </c>
      <c r="L268" s="6">
        <v>788.05499999999995</v>
      </c>
      <c r="M268" s="6">
        <v>315.22199999999998</v>
      </c>
      <c r="N268" s="6">
        <v>788.05499999999995</v>
      </c>
      <c r="O268" s="6">
        <v>315.22199999999998</v>
      </c>
      <c r="P268" s="6">
        <v>0</v>
      </c>
      <c r="Q268" s="4" t="s">
        <v>26</v>
      </c>
      <c r="R268" s="4">
        <v>0</v>
      </c>
      <c r="S268" s="4">
        <v>0</v>
      </c>
      <c r="T268" s="4">
        <v>60</v>
      </c>
      <c r="U268" s="4">
        <v>16</v>
      </c>
      <c r="V268" s="6">
        <f>IF(ISERROR(VLOOKUP($S$268,'TAR FIN'!$A$1:$O$85,15,0)),0,VLOOKUP($S$268,'TAR FIN'!$A$1:$O$85,15,0))</f>
        <v>0</v>
      </c>
      <c r="W268" s="6">
        <f>IF(ISERROR(VLOOKUP($T$268,'TAR FIN'!$A$1:$O$85,15,0)),0,VLOOKUP($T$268,'TAR FIN'!$A$1:$O$85,15,0))</f>
        <v>387.29</v>
      </c>
      <c r="X268" s="6">
        <f>IF(ISERROR(VLOOKUP($U$268,'TAR FIN'!$A$1:$O$85,15,0)),0,VLOOKUP($U$268,'TAR FIN'!$A$1:$O$85,15,0))</f>
        <v>196.87</v>
      </c>
      <c r="Y268" s="6"/>
      <c r="Z268" s="6">
        <f ca="1">('TUSD BE'!$AM$33+'TUSD BF'!$AM$33+'TUSD CVA'!$AM$33)*(1-CUSTOS!$M$38)</f>
        <v>464.7286080745173</v>
      </c>
      <c r="AA268" s="6">
        <f>('TE BE'!$AA$23+'TE BF'!$AA$23+'TE CVA'!$AA$23)*(1-CUSTOS!$M$38)</f>
        <v>204.57163525385519</v>
      </c>
      <c r="AB268" s="6">
        <f t="shared" si="14"/>
        <v>0</v>
      </c>
      <c r="AC268" s="6">
        <f>(L268-M268)*(W268+X268)+($W$184+$X$184-$W$268-$X$268)*(L268)</f>
        <v>338986.58658000006</v>
      </c>
      <c r="AD268" s="6">
        <f t="shared" si="15"/>
        <v>0</v>
      </c>
      <c r="AE268" s="6">
        <f ca="1">(L268-M268)*(Z268+AA268)+($Z$184+$AA$184-$Z$268-$AA$268)*(L268)</f>
        <v>350133.96982109756</v>
      </c>
      <c r="AF268" s="4" t="s">
        <v>564</v>
      </c>
    </row>
    <row r="269" spans="1:32" ht="11.25" customHeight="1" x14ac:dyDescent="0.25">
      <c r="A269" s="4" t="s">
        <v>28</v>
      </c>
      <c r="B269" s="4" t="s">
        <v>40</v>
      </c>
      <c r="C269" s="4" t="s">
        <v>23</v>
      </c>
      <c r="D269" s="4" t="s">
        <v>41</v>
      </c>
      <c r="E269" s="4" t="s">
        <v>50</v>
      </c>
      <c r="F269" s="4" t="s">
        <v>52</v>
      </c>
      <c r="G269" s="4" t="s">
        <v>25</v>
      </c>
      <c r="H269" s="4" t="s">
        <v>25</v>
      </c>
      <c r="I269" s="5">
        <v>44409</v>
      </c>
      <c r="J269" s="6">
        <v>0</v>
      </c>
      <c r="K269" s="6">
        <v>0</v>
      </c>
      <c r="L269" s="6">
        <v>4.92</v>
      </c>
      <c r="M269" s="6">
        <v>4.92</v>
      </c>
      <c r="N269" s="6">
        <v>4.92</v>
      </c>
      <c r="O269" s="6">
        <v>4.92</v>
      </c>
      <c r="P269" s="6">
        <v>0</v>
      </c>
      <c r="Q269" s="4" t="s">
        <v>26</v>
      </c>
      <c r="R269" s="4">
        <v>0</v>
      </c>
      <c r="S269" s="4">
        <v>0</v>
      </c>
      <c r="T269" s="4">
        <v>60</v>
      </c>
      <c r="U269" s="4">
        <v>16</v>
      </c>
      <c r="V269" s="6">
        <f>IF(ISERROR(VLOOKUP($S$269,'TAR FIN'!$A$1:$O$85,15,0)),0,VLOOKUP($S$269,'TAR FIN'!$A$1:$O$85,15,0))</f>
        <v>0</v>
      </c>
      <c r="W269" s="6">
        <f>IF(ISERROR(VLOOKUP($T$269,'TAR FIN'!$A$1:$O$85,15,0)),0,VLOOKUP($T$269,'TAR FIN'!$A$1:$O$85,15,0))</f>
        <v>387.29</v>
      </c>
      <c r="X269" s="6">
        <f>IF(ISERROR(VLOOKUP($U$269,'TAR FIN'!$A$1:$O$85,15,0)),0,VLOOKUP($U$269,'TAR FIN'!$A$1:$O$85,15,0))</f>
        <v>196.87</v>
      </c>
      <c r="Y269" s="6"/>
      <c r="Z269" s="6">
        <f ca="1">('TUSD BE'!$AM$33+'TUSD BF'!$AM$33+'TUSD CVA'!$AM$33)*(1-CUSTOS!$M$38)</f>
        <v>464.7286080745173</v>
      </c>
      <c r="AA269" s="6">
        <f>('TE BE'!$AA$23+'TE BF'!$AA$23+'TE CVA'!$AA$23)*(1-CUSTOS!$M$38)</f>
        <v>204.57163525385519</v>
      </c>
      <c r="AB269" s="6">
        <f t="shared" si="14"/>
        <v>0</v>
      </c>
      <c r="AC269" s="6">
        <f>(L269-M269)*(W269+X269)+($W$184+$X$184-$W$269-$X$269)*(L269)</f>
        <v>391.92720000000014</v>
      </c>
      <c r="AD269" s="6">
        <f t="shared" si="15"/>
        <v>0</v>
      </c>
      <c r="AE269" s="6">
        <f ca="1">(L269-M269)*(Z269+AA269)+($Z$184+$AA$184-$Z$269-$AA$269)*(L269)</f>
        <v>210.18875726652695</v>
      </c>
      <c r="AF269" s="4" t="s">
        <v>563</v>
      </c>
    </row>
    <row r="270" spans="1:32" ht="11.25" customHeight="1" x14ac:dyDescent="0.25">
      <c r="A270" s="4" t="s">
        <v>21</v>
      </c>
      <c r="B270" s="4" t="s">
        <v>40</v>
      </c>
      <c r="C270" s="4" t="s">
        <v>23</v>
      </c>
      <c r="D270" s="4" t="s">
        <v>41</v>
      </c>
      <c r="E270" s="4" t="s">
        <v>50</v>
      </c>
      <c r="F270" s="4" t="s">
        <v>52</v>
      </c>
      <c r="G270" s="4" t="s">
        <v>25</v>
      </c>
      <c r="H270" s="4" t="s">
        <v>25</v>
      </c>
      <c r="I270" s="5">
        <v>44440</v>
      </c>
      <c r="J270" s="6">
        <v>0</v>
      </c>
      <c r="K270" s="6">
        <v>0</v>
      </c>
      <c r="L270" s="6">
        <v>785.18899999999996</v>
      </c>
      <c r="M270" s="6">
        <v>314.07560000000001</v>
      </c>
      <c r="N270" s="6">
        <v>785.18899999999996</v>
      </c>
      <c r="O270" s="6">
        <v>314.07560000000001</v>
      </c>
      <c r="P270" s="6">
        <v>0</v>
      </c>
      <c r="Q270" s="4" t="s">
        <v>26</v>
      </c>
      <c r="R270" s="4">
        <v>0</v>
      </c>
      <c r="S270" s="4">
        <v>0</v>
      </c>
      <c r="T270" s="4">
        <v>60</v>
      </c>
      <c r="U270" s="4">
        <v>16</v>
      </c>
      <c r="V270" s="6">
        <f>IF(ISERROR(VLOOKUP($S$270,'TAR FIN'!$A$1:$O$85,15,0)),0,VLOOKUP($S$270,'TAR FIN'!$A$1:$O$85,15,0))</f>
        <v>0</v>
      </c>
      <c r="W270" s="6">
        <f>IF(ISERROR(VLOOKUP($T$270,'TAR FIN'!$A$1:$O$85,15,0)),0,VLOOKUP($T$270,'TAR FIN'!$A$1:$O$85,15,0))</f>
        <v>387.29</v>
      </c>
      <c r="X270" s="6">
        <f>IF(ISERROR(VLOOKUP($U$270,'TAR FIN'!$A$1:$O$85,15,0)),0,VLOOKUP($U$270,'TAR FIN'!$A$1:$O$85,15,0))</f>
        <v>196.87</v>
      </c>
      <c r="Y270" s="6"/>
      <c r="Z270" s="6">
        <f ca="1">('TUSD BE'!$AM$33+'TUSD BF'!$AM$33+'TUSD CVA'!$AM$33)*(1-CUSTOS!$M$38)</f>
        <v>464.7286080745173</v>
      </c>
      <c r="AA270" s="6">
        <f>('TE BE'!$AA$23+'TE BF'!$AA$23+'TE CVA'!$AA$23)*(1-CUSTOS!$M$38)</f>
        <v>204.57163525385519</v>
      </c>
      <c r="AB270" s="6">
        <f t="shared" si="14"/>
        <v>0</v>
      </c>
      <c r="AC270" s="6">
        <f>(L270-M270)*(W270+X270)+($W$184+$X$184-$W$270-$X$270)*(L270)</f>
        <v>337753.75948400004</v>
      </c>
      <c r="AD270" s="6">
        <f t="shared" si="15"/>
        <v>0</v>
      </c>
      <c r="AE270" s="6">
        <f ca="1">(L270-M270)*(Z270+AA270)+($Z$184+$AA$184-$Z$270-$AA$270)*(L270)</f>
        <v>348860.60189943307</v>
      </c>
      <c r="AF270" s="4" t="s">
        <v>564</v>
      </c>
    </row>
    <row r="271" spans="1:32" ht="11.25" customHeight="1" x14ac:dyDescent="0.25">
      <c r="A271" s="4" t="s">
        <v>28</v>
      </c>
      <c r="B271" s="4" t="s">
        <v>40</v>
      </c>
      <c r="C271" s="4" t="s">
        <v>23</v>
      </c>
      <c r="D271" s="4" t="s">
        <v>41</v>
      </c>
      <c r="E271" s="4" t="s">
        <v>50</v>
      </c>
      <c r="F271" s="4" t="s">
        <v>52</v>
      </c>
      <c r="G271" s="4" t="s">
        <v>25</v>
      </c>
      <c r="H271" s="4" t="s">
        <v>25</v>
      </c>
      <c r="I271" s="5">
        <v>44440</v>
      </c>
      <c r="J271" s="6">
        <v>0</v>
      </c>
      <c r="K271" s="6">
        <v>0</v>
      </c>
      <c r="L271" s="6">
        <v>4.2850000000000001</v>
      </c>
      <c r="M271" s="6">
        <v>4.2850000000000001</v>
      </c>
      <c r="N271" s="6">
        <v>4.2850000000000001</v>
      </c>
      <c r="O271" s="6">
        <v>4.2850000000000001</v>
      </c>
      <c r="P271" s="6">
        <v>0</v>
      </c>
      <c r="Q271" s="4" t="s">
        <v>26</v>
      </c>
      <c r="R271" s="4">
        <v>0</v>
      </c>
      <c r="S271" s="4">
        <v>0</v>
      </c>
      <c r="T271" s="4">
        <v>60</v>
      </c>
      <c r="U271" s="4">
        <v>16</v>
      </c>
      <c r="V271" s="6">
        <f>IF(ISERROR(VLOOKUP($S$271,'TAR FIN'!$A$1:$O$85,15,0)),0,VLOOKUP($S$271,'TAR FIN'!$A$1:$O$85,15,0))</f>
        <v>0</v>
      </c>
      <c r="W271" s="6">
        <f>IF(ISERROR(VLOOKUP($T$271,'TAR FIN'!$A$1:$O$85,15,0)),0,VLOOKUP($T$271,'TAR FIN'!$A$1:$O$85,15,0))</f>
        <v>387.29</v>
      </c>
      <c r="X271" s="6">
        <f>IF(ISERROR(VLOOKUP($U$271,'TAR FIN'!$A$1:$O$85,15,0)),0,VLOOKUP($U$271,'TAR FIN'!$A$1:$O$85,15,0))</f>
        <v>196.87</v>
      </c>
      <c r="Y271" s="6"/>
      <c r="Z271" s="6">
        <f ca="1">('TUSD BE'!$AM$33+'TUSD BF'!$AM$33+'TUSD CVA'!$AM$33)*(1-CUSTOS!$M$38)</f>
        <v>464.7286080745173</v>
      </c>
      <c r="AA271" s="6">
        <f>('TE BE'!$AA$23+'TE BF'!$AA$23+'TE CVA'!$AA$23)*(1-CUSTOS!$M$38)</f>
        <v>204.57163525385519</v>
      </c>
      <c r="AB271" s="6">
        <f t="shared" si="14"/>
        <v>0</v>
      </c>
      <c r="AC271" s="6">
        <f>(L271-M271)*(W271+X271)+($W$184+$X$184-$W$271-$X$271)*(L271)</f>
        <v>341.34310000000011</v>
      </c>
      <c r="AD271" s="6">
        <f t="shared" si="15"/>
        <v>0</v>
      </c>
      <c r="AE271" s="6">
        <f ca="1">(L271-M271)*(Z271+AA271)+($Z$184+$AA$184-$Z$271-$AA$271)*(L271)</f>
        <v>183.06073676566425</v>
      </c>
      <c r="AF271" s="4" t="s">
        <v>563</v>
      </c>
    </row>
    <row r="272" spans="1:32" ht="11.25" customHeight="1" x14ac:dyDescent="0.25">
      <c r="A272" s="4" t="s">
        <v>21</v>
      </c>
      <c r="B272" s="4" t="s">
        <v>40</v>
      </c>
      <c r="C272" s="4" t="s">
        <v>23</v>
      </c>
      <c r="D272" s="4" t="s">
        <v>41</v>
      </c>
      <c r="E272" s="4" t="s">
        <v>50</v>
      </c>
      <c r="F272" s="4" t="s">
        <v>52</v>
      </c>
      <c r="G272" s="4" t="s">
        <v>25</v>
      </c>
      <c r="H272" s="4" t="s">
        <v>25</v>
      </c>
      <c r="I272" s="5">
        <v>44470</v>
      </c>
      <c r="J272" s="6">
        <v>0</v>
      </c>
      <c r="K272" s="6">
        <v>0</v>
      </c>
      <c r="L272" s="6">
        <v>760.04100000000005</v>
      </c>
      <c r="M272" s="6">
        <v>304.01639999999998</v>
      </c>
      <c r="N272" s="6">
        <v>760.04100000000005</v>
      </c>
      <c r="O272" s="6">
        <v>304.01639999999998</v>
      </c>
      <c r="P272" s="6">
        <v>0</v>
      </c>
      <c r="Q272" s="4" t="s">
        <v>26</v>
      </c>
      <c r="R272" s="4">
        <v>0</v>
      </c>
      <c r="S272" s="4">
        <v>0</v>
      </c>
      <c r="T272" s="4">
        <v>60</v>
      </c>
      <c r="U272" s="4">
        <v>16</v>
      </c>
      <c r="V272" s="6">
        <f>IF(ISERROR(VLOOKUP($S$272,'TAR FIN'!$A$1:$O$85,15,0)),0,VLOOKUP($S$272,'TAR FIN'!$A$1:$O$85,15,0))</f>
        <v>0</v>
      </c>
      <c r="W272" s="6">
        <f>IF(ISERROR(VLOOKUP($T$272,'TAR FIN'!$A$1:$O$85,15,0)),0,VLOOKUP($T$272,'TAR FIN'!$A$1:$O$85,15,0))</f>
        <v>387.29</v>
      </c>
      <c r="X272" s="6">
        <f>IF(ISERROR(VLOOKUP($U$272,'TAR FIN'!$A$1:$O$85,15,0)),0,VLOOKUP($U$272,'TAR FIN'!$A$1:$O$85,15,0))</f>
        <v>196.87</v>
      </c>
      <c r="Y272" s="6"/>
      <c r="Z272" s="6">
        <f ca="1">('TUSD BE'!$AM$33+'TUSD BF'!$AM$33+'TUSD CVA'!$AM$33)*(1-CUSTOS!$M$38)</f>
        <v>464.7286080745173</v>
      </c>
      <c r="AA272" s="6">
        <f>('TE BE'!$AA$23+'TE BF'!$AA$23+'TE CVA'!$AA$23)*(1-CUSTOS!$M$38)</f>
        <v>204.57163525385519</v>
      </c>
      <c r="AB272" s="6">
        <f t="shared" si="14"/>
        <v>0</v>
      </c>
      <c r="AC272" s="6">
        <f>(L272-M272)*(W272+X272)+($W$184+$X$184-$W$272-$X$272)*(L272)</f>
        <v>326936.1963960001</v>
      </c>
      <c r="AD272" s="6">
        <f t="shared" si="15"/>
        <v>0</v>
      </c>
      <c r="AE272" s="6">
        <f ca="1">(L272-M272)*(Z272+AA272)+($Z$184+$AA$184-$Z$272-$AA$272)*(L272)</f>
        <v>337687.30933348165</v>
      </c>
      <c r="AF272" s="4" t="s">
        <v>564</v>
      </c>
    </row>
    <row r="273" spans="1:32" ht="11.25" customHeight="1" x14ac:dyDescent="0.25">
      <c r="A273" s="4" t="s">
        <v>28</v>
      </c>
      <c r="B273" s="4" t="s">
        <v>40</v>
      </c>
      <c r="C273" s="4" t="s">
        <v>23</v>
      </c>
      <c r="D273" s="4" t="s">
        <v>41</v>
      </c>
      <c r="E273" s="4" t="s">
        <v>50</v>
      </c>
      <c r="F273" s="4" t="s">
        <v>52</v>
      </c>
      <c r="G273" s="4" t="s">
        <v>25</v>
      </c>
      <c r="H273" s="4" t="s">
        <v>25</v>
      </c>
      <c r="I273" s="5">
        <v>44470</v>
      </c>
      <c r="J273" s="6">
        <v>0</v>
      </c>
      <c r="K273" s="6">
        <v>0</v>
      </c>
      <c r="L273" s="6">
        <v>3.92</v>
      </c>
      <c r="M273" s="6">
        <v>3.92</v>
      </c>
      <c r="N273" s="6">
        <v>3.92</v>
      </c>
      <c r="O273" s="6">
        <v>3.92</v>
      </c>
      <c r="P273" s="6">
        <v>0</v>
      </c>
      <c r="Q273" s="4" t="s">
        <v>26</v>
      </c>
      <c r="R273" s="4">
        <v>0</v>
      </c>
      <c r="S273" s="4">
        <v>0</v>
      </c>
      <c r="T273" s="4">
        <v>60</v>
      </c>
      <c r="U273" s="4">
        <v>16</v>
      </c>
      <c r="V273" s="6">
        <f>IF(ISERROR(VLOOKUP($S$273,'TAR FIN'!$A$1:$O$85,15,0)),0,VLOOKUP($S$273,'TAR FIN'!$A$1:$O$85,15,0))</f>
        <v>0</v>
      </c>
      <c r="W273" s="6">
        <f>IF(ISERROR(VLOOKUP($T$273,'TAR FIN'!$A$1:$O$85,15,0)),0,VLOOKUP($T$273,'TAR FIN'!$A$1:$O$85,15,0))</f>
        <v>387.29</v>
      </c>
      <c r="X273" s="6">
        <f>IF(ISERROR(VLOOKUP($U$273,'TAR FIN'!$A$1:$O$85,15,0)),0,VLOOKUP($U$273,'TAR FIN'!$A$1:$O$85,15,0))</f>
        <v>196.87</v>
      </c>
      <c r="Y273" s="6"/>
      <c r="Z273" s="6">
        <f ca="1">('TUSD BE'!$AM$33+'TUSD BF'!$AM$33+'TUSD CVA'!$AM$33)*(1-CUSTOS!$M$38)</f>
        <v>464.7286080745173</v>
      </c>
      <c r="AA273" s="6">
        <f>('TE BE'!$AA$23+'TE BF'!$AA$23+'TE CVA'!$AA$23)*(1-CUSTOS!$M$38)</f>
        <v>204.57163525385519</v>
      </c>
      <c r="AB273" s="6">
        <f t="shared" si="14"/>
        <v>0</v>
      </c>
      <c r="AC273" s="6">
        <f>(L273-M273)*(W273+X273)+($W$184+$X$184-$W$273-$X$273)*(L273)</f>
        <v>312.26720000000012</v>
      </c>
      <c r="AD273" s="6">
        <f t="shared" si="15"/>
        <v>0</v>
      </c>
      <c r="AE273" s="6">
        <f ca="1">(L273-M273)*(Z273+AA273)+($Z$184+$AA$184-$Z$273-$AA$273)*(L273)</f>
        <v>167.46746513918407</v>
      </c>
      <c r="AF273" s="4" t="s">
        <v>563</v>
      </c>
    </row>
    <row r="274" spans="1:32" ht="11.25" customHeight="1" x14ac:dyDescent="0.25">
      <c r="A274" s="4" t="s">
        <v>21</v>
      </c>
      <c r="B274" s="4" t="s">
        <v>40</v>
      </c>
      <c r="C274" s="4" t="s">
        <v>23</v>
      </c>
      <c r="D274" s="4" t="s">
        <v>41</v>
      </c>
      <c r="E274" s="4" t="s">
        <v>50</v>
      </c>
      <c r="F274" s="4" t="s">
        <v>52</v>
      </c>
      <c r="G274" s="4" t="s">
        <v>25</v>
      </c>
      <c r="H274" s="4" t="s">
        <v>25</v>
      </c>
      <c r="I274" s="5">
        <v>44501</v>
      </c>
      <c r="J274" s="6">
        <v>0</v>
      </c>
      <c r="K274" s="6">
        <v>0</v>
      </c>
      <c r="L274" s="6">
        <v>1215.9490000000001</v>
      </c>
      <c r="M274" s="6">
        <v>486.37959999999998</v>
      </c>
      <c r="N274" s="6">
        <v>1215.9490000000001</v>
      </c>
      <c r="O274" s="6">
        <v>486.37959999999998</v>
      </c>
      <c r="P274" s="6">
        <v>0</v>
      </c>
      <c r="Q274" s="4" t="s">
        <v>26</v>
      </c>
      <c r="R274" s="4">
        <v>0</v>
      </c>
      <c r="S274" s="4">
        <v>0</v>
      </c>
      <c r="T274" s="4">
        <v>60</v>
      </c>
      <c r="U274" s="4">
        <v>16</v>
      </c>
      <c r="V274" s="6">
        <f>IF(ISERROR(VLOOKUP($S$274,'TAR FIN'!$A$1:$O$85,15,0)),0,VLOOKUP($S$274,'TAR FIN'!$A$1:$O$85,15,0))</f>
        <v>0</v>
      </c>
      <c r="W274" s="6">
        <f>IF(ISERROR(VLOOKUP($T$274,'TAR FIN'!$A$1:$O$85,15,0)),0,VLOOKUP($T$274,'TAR FIN'!$A$1:$O$85,15,0))</f>
        <v>387.29</v>
      </c>
      <c r="X274" s="6">
        <f>IF(ISERROR(VLOOKUP($U$274,'TAR FIN'!$A$1:$O$85,15,0)),0,VLOOKUP($U$274,'TAR FIN'!$A$1:$O$85,15,0))</f>
        <v>196.87</v>
      </c>
      <c r="Y274" s="6"/>
      <c r="Z274" s="6">
        <f ca="1">('TUSD BE'!$AM$33+'TUSD BF'!$AM$33+'TUSD CVA'!$AM$33)*(1-CUSTOS!$M$38)</f>
        <v>464.7286080745173</v>
      </c>
      <c r="AA274" s="6">
        <f>('TE BE'!$AA$23+'TE BF'!$AA$23+'TE CVA'!$AA$23)*(1-CUSTOS!$M$38)</f>
        <v>204.57163525385519</v>
      </c>
      <c r="AB274" s="6">
        <f t="shared" si="14"/>
        <v>0</v>
      </c>
      <c r="AC274" s="6">
        <f>(L274-M274)*(W274+X274)+($W$184+$X$184-$W$274-$X$274)*(L274)</f>
        <v>523047.75804400013</v>
      </c>
      <c r="AD274" s="6">
        <f t="shared" si="15"/>
        <v>0</v>
      </c>
      <c r="AE274" s="6">
        <f ca="1">(L274-M274)*(Z274+AA274)+($Z$184+$AA$184-$Z$274-$AA$274)*(L274)</f>
        <v>540247.88938588521</v>
      </c>
      <c r="AF274" s="4" t="s">
        <v>564</v>
      </c>
    </row>
    <row r="275" spans="1:32" ht="11.25" customHeight="1" x14ac:dyDescent="0.25">
      <c r="A275" s="4" t="s">
        <v>28</v>
      </c>
      <c r="B275" s="4" t="s">
        <v>40</v>
      </c>
      <c r="C275" s="4" t="s">
        <v>23</v>
      </c>
      <c r="D275" s="4" t="s">
        <v>41</v>
      </c>
      <c r="E275" s="4" t="s">
        <v>50</v>
      </c>
      <c r="F275" s="4" t="s">
        <v>52</v>
      </c>
      <c r="G275" s="4" t="s">
        <v>25</v>
      </c>
      <c r="H275" s="4" t="s">
        <v>25</v>
      </c>
      <c r="I275" s="5">
        <v>44501</v>
      </c>
      <c r="J275" s="6">
        <v>0</v>
      </c>
      <c r="K275" s="6">
        <v>0</v>
      </c>
      <c r="L275" s="6">
        <v>17.940000000000001</v>
      </c>
      <c r="M275" s="6">
        <v>17.940000000000001</v>
      </c>
      <c r="N275" s="6">
        <v>17.940000000000001</v>
      </c>
      <c r="O275" s="6">
        <v>17.940000000000001</v>
      </c>
      <c r="P275" s="6">
        <v>0</v>
      </c>
      <c r="Q275" s="4" t="s">
        <v>26</v>
      </c>
      <c r="R275" s="4">
        <v>0</v>
      </c>
      <c r="S275" s="4">
        <v>0</v>
      </c>
      <c r="T275" s="4">
        <v>60</v>
      </c>
      <c r="U275" s="4">
        <v>16</v>
      </c>
      <c r="V275" s="6">
        <f>IF(ISERROR(VLOOKUP($S$275,'TAR FIN'!$A$1:$O$85,15,0)),0,VLOOKUP($S$275,'TAR FIN'!$A$1:$O$85,15,0))</f>
        <v>0</v>
      </c>
      <c r="W275" s="6">
        <f>IF(ISERROR(VLOOKUP($T$275,'TAR FIN'!$A$1:$O$85,15,0)),0,VLOOKUP($T$275,'TAR FIN'!$A$1:$O$85,15,0))</f>
        <v>387.29</v>
      </c>
      <c r="X275" s="6">
        <f>IF(ISERROR(VLOOKUP($U$275,'TAR FIN'!$A$1:$O$85,15,0)),0,VLOOKUP($U$275,'TAR FIN'!$A$1:$O$85,15,0))</f>
        <v>196.87</v>
      </c>
      <c r="Y275" s="6"/>
      <c r="Z275" s="6">
        <f ca="1">('TUSD BE'!$AM$33+'TUSD BF'!$AM$33+'TUSD CVA'!$AM$33)*(1-CUSTOS!$M$38)</f>
        <v>464.7286080745173</v>
      </c>
      <c r="AA275" s="6">
        <f>('TE BE'!$AA$23+'TE BF'!$AA$23+'TE CVA'!$AA$23)*(1-CUSTOS!$M$38)</f>
        <v>204.57163525385519</v>
      </c>
      <c r="AB275" s="6">
        <f t="shared" si="14"/>
        <v>0</v>
      </c>
      <c r="AC275" s="6">
        <f>(L275-M275)*(W275+X275)+($W$184+$X$184-$W$275-$X$275)*(L275)</f>
        <v>1429.1004000000005</v>
      </c>
      <c r="AD275" s="6">
        <f t="shared" si="15"/>
        <v>0</v>
      </c>
      <c r="AE275" s="6">
        <f ca="1">(L275-M275)*(Z275+AA275)+($Z$184+$AA$184-$Z$275-$AA$275)*(L275)</f>
        <v>766.41998076453126</v>
      </c>
      <c r="AF275" s="4" t="s">
        <v>563</v>
      </c>
    </row>
    <row r="276" spans="1:32" ht="11.25" customHeight="1" x14ac:dyDescent="0.25">
      <c r="A276" s="4" t="s">
        <v>21</v>
      </c>
      <c r="B276" s="4" t="s">
        <v>40</v>
      </c>
      <c r="C276" s="4" t="s">
        <v>23</v>
      </c>
      <c r="D276" s="4" t="s">
        <v>41</v>
      </c>
      <c r="E276" s="4" t="s">
        <v>50</v>
      </c>
      <c r="F276" s="4" t="s">
        <v>52</v>
      </c>
      <c r="G276" s="4" t="s">
        <v>25</v>
      </c>
      <c r="H276" s="4" t="s">
        <v>25</v>
      </c>
      <c r="I276" s="5">
        <v>44531</v>
      </c>
      <c r="J276" s="6">
        <v>0</v>
      </c>
      <c r="K276" s="6">
        <v>0</v>
      </c>
      <c r="L276" s="6">
        <v>890.36900000000003</v>
      </c>
      <c r="M276" s="6">
        <v>356.14760000000001</v>
      </c>
      <c r="N276" s="6">
        <v>890.36900000000003</v>
      </c>
      <c r="O276" s="6">
        <v>356.14760000000001</v>
      </c>
      <c r="P276" s="6">
        <v>0</v>
      </c>
      <c r="Q276" s="4" t="s">
        <v>26</v>
      </c>
      <c r="R276" s="4">
        <v>0</v>
      </c>
      <c r="S276" s="4">
        <v>0</v>
      </c>
      <c r="T276" s="4">
        <v>60</v>
      </c>
      <c r="U276" s="4">
        <v>16</v>
      </c>
      <c r="V276" s="6">
        <f>IF(ISERROR(VLOOKUP($S$276,'TAR FIN'!$A$1:$O$85,15,0)),0,VLOOKUP($S$276,'TAR FIN'!$A$1:$O$85,15,0))</f>
        <v>0</v>
      </c>
      <c r="W276" s="6">
        <f>IF(ISERROR(VLOOKUP($T$276,'TAR FIN'!$A$1:$O$85,15,0)),0,VLOOKUP($T$276,'TAR FIN'!$A$1:$O$85,15,0))</f>
        <v>387.29</v>
      </c>
      <c r="X276" s="6">
        <f>IF(ISERROR(VLOOKUP($U$276,'TAR FIN'!$A$1:$O$85,15,0)),0,VLOOKUP($U$276,'TAR FIN'!$A$1:$O$85,15,0))</f>
        <v>196.87</v>
      </c>
      <c r="Y276" s="6"/>
      <c r="Z276" s="6">
        <f ca="1">('TUSD BE'!$AM$33+'TUSD BF'!$AM$33+'TUSD CVA'!$AM$33)*(1-CUSTOS!$M$38)</f>
        <v>464.7286080745173</v>
      </c>
      <c r="AA276" s="6">
        <f>('TE BE'!$AA$23+'TE BF'!$AA$23+'TE CVA'!$AA$23)*(1-CUSTOS!$M$38)</f>
        <v>204.57163525385519</v>
      </c>
      <c r="AB276" s="6">
        <f t="shared" si="14"/>
        <v>0</v>
      </c>
      <c r="AC276" s="6">
        <f>(L276-M276)*(W276+X276)+($W$184+$X$184-$W$276-$X$276)*(L276)</f>
        <v>382997.56756400008</v>
      </c>
      <c r="AD276" s="6">
        <f t="shared" si="15"/>
        <v>0</v>
      </c>
      <c r="AE276" s="6">
        <f ca="1">(L276-M276)*(Z276+AA276)+($Z$184+$AA$184-$Z$276-$AA$276)*(L276)</f>
        <v>395592.22716135398</v>
      </c>
      <c r="AF276" s="4" t="s">
        <v>564</v>
      </c>
    </row>
    <row r="277" spans="1:32" ht="11.25" customHeight="1" x14ac:dyDescent="0.25">
      <c r="A277" s="4" t="s">
        <v>27</v>
      </c>
      <c r="B277" s="4" t="s">
        <v>40</v>
      </c>
      <c r="C277" s="4" t="s">
        <v>23</v>
      </c>
      <c r="D277" s="4" t="s">
        <v>41</v>
      </c>
      <c r="E277" s="4" t="s">
        <v>50</v>
      </c>
      <c r="F277" s="4" t="s">
        <v>52</v>
      </c>
      <c r="G277" s="4" t="s">
        <v>25</v>
      </c>
      <c r="H277" s="4" t="s">
        <v>25</v>
      </c>
      <c r="I277" s="5">
        <v>44531</v>
      </c>
      <c r="J277" s="6">
        <v>0</v>
      </c>
      <c r="K277" s="6">
        <v>0</v>
      </c>
      <c r="L277" s="6">
        <v>-125.2</v>
      </c>
      <c r="M277" s="6">
        <v>-50.08</v>
      </c>
      <c r="N277" s="6">
        <v>-125.2</v>
      </c>
      <c r="O277" s="6">
        <v>-50.08</v>
      </c>
      <c r="P277" s="6">
        <v>0</v>
      </c>
      <c r="Q277" s="4" t="s">
        <v>26</v>
      </c>
      <c r="R277" s="4">
        <v>0</v>
      </c>
      <c r="S277" s="4">
        <v>0</v>
      </c>
      <c r="T277" s="4">
        <v>60</v>
      </c>
      <c r="U277" s="4">
        <v>16</v>
      </c>
      <c r="V277" s="6">
        <f>IF(ISERROR(VLOOKUP($S$277,'TAR FIN'!$A$1:$O$85,15,0)),0,VLOOKUP($S$277,'TAR FIN'!$A$1:$O$85,15,0))</f>
        <v>0</v>
      </c>
      <c r="W277" s="6">
        <f>IF(ISERROR(VLOOKUP($T$277,'TAR FIN'!$A$1:$O$85,15,0)),0,VLOOKUP($T$277,'TAR FIN'!$A$1:$O$85,15,0))</f>
        <v>387.29</v>
      </c>
      <c r="X277" s="6">
        <f>IF(ISERROR(VLOOKUP($U$277,'TAR FIN'!$A$1:$O$85,15,0)),0,VLOOKUP($U$277,'TAR FIN'!$A$1:$O$85,15,0))</f>
        <v>196.87</v>
      </c>
      <c r="Y277" s="6"/>
      <c r="Z277" s="6">
        <f ca="1">('TUSD BE'!$AM$33+'TUSD BF'!$AM$33+'TUSD CVA'!$AM$33)*(1-CUSTOS!$M$38)</f>
        <v>464.7286080745173</v>
      </c>
      <c r="AA277" s="6">
        <f>('TE BE'!$AA$23+'TE BF'!$AA$23+'TE CVA'!$AA$23)*(1-CUSTOS!$M$38)</f>
        <v>204.57163525385519</v>
      </c>
      <c r="AB277" s="6">
        <f t="shared" si="14"/>
        <v>0</v>
      </c>
      <c r="AC277" s="6">
        <f>(L277-M277)*(W277+X277)+($W$184+$X$184-$W$277-$X$277)*(L277)</f>
        <v>-53855.531200000012</v>
      </c>
      <c r="AD277" s="6">
        <f t="shared" si="15"/>
        <v>0</v>
      </c>
      <c r="AE277" s="6">
        <f ca="1">(L277-M277)*(Z277+AA277)+($Z$184+$AA$184-$Z$277-$AA$277)*(L277)</f>
        <v>-55626.540053170669</v>
      </c>
      <c r="AF277" s="4" t="s">
        <v>564</v>
      </c>
    </row>
    <row r="278" spans="1:32" ht="11.25" customHeight="1" x14ac:dyDescent="0.25">
      <c r="A278" s="4" t="s">
        <v>28</v>
      </c>
      <c r="B278" s="4" t="s">
        <v>40</v>
      </c>
      <c r="C278" s="4" t="s">
        <v>23</v>
      </c>
      <c r="D278" s="4" t="s">
        <v>41</v>
      </c>
      <c r="E278" s="4" t="s">
        <v>50</v>
      </c>
      <c r="F278" s="4" t="s">
        <v>52</v>
      </c>
      <c r="G278" s="4" t="s">
        <v>25</v>
      </c>
      <c r="H278" s="4" t="s">
        <v>25</v>
      </c>
      <c r="I278" s="5">
        <v>44531</v>
      </c>
      <c r="J278" s="6">
        <v>0</v>
      </c>
      <c r="K278" s="6">
        <v>0</v>
      </c>
      <c r="L278" s="6">
        <v>15.58</v>
      </c>
      <c r="M278" s="6">
        <v>15.58</v>
      </c>
      <c r="N278" s="6">
        <v>15.58</v>
      </c>
      <c r="O278" s="6">
        <v>15.58</v>
      </c>
      <c r="P278" s="6">
        <v>0</v>
      </c>
      <c r="Q278" s="4" t="s">
        <v>26</v>
      </c>
      <c r="R278" s="4">
        <v>0</v>
      </c>
      <c r="S278" s="4">
        <v>0</v>
      </c>
      <c r="T278" s="4">
        <v>60</v>
      </c>
      <c r="U278" s="4">
        <v>16</v>
      </c>
      <c r="V278" s="6">
        <f>IF(ISERROR(VLOOKUP($S$278,'TAR FIN'!$A$1:$O$85,15,0)),0,VLOOKUP($S$278,'TAR FIN'!$A$1:$O$85,15,0))</f>
        <v>0</v>
      </c>
      <c r="W278" s="6">
        <f>IF(ISERROR(VLOOKUP($T$278,'TAR FIN'!$A$1:$O$85,15,0)),0,VLOOKUP($T$278,'TAR FIN'!$A$1:$O$85,15,0))</f>
        <v>387.29</v>
      </c>
      <c r="X278" s="6">
        <f>IF(ISERROR(VLOOKUP($U$278,'TAR FIN'!$A$1:$O$85,15,0)),0,VLOOKUP($U$278,'TAR FIN'!$A$1:$O$85,15,0))</f>
        <v>196.87</v>
      </c>
      <c r="Y278" s="6"/>
      <c r="Z278" s="6">
        <f ca="1">('TUSD BE'!$AM$33+'TUSD BF'!$AM$33+'TUSD CVA'!$AM$33)*(1-CUSTOS!$M$38)</f>
        <v>464.7286080745173</v>
      </c>
      <c r="AA278" s="6">
        <f>('TE BE'!$AA$23+'TE BF'!$AA$23+'TE CVA'!$AA$23)*(1-CUSTOS!$M$38)</f>
        <v>204.57163525385519</v>
      </c>
      <c r="AB278" s="6">
        <f t="shared" si="14"/>
        <v>0</v>
      </c>
      <c r="AC278" s="6">
        <f>(L278-M278)*(W278+X278)+($W$184+$X$184-$W$278-$X$278)*(L278)</f>
        <v>1241.1028000000003</v>
      </c>
      <c r="AD278" s="6">
        <f t="shared" si="15"/>
        <v>0</v>
      </c>
      <c r="AE278" s="6">
        <f ca="1">(L278-M278)*(Z278+AA278)+($Z$184+$AA$184-$Z$278-$AA$278)*(L278)</f>
        <v>665.597731344002</v>
      </c>
      <c r="AF278" s="4" t="s">
        <v>563</v>
      </c>
    </row>
    <row r="279" spans="1:32" ht="11.25" customHeight="1" x14ac:dyDescent="0.25">
      <c r="A279" s="4" t="s">
        <v>21</v>
      </c>
      <c r="B279" s="4" t="s">
        <v>40</v>
      </c>
      <c r="C279" s="4" t="s">
        <v>23</v>
      </c>
      <c r="D279" s="4" t="s">
        <v>41</v>
      </c>
      <c r="E279" s="4" t="s">
        <v>50</v>
      </c>
      <c r="F279" s="4" t="s">
        <v>52</v>
      </c>
      <c r="G279" s="4" t="s">
        <v>25</v>
      </c>
      <c r="H279" s="4" t="s">
        <v>25</v>
      </c>
      <c r="I279" s="5">
        <v>44562</v>
      </c>
      <c r="J279" s="6">
        <v>0</v>
      </c>
      <c r="K279" s="6">
        <v>0</v>
      </c>
      <c r="L279" s="6">
        <v>716.78800000000001</v>
      </c>
      <c r="M279" s="6">
        <v>286.71519999999998</v>
      </c>
      <c r="N279" s="6">
        <v>716.78800000000001</v>
      </c>
      <c r="O279" s="6">
        <v>286.71519999999998</v>
      </c>
      <c r="P279" s="6">
        <v>0</v>
      </c>
      <c r="Q279" s="4" t="s">
        <v>26</v>
      </c>
      <c r="R279" s="4">
        <v>0</v>
      </c>
      <c r="S279" s="4">
        <v>0</v>
      </c>
      <c r="T279" s="4">
        <v>60</v>
      </c>
      <c r="U279" s="4">
        <v>16</v>
      </c>
      <c r="V279" s="6">
        <f>IF(ISERROR(VLOOKUP($S$279,'TAR FIN'!$A$1:$O$85,15,0)),0,VLOOKUP($S$279,'TAR FIN'!$A$1:$O$85,15,0))</f>
        <v>0</v>
      </c>
      <c r="W279" s="6">
        <f>IF(ISERROR(VLOOKUP($T$279,'TAR FIN'!$A$1:$O$85,15,0)),0,VLOOKUP($T$279,'TAR FIN'!$A$1:$O$85,15,0))</f>
        <v>387.29</v>
      </c>
      <c r="X279" s="6">
        <f>IF(ISERROR(VLOOKUP($U$279,'TAR FIN'!$A$1:$O$85,15,0)),0,VLOOKUP($U$279,'TAR FIN'!$A$1:$O$85,15,0))</f>
        <v>196.87</v>
      </c>
      <c r="Y279" s="6"/>
      <c r="Z279" s="6">
        <f ca="1">('TUSD BE'!$AM$33+'TUSD BF'!$AM$33+'TUSD CVA'!$AM$33)*(1-CUSTOS!$M$38)</f>
        <v>464.7286080745173</v>
      </c>
      <c r="AA279" s="6">
        <f>('TE BE'!$AA$23+'TE BF'!$AA$23+'TE CVA'!$AA$23)*(1-CUSTOS!$M$38)</f>
        <v>204.57163525385519</v>
      </c>
      <c r="AB279" s="6">
        <f t="shared" si="14"/>
        <v>0</v>
      </c>
      <c r="AC279" s="6">
        <f>(L279-M279)*(W279+X279)+($W$184+$X$184-$W$279-$X$279)*(L279)</f>
        <v>308330.65892800008</v>
      </c>
      <c r="AD279" s="6">
        <f t="shared" si="15"/>
        <v>0</v>
      </c>
      <c r="AE279" s="6">
        <f ca="1">(L279-M279)*(Z279+AA279)+($Z$184+$AA$184-$Z$279-$AA$279)*(L279)</f>
        <v>318469.93923028838</v>
      </c>
      <c r="AF279" s="4" t="s">
        <v>564</v>
      </c>
    </row>
    <row r="280" spans="1:32" ht="11.25" customHeight="1" x14ac:dyDescent="0.25">
      <c r="A280" s="4" t="s">
        <v>28</v>
      </c>
      <c r="B280" s="4" t="s">
        <v>40</v>
      </c>
      <c r="C280" s="4" t="s">
        <v>23</v>
      </c>
      <c r="D280" s="4" t="s">
        <v>41</v>
      </c>
      <c r="E280" s="4" t="s">
        <v>50</v>
      </c>
      <c r="F280" s="4" t="s">
        <v>52</v>
      </c>
      <c r="G280" s="4" t="s">
        <v>25</v>
      </c>
      <c r="H280" s="4" t="s">
        <v>25</v>
      </c>
      <c r="I280" s="5">
        <v>44562</v>
      </c>
      <c r="J280" s="6">
        <v>0</v>
      </c>
      <c r="K280" s="6">
        <v>0</v>
      </c>
      <c r="L280" s="6">
        <v>16.577000000000002</v>
      </c>
      <c r="M280" s="6">
        <v>16.577000000000002</v>
      </c>
      <c r="N280" s="6">
        <v>16.577000000000002</v>
      </c>
      <c r="O280" s="6">
        <v>16.577000000000002</v>
      </c>
      <c r="P280" s="6">
        <v>0</v>
      </c>
      <c r="Q280" s="4" t="s">
        <v>26</v>
      </c>
      <c r="R280" s="4">
        <v>0</v>
      </c>
      <c r="S280" s="4">
        <v>0</v>
      </c>
      <c r="T280" s="4">
        <v>60</v>
      </c>
      <c r="U280" s="4">
        <v>16</v>
      </c>
      <c r="V280" s="6">
        <f>IF(ISERROR(VLOOKUP($S$280,'TAR FIN'!$A$1:$O$85,15,0)),0,VLOOKUP($S$280,'TAR FIN'!$A$1:$O$85,15,0))</f>
        <v>0</v>
      </c>
      <c r="W280" s="6">
        <f>IF(ISERROR(VLOOKUP($T$280,'TAR FIN'!$A$1:$O$85,15,0)),0,VLOOKUP($T$280,'TAR FIN'!$A$1:$O$85,15,0))</f>
        <v>387.29</v>
      </c>
      <c r="X280" s="6">
        <f>IF(ISERROR(VLOOKUP($U$280,'TAR FIN'!$A$1:$O$85,15,0)),0,VLOOKUP($U$280,'TAR FIN'!$A$1:$O$85,15,0))</f>
        <v>196.87</v>
      </c>
      <c r="Y280" s="6"/>
      <c r="Z280" s="6">
        <f ca="1">('TUSD BE'!$AM$33+'TUSD BF'!$AM$33+'TUSD CVA'!$AM$33)*(1-CUSTOS!$M$38)</f>
        <v>464.7286080745173</v>
      </c>
      <c r="AA280" s="6">
        <f>('TE BE'!$AA$23+'TE BF'!$AA$23+'TE CVA'!$AA$23)*(1-CUSTOS!$M$38)</f>
        <v>204.57163525385519</v>
      </c>
      <c r="AB280" s="6">
        <f t="shared" si="14"/>
        <v>0</v>
      </c>
      <c r="AC280" s="6">
        <f>(L280-M280)*(W280+X280)+($W$184+$X$184-$W$280-$X$280)*(L280)</f>
        <v>1320.5238200000006</v>
      </c>
      <c r="AD280" s="6">
        <f t="shared" si="15"/>
        <v>0</v>
      </c>
      <c r="AE280" s="6">
        <f ca="1">(L280-M280)*(Z280+AA280)+($Z$184+$AA$184-$Z$280-$AA$280)*(L280)</f>
        <v>708.19085959496294</v>
      </c>
      <c r="AF280" s="4" t="s">
        <v>563</v>
      </c>
    </row>
    <row r="281" spans="1:32" ht="11.25" customHeight="1" x14ac:dyDescent="0.25">
      <c r="A281" s="4" t="s">
        <v>21</v>
      </c>
      <c r="B281" s="4" t="s">
        <v>40</v>
      </c>
      <c r="C281" s="4" t="s">
        <v>23</v>
      </c>
      <c r="D281" s="4" t="s">
        <v>41</v>
      </c>
      <c r="E281" s="4" t="s">
        <v>50</v>
      </c>
      <c r="F281" s="4" t="s">
        <v>52</v>
      </c>
      <c r="G281" s="4" t="s">
        <v>25</v>
      </c>
      <c r="H281" s="4" t="s">
        <v>25</v>
      </c>
      <c r="I281" s="5">
        <v>44593</v>
      </c>
      <c r="J281" s="6">
        <v>0</v>
      </c>
      <c r="K281" s="6">
        <v>0</v>
      </c>
      <c r="L281" s="6">
        <v>715.678</v>
      </c>
      <c r="M281" s="6">
        <v>286.27120000000002</v>
      </c>
      <c r="N281" s="6">
        <v>715.678</v>
      </c>
      <c r="O281" s="6">
        <v>286.27120000000002</v>
      </c>
      <c r="P281" s="6">
        <v>0</v>
      </c>
      <c r="Q281" s="4" t="s">
        <v>26</v>
      </c>
      <c r="R281" s="4">
        <v>0</v>
      </c>
      <c r="S281" s="4">
        <v>0</v>
      </c>
      <c r="T281" s="4">
        <v>60</v>
      </c>
      <c r="U281" s="4">
        <v>16</v>
      </c>
      <c r="V281" s="6">
        <f>IF(ISERROR(VLOOKUP($S$281,'TAR FIN'!$A$1:$O$85,15,0)),0,VLOOKUP($S$281,'TAR FIN'!$A$1:$O$85,15,0))</f>
        <v>0</v>
      </c>
      <c r="W281" s="6">
        <f>IF(ISERROR(VLOOKUP($T$281,'TAR FIN'!$A$1:$O$85,15,0)),0,VLOOKUP($T$281,'TAR FIN'!$A$1:$O$85,15,0))</f>
        <v>387.29</v>
      </c>
      <c r="X281" s="6">
        <f>IF(ISERROR(VLOOKUP($U$281,'TAR FIN'!$A$1:$O$85,15,0)),0,VLOOKUP($U$281,'TAR FIN'!$A$1:$O$85,15,0))</f>
        <v>196.87</v>
      </c>
      <c r="Y281" s="6"/>
      <c r="Z281" s="6">
        <f ca="1">('TUSD BE'!$AM$33+'TUSD BF'!$AM$33+'TUSD CVA'!$AM$33)*(1-CUSTOS!$M$38)</f>
        <v>464.7286080745173</v>
      </c>
      <c r="AA281" s="6">
        <f>('TE BE'!$AA$23+'TE BF'!$AA$23+'TE CVA'!$AA$23)*(1-CUSTOS!$M$38)</f>
        <v>204.57163525385519</v>
      </c>
      <c r="AB281" s="6">
        <f t="shared" si="14"/>
        <v>0</v>
      </c>
      <c r="AC281" s="6">
        <f>(L281-M281)*(W281+X281)+($W$184+$X$184-$W$281-$X$281)*(L281)</f>
        <v>307853.18576800002</v>
      </c>
      <c r="AD281" s="6">
        <f t="shared" si="15"/>
        <v>0</v>
      </c>
      <c r="AE281" s="6">
        <f ca="1">(L281-M281)*(Z281+AA281)+($Z$184+$AA$184-$Z$281-$AA$281)*(L281)</f>
        <v>317976.76463397028</v>
      </c>
      <c r="AF281" s="4" t="s">
        <v>564</v>
      </c>
    </row>
    <row r="282" spans="1:32" ht="11.25" customHeight="1" x14ac:dyDescent="0.25">
      <c r="A282" s="4" t="s">
        <v>28</v>
      </c>
      <c r="B282" s="4" t="s">
        <v>40</v>
      </c>
      <c r="C282" s="4" t="s">
        <v>23</v>
      </c>
      <c r="D282" s="4" t="s">
        <v>41</v>
      </c>
      <c r="E282" s="4" t="s">
        <v>50</v>
      </c>
      <c r="F282" s="4" t="s">
        <v>52</v>
      </c>
      <c r="G282" s="4" t="s">
        <v>25</v>
      </c>
      <c r="H282" s="4" t="s">
        <v>25</v>
      </c>
      <c r="I282" s="5">
        <v>44593</v>
      </c>
      <c r="J282" s="6">
        <v>0</v>
      </c>
      <c r="K282" s="6">
        <v>0</v>
      </c>
      <c r="L282" s="6">
        <v>15.84</v>
      </c>
      <c r="M282" s="6">
        <v>15.84</v>
      </c>
      <c r="N282" s="6">
        <v>15.84</v>
      </c>
      <c r="O282" s="6">
        <v>15.84</v>
      </c>
      <c r="P282" s="6">
        <v>0</v>
      </c>
      <c r="Q282" s="4" t="s">
        <v>26</v>
      </c>
      <c r="R282" s="4">
        <v>0</v>
      </c>
      <c r="S282" s="4">
        <v>0</v>
      </c>
      <c r="T282" s="4">
        <v>60</v>
      </c>
      <c r="U282" s="4">
        <v>16</v>
      </c>
      <c r="V282" s="6">
        <f>IF(ISERROR(VLOOKUP($S$282,'TAR FIN'!$A$1:$O$85,15,0)),0,VLOOKUP($S$282,'TAR FIN'!$A$1:$O$85,15,0))</f>
        <v>0</v>
      </c>
      <c r="W282" s="6">
        <f>IF(ISERROR(VLOOKUP($T$282,'TAR FIN'!$A$1:$O$85,15,0)),0,VLOOKUP($T$282,'TAR FIN'!$A$1:$O$85,15,0))</f>
        <v>387.29</v>
      </c>
      <c r="X282" s="6">
        <f>IF(ISERROR(VLOOKUP($U$282,'TAR FIN'!$A$1:$O$85,15,0)),0,VLOOKUP($U$282,'TAR FIN'!$A$1:$O$85,15,0))</f>
        <v>196.87</v>
      </c>
      <c r="Y282" s="6"/>
      <c r="Z282" s="6">
        <f ca="1">('TUSD BE'!$AM$33+'TUSD BF'!$AM$33+'TUSD CVA'!$AM$33)*(1-CUSTOS!$M$38)</f>
        <v>464.7286080745173</v>
      </c>
      <c r="AA282" s="6">
        <f>('TE BE'!$AA$23+'TE BF'!$AA$23+'TE CVA'!$AA$23)*(1-CUSTOS!$M$38)</f>
        <v>204.57163525385519</v>
      </c>
      <c r="AB282" s="6">
        <f t="shared" si="14"/>
        <v>0</v>
      </c>
      <c r="AC282" s="6">
        <f>(L282-M282)*(W282+X282)+($W$184+$X$184-$W$282-$X$282)*(L282)</f>
        <v>1261.8144000000004</v>
      </c>
      <c r="AD282" s="6">
        <f t="shared" si="15"/>
        <v>0</v>
      </c>
      <c r="AE282" s="6">
        <f ca="1">(L282-M282)*(Z282+AA282)+($Z$184+$AA$184-$Z$282-$AA$282)*(L282)</f>
        <v>676.70526729711116</v>
      </c>
      <c r="AF282" s="4" t="s">
        <v>563</v>
      </c>
    </row>
    <row r="283" spans="1:32" ht="11.25" customHeight="1" x14ac:dyDescent="0.25">
      <c r="A283" s="4" t="s">
        <v>54</v>
      </c>
      <c r="B283" s="4" t="s">
        <v>40</v>
      </c>
      <c r="C283" s="4" t="s">
        <v>23</v>
      </c>
      <c r="D283" s="4" t="s">
        <v>41</v>
      </c>
      <c r="E283" s="4" t="s">
        <v>50</v>
      </c>
      <c r="F283" s="4" t="s">
        <v>52</v>
      </c>
      <c r="G283" s="4" t="s">
        <v>25</v>
      </c>
      <c r="H283" s="4" t="s">
        <v>25</v>
      </c>
      <c r="I283" s="5">
        <v>44621</v>
      </c>
      <c r="J283" s="6">
        <v>0</v>
      </c>
      <c r="K283" s="6">
        <v>0</v>
      </c>
      <c r="L283" s="6">
        <v>715.678</v>
      </c>
      <c r="M283" s="6">
        <v>286.27120000000002</v>
      </c>
      <c r="N283" s="6">
        <v>715.678</v>
      </c>
      <c r="O283" s="6">
        <v>286.27120000000002</v>
      </c>
      <c r="P283" s="6">
        <v>0</v>
      </c>
      <c r="Q283" s="4" t="s">
        <v>26</v>
      </c>
      <c r="R283" s="4">
        <v>0</v>
      </c>
      <c r="S283" s="4">
        <v>0</v>
      </c>
      <c r="T283" s="4">
        <v>60</v>
      </c>
      <c r="U283" s="4">
        <v>16</v>
      </c>
      <c r="V283" s="6">
        <f>IF(ISERROR(VLOOKUP($S$283,'TAR FIN'!$A$1:$O$85,15,0)),0,VLOOKUP($S$283,'TAR FIN'!$A$1:$O$85,15,0))</f>
        <v>0</v>
      </c>
      <c r="W283" s="6">
        <f>IF(ISERROR(VLOOKUP($T$283,'TAR FIN'!$A$1:$O$85,15,0)),0,VLOOKUP($T$283,'TAR FIN'!$A$1:$O$85,15,0))</f>
        <v>387.29</v>
      </c>
      <c r="X283" s="6">
        <f>IF(ISERROR(VLOOKUP($U$283,'TAR FIN'!$A$1:$O$85,15,0)),0,VLOOKUP($U$283,'TAR FIN'!$A$1:$O$85,15,0))</f>
        <v>196.87</v>
      </c>
      <c r="Y283" s="6"/>
      <c r="Z283" s="6">
        <f ca="1">('TUSD BE'!$AM$33+'TUSD BF'!$AM$33+'TUSD CVA'!$AM$33)*(1-CUSTOS!$M$38)</f>
        <v>464.7286080745173</v>
      </c>
      <c r="AA283" s="6">
        <f>('TE BE'!$AA$23+'TE BF'!$AA$23+'TE CVA'!$AA$23)*(1-CUSTOS!$M$38)</f>
        <v>204.57163525385519</v>
      </c>
      <c r="AB283" s="6">
        <f t="shared" si="14"/>
        <v>0</v>
      </c>
      <c r="AC283" s="6">
        <f>(L283-M283)*(W283+X283)+($W$184+$X$184-$W$283-$X$283)*(L283)</f>
        <v>307853.18576800002</v>
      </c>
      <c r="AD283" s="6">
        <f t="shared" si="15"/>
        <v>0</v>
      </c>
      <c r="AE283" s="6">
        <f ca="1">(L283-M283)*(Z283+AA283)+($Z$184+$AA$184-$Z$283-$AA$283)*(L283)</f>
        <v>317976.76463397028</v>
      </c>
      <c r="AF283" s="4" t="s">
        <v>564</v>
      </c>
    </row>
    <row r="284" spans="1:32" ht="11.25" customHeight="1" x14ac:dyDescent="0.25">
      <c r="A284" s="4" t="s">
        <v>54</v>
      </c>
      <c r="B284" s="4" t="s">
        <v>40</v>
      </c>
      <c r="C284" s="4" t="s">
        <v>23</v>
      </c>
      <c r="D284" s="4" t="s">
        <v>41</v>
      </c>
      <c r="E284" s="4" t="s">
        <v>50</v>
      </c>
      <c r="F284" s="4" t="s">
        <v>52</v>
      </c>
      <c r="G284" s="4" t="s">
        <v>25</v>
      </c>
      <c r="H284" s="4" t="s">
        <v>25</v>
      </c>
      <c r="I284" s="5">
        <v>44621</v>
      </c>
      <c r="J284" s="6">
        <v>0</v>
      </c>
      <c r="K284" s="6">
        <v>0</v>
      </c>
      <c r="L284" s="6">
        <v>15.84</v>
      </c>
      <c r="M284" s="6">
        <v>15.84</v>
      </c>
      <c r="N284" s="6">
        <v>15.84</v>
      </c>
      <c r="O284" s="6">
        <v>15.84</v>
      </c>
      <c r="P284" s="6">
        <v>0</v>
      </c>
      <c r="Q284" s="4" t="s">
        <v>26</v>
      </c>
      <c r="R284" s="4">
        <v>0</v>
      </c>
      <c r="S284" s="4">
        <v>0</v>
      </c>
      <c r="T284" s="4">
        <v>60</v>
      </c>
      <c r="U284" s="4">
        <v>16</v>
      </c>
      <c r="V284" s="6">
        <f>IF(ISERROR(VLOOKUP($S$284,'TAR FIN'!$A$1:$O$85,15,0)),0,VLOOKUP($S$284,'TAR FIN'!$A$1:$O$85,15,0))</f>
        <v>0</v>
      </c>
      <c r="W284" s="6">
        <f>IF(ISERROR(VLOOKUP($T$284,'TAR FIN'!$A$1:$O$85,15,0)),0,VLOOKUP($T$284,'TAR FIN'!$A$1:$O$85,15,0))</f>
        <v>387.29</v>
      </c>
      <c r="X284" s="6">
        <f>IF(ISERROR(VLOOKUP($U$284,'TAR FIN'!$A$1:$O$85,15,0)),0,VLOOKUP($U$284,'TAR FIN'!$A$1:$O$85,15,0))</f>
        <v>196.87</v>
      </c>
      <c r="Y284" s="6"/>
      <c r="Z284" s="6">
        <f ca="1">('TUSD BE'!$AM$33+'TUSD BF'!$AM$33+'TUSD CVA'!$AM$33)*(1-CUSTOS!$M$38)</f>
        <v>464.7286080745173</v>
      </c>
      <c r="AA284" s="6">
        <f>('TE BE'!$AA$23+'TE BF'!$AA$23+'TE CVA'!$AA$23)*(1-CUSTOS!$M$38)</f>
        <v>204.57163525385519</v>
      </c>
      <c r="AB284" s="6">
        <f t="shared" si="14"/>
        <v>0</v>
      </c>
      <c r="AC284" s="6">
        <f>(L284-M284)*(W284+X284)+($W$184+$X$184-$W$284-$X$284)*(L284)</f>
        <v>1261.8144000000004</v>
      </c>
      <c r="AD284" s="6">
        <f t="shared" si="15"/>
        <v>0</v>
      </c>
      <c r="AE284" s="6">
        <f ca="1">(L284-M284)*(Z284+AA284)+($Z$184+$AA$184-$Z$284-$AA$284)*(L284)</f>
        <v>676.70526729711116</v>
      </c>
      <c r="AF284" s="4" t="s">
        <v>563</v>
      </c>
    </row>
    <row r="285" spans="1:32" ht="11.25" customHeight="1" x14ac:dyDescent="0.25">
      <c r="A285" s="4" t="s">
        <v>21</v>
      </c>
      <c r="B285" s="4" t="s">
        <v>40</v>
      </c>
      <c r="C285" s="4" t="s">
        <v>23</v>
      </c>
      <c r="D285" s="4" t="s">
        <v>41</v>
      </c>
      <c r="E285" s="4" t="s">
        <v>53</v>
      </c>
      <c r="F285" s="4" t="s">
        <v>51</v>
      </c>
      <c r="G285" s="4" t="s">
        <v>25</v>
      </c>
      <c r="H285" s="4" t="s">
        <v>25</v>
      </c>
      <c r="I285" s="5">
        <v>44287</v>
      </c>
      <c r="J285" s="6">
        <v>0</v>
      </c>
      <c r="K285" s="6">
        <v>0</v>
      </c>
      <c r="L285" s="6">
        <v>1.92</v>
      </c>
      <c r="M285" s="6">
        <v>1.92</v>
      </c>
      <c r="N285" s="6">
        <v>1.92</v>
      </c>
      <c r="O285" s="6">
        <v>1.92</v>
      </c>
      <c r="P285" s="6">
        <v>0</v>
      </c>
      <c r="Q285" s="4" t="s">
        <v>26</v>
      </c>
      <c r="R285" s="4">
        <v>0</v>
      </c>
      <c r="S285" s="4">
        <v>0</v>
      </c>
      <c r="T285" s="4">
        <v>60</v>
      </c>
      <c r="U285" s="4">
        <v>16</v>
      </c>
      <c r="V285" s="6">
        <f>IF(ISERROR(VLOOKUP($S$285,'TAR FIN'!$A$1:$O$85,15,0)),0,VLOOKUP($S$285,'TAR FIN'!$A$1:$O$85,15,0))</f>
        <v>0</v>
      </c>
      <c r="W285" s="6">
        <f>IF(ISERROR(VLOOKUP($T$285,'TAR FIN'!$A$1:$O$85,15,0)),0,VLOOKUP($T$285,'TAR FIN'!$A$1:$O$85,15,0))</f>
        <v>387.29</v>
      </c>
      <c r="X285" s="6">
        <f>IF(ISERROR(VLOOKUP($U$285,'TAR FIN'!$A$1:$O$85,15,0)),0,VLOOKUP($U$285,'TAR FIN'!$A$1:$O$85,15,0))</f>
        <v>196.87</v>
      </c>
      <c r="Y285" s="6"/>
      <c r="Z285" s="6">
        <f ca="1">('TUSD BE'!$AM$33+'TUSD BF'!$AM$33+'TUSD CVA'!$AM$33)*(1-CUSTOS!$M$38)</f>
        <v>464.7286080745173</v>
      </c>
      <c r="AA285" s="6">
        <f>('TE BE'!$AA$23+'TE BF'!$AA$23+'TE CVA'!$AA$23)*(1-CUSTOS!$M$38)</f>
        <v>204.57163525385519</v>
      </c>
      <c r="AB285" s="6">
        <f t="shared" si="14"/>
        <v>0</v>
      </c>
      <c r="AC285" s="6">
        <f>(L285-M285)*(W285+X285)+($W$184+$X$184-$W$285-$X$285)*(L285)</f>
        <v>152.94720000000004</v>
      </c>
      <c r="AD285" s="6">
        <f t="shared" si="15"/>
        <v>0</v>
      </c>
      <c r="AE285" s="6">
        <f ca="1">(L285-M285)*(Z285+AA285)+($Z$184+$AA$184-$Z$285-$AA$285)*(L285)</f>
        <v>82.024880884498316</v>
      </c>
      <c r="AF285" s="4" t="s">
        <v>563</v>
      </c>
    </row>
    <row r="286" spans="1:32" ht="11.25" customHeight="1" x14ac:dyDescent="0.25">
      <c r="A286" s="4" t="s">
        <v>21</v>
      </c>
      <c r="B286" s="4" t="s">
        <v>40</v>
      </c>
      <c r="C286" s="4" t="s">
        <v>23</v>
      </c>
      <c r="D286" s="4" t="s">
        <v>41</v>
      </c>
      <c r="E286" s="4" t="s">
        <v>53</v>
      </c>
      <c r="F286" s="4" t="s">
        <v>51</v>
      </c>
      <c r="G286" s="4" t="s">
        <v>25</v>
      </c>
      <c r="H286" s="4" t="s">
        <v>25</v>
      </c>
      <c r="I286" s="5">
        <v>44317</v>
      </c>
      <c r="J286" s="6">
        <v>0</v>
      </c>
      <c r="K286" s="6">
        <v>0</v>
      </c>
      <c r="L286" s="6">
        <v>1.86</v>
      </c>
      <c r="M286" s="6">
        <v>1.86</v>
      </c>
      <c r="N286" s="6">
        <v>1.86</v>
      </c>
      <c r="O286" s="6">
        <v>1.86</v>
      </c>
      <c r="P286" s="6">
        <v>0</v>
      </c>
      <c r="Q286" s="4" t="s">
        <v>26</v>
      </c>
      <c r="R286" s="4">
        <v>0</v>
      </c>
      <c r="S286" s="4">
        <v>0</v>
      </c>
      <c r="T286" s="4">
        <v>60</v>
      </c>
      <c r="U286" s="4">
        <v>16</v>
      </c>
      <c r="V286" s="6">
        <f>IF(ISERROR(VLOOKUP($S$286,'TAR FIN'!$A$1:$O$85,15,0)),0,VLOOKUP($S$286,'TAR FIN'!$A$1:$O$85,15,0))</f>
        <v>0</v>
      </c>
      <c r="W286" s="6">
        <f>IF(ISERROR(VLOOKUP($T$286,'TAR FIN'!$A$1:$O$85,15,0)),0,VLOOKUP($T$286,'TAR FIN'!$A$1:$O$85,15,0))</f>
        <v>387.29</v>
      </c>
      <c r="X286" s="6">
        <f>IF(ISERROR(VLOOKUP($U$286,'TAR FIN'!$A$1:$O$85,15,0)),0,VLOOKUP($U$286,'TAR FIN'!$A$1:$O$85,15,0))</f>
        <v>196.87</v>
      </c>
      <c r="Y286" s="6"/>
      <c r="Z286" s="6">
        <f ca="1">('TUSD BE'!$AM$33+'TUSD BF'!$AM$33+'TUSD CVA'!$AM$33)*(1-CUSTOS!$M$38)</f>
        <v>464.7286080745173</v>
      </c>
      <c r="AA286" s="6">
        <f>('TE BE'!$AA$23+'TE BF'!$AA$23+'TE CVA'!$AA$23)*(1-CUSTOS!$M$38)</f>
        <v>204.57163525385519</v>
      </c>
      <c r="AB286" s="6">
        <f t="shared" si="14"/>
        <v>0</v>
      </c>
      <c r="AC286" s="6">
        <f>(L286-M286)*(W286+X286)+($W$184+$X$184-$W$286-$X$286)*(L286)</f>
        <v>148.16760000000005</v>
      </c>
      <c r="AD286" s="6">
        <f t="shared" si="15"/>
        <v>0</v>
      </c>
      <c r="AE286" s="6">
        <f ca="1">(L286-M286)*(Z286+AA286)+($Z$184+$AA$184-$Z$286-$AA$286)*(L286)</f>
        <v>79.461603356857751</v>
      </c>
      <c r="AF286" s="4" t="s">
        <v>563</v>
      </c>
    </row>
    <row r="287" spans="1:32" ht="11.25" customHeight="1" x14ac:dyDescent="0.25">
      <c r="A287" s="4" t="s">
        <v>21</v>
      </c>
      <c r="B287" s="4" t="s">
        <v>40</v>
      </c>
      <c r="C287" s="4" t="s">
        <v>23</v>
      </c>
      <c r="D287" s="4" t="s">
        <v>41</v>
      </c>
      <c r="E287" s="4" t="s">
        <v>53</v>
      </c>
      <c r="F287" s="4" t="s">
        <v>51</v>
      </c>
      <c r="G287" s="4" t="s">
        <v>25</v>
      </c>
      <c r="H287" s="4" t="s">
        <v>25</v>
      </c>
      <c r="I287" s="5">
        <v>44348</v>
      </c>
      <c r="J287" s="6">
        <v>0</v>
      </c>
      <c r="K287" s="6">
        <v>0</v>
      </c>
      <c r="L287" s="6">
        <v>1.46</v>
      </c>
      <c r="M287" s="6">
        <v>1.46</v>
      </c>
      <c r="N287" s="6">
        <v>1.46</v>
      </c>
      <c r="O287" s="6">
        <v>1.46</v>
      </c>
      <c r="P287" s="6">
        <v>0</v>
      </c>
      <c r="Q287" s="4" t="s">
        <v>26</v>
      </c>
      <c r="R287" s="4">
        <v>0</v>
      </c>
      <c r="S287" s="4">
        <v>0</v>
      </c>
      <c r="T287" s="4">
        <v>60</v>
      </c>
      <c r="U287" s="4">
        <v>16</v>
      </c>
      <c r="V287" s="6">
        <f>IF(ISERROR(VLOOKUP($S$287,'TAR FIN'!$A$1:$O$85,15,0)),0,VLOOKUP($S$287,'TAR FIN'!$A$1:$O$85,15,0))</f>
        <v>0</v>
      </c>
      <c r="W287" s="6">
        <f>IF(ISERROR(VLOOKUP($T$287,'TAR FIN'!$A$1:$O$85,15,0)),0,VLOOKUP($T$287,'TAR FIN'!$A$1:$O$85,15,0))</f>
        <v>387.29</v>
      </c>
      <c r="X287" s="6">
        <f>IF(ISERROR(VLOOKUP($U$287,'TAR FIN'!$A$1:$O$85,15,0)),0,VLOOKUP($U$287,'TAR FIN'!$A$1:$O$85,15,0))</f>
        <v>196.87</v>
      </c>
      <c r="Y287" s="6"/>
      <c r="Z287" s="6">
        <f ca="1">('TUSD BE'!$AM$33+'TUSD BF'!$AM$33+'TUSD CVA'!$AM$33)*(1-CUSTOS!$M$38)</f>
        <v>464.7286080745173</v>
      </c>
      <c r="AA287" s="6">
        <f>('TE BE'!$AA$23+'TE BF'!$AA$23+'TE CVA'!$AA$23)*(1-CUSTOS!$M$38)</f>
        <v>204.57163525385519</v>
      </c>
      <c r="AB287" s="6">
        <f t="shared" si="14"/>
        <v>0</v>
      </c>
      <c r="AC287" s="6">
        <f>(L287-M287)*(W287+X287)+($W$184+$X$184-$W$287-$X$287)*(L287)</f>
        <v>116.30360000000003</v>
      </c>
      <c r="AD287" s="6">
        <f t="shared" si="15"/>
        <v>0</v>
      </c>
      <c r="AE287" s="6">
        <f ca="1">(L287-M287)*(Z287+AA287)+($Z$184+$AA$184-$Z$287-$AA$287)*(L287)</f>
        <v>62.373086505920597</v>
      </c>
      <c r="AF287" s="4" t="s">
        <v>563</v>
      </c>
    </row>
    <row r="288" spans="1:32" ht="11.25" customHeight="1" x14ac:dyDescent="0.25">
      <c r="A288" s="4" t="s">
        <v>21</v>
      </c>
      <c r="B288" s="4" t="s">
        <v>40</v>
      </c>
      <c r="C288" s="4" t="s">
        <v>23</v>
      </c>
      <c r="D288" s="4" t="s">
        <v>41</v>
      </c>
      <c r="E288" s="4" t="s">
        <v>53</v>
      </c>
      <c r="F288" s="4" t="s">
        <v>51</v>
      </c>
      <c r="G288" s="4" t="s">
        <v>25</v>
      </c>
      <c r="H288" s="4" t="s">
        <v>25</v>
      </c>
      <c r="I288" s="5">
        <v>44378</v>
      </c>
      <c r="J288" s="6">
        <v>0</v>
      </c>
      <c r="K288" s="6">
        <v>0</v>
      </c>
      <c r="L288" s="6">
        <v>1.58</v>
      </c>
      <c r="M288" s="6">
        <v>1.58</v>
      </c>
      <c r="N288" s="6">
        <v>1.58</v>
      </c>
      <c r="O288" s="6">
        <v>1.58</v>
      </c>
      <c r="P288" s="6">
        <v>0</v>
      </c>
      <c r="Q288" s="4" t="s">
        <v>26</v>
      </c>
      <c r="R288" s="4">
        <v>0</v>
      </c>
      <c r="S288" s="4">
        <v>0</v>
      </c>
      <c r="T288" s="4">
        <v>60</v>
      </c>
      <c r="U288" s="4">
        <v>16</v>
      </c>
      <c r="V288" s="6">
        <f>IF(ISERROR(VLOOKUP($S$288,'TAR FIN'!$A$1:$O$85,15,0)),0,VLOOKUP($S$288,'TAR FIN'!$A$1:$O$85,15,0))</f>
        <v>0</v>
      </c>
      <c r="W288" s="6">
        <f>IF(ISERROR(VLOOKUP($T$288,'TAR FIN'!$A$1:$O$85,15,0)),0,VLOOKUP($T$288,'TAR FIN'!$A$1:$O$85,15,0))</f>
        <v>387.29</v>
      </c>
      <c r="X288" s="6">
        <f>IF(ISERROR(VLOOKUP($U$288,'TAR FIN'!$A$1:$O$85,15,0)),0,VLOOKUP($U$288,'TAR FIN'!$A$1:$O$85,15,0))</f>
        <v>196.87</v>
      </c>
      <c r="Y288" s="6"/>
      <c r="Z288" s="6">
        <f ca="1">('TUSD BE'!$AM$33+'TUSD BF'!$AM$33+'TUSD CVA'!$AM$33)*(1-CUSTOS!$M$38)</f>
        <v>464.7286080745173</v>
      </c>
      <c r="AA288" s="6">
        <f>('TE BE'!$AA$23+'TE BF'!$AA$23+'TE CVA'!$AA$23)*(1-CUSTOS!$M$38)</f>
        <v>204.57163525385519</v>
      </c>
      <c r="AB288" s="6">
        <f t="shared" si="14"/>
        <v>0</v>
      </c>
      <c r="AC288" s="6">
        <f>(L288-M288)*(W288+X288)+($W$184+$X$184-$W$288-$X$288)*(L288)</f>
        <v>125.86280000000005</v>
      </c>
      <c r="AD288" s="6">
        <f t="shared" si="15"/>
        <v>0</v>
      </c>
      <c r="AE288" s="6">
        <f ca="1">(L288-M288)*(Z288+AA288)+($Z$184+$AA$184-$Z$288-$AA$288)*(L288)</f>
        <v>67.499641561201756</v>
      </c>
      <c r="AF288" s="4" t="s">
        <v>563</v>
      </c>
    </row>
    <row r="289" spans="1:32" ht="11.25" customHeight="1" x14ac:dyDescent="0.25">
      <c r="A289" s="4" t="s">
        <v>21</v>
      </c>
      <c r="B289" s="4" t="s">
        <v>40</v>
      </c>
      <c r="C289" s="4" t="s">
        <v>23</v>
      </c>
      <c r="D289" s="4" t="s">
        <v>41</v>
      </c>
      <c r="E289" s="4" t="s">
        <v>53</v>
      </c>
      <c r="F289" s="4" t="s">
        <v>51</v>
      </c>
      <c r="G289" s="4" t="s">
        <v>25</v>
      </c>
      <c r="H289" s="4" t="s">
        <v>25</v>
      </c>
      <c r="I289" s="5">
        <v>44409</v>
      </c>
      <c r="J289" s="6">
        <v>0</v>
      </c>
      <c r="K289" s="6">
        <v>0</v>
      </c>
      <c r="L289" s="6">
        <v>1.82</v>
      </c>
      <c r="M289" s="6">
        <v>1.82</v>
      </c>
      <c r="N289" s="6">
        <v>1.82</v>
      </c>
      <c r="O289" s="6">
        <v>1.82</v>
      </c>
      <c r="P289" s="6">
        <v>0</v>
      </c>
      <c r="Q289" s="4" t="s">
        <v>26</v>
      </c>
      <c r="R289" s="4">
        <v>0</v>
      </c>
      <c r="S289" s="4">
        <v>0</v>
      </c>
      <c r="T289" s="4">
        <v>60</v>
      </c>
      <c r="U289" s="4">
        <v>16</v>
      </c>
      <c r="V289" s="6">
        <f>IF(ISERROR(VLOOKUP($S$289,'TAR FIN'!$A$1:$O$85,15,0)),0,VLOOKUP($S$289,'TAR FIN'!$A$1:$O$85,15,0))</f>
        <v>0</v>
      </c>
      <c r="W289" s="6">
        <f>IF(ISERROR(VLOOKUP($T$289,'TAR FIN'!$A$1:$O$85,15,0)),0,VLOOKUP($T$289,'TAR FIN'!$A$1:$O$85,15,0))</f>
        <v>387.29</v>
      </c>
      <c r="X289" s="6">
        <f>IF(ISERROR(VLOOKUP($U$289,'TAR FIN'!$A$1:$O$85,15,0)),0,VLOOKUP($U$289,'TAR FIN'!$A$1:$O$85,15,0))</f>
        <v>196.87</v>
      </c>
      <c r="Y289" s="6"/>
      <c r="Z289" s="6">
        <f ca="1">('TUSD BE'!$AM$33+'TUSD BF'!$AM$33+'TUSD CVA'!$AM$33)*(1-CUSTOS!$M$38)</f>
        <v>464.7286080745173</v>
      </c>
      <c r="AA289" s="6">
        <f>('TE BE'!$AA$23+'TE BF'!$AA$23+'TE CVA'!$AA$23)*(1-CUSTOS!$M$38)</f>
        <v>204.57163525385519</v>
      </c>
      <c r="AB289" s="6">
        <f t="shared" si="14"/>
        <v>0</v>
      </c>
      <c r="AC289" s="6">
        <f>(L289-M289)*(W289+X289)+($W$184+$X$184-$W$289-$X$289)*(L289)</f>
        <v>144.98120000000006</v>
      </c>
      <c r="AD289" s="6">
        <f t="shared" si="15"/>
        <v>0</v>
      </c>
      <c r="AE289" s="6">
        <f ca="1">(L289-M289)*(Z289+AA289)+($Z$184+$AA$184-$Z$289-$AA$289)*(L289)</f>
        <v>77.752751671764045</v>
      </c>
      <c r="AF289" s="4" t="s">
        <v>563</v>
      </c>
    </row>
    <row r="290" spans="1:32" ht="11.25" customHeight="1" x14ac:dyDescent="0.25">
      <c r="A290" s="4" t="s">
        <v>21</v>
      </c>
      <c r="B290" s="4" t="s">
        <v>40</v>
      </c>
      <c r="C290" s="4" t="s">
        <v>23</v>
      </c>
      <c r="D290" s="4" t="s">
        <v>41</v>
      </c>
      <c r="E290" s="4" t="s">
        <v>53</v>
      </c>
      <c r="F290" s="4" t="s">
        <v>51</v>
      </c>
      <c r="G290" s="4" t="s">
        <v>25</v>
      </c>
      <c r="H290" s="4" t="s">
        <v>25</v>
      </c>
      <c r="I290" s="5">
        <v>44440</v>
      </c>
      <c r="J290" s="6">
        <v>0</v>
      </c>
      <c r="K290" s="6">
        <v>0</v>
      </c>
      <c r="L290" s="6">
        <v>1.72</v>
      </c>
      <c r="M290" s="6">
        <v>1.72</v>
      </c>
      <c r="N290" s="6">
        <v>1.72</v>
      </c>
      <c r="O290" s="6">
        <v>1.72</v>
      </c>
      <c r="P290" s="6">
        <v>0</v>
      </c>
      <c r="Q290" s="4" t="s">
        <v>26</v>
      </c>
      <c r="R290" s="4">
        <v>0</v>
      </c>
      <c r="S290" s="4">
        <v>0</v>
      </c>
      <c r="T290" s="4">
        <v>60</v>
      </c>
      <c r="U290" s="4">
        <v>16</v>
      </c>
      <c r="V290" s="6">
        <f>IF(ISERROR(VLOOKUP($S$290,'TAR FIN'!$A$1:$O$85,15,0)),0,VLOOKUP($S$290,'TAR FIN'!$A$1:$O$85,15,0))</f>
        <v>0</v>
      </c>
      <c r="W290" s="6">
        <f>IF(ISERROR(VLOOKUP($T$290,'TAR FIN'!$A$1:$O$85,15,0)),0,VLOOKUP($T$290,'TAR FIN'!$A$1:$O$85,15,0))</f>
        <v>387.29</v>
      </c>
      <c r="X290" s="6">
        <f>IF(ISERROR(VLOOKUP($U$290,'TAR FIN'!$A$1:$O$85,15,0)),0,VLOOKUP($U$290,'TAR FIN'!$A$1:$O$85,15,0))</f>
        <v>196.87</v>
      </c>
      <c r="Y290" s="6"/>
      <c r="Z290" s="6">
        <f ca="1">('TUSD BE'!$AM$33+'TUSD BF'!$AM$33+'TUSD CVA'!$AM$33)*(1-CUSTOS!$M$38)</f>
        <v>464.7286080745173</v>
      </c>
      <c r="AA290" s="6">
        <f>('TE BE'!$AA$23+'TE BF'!$AA$23+'TE CVA'!$AA$23)*(1-CUSTOS!$M$38)</f>
        <v>204.57163525385519</v>
      </c>
      <c r="AB290" s="6">
        <f t="shared" si="14"/>
        <v>0</v>
      </c>
      <c r="AC290" s="6">
        <f>(L290-M290)*(W290+X290)+($W$184+$X$184-$W$290-$X$290)*(L290)</f>
        <v>137.01520000000005</v>
      </c>
      <c r="AD290" s="6">
        <f t="shared" si="15"/>
        <v>0</v>
      </c>
      <c r="AE290" s="6">
        <f ca="1">(L290-M290)*(Z290+AA290)+($Z$184+$AA$184-$Z$290-$AA$290)*(L290)</f>
        <v>73.480622459029746</v>
      </c>
      <c r="AF290" s="4" t="s">
        <v>563</v>
      </c>
    </row>
    <row r="291" spans="1:32" ht="11.25" customHeight="1" x14ac:dyDescent="0.25">
      <c r="A291" s="4" t="s">
        <v>21</v>
      </c>
      <c r="B291" s="4" t="s">
        <v>40</v>
      </c>
      <c r="C291" s="4" t="s">
        <v>23</v>
      </c>
      <c r="D291" s="4" t="s">
        <v>41</v>
      </c>
      <c r="E291" s="4" t="s">
        <v>53</v>
      </c>
      <c r="F291" s="4" t="s">
        <v>51</v>
      </c>
      <c r="G291" s="4" t="s">
        <v>25</v>
      </c>
      <c r="H291" s="4" t="s">
        <v>25</v>
      </c>
      <c r="I291" s="5">
        <v>44470</v>
      </c>
      <c r="J291" s="6">
        <v>0</v>
      </c>
      <c r="K291" s="6">
        <v>0</v>
      </c>
      <c r="L291" s="6">
        <v>0.06</v>
      </c>
      <c r="M291" s="6">
        <v>0.06</v>
      </c>
      <c r="N291" s="6">
        <v>0.06</v>
      </c>
      <c r="O291" s="6">
        <v>0.06</v>
      </c>
      <c r="P291" s="6">
        <v>0</v>
      </c>
      <c r="Q291" s="4" t="s">
        <v>26</v>
      </c>
      <c r="R291" s="4">
        <v>0</v>
      </c>
      <c r="S291" s="4">
        <v>0</v>
      </c>
      <c r="T291" s="4">
        <v>60</v>
      </c>
      <c r="U291" s="4">
        <v>16</v>
      </c>
      <c r="V291" s="6">
        <f>IF(ISERROR(VLOOKUP($S$291,'TAR FIN'!$A$1:$O$85,15,0)),0,VLOOKUP($S$291,'TAR FIN'!$A$1:$O$85,15,0))</f>
        <v>0</v>
      </c>
      <c r="W291" s="6">
        <f>IF(ISERROR(VLOOKUP($T$291,'TAR FIN'!$A$1:$O$85,15,0)),0,VLOOKUP($T$291,'TAR FIN'!$A$1:$O$85,15,0))</f>
        <v>387.29</v>
      </c>
      <c r="X291" s="6">
        <f>IF(ISERROR(VLOOKUP($U$291,'TAR FIN'!$A$1:$O$85,15,0)),0,VLOOKUP($U$291,'TAR FIN'!$A$1:$O$85,15,0))</f>
        <v>196.87</v>
      </c>
      <c r="Y291" s="6"/>
      <c r="Z291" s="6">
        <f ca="1">('TUSD BE'!$AM$33+'TUSD BF'!$AM$33+'TUSD CVA'!$AM$33)*(1-CUSTOS!$M$38)</f>
        <v>464.7286080745173</v>
      </c>
      <c r="AA291" s="6">
        <f>('TE BE'!$AA$23+'TE BF'!$AA$23+'TE CVA'!$AA$23)*(1-CUSTOS!$M$38)</f>
        <v>204.57163525385519</v>
      </c>
      <c r="AB291" s="6">
        <f t="shared" si="14"/>
        <v>0</v>
      </c>
      <c r="AC291" s="6">
        <f>(L291-M291)*(W291+X291)+($W$184+$X$184-$W$291-$X$291)*(L291)</f>
        <v>4.7796000000000012</v>
      </c>
      <c r="AD291" s="6">
        <f t="shared" si="15"/>
        <v>0</v>
      </c>
      <c r="AE291" s="6">
        <f ca="1">(L291-M291)*(Z291+AA291)+($Z$184+$AA$184-$Z$291-$AA$291)*(L291)</f>
        <v>2.5632775276405724</v>
      </c>
      <c r="AF291" s="4" t="s">
        <v>563</v>
      </c>
    </row>
    <row r="292" spans="1:32" ht="11.25" customHeight="1" x14ac:dyDescent="0.25">
      <c r="A292" s="4" t="s">
        <v>21</v>
      </c>
      <c r="B292" s="4" t="s">
        <v>40</v>
      </c>
      <c r="C292" s="4" t="s">
        <v>23</v>
      </c>
      <c r="D292" s="4" t="s">
        <v>41</v>
      </c>
      <c r="E292" s="4" t="s">
        <v>53</v>
      </c>
      <c r="F292" s="4" t="s">
        <v>51</v>
      </c>
      <c r="G292" s="4" t="s">
        <v>25</v>
      </c>
      <c r="H292" s="4" t="s">
        <v>25</v>
      </c>
      <c r="I292" s="5">
        <v>44501</v>
      </c>
      <c r="J292" s="6">
        <v>0</v>
      </c>
      <c r="K292" s="6">
        <v>0</v>
      </c>
      <c r="L292" s="6">
        <v>0.06</v>
      </c>
      <c r="M292" s="6">
        <v>0.06</v>
      </c>
      <c r="N292" s="6">
        <v>0.06</v>
      </c>
      <c r="O292" s="6">
        <v>0.06</v>
      </c>
      <c r="P292" s="6">
        <v>0</v>
      </c>
      <c r="Q292" s="4" t="s">
        <v>26</v>
      </c>
      <c r="R292" s="4">
        <v>0</v>
      </c>
      <c r="S292" s="4">
        <v>0</v>
      </c>
      <c r="T292" s="4">
        <v>60</v>
      </c>
      <c r="U292" s="4">
        <v>16</v>
      </c>
      <c r="V292" s="6">
        <f>IF(ISERROR(VLOOKUP($S$292,'TAR FIN'!$A$1:$O$85,15,0)),0,VLOOKUP($S$292,'TAR FIN'!$A$1:$O$85,15,0))</f>
        <v>0</v>
      </c>
      <c r="W292" s="6">
        <f>IF(ISERROR(VLOOKUP($T$292,'TAR FIN'!$A$1:$O$85,15,0)),0,VLOOKUP($T$292,'TAR FIN'!$A$1:$O$85,15,0))</f>
        <v>387.29</v>
      </c>
      <c r="X292" s="6">
        <f>IF(ISERROR(VLOOKUP($U$292,'TAR FIN'!$A$1:$O$85,15,0)),0,VLOOKUP($U$292,'TAR FIN'!$A$1:$O$85,15,0))</f>
        <v>196.87</v>
      </c>
      <c r="Y292" s="6"/>
      <c r="Z292" s="6">
        <f ca="1">('TUSD BE'!$AM$33+'TUSD BF'!$AM$33+'TUSD CVA'!$AM$33)*(1-CUSTOS!$M$38)</f>
        <v>464.7286080745173</v>
      </c>
      <c r="AA292" s="6">
        <f>('TE BE'!$AA$23+'TE BF'!$AA$23+'TE CVA'!$AA$23)*(1-CUSTOS!$M$38)</f>
        <v>204.57163525385519</v>
      </c>
      <c r="AB292" s="6">
        <f t="shared" si="14"/>
        <v>0</v>
      </c>
      <c r="AC292" s="6">
        <f>(L292-M292)*(W292+X292)+($W$184+$X$184-$W$292-$X$292)*(L292)</f>
        <v>4.7796000000000012</v>
      </c>
      <c r="AD292" s="6">
        <f t="shared" si="15"/>
        <v>0</v>
      </c>
      <c r="AE292" s="6">
        <f ca="1">(L292-M292)*(Z292+AA292)+($Z$184+$AA$184-$Z$292-$AA$292)*(L292)</f>
        <v>2.5632775276405724</v>
      </c>
      <c r="AF292" s="4" t="s">
        <v>563</v>
      </c>
    </row>
    <row r="293" spans="1:32" ht="11.25" customHeight="1" x14ac:dyDescent="0.25">
      <c r="A293" s="4" t="s">
        <v>21</v>
      </c>
      <c r="B293" s="4" t="s">
        <v>40</v>
      </c>
      <c r="C293" s="4" t="s">
        <v>23</v>
      </c>
      <c r="D293" s="4" t="s">
        <v>41</v>
      </c>
      <c r="E293" s="4" t="s">
        <v>53</v>
      </c>
      <c r="F293" s="4" t="s">
        <v>51</v>
      </c>
      <c r="G293" s="4" t="s">
        <v>25</v>
      </c>
      <c r="H293" s="4" t="s">
        <v>25</v>
      </c>
      <c r="I293" s="5">
        <v>44531</v>
      </c>
      <c r="J293" s="6">
        <v>0</v>
      </c>
      <c r="K293" s="6">
        <v>0</v>
      </c>
      <c r="L293" s="6">
        <v>0.12</v>
      </c>
      <c r="M293" s="6">
        <v>0.12</v>
      </c>
      <c r="N293" s="6">
        <v>0.12</v>
      </c>
      <c r="O293" s="6">
        <v>0.12</v>
      </c>
      <c r="P293" s="6">
        <v>0</v>
      </c>
      <c r="Q293" s="4" t="s">
        <v>26</v>
      </c>
      <c r="R293" s="4">
        <v>0</v>
      </c>
      <c r="S293" s="4">
        <v>0</v>
      </c>
      <c r="T293" s="4">
        <v>60</v>
      </c>
      <c r="U293" s="4">
        <v>16</v>
      </c>
      <c r="V293" s="6">
        <f>IF(ISERROR(VLOOKUP($S$293,'TAR FIN'!$A$1:$O$85,15,0)),0,VLOOKUP($S$293,'TAR FIN'!$A$1:$O$85,15,0))</f>
        <v>0</v>
      </c>
      <c r="W293" s="6">
        <f>IF(ISERROR(VLOOKUP($T$293,'TAR FIN'!$A$1:$O$85,15,0)),0,VLOOKUP($T$293,'TAR FIN'!$A$1:$O$85,15,0))</f>
        <v>387.29</v>
      </c>
      <c r="X293" s="6">
        <f>IF(ISERROR(VLOOKUP($U$293,'TAR FIN'!$A$1:$O$85,15,0)),0,VLOOKUP($U$293,'TAR FIN'!$A$1:$O$85,15,0))</f>
        <v>196.87</v>
      </c>
      <c r="Y293" s="6"/>
      <c r="Z293" s="6">
        <f ca="1">('TUSD BE'!$AM$33+'TUSD BF'!$AM$33+'TUSD CVA'!$AM$33)*(1-CUSTOS!$M$38)</f>
        <v>464.7286080745173</v>
      </c>
      <c r="AA293" s="6">
        <f>('TE BE'!$AA$23+'TE BF'!$AA$23+'TE CVA'!$AA$23)*(1-CUSTOS!$M$38)</f>
        <v>204.57163525385519</v>
      </c>
      <c r="AB293" s="6">
        <f t="shared" si="14"/>
        <v>0</v>
      </c>
      <c r="AC293" s="6">
        <f>(L293-M293)*(W293+X293)+($W$184+$X$184-$W$293-$X$293)*(L293)</f>
        <v>9.5592000000000024</v>
      </c>
      <c r="AD293" s="6">
        <f t="shared" si="15"/>
        <v>0</v>
      </c>
      <c r="AE293" s="6">
        <f ca="1">(L293-M293)*(Z293+AA293)+($Z$184+$AA$184-$Z$293-$AA$293)*(L293)</f>
        <v>5.1265550552811447</v>
      </c>
      <c r="AF293" s="4" t="s">
        <v>563</v>
      </c>
    </row>
    <row r="294" spans="1:32" ht="11.25" customHeight="1" x14ac:dyDescent="0.25">
      <c r="A294" s="4" t="s">
        <v>21</v>
      </c>
      <c r="B294" s="4" t="s">
        <v>40</v>
      </c>
      <c r="C294" s="4" t="s">
        <v>23</v>
      </c>
      <c r="D294" s="4" t="s">
        <v>41</v>
      </c>
      <c r="E294" s="4" t="s">
        <v>53</v>
      </c>
      <c r="F294" s="4" t="s">
        <v>51</v>
      </c>
      <c r="G294" s="4" t="s">
        <v>25</v>
      </c>
      <c r="H294" s="4" t="s">
        <v>25</v>
      </c>
      <c r="I294" s="5">
        <v>44562</v>
      </c>
      <c r="J294" s="6">
        <v>0</v>
      </c>
      <c r="K294" s="6">
        <v>0</v>
      </c>
      <c r="L294" s="6">
        <v>0.16</v>
      </c>
      <c r="M294" s="6">
        <v>0.16</v>
      </c>
      <c r="N294" s="6">
        <v>0.16</v>
      </c>
      <c r="O294" s="6">
        <v>0.16</v>
      </c>
      <c r="P294" s="6">
        <v>0</v>
      </c>
      <c r="Q294" s="4" t="s">
        <v>26</v>
      </c>
      <c r="R294" s="4">
        <v>0</v>
      </c>
      <c r="S294" s="4">
        <v>0</v>
      </c>
      <c r="T294" s="4">
        <v>60</v>
      </c>
      <c r="U294" s="4">
        <v>16</v>
      </c>
      <c r="V294" s="6">
        <f>IF(ISERROR(VLOOKUP($S$294,'TAR FIN'!$A$1:$O$85,15,0)),0,VLOOKUP($S$294,'TAR FIN'!$A$1:$O$85,15,0))</f>
        <v>0</v>
      </c>
      <c r="W294" s="6">
        <f>IF(ISERROR(VLOOKUP($T$294,'TAR FIN'!$A$1:$O$85,15,0)),0,VLOOKUP($T$294,'TAR FIN'!$A$1:$O$85,15,0))</f>
        <v>387.29</v>
      </c>
      <c r="X294" s="6">
        <f>IF(ISERROR(VLOOKUP($U$294,'TAR FIN'!$A$1:$O$85,15,0)),0,VLOOKUP($U$294,'TAR FIN'!$A$1:$O$85,15,0))</f>
        <v>196.87</v>
      </c>
      <c r="Y294" s="6"/>
      <c r="Z294" s="6">
        <f ca="1">('TUSD BE'!$AM$33+'TUSD BF'!$AM$33+'TUSD CVA'!$AM$33)*(1-CUSTOS!$M$38)</f>
        <v>464.7286080745173</v>
      </c>
      <c r="AA294" s="6">
        <f>('TE BE'!$AA$23+'TE BF'!$AA$23+'TE CVA'!$AA$23)*(1-CUSTOS!$M$38)</f>
        <v>204.57163525385519</v>
      </c>
      <c r="AB294" s="6">
        <f t="shared" si="14"/>
        <v>0</v>
      </c>
      <c r="AC294" s="6">
        <f>(L294-M294)*(W294+X294)+($W$184+$X$184-$W$294-$X$294)*(L294)</f>
        <v>12.745600000000005</v>
      </c>
      <c r="AD294" s="6">
        <f t="shared" si="15"/>
        <v>0</v>
      </c>
      <c r="AE294" s="6">
        <f ca="1">(L294-M294)*(Z294+AA294)+($Z$184+$AA$184-$Z$294-$AA$294)*(L294)</f>
        <v>6.8354067403748608</v>
      </c>
      <c r="AF294" s="4" t="s">
        <v>563</v>
      </c>
    </row>
    <row r="295" spans="1:32" ht="11.25" customHeight="1" x14ac:dyDescent="0.25">
      <c r="A295" s="4" t="s">
        <v>21</v>
      </c>
      <c r="B295" s="4" t="s">
        <v>40</v>
      </c>
      <c r="C295" s="4" t="s">
        <v>23</v>
      </c>
      <c r="D295" s="4" t="s">
        <v>41</v>
      </c>
      <c r="E295" s="4" t="s">
        <v>53</v>
      </c>
      <c r="F295" s="4" t="s">
        <v>51</v>
      </c>
      <c r="G295" s="4" t="s">
        <v>25</v>
      </c>
      <c r="H295" s="4" t="s">
        <v>25</v>
      </c>
      <c r="I295" s="5">
        <v>44593</v>
      </c>
      <c r="J295" s="6">
        <v>0</v>
      </c>
      <c r="K295" s="6">
        <v>0</v>
      </c>
      <c r="L295" s="6">
        <v>0.14000000000000001</v>
      </c>
      <c r="M295" s="6">
        <v>0.14000000000000001</v>
      </c>
      <c r="N295" s="6">
        <v>0.14000000000000001</v>
      </c>
      <c r="O295" s="6">
        <v>0.14000000000000001</v>
      </c>
      <c r="P295" s="6">
        <v>0</v>
      </c>
      <c r="Q295" s="4" t="s">
        <v>26</v>
      </c>
      <c r="R295" s="4">
        <v>0</v>
      </c>
      <c r="S295" s="4">
        <v>0</v>
      </c>
      <c r="T295" s="4">
        <v>60</v>
      </c>
      <c r="U295" s="4">
        <v>16</v>
      </c>
      <c r="V295" s="6">
        <f>IF(ISERROR(VLOOKUP($S$295,'TAR FIN'!$A$1:$O$85,15,0)),0,VLOOKUP($S$295,'TAR FIN'!$A$1:$O$85,15,0))</f>
        <v>0</v>
      </c>
      <c r="W295" s="6">
        <f>IF(ISERROR(VLOOKUP($T$295,'TAR FIN'!$A$1:$O$85,15,0)),0,VLOOKUP($T$295,'TAR FIN'!$A$1:$O$85,15,0))</f>
        <v>387.29</v>
      </c>
      <c r="X295" s="6">
        <f>IF(ISERROR(VLOOKUP($U$295,'TAR FIN'!$A$1:$O$85,15,0)),0,VLOOKUP($U$295,'TAR FIN'!$A$1:$O$85,15,0))</f>
        <v>196.87</v>
      </c>
      <c r="Y295" s="6"/>
      <c r="Z295" s="6">
        <f ca="1">('TUSD BE'!$AM$33+'TUSD BF'!$AM$33+'TUSD CVA'!$AM$33)*(1-CUSTOS!$M$38)</f>
        <v>464.7286080745173</v>
      </c>
      <c r="AA295" s="6">
        <f>('TE BE'!$AA$23+'TE BF'!$AA$23+'TE CVA'!$AA$23)*(1-CUSTOS!$M$38)</f>
        <v>204.57163525385519</v>
      </c>
      <c r="AB295" s="6">
        <f t="shared" si="14"/>
        <v>0</v>
      </c>
      <c r="AC295" s="6">
        <f>(L295-M295)*(W295+X295)+($W$184+$X$184-$W$295-$X$295)*(L295)</f>
        <v>11.152400000000005</v>
      </c>
      <c r="AD295" s="6">
        <f t="shared" si="15"/>
        <v>0</v>
      </c>
      <c r="AE295" s="6">
        <f ca="1">(L295-M295)*(Z295+AA295)+($Z$184+$AA$184-$Z$295-$AA$295)*(L295)</f>
        <v>5.9809808978280037</v>
      </c>
      <c r="AF295" s="4" t="s">
        <v>563</v>
      </c>
    </row>
    <row r="296" spans="1:32" ht="11.25" customHeight="1" x14ac:dyDescent="0.25">
      <c r="A296" s="4" t="s">
        <v>54</v>
      </c>
      <c r="B296" s="4" t="s">
        <v>40</v>
      </c>
      <c r="C296" s="4" t="s">
        <v>23</v>
      </c>
      <c r="D296" s="4" t="s">
        <v>41</v>
      </c>
      <c r="E296" s="4" t="s">
        <v>53</v>
      </c>
      <c r="F296" s="4" t="s">
        <v>51</v>
      </c>
      <c r="G296" s="4" t="s">
        <v>25</v>
      </c>
      <c r="H296" s="4" t="s">
        <v>25</v>
      </c>
      <c r="I296" s="5">
        <v>44621</v>
      </c>
      <c r="J296" s="6">
        <v>0</v>
      </c>
      <c r="K296" s="6">
        <v>0</v>
      </c>
      <c r="L296" s="6">
        <v>0.14000000000000001</v>
      </c>
      <c r="M296" s="6">
        <v>0.14000000000000001</v>
      </c>
      <c r="N296" s="6">
        <v>0.14000000000000001</v>
      </c>
      <c r="O296" s="6">
        <v>0.14000000000000001</v>
      </c>
      <c r="P296" s="6">
        <v>0</v>
      </c>
      <c r="Q296" s="4" t="s">
        <v>26</v>
      </c>
      <c r="R296" s="4">
        <v>0</v>
      </c>
      <c r="S296" s="4">
        <v>0</v>
      </c>
      <c r="T296" s="4">
        <v>60</v>
      </c>
      <c r="U296" s="4">
        <v>16</v>
      </c>
      <c r="V296" s="6">
        <f>IF(ISERROR(VLOOKUP($S$296,'TAR FIN'!$A$1:$O$85,15,0)),0,VLOOKUP($S$296,'TAR FIN'!$A$1:$O$85,15,0))</f>
        <v>0</v>
      </c>
      <c r="W296" s="6">
        <f>IF(ISERROR(VLOOKUP($T$296,'TAR FIN'!$A$1:$O$85,15,0)),0,VLOOKUP($T$296,'TAR FIN'!$A$1:$O$85,15,0))</f>
        <v>387.29</v>
      </c>
      <c r="X296" s="6">
        <f>IF(ISERROR(VLOOKUP($U$296,'TAR FIN'!$A$1:$O$85,15,0)),0,VLOOKUP($U$296,'TAR FIN'!$A$1:$O$85,15,0))</f>
        <v>196.87</v>
      </c>
      <c r="Y296" s="6"/>
      <c r="Z296" s="6">
        <f ca="1">('TUSD BE'!$AM$33+'TUSD BF'!$AM$33+'TUSD CVA'!$AM$33)*(1-CUSTOS!$M$38)</f>
        <v>464.7286080745173</v>
      </c>
      <c r="AA296" s="6">
        <f>('TE BE'!$AA$23+'TE BF'!$AA$23+'TE CVA'!$AA$23)*(1-CUSTOS!$M$38)</f>
        <v>204.57163525385519</v>
      </c>
      <c r="AB296" s="6">
        <f t="shared" si="14"/>
        <v>0</v>
      </c>
      <c r="AC296" s="6">
        <f>(L296-M296)*(W296+X296)+($W$184+$X$184-$W$296-$X$296)*(L296)</f>
        <v>11.152400000000005</v>
      </c>
      <c r="AD296" s="6">
        <f t="shared" si="15"/>
        <v>0</v>
      </c>
      <c r="AE296" s="6">
        <f ca="1">(L296-M296)*(Z296+AA296)+($Z$184+$AA$184-$Z$296-$AA$296)*(L296)</f>
        <v>5.9809808978280037</v>
      </c>
      <c r="AF296" s="4" t="s">
        <v>563</v>
      </c>
    </row>
    <row r="297" spans="1:32" ht="11.25" customHeight="1" x14ac:dyDescent="0.25">
      <c r="A297" s="4" t="s">
        <v>21</v>
      </c>
      <c r="B297" s="4" t="s">
        <v>40</v>
      </c>
      <c r="C297" s="4" t="s">
        <v>23</v>
      </c>
      <c r="D297" s="4" t="s">
        <v>41</v>
      </c>
      <c r="E297" s="4" t="s">
        <v>53</v>
      </c>
      <c r="F297" s="4" t="s">
        <v>52</v>
      </c>
      <c r="G297" s="4" t="s">
        <v>25</v>
      </c>
      <c r="H297" s="4" t="s">
        <v>25</v>
      </c>
      <c r="I297" s="5">
        <v>44287</v>
      </c>
      <c r="J297" s="6">
        <v>0</v>
      </c>
      <c r="K297" s="6">
        <v>0</v>
      </c>
      <c r="L297" s="6">
        <v>1.08</v>
      </c>
      <c r="M297" s="6">
        <v>0.432</v>
      </c>
      <c r="N297" s="6">
        <v>1.08</v>
      </c>
      <c r="O297" s="6">
        <v>0.432</v>
      </c>
      <c r="P297" s="6">
        <v>0</v>
      </c>
      <c r="Q297" s="4" t="s">
        <v>26</v>
      </c>
      <c r="R297" s="4">
        <v>0</v>
      </c>
      <c r="S297" s="4">
        <v>0</v>
      </c>
      <c r="T297" s="4">
        <v>60</v>
      </c>
      <c r="U297" s="4">
        <v>16</v>
      </c>
      <c r="V297" s="6">
        <f>IF(ISERROR(VLOOKUP($S$297,'TAR FIN'!$A$1:$O$85,15,0)),0,VLOOKUP($S$297,'TAR FIN'!$A$1:$O$85,15,0))</f>
        <v>0</v>
      </c>
      <c r="W297" s="6">
        <f>IF(ISERROR(VLOOKUP($T$297,'TAR FIN'!$A$1:$O$85,15,0)),0,VLOOKUP($T$297,'TAR FIN'!$A$1:$O$85,15,0))</f>
        <v>387.29</v>
      </c>
      <c r="X297" s="6">
        <f>IF(ISERROR(VLOOKUP($U$297,'TAR FIN'!$A$1:$O$85,15,0)),0,VLOOKUP($U$297,'TAR FIN'!$A$1:$O$85,15,0))</f>
        <v>196.87</v>
      </c>
      <c r="Y297" s="6"/>
      <c r="Z297" s="6">
        <f ca="1">('TUSD BE'!$AM$33+'TUSD BF'!$AM$33+'TUSD CVA'!$AM$33)*(1-CUSTOS!$M$38)</f>
        <v>464.7286080745173</v>
      </c>
      <c r="AA297" s="6">
        <f>('TE BE'!$AA$23+'TE BF'!$AA$23+'TE CVA'!$AA$23)*(1-CUSTOS!$M$38)</f>
        <v>204.57163525385519</v>
      </c>
      <c r="AB297" s="6">
        <f t="shared" si="14"/>
        <v>0</v>
      </c>
      <c r="AC297" s="6">
        <f>(L297-M297)*(W297+X297)+($W$184+$X$184-$W$297-$X$297)*(L297)</f>
        <v>464.56848000000014</v>
      </c>
      <c r="AD297" s="6">
        <f t="shared" si="15"/>
        <v>0</v>
      </c>
      <c r="AE297" s="6">
        <f ca="1">(L297-M297)*(Z297+AA297)+($Z$184+$AA$184-$Z$297-$AA$297)*(L297)</f>
        <v>479.84555317431574</v>
      </c>
      <c r="AF297" s="4" t="s">
        <v>564</v>
      </c>
    </row>
    <row r="298" spans="1:32" ht="11.25" customHeight="1" x14ac:dyDescent="0.25">
      <c r="A298" s="4" t="s">
        <v>21</v>
      </c>
      <c r="B298" s="4" t="s">
        <v>40</v>
      </c>
      <c r="C298" s="4" t="s">
        <v>23</v>
      </c>
      <c r="D298" s="4" t="s">
        <v>41</v>
      </c>
      <c r="E298" s="4" t="s">
        <v>53</v>
      </c>
      <c r="F298" s="4" t="s">
        <v>52</v>
      </c>
      <c r="G298" s="4" t="s">
        <v>25</v>
      </c>
      <c r="H298" s="4" t="s">
        <v>25</v>
      </c>
      <c r="I298" s="5">
        <v>44317</v>
      </c>
      <c r="J298" s="6">
        <v>0</v>
      </c>
      <c r="K298" s="6">
        <v>0</v>
      </c>
      <c r="L298" s="6">
        <v>1.02</v>
      </c>
      <c r="M298" s="6">
        <v>0.40799999999999997</v>
      </c>
      <c r="N298" s="6">
        <v>1.02</v>
      </c>
      <c r="O298" s="6">
        <v>0.40799999999999997</v>
      </c>
      <c r="P298" s="6">
        <v>0</v>
      </c>
      <c r="Q298" s="4" t="s">
        <v>26</v>
      </c>
      <c r="R298" s="4">
        <v>0</v>
      </c>
      <c r="S298" s="4">
        <v>0</v>
      </c>
      <c r="T298" s="4">
        <v>60</v>
      </c>
      <c r="U298" s="4">
        <v>16</v>
      </c>
      <c r="V298" s="6">
        <f>IF(ISERROR(VLOOKUP($S$298,'TAR FIN'!$A$1:$O$85,15,0)),0,VLOOKUP($S$298,'TAR FIN'!$A$1:$O$85,15,0))</f>
        <v>0</v>
      </c>
      <c r="W298" s="6">
        <f>IF(ISERROR(VLOOKUP($T$298,'TAR FIN'!$A$1:$O$85,15,0)),0,VLOOKUP($T$298,'TAR FIN'!$A$1:$O$85,15,0))</f>
        <v>387.29</v>
      </c>
      <c r="X298" s="6">
        <f>IF(ISERROR(VLOOKUP($U$298,'TAR FIN'!$A$1:$O$85,15,0)),0,VLOOKUP($U$298,'TAR FIN'!$A$1:$O$85,15,0))</f>
        <v>196.87</v>
      </c>
      <c r="Y298" s="6"/>
      <c r="Z298" s="6">
        <f ca="1">('TUSD BE'!$AM$33+'TUSD BF'!$AM$33+'TUSD CVA'!$AM$33)*(1-CUSTOS!$M$38)</f>
        <v>464.7286080745173</v>
      </c>
      <c r="AA298" s="6">
        <f>('TE BE'!$AA$23+'TE BF'!$AA$23+'TE CVA'!$AA$23)*(1-CUSTOS!$M$38)</f>
        <v>204.57163525385519</v>
      </c>
      <c r="AB298" s="6">
        <f t="shared" si="14"/>
        <v>0</v>
      </c>
      <c r="AC298" s="6">
        <f>(L298-M298)*(W298+X298)+($W$184+$X$184-$W$298-$X$298)*(L298)</f>
        <v>438.75912000000017</v>
      </c>
      <c r="AD298" s="6">
        <f t="shared" si="15"/>
        <v>0</v>
      </c>
      <c r="AE298" s="6">
        <f ca="1">(L298-M298)*(Z298+AA298)+($Z$184+$AA$184-$Z$298-$AA$298)*(L298)</f>
        <v>453.18746688685383</v>
      </c>
      <c r="AF298" s="4" t="s">
        <v>564</v>
      </c>
    </row>
    <row r="299" spans="1:32" ht="11.25" customHeight="1" x14ac:dyDescent="0.25">
      <c r="A299" s="4" t="s">
        <v>21</v>
      </c>
      <c r="B299" s="4" t="s">
        <v>40</v>
      </c>
      <c r="C299" s="4" t="s">
        <v>23</v>
      </c>
      <c r="D299" s="4" t="s">
        <v>41</v>
      </c>
      <c r="E299" s="4" t="s">
        <v>53</v>
      </c>
      <c r="F299" s="4" t="s">
        <v>52</v>
      </c>
      <c r="G299" s="4" t="s">
        <v>25</v>
      </c>
      <c r="H299" s="4" t="s">
        <v>25</v>
      </c>
      <c r="I299" s="5">
        <v>44348</v>
      </c>
      <c r="J299" s="6">
        <v>0</v>
      </c>
      <c r="K299" s="6">
        <v>0</v>
      </c>
      <c r="L299" s="6">
        <v>0.82</v>
      </c>
      <c r="M299" s="6">
        <v>0.32800000000000001</v>
      </c>
      <c r="N299" s="6">
        <v>0.82</v>
      </c>
      <c r="O299" s="6">
        <v>0.32800000000000001</v>
      </c>
      <c r="P299" s="6">
        <v>0</v>
      </c>
      <c r="Q299" s="4" t="s">
        <v>26</v>
      </c>
      <c r="R299" s="4">
        <v>0</v>
      </c>
      <c r="S299" s="4">
        <v>0</v>
      </c>
      <c r="T299" s="4">
        <v>60</v>
      </c>
      <c r="U299" s="4">
        <v>16</v>
      </c>
      <c r="V299" s="6">
        <f>IF(ISERROR(VLOOKUP($S$299,'TAR FIN'!$A$1:$O$85,15,0)),0,VLOOKUP($S$299,'TAR FIN'!$A$1:$O$85,15,0))</f>
        <v>0</v>
      </c>
      <c r="W299" s="6">
        <f>IF(ISERROR(VLOOKUP($T$299,'TAR FIN'!$A$1:$O$85,15,0)),0,VLOOKUP($T$299,'TAR FIN'!$A$1:$O$85,15,0))</f>
        <v>387.29</v>
      </c>
      <c r="X299" s="6">
        <f>IF(ISERROR(VLOOKUP($U$299,'TAR FIN'!$A$1:$O$85,15,0)),0,VLOOKUP($U$299,'TAR FIN'!$A$1:$O$85,15,0))</f>
        <v>196.87</v>
      </c>
      <c r="Y299" s="6"/>
      <c r="Z299" s="6">
        <f ca="1">('TUSD BE'!$AM$33+'TUSD BF'!$AM$33+'TUSD CVA'!$AM$33)*(1-CUSTOS!$M$38)</f>
        <v>464.7286080745173</v>
      </c>
      <c r="AA299" s="6">
        <f>('TE BE'!$AA$23+'TE BF'!$AA$23+'TE CVA'!$AA$23)*(1-CUSTOS!$M$38)</f>
        <v>204.57163525385519</v>
      </c>
      <c r="AB299" s="6">
        <f t="shared" si="14"/>
        <v>0</v>
      </c>
      <c r="AC299" s="6">
        <f>(L299-M299)*(W299+X299)+($W$184+$X$184-$W$299-$X$299)*(L299)</f>
        <v>352.72792000000004</v>
      </c>
      <c r="AD299" s="6">
        <f t="shared" si="15"/>
        <v>0</v>
      </c>
      <c r="AE299" s="6">
        <f ca="1">(L299-M299)*(Z299+AA299)+($Z$184+$AA$184-$Z$299-$AA$299)*(L299)</f>
        <v>364.3271792619804</v>
      </c>
      <c r="AF299" s="4" t="s">
        <v>564</v>
      </c>
    </row>
    <row r="300" spans="1:32" ht="11.25" customHeight="1" x14ac:dyDescent="0.25">
      <c r="A300" s="4" t="s">
        <v>21</v>
      </c>
      <c r="B300" s="4" t="s">
        <v>40</v>
      </c>
      <c r="C300" s="4" t="s">
        <v>23</v>
      </c>
      <c r="D300" s="4" t="s">
        <v>41</v>
      </c>
      <c r="E300" s="4" t="s">
        <v>53</v>
      </c>
      <c r="F300" s="4" t="s">
        <v>52</v>
      </c>
      <c r="G300" s="4" t="s">
        <v>25</v>
      </c>
      <c r="H300" s="4" t="s">
        <v>25</v>
      </c>
      <c r="I300" s="5">
        <v>44378</v>
      </c>
      <c r="J300" s="6">
        <v>0</v>
      </c>
      <c r="K300" s="6">
        <v>0</v>
      </c>
      <c r="L300" s="6">
        <v>0.86</v>
      </c>
      <c r="M300" s="6">
        <v>0.34399999999999997</v>
      </c>
      <c r="N300" s="6">
        <v>0.86</v>
      </c>
      <c r="O300" s="6">
        <v>0.34399999999999997</v>
      </c>
      <c r="P300" s="6">
        <v>0</v>
      </c>
      <c r="Q300" s="4" t="s">
        <v>26</v>
      </c>
      <c r="R300" s="4">
        <v>0</v>
      </c>
      <c r="S300" s="4">
        <v>0</v>
      </c>
      <c r="T300" s="4">
        <v>60</v>
      </c>
      <c r="U300" s="4">
        <v>16</v>
      </c>
      <c r="V300" s="6">
        <f>IF(ISERROR(VLOOKUP($S$300,'TAR FIN'!$A$1:$O$85,15,0)),0,VLOOKUP($S$300,'TAR FIN'!$A$1:$O$85,15,0))</f>
        <v>0</v>
      </c>
      <c r="W300" s="6">
        <f>IF(ISERROR(VLOOKUP($T$300,'TAR FIN'!$A$1:$O$85,15,0)),0,VLOOKUP($T$300,'TAR FIN'!$A$1:$O$85,15,0))</f>
        <v>387.29</v>
      </c>
      <c r="X300" s="6">
        <f>IF(ISERROR(VLOOKUP($U$300,'TAR FIN'!$A$1:$O$85,15,0)),0,VLOOKUP($U$300,'TAR FIN'!$A$1:$O$85,15,0))</f>
        <v>196.87</v>
      </c>
      <c r="Y300" s="6"/>
      <c r="Z300" s="6">
        <f ca="1">('TUSD BE'!$AM$33+'TUSD BF'!$AM$33+'TUSD CVA'!$AM$33)*(1-CUSTOS!$M$38)</f>
        <v>464.7286080745173</v>
      </c>
      <c r="AA300" s="6">
        <f>('TE BE'!$AA$23+'TE BF'!$AA$23+'TE CVA'!$AA$23)*(1-CUSTOS!$M$38)</f>
        <v>204.57163525385519</v>
      </c>
      <c r="AB300" s="6">
        <f t="shared" si="14"/>
        <v>0</v>
      </c>
      <c r="AC300" s="6">
        <f>(L300-M300)*(W300+X300)+($W$184+$X$184-$W$300-$X$300)*(L300)</f>
        <v>369.93416000000008</v>
      </c>
      <c r="AD300" s="6">
        <f t="shared" si="15"/>
        <v>0</v>
      </c>
      <c r="AE300" s="6">
        <f ca="1">(L300-M300)*(Z300+AA300)+($Z$184+$AA$184-$Z$300-$AA$300)*(L300)</f>
        <v>382.09923678695509</v>
      </c>
      <c r="AF300" s="4" t="s">
        <v>564</v>
      </c>
    </row>
    <row r="301" spans="1:32" ht="11.25" customHeight="1" x14ac:dyDescent="0.25">
      <c r="A301" s="4" t="s">
        <v>21</v>
      </c>
      <c r="B301" s="4" t="s">
        <v>40</v>
      </c>
      <c r="C301" s="4" t="s">
        <v>23</v>
      </c>
      <c r="D301" s="4" t="s">
        <v>41</v>
      </c>
      <c r="E301" s="4" t="s">
        <v>53</v>
      </c>
      <c r="F301" s="4" t="s">
        <v>52</v>
      </c>
      <c r="G301" s="4" t="s">
        <v>25</v>
      </c>
      <c r="H301" s="4" t="s">
        <v>25</v>
      </c>
      <c r="I301" s="5">
        <v>44409</v>
      </c>
      <c r="J301" s="6">
        <v>0</v>
      </c>
      <c r="K301" s="6">
        <v>0</v>
      </c>
      <c r="L301" s="6">
        <v>1.02</v>
      </c>
      <c r="M301" s="6">
        <v>0.40799999999999997</v>
      </c>
      <c r="N301" s="6">
        <v>1.02</v>
      </c>
      <c r="O301" s="6">
        <v>0.40799999999999997</v>
      </c>
      <c r="P301" s="6">
        <v>0</v>
      </c>
      <c r="Q301" s="4" t="s">
        <v>26</v>
      </c>
      <c r="R301" s="4">
        <v>0</v>
      </c>
      <c r="S301" s="4">
        <v>0</v>
      </c>
      <c r="T301" s="4">
        <v>60</v>
      </c>
      <c r="U301" s="4">
        <v>16</v>
      </c>
      <c r="V301" s="6">
        <f>IF(ISERROR(VLOOKUP($S$301,'TAR FIN'!$A$1:$O$85,15,0)),0,VLOOKUP($S$301,'TAR FIN'!$A$1:$O$85,15,0))</f>
        <v>0</v>
      </c>
      <c r="W301" s="6">
        <f>IF(ISERROR(VLOOKUP($T$301,'TAR FIN'!$A$1:$O$85,15,0)),0,VLOOKUP($T$301,'TAR FIN'!$A$1:$O$85,15,0))</f>
        <v>387.29</v>
      </c>
      <c r="X301" s="6">
        <f>IF(ISERROR(VLOOKUP($U$301,'TAR FIN'!$A$1:$O$85,15,0)),0,VLOOKUP($U$301,'TAR FIN'!$A$1:$O$85,15,0))</f>
        <v>196.87</v>
      </c>
      <c r="Y301" s="6"/>
      <c r="Z301" s="6">
        <f ca="1">('TUSD BE'!$AM$33+'TUSD BF'!$AM$33+'TUSD CVA'!$AM$33)*(1-CUSTOS!$M$38)</f>
        <v>464.7286080745173</v>
      </c>
      <c r="AA301" s="6">
        <f>('TE BE'!$AA$23+'TE BF'!$AA$23+'TE CVA'!$AA$23)*(1-CUSTOS!$M$38)</f>
        <v>204.57163525385519</v>
      </c>
      <c r="AB301" s="6">
        <f t="shared" si="14"/>
        <v>0</v>
      </c>
      <c r="AC301" s="6">
        <f>(L301-M301)*(W301+X301)+($W$184+$X$184-$W$301-$X$301)*(L301)</f>
        <v>438.75912000000017</v>
      </c>
      <c r="AD301" s="6">
        <f t="shared" si="15"/>
        <v>0</v>
      </c>
      <c r="AE301" s="6">
        <f ca="1">(L301-M301)*(Z301+AA301)+($Z$184+$AA$184-$Z$301-$AA$301)*(L301)</f>
        <v>453.18746688685383</v>
      </c>
      <c r="AF301" s="4" t="s">
        <v>564</v>
      </c>
    </row>
    <row r="302" spans="1:32" ht="11.25" customHeight="1" x14ac:dyDescent="0.25">
      <c r="A302" s="4" t="s">
        <v>21</v>
      </c>
      <c r="B302" s="4" t="s">
        <v>40</v>
      </c>
      <c r="C302" s="4" t="s">
        <v>23</v>
      </c>
      <c r="D302" s="4" t="s">
        <v>41</v>
      </c>
      <c r="E302" s="4" t="s">
        <v>53</v>
      </c>
      <c r="F302" s="4" t="s">
        <v>52</v>
      </c>
      <c r="G302" s="4" t="s">
        <v>25</v>
      </c>
      <c r="H302" s="4" t="s">
        <v>25</v>
      </c>
      <c r="I302" s="5">
        <v>44440</v>
      </c>
      <c r="J302" s="6">
        <v>0</v>
      </c>
      <c r="K302" s="6">
        <v>0</v>
      </c>
      <c r="L302" s="6">
        <v>0.92</v>
      </c>
      <c r="M302" s="6">
        <v>0.36799999999999999</v>
      </c>
      <c r="N302" s="6">
        <v>0.92</v>
      </c>
      <c r="O302" s="6">
        <v>0.36799999999999999</v>
      </c>
      <c r="P302" s="6">
        <v>0</v>
      </c>
      <c r="Q302" s="4" t="s">
        <v>26</v>
      </c>
      <c r="R302" s="4">
        <v>0</v>
      </c>
      <c r="S302" s="4">
        <v>0</v>
      </c>
      <c r="T302" s="4">
        <v>60</v>
      </c>
      <c r="U302" s="4">
        <v>16</v>
      </c>
      <c r="V302" s="6">
        <f>IF(ISERROR(VLOOKUP($S$302,'TAR FIN'!$A$1:$O$85,15,0)),0,VLOOKUP($S$302,'TAR FIN'!$A$1:$O$85,15,0))</f>
        <v>0</v>
      </c>
      <c r="W302" s="6">
        <f>IF(ISERROR(VLOOKUP($T$302,'TAR FIN'!$A$1:$O$85,15,0)),0,VLOOKUP($T$302,'TAR FIN'!$A$1:$O$85,15,0))</f>
        <v>387.29</v>
      </c>
      <c r="X302" s="6">
        <f>IF(ISERROR(VLOOKUP($U$302,'TAR FIN'!$A$1:$O$85,15,0)),0,VLOOKUP($U$302,'TAR FIN'!$A$1:$O$85,15,0))</f>
        <v>196.87</v>
      </c>
      <c r="Y302" s="6"/>
      <c r="Z302" s="6">
        <f ca="1">('TUSD BE'!$AM$33+'TUSD BF'!$AM$33+'TUSD CVA'!$AM$33)*(1-CUSTOS!$M$38)</f>
        <v>464.7286080745173</v>
      </c>
      <c r="AA302" s="6">
        <f>('TE BE'!$AA$23+'TE BF'!$AA$23+'TE CVA'!$AA$23)*(1-CUSTOS!$M$38)</f>
        <v>204.57163525385519</v>
      </c>
      <c r="AB302" s="6">
        <f t="shared" si="14"/>
        <v>0</v>
      </c>
      <c r="AC302" s="6">
        <f>(L302-M302)*(W302+X302)+($W$184+$X$184-$W$302-$X$302)*(L302)</f>
        <v>395.7435200000001</v>
      </c>
      <c r="AD302" s="6">
        <f t="shared" si="15"/>
        <v>0</v>
      </c>
      <c r="AE302" s="6">
        <f ca="1">(L302-M302)*(Z302+AA302)+($Z$184+$AA$184-$Z$302-$AA$302)*(L302)</f>
        <v>408.75732307441712</v>
      </c>
      <c r="AF302" s="4" t="s">
        <v>564</v>
      </c>
    </row>
    <row r="303" spans="1:32" ht="11.25" customHeight="1" x14ac:dyDescent="0.25">
      <c r="A303" s="4" t="s">
        <v>21</v>
      </c>
      <c r="B303" s="4" t="s">
        <v>40</v>
      </c>
      <c r="C303" s="4" t="s">
        <v>23</v>
      </c>
      <c r="D303" s="4" t="s">
        <v>41</v>
      </c>
      <c r="E303" s="4" t="s">
        <v>53</v>
      </c>
      <c r="F303" s="4" t="s">
        <v>52</v>
      </c>
      <c r="G303" s="4" t="s">
        <v>25</v>
      </c>
      <c r="H303" s="4" t="s">
        <v>25</v>
      </c>
      <c r="I303" s="5">
        <v>44470</v>
      </c>
      <c r="J303" s="6">
        <v>0</v>
      </c>
      <c r="K303" s="6">
        <v>0</v>
      </c>
      <c r="L303" s="6">
        <v>0.04</v>
      </c>
      <c r="M303" s="6">
        <v>1.6E-2</v>
      </c>
      <c r="N303" s="6">
        <v>0.04</v>
      </c>
      <c r="O303" s="6">
        <v>1.6E-2</v>
      </c>
      <c r="P303" s="6">
        <v>0</v>
      </c>
      <c r="Q303" s="4" t="s">
        <v>26</v>
      </c>
      <c r="R303" s="4">
        <v>0</v>
      </c>
      <c r="S303" s="4">
        <v>0</v>
      </c>
      <c r="T303" s="4">
        <v>60</v>
      </c>
      <c r="U303" s="4">
        <v>16</v>
      </c>
      <c r="V303" s="6">
        <f>IF(ISERROR(VLOOKUP($S$303,'TAR FIN'!$A$1:$O$85,15,0)),0,VLOOKUP($S$303,'TAR FIN'!$A$1:$O$85,15,0))</f>
        <v>0</v>
      </c>
      <c r="W303" s="6">
        <f>IF(ISERROR(VLOOKUP($T$303,'TAR FIN'!$A$1:$O$85,15,0)),0,VLOOKUP($T$303,'TAR FIN'!$A$1:$O$85,15,0))</f>
        <v>387.29</v>
      </c>
      <c r="X303" s="6">
        <f>IF(ISERROR(VLOOKUP($U$303,'TAR FIN'!$A$1:$O$85,15,0)),0,VLOOKUP($U$303,'TAR FIN'!$A$1:$O$85,15,0))</f>
        <v>196.87</v>
      </c>
      <c r="Y303" s="6"/>
      <c r="Z303" s="6">
        <f ca="1">('TUSD BE'!$AM$33+'TUSD BF'!$AM$33+'TUSD CVA'!$AM$33)*(1-CUSTOS!$M$38)</f>
        <v>464.7286080745173</v>
      </c>
      <c r="AA303" s="6">
        <f>('TE BE'!$AA$23+'TE BF'!$AA$23+'TE CVA'!$AA$23)*(1-CUSTOS!$M$38)</f>
        <v>204.57163525385519</v>
      </c>
      <c r="AB303" s="6">
        <f t="shared" si="14"/>
        <v>0</v>
      </c>
      <c r="AC303" s="6">
        <f>(L303-M303)*(W303+X303)+($W$184+$X$184-$W$303-$X$303)*(L303)</f>
        <v>17.206240000000005</v>
      </c>
      <c r="AD303" s="6">
        <f t="shared" si="15"/>
        <v>0</v>
      </c>
      <c r="AE303" s="6">
        <f ca="1">(L303-M303)*(Z303+AA303)+($Z$184+$AA$184-$Z$303-$AA$303)*(L303)</f>
        <v>17.772057524974656</v>
      </c>
      <c r="AF303" s="4" t="s">
        <v>564</v>
      </c>
    </row>
    <row r="304" spans="1:32" ht="11.25" customHeight="1" x14ac:dyDescent="0.25">
      <c r="A304" s="4" t="s">
        <v>21</v>
      </c>
      <c r="B304" s="4" t="s">
        <v>40</v>
      </c>
      <c r="C304" s="4" t="s">
        <v>23</v>
      </c>
      <c r="D304" s="4" t="s">
        <v>41</v>
      </c>
      <c r="E304" s="4" t="s">
        <v>53</v>
      </c>
      <c r="F304" s="4" t="s">
        <v>52</v>
      </c>
      <c r="G304" s="4" t="s">
        <v>25</v>
      </c>
      <c r="H304" s="4" t="s">
        <v>25</v>
      </c>
      <c r="I304" s="5">
        <v>44501</v>
      </c>
      <c r="J304" s="6">
        <v>0</v>
      </c>
      <c r="K304" s="6">
        <v>0</v>
      </c>
      <c r="L304" s="6">
        <v>0.04</v>
      </c>
      <c r="M304" s="6">
        <v>1.6E-2</v>
      </c>
      <c r="N304" s="6">
        <v>0.04</v>
      </c>
      <c r="O304" s="6">
        <v>1.6E-2</v>
      </c>
      <c r="P304" s="6">
        <v>0</v>
      </c>
      <c r="Q304" s="4" t="s">
        <v>26</v>
      </c>
      <c r="R304" s="4">
        <v>0</v>
      </c>
      <c r="S304" s="4">
        <v>0</v>
      </c>
      <c r="T304" s="4">
        <v>60</v>
      </c>
      <c r="U304" s="4">
        <v>16</v>
      </c>
      <c r="V304" s="6">
        <f>IF(ISERROR(VLOOKUP($S$304,'TAR FIN'!$A$1:$O$85,15,0)),0,VLOOKUP($S$304,'TAR FIN'!$A$1:$O$85,15,0))</f>
        <v>0</v>
      </c>
      <c r="W304" s="6">
        <f>IF(ISERROR(VLOOKUP($T$304,'TAR FIN'!$A$1:$O$85,15,0)),0,VLOOKUP($T$304,'TAR FIN'!$A$1:$O$85,15,0))</f>
        <v>387.29</v>
      </c>
      <c r="X304" s="6">
        <f>IF(ISERROR(VLOOKUP($U$304,'TAR FIN'!$A$1:$O$85,15,0)),0,VLOOKUP($U$304,'TAR FIN'!$A$1:$O$85,15,0))</f>
        <v>196.87</v>
      </c>
      <c r="Y304" s="6"/>
      <c r="Z304" s="6">
        <f ca="1">('TUSD BE'!$AM$33+'TUSD BF'!$AM$33+'TUSD CVA'!$AM$33)*(1-CUSTOS!$M$38)</f>
        <v>464.7286080745173</v>
      </c>
      <c r="AA304" s="6">
        <f>('TE BE'!$AA$23+'TE BF'!$AA$23+'TE CVA'!$AA$23)*(1-CUSTOS!$M$38)</f>
        <v>204.57163525385519</v>
      </c>
      <c r="AB304" s="6">
        <f t="shared" si="14"/>
        <v>0</v>
      </c>
      <c r="AC304" s="6">
        <f>(L304-M304)*(W304+X304)+($W$184+$X$184-$W$304-$X$304)*(L304)</f>
        <v>17.206240000000005</v>
      </c>
      <c r="AD304" s="6">
        <f t="shared" si="15"/>
        <v>0</v>
      </c>
      <c r="AE304" s="6">
        <f ca="1">(L304-M304)*(Z304+AA304)+($Z$184+$AA$184-$Z$304-$AA$304)*(L304)</f>
        <v>17.772057524974656</v>
      </c>
      <c r="AF304" s="4" t="s">
        <v>564</v>
      </c>
    </row>
    <row r="305" spans="1:32" ht="11.25" customHeight="1" x14ac:dyDescent="0.25">
      <c r="A305" s="4" t="s">
        <v>21</v>
      </c>
      <c r="B305" s="4" t="s">
        <v>40</v>
      </c>
      <c r="C305" s="4" t="s">
        <v>23</v>
      </c>
      <c r="D305" s="4" t="s">
        <v>41</v>
      </c>
      <c r="E305" s="4" t="s">
        <v>53</v>
      </c>
      <c r="F305" s="4" t="s">
        <v>52</v>
      </c>
      <c r="G305" s="4" t="s">
        <v>25</v>
      </c>
      <c r="H305" s="4" t="s">
        <v>25</v>
      </c>
      <c r="I305" s="5">
        <v>44562</v>
      </c>
      <c r="J305" s="6">
        <v>0</v>
      </c>
      <c r="K305" s="6">
        <v>0</v>
      </c>
      <c r="L305" s="6">
        <v>0.08</v>
      </c>
      <c r="M305" s="6">
        <v>3.2000000000000001E-2</v>
      </c>
      <c r="N305" s="6">
        <v>0.08</v>
      </c>
      <c r="O305" s="6">
        <v>3.2000000000000001E-2</v>
      </c>
      <c r="P305" s="6">
        <v>0</v>
      </c>
      <c r="Q305" s="4" t="s">
        <v>26</v>
      </c>
      <c r="R305" s="4">
        <v>0</v>
      </c>
      <c r="S305" s="4">
        <v>0</v>
      </c>
      <c r="T305" s="4">
        <v>60</v>
      </c>
      <c r="U305" s="4">
        <v>16</v>
      </c>
      <c r="V305" s="6">
        <f>IF(ISERROR(VLOOKUP($S$305,'TAR FIN'!$A$1:$O$85,15,0)),0,VLOOKUP($S$305,'TAR FIN'!$A$1:$O$85,15,0))</f>
        <v>0</v>
      </c>
      <c r="W305" s="6">
        <f>IF(ISERROR(VLOOKUP($T$305,'TAR FIN'!$A$1:$O$85,15,0)),0,VLOOKUP($T$305,'TAR FIN'!$A$1:$O$85,15,0))</f>
        <v>387.29</v>
      </c>
      <c r="X305" s="6">
        <f>IF(ISERROR(VLOOKUP($U$305,'TAR FIN'!$A$1:$O$85,15,0)),0,VLOOKUP($U$305,'TAR FIN'!$A$1:$O$85,15,0))</f>
        <v>196.87</v>
      </c>
      <c r="Y305" s="6"/>
      <c r="Z305" s="6">
        <f ca="1">('TUSD BE'!$AM$33+'TUSD BF'!$AM$33+'TUSD CVA'!$AM$33)*(1-CUSTOS!$M$38)</f>
        <v>464.7286080745173</v>
      </c>
      <c r="AA305" s="6">
        <f>('TE BE'!$AA$23+'TE BF'!$AA$23+'TE CVA'!$AA$23)*(1-CUSTOS!$M$38)</f>
        <v>204.57163525385519</v>
      </c>
      <c r="AB305" s="6">
        <f t="shared" si="14"/>
        <v>0</v>
      </c>
      <c r="AC305" s="6">
        <f>(L305-M305)*(W305+X305)+($W$184+$X$184-$W$305-$X$305)*(L305)</f>
        <v>34.412480000000009</v>
      </c>
      <c r="AD305" s="6">
        <f t="shared" si="15"/>
        <v>0</v>
      </c>
      <c r="AE305" s="6">
        <f ca="1">(L305-M305)*(Z305+AA305)+($Z$184+$AA$184-$Z$305-$AA$305)*(L305)</f>
        <v>35.544115049949312</v>
      </c>
      <c r="AF305" s="4" t="s">
        <v>564</v>
      </c>
    </row>
    <row r="306" spans="1:32" ht="11.25" customHeight="1" x14ac:dyDescent="0.25">
      <c r="A306" s="4" t="s">
        <v>21</v>
      </c>
      <c r="B306" s="4" t="s">
        <v>40</v>
      </c>
      <c r="C306" s="4" t="s">
        <v>23</v>
      </c>
      <c r="D306" s="4" t="s">
        <v>41</v>
      </c>
      <c r="E306" s="4" t="s">
        <v>53</v>
      </c>
      <c r="F306" s="4" t="s">
        <v>52</v>
      </c>
      <c r="G306" s="4" t="s">
        <v>25</v>
      </c>
      <c r="H306" s="4" t="s">
        <v>25</v>
      </c>
      <c r="I306" s="5">
        <v>44593</v>
      </c>
      <c r="J306" s="6">
        <v>0</v>
      </c>
      <c r="K306" s="6">
        <v>0</v>
      </c>
      <c r="L306" s="6">
        <v>0.06</v>
      </c>
      <c r="M306" s="6">
        <v>2.4E-2</v>
      </c>
      <c r="N306" s="6">
        <v>0.06</v>
      </c>
      <c r="O306" s="6">
        <v>2.4E-2</v>
      </c>
      <c r="P306" s="6">
        <v>0</v>
      </c>
      <c r="Q306" s="4" t="s">
        <v>26</v>
      </c>
      <c r="R306" s="4">
        <v>0</v>
      </c>
      <c r="S306" s="4">
        <v>0</v>
      </c>
      <c r="T306" s="4">
        <v>60</v>
      </c>
      <c r="U306" s="4">
        <v>16</v>
      </c>
      <c r="V306" s="6">
        <f>IF(ISERROR(VLOOKUP($S$306,'TAR FIN'!$A$1:$O$85,15,0)),0,VLOOKUP($S$306,'TAR FIN'!$A$1:$O$85,15,0))</f>
        <v>0</v>
      </c>
      <c r="W306" s="6">
        <f>IF(ISERROR(VLOOKUP($T$306,'TAR FIN'!$A$1:$O$85,15,0)),0,VLOOKUP($T$306,'TAR FIN'!$A$1:$O$85,15,0))</f>
        <v>387.29</v>
      </c>
      <c r="X306" s="6">
        <f>IF(ISERROR(VLOOKUP($U$306,'TAR FIN'!$A$1:$O$85,15,0)),0,VLOOKUP($U$306,'TAR FIN'!$A$1:$O$85,15,0))</f>
        <v>196.87</v>
      </c>
      <c r="Y306" s="6"/>
      <c r="Z306" s="6">
        <f ca="1">('TUSD BE'!$AM$33+'TUSD BF'!$AM$33+'TUSD CVA'!$AM$33)*(1-CUSTOS!$M$38)</f>
        <v>464.7286080745173</v>
      </c>
      <c r="AA306" s="6">
        <f>('TE BE'!$AA$23+'TE BF'!$AA$23+'TE CVA'!$AA$23)*(1-CUSTOS!$M$38)</f>
        <v>204.57163525385519</v>
      </c>
      <c r="AB306" s="6">
        <f t="shared" si="14"/>
        <v>0</v>
      </c>
      <c r="AC306" s="6">
        <f>(L306-M306)*(W306+X306)+($W$184+$X$184-$W$306-$X$306)*(L306)</f>
        <v>25.809360000000005</v>
      </c>
      <c r="AD306" s="6">
        <f t="shared" si="15"/>
        <v>0</v>
      </c>
      <c r="AE306" s="6">
        <f ca="1">(L306-M306)*(Z306+AA306)+($Z$184+$AA$184-$Z$306-$AA$306)*(L306)</f>
        <v>26.65808628746198</v>
      </c>
      <c r="AF306" s="4" t="s">
        <v>564</v>
      </c>
    </row>
    <row r="307" spans="1:32" ht="11.25" customHeight="1" x14ac:dyDescent="0.25">
      <c r="A307" s="4" t="s">
        <v>54</v>
      </c>
      <c r="B307" s="4" t="s">
        <v>40</v>
      </c>
      <c r="C307" s="4" t="s">
        <v>23</v>
      </c>
      <c r="D307" s="4" t="s">
        <v>41</v>
      </c>
      <c r="E307" s="4" t="s">
        <v>53</v>
      </c>
      <c r="F307" s="4" t="s">
        <v>52</v>
      </c>
      <c r="G307" s="4" t="s">
        <v>25</v>
      </c>
      <c r="H307" s="4" t="s">
        <v>25</v>
      </c>
      <c r="I307" s="5">
        <v>44621</v>
      </c>
      <c r="J307" s="6">
        <v>0</v>
      </c>
      <c r="K307" s="6">
        <v>0</v>
      </c>
      <c r="L307" s="6">
        <v>0.06</v>
      </c>
      <c r="M307" s="6">
        <v>2.4E-2</v>
      </c>
      <c r="N307" s="6">
        <v>0.06</v>
      </c>
      <c r="O307" s="6">
        <v>2.4E-2</v>
      </c>
      <c r="P307" s="6">
        <v>0</v>
      </c>
      <c r="Q307" s="4" t="s">
        <v>26</v>
      </c>
      <c r="R307" s="4">
        <v>0</v>
      </c>
      <c r="S307" s="4">
        <v>0</v>
      </c>
      <c r="T307" s="4">
        <v>60</v>
      </c>
      <c r="U307" s="4">
        <v>16</v>
      </c>
      <c r="V307" s="6">
        <f>IF(ISERROR(VLOOKUP($S$307,'TAR FIN'!$A$1:$O$85,15,0)),0,VLOOKUP($S$307,'TAR FIN'!$A$1:$O$85,15,0))</f>
        <v>0</v>
      </c>
      <c r="W307" s="6">
        <f>IF(ISERROR(VLOOKUP($T$307,'TAR FIN'!$A$1:$O$85,15,0)),0,VLOOKUP($T$307,'TAR FIN'!$A$1:$O$85,15,0))</f>
        <v>387.29</v>
      </c>
      <c r="X307" s="6">
        <f>IF(ISERROR(VLOOKUP($U$307,'TAR FIN'!$A$1:$O$85,15,0)),0,VLOOKUP($U$307,'TAR FIN'!$A$1:$O$85,15,0))</f>
        <v>196.87</v>
      </c>
      <c r="Y307" s="6"/>
      <c r="Z307" s="6">
        <f ca="1">('TUSD BE'!$AM$33+'TUSD BF'!$AM$33+'TUSD CVA'!$AM$33)*(1-CUSTOS!$M$38)</f>
        <v>464.7286080745173</v>
      </c>
      <c r="AA307" s="6">
        <f>('TE BE'!$AA$23+'TE BF'!$AA$23+'TE CVA'!$AA$23)*(1-CUSTOS!$M$38)</f>
        <v>204.57163525385519</v>
      </c>
      <c r="AB307" s="6">
        <f t="shared" si="14"/>
        <v>0</v>
      </c>
      <c r="AC307" s="6">
        <f>(L307-M307)*(W307+X307)+($W$184+$X$184-$W$307-$X$307)*(L307)</f>
        <v>25.809360000000005</v>
      </c>
      <c r="AD307" s="6">
        <f t="shared" si="15"/>
        <v>0</v>
      </c>
      <c r="AE307" s="6">
        <f ca="1">(L307-M307)*(Z307+AA307)+($Z$184+$AA$184-$Z$307-$AA$307)*(L307)</f>
        <v>26.65808628746198</v>
      </c>
      <c r="AF307" s="4" t="s">
        <v>564</v>
      </c>
    </row>
    <row r="308" spans="1:32" ht="11.25" customHeight="1" x14ac:dyDescent="0.25">
      <c r="A308" s="4" t="s">
        <v>21</v>
      </c>
      <c r="B308" s="4" t="s">
        <v>40</v>
      </c>
      <c r="C308" s="4" t="s">
        <v>23</v>
      </c>
      <c r="D308" s="4" t="s">
        <v>41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44287</v>
      </c>
      <c r="J308" s="6">
        <v>0</v>
      </c>
      <c r="K308" s="6">
        <v>0</v>
      </c>
      <c r="L308" s="6">
        <v>2546.63</v>
      </c>
      <c r="M308" s="6">
        <v>2546.63</v>
      </c>
      <c r="N308" s="6">
        <v>2546.63</v>
      </c>
      <c r="O308" s="6">
        <v>2546.63</v>
      </c>
      <c r="P308" s="6">
        <v>2087</v>
      </c>
      <c r="Q308" s="4" t="s">
        <v>26</v>
      </c>
      <c r="R308" s="4">
        <v>0</v>
      </c>
      <c r="S308" s="4">
        <v>0</v>
      </c>
      <c r="T308" s="4">
        <v>60</v>
      </c>
      <c r="U308" s="4">
        <v>16</v>
      </c>
      <c r="V308" s="6">
        <f>IF(ISERROR(VLOOKUP($S$308,'TAR FIN'!$A$1:$O$85,15,0)),0,VLOOKUP($S$308,'TAR FIN'!$A$1:$O$85,15,0))</f>
        <v>0</v>
      </c>
      <c r="W308" s="6">
        <f>IF(ISERROR(VLOOKUP($T$308,'TAR FIN'!$A$1:$O$85,15,0)),0,VLOOKUP($T$308,'TAR FIN'!$A$1:$O$85,15,0))</f>
        <v>387.29</v>
      </c>
      <c r="X308" s="6">
        <f>IF(ISERROR(VLOOKUP($U$308,'TAR FIN'!$A$1:$O$85,15,0)),0,VLOOKUP($U$308,'TAR FIN'!$A$1:$O$85,15,0))</f>
        <v>196.87</v>
      </c>
      <c r="Y308" s="6"/>
      <c r="Z308" s="6">
        <f ca="1">('TUSD BE'!$AM$33+'TUSD BF'!$AM$33+'TUSD CVA'!$AM$33)*(1-CUSTOS!$M$38)</f>
        <v>464.7286080745173</v>
      </c>
      <c r="AA308" s="6">
        <f>('TE BE'!$AA$23+'TE BF'!$AA$23+'TE CVA'!$AA$23)*(1-CUSTOS!$M$38)</f>
        <v>204.57163525385519</v>
      </c>
      <c r="AB308" s="6">
        <f t="shared" si="14"/>
        <v>0</v>
      </c>
      <c r="AC308" s="6">
        <f>(L308-M308)*(W308+X308)+($W$184+$X$184-$W$308-$X$308)*(L308)</f>
        <v>202864.54580000008</v>
      </c>
      <c r="AD308" s="6">
        <f t="shared" si="15"/>
        <v>0</v>
      </c>
      <c r="AE308" s="6">
        <f ca="1">(L308-M308)*(Z308+AA308)+($Z$184+$AA$184-$Z$308-$AA$308)*(L308)</f>
        <v>108795.3241702552</v>
      </c>
      <c r="AF308" s="4" t="s">
        <v>563</v>
      </c>
    </row>
    <row r="309" spans="1:32" ht="11.25" customHeight="1" x14ac:dyDescent="0.25">
      <c r="A309" s="4" t="s">
        <v>27</v>
      </c>
      <c r="B309" s="4" t="s">
        <v>40</v>
      </c>
      <c r="C309" s="4" t="s">
        <v>23</v>
      </c>
      <c r="D309" s="4" t="s">
        <v>41</v>
      </c>
      <c r="E309" s="4" t="s">
        <v>25</v>
      </c>
      <c r="F309" s="4" t="s">
        <v>25</v>
      </c>
      <c r="G309" s="4" t="s">
        <v>25</v>
      </c>
      <c r="H309" s="4" t="s">
        <v>25</v>
      </c>
      <c r="I309" s="5">
        <v>44287</v>
      </c>
      <c r="J309" s="6">
        <v>0</v>
      </c>
      <c r="K309" s="6">
        <v>0</v>
      </c>
      <c r="L309" s="6">
        <v>-2.2999999999999998</v>
      </c>
      <c r="M309" s="6">
        <v>-2.2999999999999998</v>
      </c>
      <c r="N309" s="6">
        <v>-2.2999999999999998</v>
      </c>
      <c r="O309" s="6">
        <v>-2.2999999999999998</v>
      </c>
      <c r="P309" s="6">
        <v>0</v>
      </c>
      <c r="Q309" s="4" t="s">
        <v>26</v>
      </c>
      <c r="R309" s="4">
        <v>0</v>
      </c>
      <c r="S309" s="4">
        <v>0</v>
      </c>
      <c r="T309" s="4">
        <v>60</v>
      </c>
      <c r="U309" s="4">
        <v>16</v>
      </c>
      <c r="V309" s="6">
        <f>IF(ISERROR(VLOOKUP($S$309,'TAR FIN'!$A$1:$O$85,15,0)),0,VLOOKUP($S$309,'TAR FIN'!$A$1:$O$85,15,0))</f>
        <v>0</v>
      </c>
      <c r="W309" s="6">
        <f>IF(ISERROR(VLOOKUP($T$309,'TAR FIN'!$A$1:$O$85,15,0)),0,VLOOKUP($T$309,'TAR FIN'!$A$1:$O$85,15,0))</f>
        <v>387.29</v>
      </c>
      <c r="X309" s="6">
        <f>IF(ISERROR(VLOOKUP($U$309,'TAR FIN'!$A$1:$O$85,15,0)),0,VLOOKUP($U$309,'TAR FIN'!$A$1:$O$85,15,0))</f>
        <v>196.87</v>
      </c>
      <c r="Y309" s="6"/>
      <c r="Z309" s="6">
        <f ca="1">('TUSD BE'!$AM$33+'TUSD BF'!$AM$33+'TUSD CVA'!$AM$33)*(1-CUSTOS!$M$38)</f>
        <v>464.7286080745173</v>
      </c>
      <c r="AA309" s="6">
        <f>('TE BE'!$AA$23+'TE BF'!$AA$23+'TE CVA'!$AA$23)*(1-CUSTOS!$M$38)</f>
        <v>204.57163525385519</v>
      </c>
      <c r="AB309" s="6">
        <f t="shared" si="14"/>
        <v>0</v>
      </c>
      <c r="AC309" s="6">
        <f>(L309-M309)*(W309+X309)+($W$184+$X$184-$W$309-$X$309)*(L309)</f>
        <v>-183.21800000000005</v>
      </c>
      <c r="AD309" s="6">
        <f t="shared" si="15"/>
        <v>0</v>
      </c>
      <c r="AE309" s="6">
        <f ca="1">(L309-M309)*(Z309+AA309)+($Z$184+$AA$184-$Z$309-$AA$309)*(L309)</f>
        <v>-98.25897189288861</v>
      </c>
      <c r="AF309" s="4" t="s">
        <v>563</v>
      </c>
    </row>
    <row r="310" spans="1:32" ht="11.25" customHeight="1" x14ac:dyDescent="0.25">
      <c r="A310" s="4" t="s">
        <v>28</v>
      </c>
      <c r="B310" s="4" t="s">
        <v>40</v>
      </c>
      <c r="C310" s="4" t="s">
        <v>23</v>
      </c>
      <c r="D310" s="4" t="s">
        <v>41</v>
      </c>
      <c r="E310" s="4" t="s">
        <v>25</v>
      </c>
      <c r="F310" s="4" t="s">
        <v>25</v>
      </c>
      <c r="G310" s="4" t="s">
        <v>25</v>
      </c>
      <c r="H310" s="4" t="s">
        <v>25</v>
      </c>
      <c r="I310" s="5">
        <v>44287</v>
      </c>
      <c r="J310" s="6">
        <v>0</v>
      </c>
      <c r="K310" s="6">
        <v>0</v>
      </c>
      <c r="L310" s="6">
        <v>13.353999999999999</v>
      </c>
      <c r="M310" s="6">
        <v>13.353999999999999</v>
      </c>
      <c r="N310" s="6">
        <v>13.353999999999999</v>
      </c>
      <c r="O310" s="6">
        <v>13.353999999999999</v>
      </c>
      <c r="P310" s="6">
        <v>9</v>
      </c>
      <c r="Q310" s="4" t="s">
        <v>26</v>
      </c>
      <c r="R310" s="4">
        <v>0</v>
      </c>
      <c r="S310" s="4">
        <v>0</v>
      </c>
      <c r="T310" s="4">
        <v>60</v>
      </c>
      <c r="U310" s="4">
        <v>16</v>
      </c>
      <c r="V310" s="6">
        <f>IF(ISERROR(VLOOKUP($S$310,'TAR FIN'!$A$1:$O$85,15,0)),0,VLOOKUP($S$310,'TAR FIN'!$A$1:$O$85,15,0))</f>
        <v>0</v>
      </c>
      <c r="W310" s="6">
        <f>IF(ISERROR(VLOOKUP($T$310,'TAR FIN'!$A$1:$O$85,15,0)),0,VLOOKUP($T$310,'TAR FIN'!$A$1:$O$85,15,0))</f>
        <v>387.29</v>
      </c>
      <c r="X310" s="6">
        <f>IF(ISERROR(VLOOKUP($U$310,'TAR FIN'!$A$1:$O$85,15,0)),0,VLOOKUP($U$310,'TAR FIN'!$A$1:$O$85,15,0))</f>
        <v>196.87</v>
      </c>
      <c r="Y310" s="6"/>
      <c r="Z310" s="6">
        <f ca="1">('TUSD BE'!$AM$33+'TUSD BF'!$AM$33+'TUSD CVA'!$AM$33)*(1-CUSTOS!$M$38)</f>
        <v>464.7286080745173</v>
      </c>
      <c r="AA310" s="6">
        <f>('TE BE'!$AA$23+'TE BF'!$AA$23+'TE CVA'!$AA$23)*(1-CUSTOS!$M$38)</f>
        <v>204.57163525385519</v>
      </c>
      <c r="AB310" s="6">
        <f t="shared" si="14"/>
        <v>0</v>
      </c>
      <c r="AC310" s="6">
        <f>(L310-M310)*(W310+X310)+($W$184+$X$184-$W$310-$X$310)*(L310)</f>
        <v>1063.7796400000002</v>
      </c>
      <c r="AD310" s="6">
        <f t="shared" si="15"/>
        <v>0</v>
      </c>
      <c r="AE310" s="6">
        <f ca="1">(L310-M310)*(Z310+AA310)+($Z$184+$AA$184-$Z$310-$AA$310)*(L310)</f>
        <v>570.50013506853679</v>
      </c>
      <c r="AF310" s="4" t="s">
        <v>563</v>
      </c>
    </row>
    <row r="311" spans="1:32" ht="11.25" customHeight="1" x14ac:dyDescent="0.25">
      <c r="A311" s="4" t="s">
        <v>21</v>
      </c>
      <c r="B311" s="4" t="s">
        <v>40</v>
      </c>
      <c r="C311" s="4" t="s">
        <v>23</v>
      </c>
      <c r="D311" s="4" t="s">
        <v>41</v>
      </c>
      <c r="E311" s="4" t="s">
        <v>25</v>
      </c>
      <c r="F311" s="4" t="s">
        <v>25</v>
      </c>
      <c r="G311" s="4" t="s">
        <v>25</v>
      </c>
      <c r="H311" s="4" t="s">
        <v>25</v>
      </c>
      <c r="I311" s="5">
        <v>44317</v>
      </c>
      <c r="J311" s="6">
        <v>0</v>
      </c>
      <c r="K311" s="6">
        <v>0</v>
      </c>
      <c r="L311" s="6">
        <v>2487.31</v>
      </c>
      <c r="M311" s="6">
        <v>2487.31</v>
      </c>
      <c r="N311" s="6">
        <v>2487.31</v>
      </c>
      <c r="O311" s="6">
        <v>2487.31</v>
      </c>
      <c r="P311" s="6">
        <v>2089</v>
      </c>
      <c r="Q311" s="4" t="s">
        <v>26</v>
      </c>
      <c r="R311" s="4">
        <v>0</v>
      </c>
      <c r="S311" s="4">
        <v>0</v>
      </c>
      <c r="T311" s="4">
        <v>60</v>
      </c>
      <c r="U311" s="4">
        <v>16</v>
      </c>
      <c r="V311" s="6">
        <f>IF(ISERROR(VLOOKUP($S$311,'TAR FIN'!$A$1:$O$85,15,0)),0,VLOOKUP($S$311,'TAR FIN'!$A$1:$O$85,15,0))</f>
        <v>0</v>
      </c>
      <c r="W311" s="6">
        <f>IF(ISERROR(VLOOKUP($T$311,'TAR FIN'!$A$1:$O$85,15,0)),0,VLOOKUP($T$311,'TAR FIN'!$A$1:$O$85,15,0))</f>
        <v>387.29</v>
      </c>
      <c r="X311" s="6">
        <f>IF(ISERROR(VLOOKUP($U$311,'TAR FIN'!$A$1:$O$85,15,0)),0,VLOOKUP($U$311,'TAR FIN'!$A$1:$O$85,15,0))</f>
        <v>196.87</v>
      </c>
      <c r="Y311" s="6"/>
      <c r="Z311" s="6">
        <f ca="1">('TUSD BE'!$AM$33+'TUSD BF'!$AM$33+'TUSD CVA'!$AM$33)*(1-CUSTOS!$M$38)</f>
        <v>464.7286080745173</v>
      </c>
      <c r="AA311" s="6">
        <f>('TE BE'!$AA$23+'TE BF'!$AA$23+'TE CVA'!$AA$23)*(1-CUSTOS!$M$38)</f>
        <v>204.57163525385519</v>
      </c>
      <c r="AB311" s="6">
        <f t="shared" si="14"/>
        <v>0</v>
      </c>
      <c r="AC311" s="6">
        <f>(L311-M311)*(W311+X311)+($W$184+$X$184-$W$311-$X$311)*(L311)</f>
        <v>198139.11460000006</v>
      </c>
      <c r="AD311" s="6">
        <f t="shared" si="15"/>
        <v>0</v>
      </c>
      <c r="AE311" s="6">
        <f ca="1">(L311-M311)*(Z311+AA311)+($Z$184+$AA$184-$Z$311-$AA$311)*(L311)</f>
        <v>106261.09712126121</v>
      </c>
      <c r="AF311" s="4" t="s">
        <v>563</v>
      </c>
    </row>
    <row r="312" spans="1:32" ht="11.25" customHeight="1" x14ac:dyDescent="0.25">
      <c r="A312" s="4" t="s">
        <v>27</v>
      </c>
      <c r="B312" s="4" t="s">
        <v>40</v>
      </c>
      <c r="C312" s="4" t="s">
        <v>23</v>
      </c>
      <c r="D312" s="4" t="s">
        <v>41</v>
      </c>
      <c r="E312" s="4" t="s">
        <v>25</v>
      </c>
      <c r="F312" s="4" t="s">
        <v>25</v>
      </c>
      <c r="G312" s="4" t="s">
        <v>25</v>
      </c>
      <c r="H312" s="4" t="s">
        <v>25</v>
      </c>
      <c r="I312" s="5">
        <v>44317</v>
      </c>
      <c r="J312" s="6">
        <v>0</v>
      </c>
      <c r="K312" s="6">
        <v>0</v>
      </c>
      <c r="L312" s="6">
        <v>-24.905000000000001</v>
      </c>
      <c r="M312" s="6">
        <v>-24.905000000000001</v>
      </c>
      <c r="N312" s="6">
        <v>-24.905000000000001</v>
      </c>
      <c r="O312" s="6">
        <v>-24.905000000000001</v>
      </c>
      <c r="P312" s="6">
        <v>0</v>
      </c>
      <c r="Q312" s="4" t="s">
        <v>26</v>
      </c>
      <c r="R312" s="4">
        <v>0</v>
      </c>
      <c r="S312" s="4">
        <v>0</v>
      </c>
      <c r="T312" s="4">
        <v>60</v>
      </c>
      <c r="U312" s="4">
        <v>16</v>
      </c>
      <c r="V312" s="6">
        <f>IF(ISERROR(VLOOKUP($S$312,'TAR FIN'!$A$1:$O$85,15,0)),0,VLOOKUP($S$312,'TAR FIN'!$A$1:$O$85,15,0))</f>
        <v>0</v>
      </c>
      <c r="W312" s="6">
        <f>IF(ISERROR(VLOOKUP($T$312,'TAR FIN'!$A$1:$O$85,15,0)),0,VLOOKUP($T$312,'TAR FIN'!$A$1:$O$85,15,0))</f>
        <v>387.29</v>
      </c>
      <c r="X312" s="6">
        <f>IF(ISERROR(VLOOKUP($U$312,'TAR FIN'!$A$1:$O$85,15,0)),0,VLOOKUP($U$312,'TAR FIN'!$A$1:$O$85,15,0))</f>
        <v>196.87</v>
      </c>
      <c r="Y312" s="6"/>
      <c r="Z312" s="6">
        <f ca="1">('TUSD BE'!$AM$33+'TUSD BF'!$AM$33+'TUSD CVA'!$AM$33)*(1-CUSTOS!$M$38)</f>
        <v>464.7286080745173</v>
      </c>
      <c r="AA312" s="6">
        <f>('TE BE'!$AA$23+'TE BF'!$AA$23+'TE CVA'!$AA$23)*(1-CUSTOS!$M$38)</f>
        <v>204.57163525385519</v>
      </c>
      <c r="AB312" s="6">
        <f t="shared" si="14"/>
        <v>0</v>
      </c>
      <c r="AC312" s="6">
        <f>(L312-M312)*(W312+X312)+($W$184+$X$184-$W$312-$X$312)*(L312)</f>
        <v>-1983.9323000000006</v>
      </c>
      <c r="AD312" s="6">
        <f t="shared" si="15"/>
        <v>0</v>
      </c>
      <c r="AE312" s="6">
        <f ca="1">(L312-M312)*(Z312+AA312)+($Z$184+$AA$184-$Z$312-$AA$312)*(L312)</f>
        <v>-1063.9737804314743</v>
      </c>
      <c r="AF312" s="4" t="s">
        <v>563</v>
      </c>
    </row>
    <row r="313" spans="1:32" ht="11.25" customHeight="1" x14ac:dyDescent="0.25">
      <c r="A313" s="4" t="s">
        <v>28</v>
      </c>
      <c r="B313" s="4" t="s">
        <v>40</v>
      </c>
      <c r="C313" s="4" t="s">
        <v>23</v>
      </c>
      <c r="D313" s="4" t="s">
        <v>41</v>
      </c>
      <c r="E313" s="4" t="s">
        <v>25</v>
      </c>
      <c r="F313" s="4" t="s">
        <v>25</v>
      </c>
      <c r="G313" s="4" t="s">
        <v>25</v>
      </c>
      <c r="H313" s="4" t="s">
        <v>25</v>
      </c>
      <c r="I313" s="5">
        <v>44317</v>
      </c>
      <c r="J313" s="6">
        <v>0</v>
      </c>
      <c r="K313" s="6">
        <v>0</v>
      </c>
      <c r="L313" s="6">
        <v>9.4559999999999995</v>
      </c>
      <c r="M313" s="6">
        <v>9.4559999999999995</v>
      </c>
      <c r="N313" s="6">
        <v>9.4559999999999995</v>
      </c>
      <c r="O313" s="6">
        <v>9.4559999999999995</v>
      </c>
      <c r="P313" s="6">
        <v>9</v>
      </c>
      <c r="Q313" s="4" t="s">
        <v>26</v>
      </c>
      <c r="R313" s="4">
        <v>0</v>
      </c>
      <c r="S313" s="4">
        <v>0</v>
      </c>
      <c r="T313" s="4">
        <v>60</v>
      </c>
      <c r="U313" s="4">
        <v>16</v>
      </c>
      <c r="V313" s="6">
        <f>IF(ISERROR(VLOOKUP($S$313,'TAR FIN'!$A$1:$O$85,15,0)),0,VLOOKUP($S$313,'TAR FIN'!$A$1:$O$85,15,0))</f>
        <v>0</v>
      </c>
      <c r="W313" s="6">
        <f>IF(ISERROR(VLOOKUP($T$313,'TAR FIN'!$A$1:$O$85,15,0)),0,VLOOKUP($T$313,'TAR FIN'!$A$1:$O$85,15,0))</f>
        <v>387.29</v>
      </c>
      <c r="X313" s="6">
        <f>IF(ISERROR(VLOOKUP($U$313,'TAR FIN'!$A$1:$O$85,15,0)),0,VLOOKUP($U$313,'TAR FIN'!$A$1:$O$85,15,0))</f>
        <v>196.87</v>
      </c>
      <c r="Y313" s="6"/>
      <c r="Z313" s="6">
        <f ca="1">('TUSD BE'!$AM$33+'TUSD BF'!$AM$33+'TUSD CVA'!$AM$33)*(1-CUSTOS!$M$38)</f>
        <v>464.7286080745173</v>
      </c>
      <c r="AA313" s="6">
        <f>('TE BE'!$AA$23+'TE BF'!$AA$23+'TE CVA'!$AA$23)*(1-CUSTOS!$M$38)</f>
        <v>204.57163525385519</v>
      </c>
      <c r="AB313" s="6">
        <f t="shared" si="14"/>
        <v>0</v>
      </c>
      <c r="AC313" s="6">
        <f>(L313-M313)*(W313+X313)+($W$184+$X$184-$W$313-$X$313)*(L313)</f>
        <v>753.2649600000002</v>
      </c>
      <c r="AD313" s="6">
        <f t="shared" si="15"/>
        <v>0</v>
      </c>
      <c r="AE313" s="6">
        <f ca="1">(L313-M313)*(Z313+AA313)+($Z$184+$AA$184-$Z$313-$AA$313)*(L313)</f>
        <v>403.97253835615425</v>
      </c>
      <c r="AF313" s="4" t="s">
        <v>563</v>
      </c>
    </row>
    <row r="314" spans="1:32" ht="11.25" customHeight="1" x14ac:dyDescent="0.25">
      <c r="A314" s="4" t="s">
        <v>21</v>
      </c>
      <c r="B314" s="4" t="s">
        <v>40</v>
      </c>
      <c r="C314" s="4" t="s">
        <v>23</v>
      </c>
      <c r="D314" s="4" t="s">
        <v>41</v>
      </c>
      <c r="E314" s="4" t="s">
        <v>25</v>
      </c>
      <c r="F314" s="4" t="s">
        <v>25</v>
      </c>
      <c r="G314" s="4" t="s">
        <v>25</v>
      </c>
      <c r="H314" s="4" t="s">
        <v>25</v>
      </c>
      <c r="I314" s="5">
        <v>44348</v>
      </c>
      <c r="J314" s="6">
        <v>0</v>
      </c>
      <c r="K314" s="6">
        <v>0</v>
      </c>
      <c r="L314" s="6">
        <v>1958.875</v>
      </c>
      <c r="M314" s="6">
        <v>1958.875</v>
      </c>
      <c r="N314" s="6">
        <v>1958.875</v>
      </c>
      <c r="O314" s="6">
        <v>1958.875</v>
      </c>
      <c r="P314" s="6">
        <v>2088</v>
      </c>
      <c r="Q314" s="4" t="s">
        <v>26</v>
      </c>
      <c r="R314" s="4">
        <v>0</v>
      </c>
      <c r="S314" s="4">
        <v>0</v>
      </c>
      <c r="T314" s="4">
        <v>60</v>
      </c>
      <c r="U314" s="4">
        <v>16</v>
      </c>
      <c r="V314" s="6">
        <f>IF(ISERROR(VLOOKUP($S$314,'TAR FIN'!$A$1:$O$85,15,0)),0,VLOOKUP($S$314,'TAR FIN'!$A$1:$O$85,15,0))</f>
        <v>0</v>
      </c>
      <c r="W314" s="6">
        <f>IF(ISERROR(VLOOKUP($T$314,'TAR FIN'!$A$1:$O$85,15,0)),0,VLOOKUP($T$314,'TAR FIN'!$A$1:$O$85,15,0))</f>
        <v>387.29</v>
      </c>
      <c r="X314" s="6">
        <f>IF(ISERROR(VLOOKUP($U$314,'TAR FIN'!$A$1:$O$85,15,0)),0,VLOOKUP($U$314,'TAR FIN'!$A$1:$O$85,15,0))</f>
        <v>196.87</v>
      </c>
      <c r="Y314" s="6"/>
      <c r="Z314" s="6">
        <f ca="1">('TUSD BE'!$AM$33+'TUSD BF'!$AM$33+'TUSD CVA'!$AM$33)*(1-CUSTOS!$M$38)</f>
        <v>464.7286080745173</v>
      </c>
      <c r="AA314" s="6">
        <f>('TE BE'!$AA$23+'TE BF'!$AA$23+'TE CVA'!$AA$23)*(1-CUSTOS!$M$38)</f>
        <v>204.57163525385519</v>
      </c>
      <c r="AB314" s="6">
        <f t="shared" si="14"/>
        <v>0</v>
      </c>
      <c r="AC314" s="6">
        <f>(L314-M314)*(W314+X314)+($W$184+$X$184-$W$314-$X$314)*(L314)</f>
        <v>156043.98250000004</v>
      </c>
      <c r="AD314" s="6">
        <f t="shared" si="15"/>
        <v>0</v>
      </c>
      <c r="AE314" s="6">
        <f ca="1">(L314-M314)*(Z314+AA314)+($Z$184+$AA$184-$Z$314-$AA$314)*(L314)</f>
        <v>83685.671115948775</v>
      </c>
      <c r="AF314" s="4" t="s">
        <v>563</v>
      </c>
    </row>
    <row r="315" spans="1:32" ht="11.25" customHeight="1" x14ac:dyDescent="0.25">
      <c r="A315" s="4" t="s">
        <v>28</v>
      </c>
      <c r="B315" s="4" t="s">
        <v>40</v>
      </c>
      <c r="C315" s="4" t="s">
        <v>23</v>
      </c>
      <c r="D315" s="4" t="s">
        <v>41</v>
      </c>
      <c r="E315" s="4" t="s">
        <v>25</v>
      </c>
      <c r="F315" s="4" t="s">
        <v>25</v>
      </c>
      <c r="G315" s="4" t="s">
        <v>25</v>
      </c>
      <c r="H315" s="4" t="s">
        <v>25</v>
      </c>
      <c r="I315" s="5">
        <v>44348</v>
      </c>
      <c r="J315" s="6">
        <v>0</v>
      </c>
      <c r="K315" s="6">
        <v>0</v>
      </c>
      <c r="L315" s="6">
        <v>17.687000000000001</v>
      </c>
      <c r="M315" s="6">
        <v>17.687000000000001</v>
      </c>
      <c r="N315" s="6">
        <v>17.687000000000001</v>
      </c>
      <c r="O315" s="6">
        <v>17.687000000000001</v>
      </c>
      <c r="P315" s="6">
        <v>10</v>
      </c>
      <c r="Q315" s="4" t="s">
        <v>26</v>
      </c>
      <c r="R315" s="4">
        <v>0</v>
      </c>
      <c r="S315" s="4">
        <v>0</v>
      </c>
      <c r="T315" s="4">
        <v>60</v>
      </c>
      <c r="U315" s="4">
        <v>16</v>
      </c>
      <c r="V315" s="6">
        <f>IF(ISERROR(VLOOKUP($S$315,'TAR FIN'!$A$1:$O$85,15,0)),0,VLOOKUP($S$315,'TAR FIN'!$A$1:$O$85,15,0))</f>
        <v>0</v>
      </c>
      <c r="W315" s="6">
        <f>IF(ISERROR(VLOOKUP($T$315,'TAR FIN'!$A$1:$O$85,15,0)),0,VLOOKUP($T$315,'TAR FIN'!$A$1:$O$85,15,0))</f>
        <v>387.29</v>
      </c>
      <c r="X315" s="6">
        <f>IF(ISERROR(VLOOKUP($U$315,'TAR FIN'!$A$1:$O$85,15,0)),0,VLOOKUP($U$315,'TAR FIN'!$A$1:$O$85,15,0))</f>
        <v>196.87</v>
      </c>
      <c r="Y315" s="6"/>
      <c r="Z315" s="6">
        <f ca="1">('TUSD BE'!$AM$33+'TUSD BF'!$AM$33+'TUSD CVA'!$AM$33)*(1-CUSTOS!$M$38)</f>
        <v>464.7286080745173</v>
      </c>
      <c r="AA315" s="6">
        <f>('TE BE'!$AA$23+'TE BF'!$AA$23+'TE CVA'!$AA$23)*(1-CUSTOS!$M$38)</f>
        <v>204.57163525385519</v>
      </c>
      <c r="AB315" s="6">
        <f t="shared" si="14"/>
        <v>0</v>
      </c>
      <c r="AC315" s="6">
        <f>(L315-M315)*(W315+X315)+($W$184+$X$184-$W$315-$X$315)*(L315)</f>
        <v>1408.9464200000004</v>
      </c>
      <c r="AD315" s="6">
        <f t="shared" si="15"/>
        <v>0</v>
      </c>
      <c r="AE315" s="6">
        <f ca="1">(L315-M315)*(Z315+AA315)+($Z$184+$AA$184-$Z$315-$AA$315)*(L315)</f>
        <v>755.61149385631347</v>
      </c>
      <c r="AF315" s="4" t="s">
        <v>563</v>
      </c>
    </row>
    <row r="316" spans="1:32" ht="11.25" customHeight="1" x14ac:dyDescent="0.25">
      <c r="A316" s="4" t="s">
        <v>28</v>
      </c>
      <c r="B316" s="4" t="s">
        <v>40</v>
      </c>
      <c r="C316" s="4" t="s">
        <v>23</v>
      </c>
      <c r="D316" s="4" t="s">
        <v>41</v>
      </c>
      <c r="E316" s="4" t="s">
        <v>25</v>
      </c>
      <c r="F316" s="4" t="s">
        <v>25</v>
      </c>
      <c r="G316" s="4" t="s">
        <v>25</v>
      </c>
      <c r="H316" s="4" t="s">
        <v>25</v>
      </c>
      <c r="I316" s="5">
        <v>44348</v>
      </c>
      <c r="J316" s="6">
        <v>0</v>
      </c>
      <c r="K316" s="6">
        <v>0</v>
      </c>
      <c r="L316" s="6">
        <v>-2.0859999999999999</v>
      </c>
      <c r="M316" s="6">
        <v>-2.0859999999999999</v>
      </c>
      <c r="N316" s="6">
        <v>-2.0859999999999999</v>
      </c>
      <c r="O316" s="6">
        <v>-2.0859999999999999</v>
      </c>
      <c r="P316" s="6">
        <v>1</v>
      </c>
      <c r="Q316" s="4" t="s">
        <v>26</v>
      </c>
      <c r="R316" s="4">
        <v>0</v>
      </c>
      <c r="S316" s="4">
        <v>0</v>
      </c>
      <c r="T316" s="4">
        <v>60</v>
      </c>
      <c r="U316" s="4">
        <v>16</v>
      </c>
      <c r="V316" s="6">
        <f>IF(ISERROR(VLOOKUP($S$316,'TAR FIN'!$A$1:$O$85,15,0)),0,VLOOKUP($S$316,'TAR FIN'!$A$1:$O$85,15,0))</f>
        <v>0</v>
      </c>
      <c r="W316" s="6">
        <f>IF(ISERROR(VLOOKUP($T$316,'TAR FIN'!$A$1:$O$85,15,0)),0,VLOOKUP($T$316,'TAR FIN'!$A$1:$O$85,15,0))</f>
        <v>387.29</v>
      </c>
      <c r="X316" s="6">
        <f>IF(ISERROR(VLOOKUP($U$316,'TAR FIN'!$A$1:$O$85,15,0)),0,VLOOKUP($U$316,'TAR FIN'!$A$1:$O$85,15,0))</f>
        <v>196.87</v>
      </c>
      <c r="Y316" s="6"/>
      <c r="Z316" s="6">
        <f ca="1">('TUSD BE'!$AM$33+'TUSD BF'!$AM$33+'TUSD CVA'!$AM$33)*(1-CUSTOS!$M$38)</f>
        <v>464.7286080745173</v>
      </c>
      <c r="AA316" s="6">
        <f>('TE BE'!$AA$23+'TE BF'!$AA$23+'TE CVA'!$AA$23)*(1-CUSTOS!$M$38)</f>
        <v>204.57163525385519</v>
      </c>
      <c r="AB316" s="6">
        <f t="shared" si="14"/>
        <v>0</v>
      </c>
      <c r="AC316" s="6">
        <f>(L316-M316)*(W316+X316)+($W$184+$X$184-$W$316-$X$316)*(L316)</f>
        <v>-166.17076000000003</v>
      </c>
      <c r="AD316" s="6">
        <f t="shared" si="15"/>
        <v>0</v>
      </c>
      <c r="AE316" s="6">
        <f ca="1">(L316-M316)*(Z316+AA316)+($Z$184+$AA$184-$Z$316-$AA$316)*(L316)</f>
        <v>-89.116615377637231</v>
      </c>
      <c r="AF316" s="4" t="s">
        <v>563</v>
      </c>
    </row>
    <row r="317" spans="1:32" ht="11.25" customHeight="1" x14ac:dyDescent="0.25">
      <c r="A317" s="4" t="s">
        <v>21</v>
      </c>
      <c r="B317" s="4" t="s">
        <v>40</v>
      </c>
      <c r="C317" s="4" t="s">
        <v>23</v>
      </c>
      <c r="D317" s="4" t="s">
        <v>41</v>
      </c>
      <c r="E317" s="4" t="s">
        <v>25</v>
      </c>
      <c r="F317" s="4" t="s">
        <v>25</v>
      </c>
      <c r="G317" s="4" t="s">
        <v>25</v>
      </c>
      <c r="H317" s="4" t="s">
        <v>25</v>
      </c>
      <c r="I317" s="5">
        <v>44378</v>
      </c>
      <c r="J317" s="6">
        <v>0</v>
      </c>
      <c r="K317" s="6">
        <v>0</v>
      </c>
      <c r="L317" s="6">
        <v>2007.154</v>
      </c>
      <c r="M317" s="6">
        <v>2007.154</v>
      </c>
      <c r="N317" s="6">
        <v>2007.154</v>
      </c>
      <c r="O317" s="6">
        <v>2007.154</v>
      </c>
      <c r="P317" s="6">
        <v>2083</v>
      </c>
      <c r="Q317" s="4" t="s">
        <v>26</v>
      </c>
      <c r="R317" s="4">
        <v>0</v>
      </c>
      <c r="S317" s="4">
        <v>0</v>
      </c>
      <c r="T317" s="4">
        <v>60</v>
      </c>
      <c r="U317" s="4">
        <v>16</v>
      </c>
      <c r="V317" s="6">
        <f>IF(ISERROR(VLOOKUP($S$317,'TAR FIN'!$A$1:$O$85,15,0)),0,VLOOKUP($S$317,'TAR FIN'!$A$1:$O$85,15,0))</f>
        <v>0</v>
      </c>
      <c r="W317" s="6">
        <f>IF(ISERROR(VLOOKUP($T$317,'TAR FIN'!$A$1:$O$85,15,0)),0,VLOOKUP($T$317,'TAR FIN'!$A$1:$O$85,15,0))</f>
        <v>387.29</v>
      </c>
      <c r="X317" s="6">
        <f>IF(ISERROR(VLOOKUP($U$317,'TAR FIN'!$A$1:$O$85,15,0)),0,VLOOKUP($U$317,'TAR FIN'!$A$1:$O$85,15,0))</f>
        <v>196.87</v>
      </c>
      <c r="Y317" s="6"/>
      <c r="Z317" s="6">
        <f ca="1">('TUSD BE'!$AM$33+'TUSD BF'!$AM$33+'TUSD CVA'!$AM$33)*(1-CUSTOS!$M$38)</f>
        <v>464.7286080745173</v>
      </c>
      <c r="AA317" s="6">
        <f>('TE BE'!$AA$23+'TE BF'!$AA$23+'TE CVA'!$AA$23)*(1-CUSTOS!$M$38)</f>
        <v>204.57163525385519</v>
      </c>
      <c r="AB317" s="6">
        <f t="shared" si="14"/>
        <v>0</v>
      </c>
      <c r="AC317" s="6">
        <f>(L317-M317)*(W317+X317)+($W$184+$X$184-$W$317-$X$317)*(L317)</f>
        <v>159889.88764000006</v>
      </c>
      <c r="AD317" s="6">
        <f t="shared" si="15"/>
        <v>0</v>
      </c>
      <c r="AE317" s="6">
        <f ca="1">(L317-M317)*(Z317+AA317)+($Z$184+$AA$184-$Z$317-$AA$317)*(L317)</f>
        <v>85748.212378564771</v>
      </c>
      <c r="AF317" s="4" t="s">
        <v>563</v>
      </c>
    </row>
    <row r="318" spans="1:32" ht="11.25" customHeight="1" x14ac:dyDescent="0.25">
      <c r="A318" s="4" t="s">
        <v>27</v>
      </c>
      <c r="B318" s="4" t="s">
        <v>40</v>
      </c>
      <c r="C318" s="4" t="s">
        <v>23</v>
      </c>
      <c r="D318" s="4" t="s">
        <v>41</v>
      </c>
      <c r="E318" s="4" t="s">
        <v>25</v>
      </c>
      <c r="F318" s="4" t="s">
        <v>25</v>
      </c>
      <c r="G318" s="4" t="s">
        <v>25</v>
      </c>
      <c r="H318" s="4" t="s">
        <v>25</v>
      </c>
      <c r="I318" s="5">
        <v>44378</v>
      </c>
      <c r="J318" s="6">
        <v>0</v>
      </c>
      <c r="K318" s="6">
        <v>0</v>
      </c>
      <c r="L318" s="6">
        <v>-9.42</v>
      </c>
      <c r="M318" s="6">
        <v>-9.42</v>
      </c>
      <c r="N318" s="6">
        <v>-9.42</v>
      </c>
      <c r="O318" s="6">
        <v>-9.42</v>
      </c>
      <c r="P318" s="6">
        <v>0</v>
      </c>
      <c r="Q318" s="4" t="s">
        <v>26</v>
      </c>
      <c r="R318" s="4">
        <v>0</v>
      </c>
      <c r="S318" s="4">
        <v>0</v>
      </c>
      <c r="T318" s="4">
        <v>60</v>
      </c>
      <c r="U318" s="4">
        <v>16</v>
      </c>
      <c r="V318" s="6">
        <f>IF(ISERROR(VLOOKUP($S$318,'TAR FIN'!$A$1:$O$85,15,0)),0,VLOOKUP($S$318,'TAR FIN'!$A$1:$O$85,15,0))</f>
        <v>0</v>
      </c>
      <c r="W318" s="6">
        <f>IF(ISERROR(VLOOKUP($T$318,'TAR FIN'!$A$1:$O$85,15,0)),0,VLOOKUP($T$318,'TAR FIN'!$A$1:$O$85,15,0))</f>
        <v>387.29</v>
      </c>
      <c r="X318" s="6">
        <f>IF(ISERROR(VLOOKUP($U$318,'TAR FIN'!$A$1:$O$85,15,0)),0,VLOOKUP($U$318,'TAR FIN'!$A$1:$O$85,15,0))</f>
        <v>196.87</v>
      </c>
      <c r="Y318" s="6"/>
      <c r="Z318" s="6">
        <f ca="1">('TUSD BE'!$AM$33+'TUSD BF'!$AM$33+'TUSD CVA'!$AM$33)*(1-CUSTOS!$M$38)</f>
        <v>464.7286080745173</v>
      </c>
      <c r="AA318" s="6">
        <f>('TE BE'!$AA$23+'TE BF'!$AA$23+'TE CVA'!$AA$23)*(1-CUSTOS!$M$38)</f>
        <v>204.57163525385519</v>
      </c>
      <c r="AB318" s="6">
        <f t="shared" si="14"/>
        <v>0</v>
      </c>
      <c r="AC318" s="6">
        <f>(L318-M318)*(W318+X318)+($W$184+$X$184-$W$318-$X$318)*(L318)</f>
        <v>-750.39720000000023</v>
      </c>
      <c r="AD318" s="6">
        <f t="shared" si="15"/>
        <v>0</v>
      </c>
      <c r="AE318" s="6">
        <f ca="1">(L318-M318)*(Z318+AA318)+($Z$184+$AA$184-$Z$318-$AA$318)*(L318)</f>
        <v>-402.43457183956991</v>
      </c>
      <c r="AF318" s="4" t="s">
        <v>563</v>
      </c>
    </row>
    <row r="319" spans="1:32" ht="11.25" customHeight="1" x14ac:dyDescent="0.25">
      <c r="A319" s="4" t="s">
        <v>28</v>
      </c>
      <c r="B319" s="4" t="s">
        <v>40</v>
      </c>
      <c r="C319" s="4" t="s">
        <v>23</v>
      </c>
      <c r="D319" s="4" t="s">
        <v>41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44378</v>
      </c>
      <c r="J319" s="6">
        <v>0</v>
      </c>
      <c r="K319" s="6">
        <v>0</v>
      </c>
      <c r="L319" s="6">
        <v>18.791</v>
      </c>
      <c r="M319" s="6">
        <v>18.791</v>
      </c>
      <c r="N319" s="6">
        <v>18.791</v>
      </c>
      <c r="O319" s="6">
        <v>18.791</v>
      </c>
      <c r="P319" s="6">
        <v>14</v>
      </c>
      <c r="Q319" s="4" t="s">
        <v>26</v>
      </c>
      <c r="R319" s="4">
        <v>0</v>
      </c>
      <c r="S319" s="4">
        <v>0</v>
      </c>
      <c r="T319" s="4">
        <v>60</v>
      </c>
      <c r="U319" s="4">
        <v>16</v>
      </c>
      <c r="V319" s="6">
        <f>IF(ISERROR(VLOOKUP($S$319,'TAR FIN'!$A$1:$O$85,15,0)),0,VLOOKUP($S$319,'TAR FIN'!$A$1:$O$85,15,0))</f>
        <v>0</v>
      </c>
      <c r="W319" s="6">
        <f>IF(ISERROR(VLOOKUP($T$319,'TAR FIN'!$A$1:$O$85,15,0)),0,VLOOKUP($T$319,'TAR FIN'!$A$1:$O$85,15,0))</f>
        <v>387.29</v>
      </c>
      <c r="X319" s="6">
        <f>IF(ISERROR(VLOOKUP($U$319,'TAR FIN'!$A$1:$O$85,15,0)),0,VLOOKUP($U$319,'TAR FIN'!$A$1:$O$85,15,0))</f>
        <v>196.87</v>
      </c>
      <c r="Y319" s="6"/>
      <c r="Z319" s="6">
        <f ca="1">('TUSD BE'!$AM$33+'TUSD BF'!$AM$33+'TUSD CVA'!$AM$33)*(1-CUSTOS!$M$38)</f>
        <v>464.7286080745173</v>
      </c>
      <c r="AA319" s="6">
        <f>('TE BE'!$AA$23+'TE BF'!$AA$23+'TE CVA'!$AA$23)*(1-CUSTOS!$M$38)</f>
        <v>204.57163525385519</v>
      </c>
      <c r="AB319" s="6">
        <f t="shared" si="14"/>
        <v>0</v>
      </c>
      <c r="AC319" s="6">
        <f>(L319-M319)*(W319+X319)+($W$184+$X$184-$W$319-$X$319)*(L319)</f>
        <v>1496.8910600000006</v>
      </c>
      <c r="AD319" s="6">
        <f t="shared" si="15"/>
        <v>0</v>
      </c>
      <c r="AE319" s="6">
        <f ca="1">(L319-M319)*(Z319+AA319)+($Z$184+$AA$184-$Z$319-$AA$319)*(L319)</f>
        <v>802.77580036490008</v>
      </c>
      <c r="AF319" s="4" t="s">
        <v>563</v>
      </c>
    </row>
    <row r="320" spans="1:32" ht="11.25" customHeight="1" x14ac:dyDescent="0.25">
      <c r="A320" s="4" t="s">
        <v>28</v>
      </c>
      <c r="B320" s="4" t="s">
        <v>40</v>
      </c>
      <c r="C320" s="4" t="s">
        <v>23</v>
      </c>
      <c r="D320" s="4" t="s">
        <v>41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44378</v>
      </c>
      <c r="J320" s="6">
        <v>0</v>
      </c>
      <c r="K320" s="6">
        <v>0</v>
      </c>
      <c r="L320" s="6">
        <v>1.9E-2</v>
      </c>
      <c r="M320" s="6">
        <v>1.9E-2</v>
      </c>
      <c r="N320" s="6">
        <v>1.9E-2</v>
      </c>
      <c r="O320" s="6">
        <v>1.9E-2</v>
      </c>
      <c r="P320" s="6">
        <v>2</v>
      </c>
      <c r="Q320" s="4" t="s">
        <v>26</v>
      </c>
      <c r="R320" s="4">
        <v>0</v>
      </c>
      <c r="S320" s="4">
        <v>0</v>
      </c>
      <c r="T320" s="4">
        <v>60</v>
      </c>
      <c r="U320" s="4">
        <v>16</v>
      </c>
      <c r="V320" s="6">
        <f>IF(ISERROR(VLOOKUP($S$320,'TAR FIN'!$A$1:$O$85,15,0)),0,VLOOKUP($S$320,'TAR FIN'!$A$1:$O$85,15,0))</f>
        <v>0</v>
      </c>
      <c r="W320" s="6">
        <f>IF(ISERROR(VLOOKUP($T$320,'TAR FIN'!$A$1:$O$85,15,0)),0,VLOOKUP($T$320,'TAR FIN'!$A$1:$O$85,15,0))</f>
        <v>387.29</v>
      </c>
      <c r="X320" s="6">
        <f>IF(ISERROR(VLOOKUP($U$320,'TAR FIN'!$A$1:$O$85,15,0)),0,VLOOKUP($U$320,'TAR FIN'!$A$1:$O$85,15,0))</f>
        <v>196.87</v>
      </c>
      <c r="Y320" s="6"/>
      <c r="Z320" s="6">
        <f ca="1">('TUSD BE'!$AM$33+'TUSD BF'!$AM$33+'TUSD CVA'!$AM$33)*(1-CUSTOS!$M$38)</f>
        <v>464.7286080745173</v>
      </c>
      <c r="AA320" s="6">
        <f>('TE BE'!$AA$23+'TE BF'!$AA$23+'TE CVA'!$AA$23)*(1-CUSTOS!$M$38)</f>
        <v>204.57163525385519</v>
      </c>
      <c r="AB320" s="6">
        <f t="shared" si="14"/>
        <v>0</v>
      </c>
      <c r="AC320" s="6">
        <f>(L320-M320)*(W320+X320)+($W$184+$X$184-$W$320-$X$320)*(L320)</f>
        <v>1.5135400000000003</v>
      </c>
      <c r="AD320" s="6">
        <f t="shared" si="15"/>
        <v>0</v>
      </c>
      <c r="AE320" s="6">
        <f ca="1">(L320-M320)*(Z320+AA320)+($Z$184+$AA$184-$Z$320-$AA$320)*(L320)</f>
        <v>0.81170455041951461</v>
      </c>
      <c r="AF320" s="4" t="s">
        <v>563</v>
      </c>
    </row>
    <row r="321" spans="1:32" ht="11.25" customHeight="1" x14ac:dyDescent="0.25">
      <c r="A321" s="4" t="s">
        <v>21</v>
      </c>
      <c r="B321" s="4" t="s">
        <v>40</v>
      </c>
      <c r="C321" s="4" t="s">
        <v>23</v>
      </c>
      <c r="D321" s="4" t="s">
        <v>41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44409</v>
      </c>
      <c r="J321" s="6">
        <v>0</v>
      </c>
      <c r="K321" s="6">
        <v>0</v>
      </c>
      <c r="L321" s="6">
        <v>2340.4430000000002</v>
      </c>
      <c r="M321" s="6">
        <v>2340.4430000000002</v>
      </c>
      <c r="N321" s="6">
        <v>2340.4430000000002</v>
      </c>
      <c r="O321" s="6">
        <v>2340.4430000000002</v>
      </c>
      <c r="P321" s="6">
        <v>2096</v>
      </c>
      <c r="Q321" s="4" t="s">
        <v>26</v>
      </c>
      <c r="R321" s="4">
        <v>0</v>
      </c>
      <c r="S321" s="4">
        <v>0</v>
      </c>
      <c r="T321" s="4">
        <v>60</v>
      </c>
      <c r="U321" s="4">
        <v>16</v>
      </c>
      <c r="V321" s="6">
        <f>IF(ISERROR(VLOOKUP($S$321,'TAR FIN'!$A$1:$O$85,15,0)),0,VLOOKUP($S$321,'TAR FIN'!$A$1:$O$85,15,0))</f>
        <v>0</v>
      </c>
      <c r="W321" s="6">
        <f>IF(ISERROR(VLOOKUP($T$321,'TAR FIN'!$A$1:$O$85,15,0)),0,VLOOKUP($T$321,'TAR FIN'!$A$1:$O$85,15,0))</f>
        <v>387.29</v>
      </c>
      <c r="X321" s="6">
        <f>IF(ISERROR(VLOOKUP($U$321,'TAR FIN'!$A$1:$O$85,15,0)),0,VLOOKUP($U$321,'TAR FIN'!$A$1:$O$85,15,0))</f>
        <v>196.87</v>
      </c>
      <c r="Y321" s="6"/>
      <c r="Z321" s="6">
        <f ca="1">('TUSD BE'!$AM$33+'TUSD BF'!$AM$33+'TUSD CVA'!$AM$33)*(1-CUSTOS!$M$38)</f>
        <v>464.7286080745173</v>
      </c>
      <c r="AA321" s="6">
        <f>('TE BE'!$AA$23+'TE BF'!$AA$23+'TE CVA'!$AA$23)*(1-CUSTOS!$M$38)</f>
        <v>204.57163525385519</v>
      </c>
      <c r="AB321" s="6">
        <f t="shared" si="14"/>
        <v>0</v>
      </c>
      <c r="AC321" s="6">
        <f>(L321-M321)*(W321+X321)+($W$184+$X$184-$W$321-$X$321)*(L321)</f>
        <v>186439.68938000008</v>
      </c>
      <c r="AD321" s="6">
        <f t="shared" si="15"/>
        <v>0</v>
      </c>
      <c r="AE321" s="6">
        <f ca="1">(L321-M321)*(Z321+AA321)+($Z$184+$AA$184-$Z$321-$AA$321)*(L321)</f>
        <v>99986.749110394754</v>
      </c>
      <c r="AF321" s="4" t="s">
        <v>563</v>
      </c>
    </row>
    <row r="322" spans="1:32" ht="11.25" customHeight="1" x14ac:dyDescent="0.25">
      <c r="A322" s="4" t="s">
        <v>27</v>
      </c>
      <c r="B322" s="4" t="s">
        <v>40</v>
      </c>
      <c r="C322" s="4" t="s">
        <v>23</v>
      </c>
      <c r="D322" s="4" t="s">
        <v>41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44409</v>
      </c>
      <c r="J322" s="6">
        <v>0</v>
      </c>
      <c r="K322" s="6">
        <v>0</v>
      </c>
      <c r="L322" s="6">
        <v>5.26</v>
      </c>
      <c r="M322" s="6">
        <v>5.26</v>
      </c>
      <c r="N322" s="6">
        <v>5.26</v>
      </c>
      <c r="O322" s="6">
        <v>5.26</v>
      </c>
      <c r="P322" s="6">
        <v>0</v>
      </c>
      <c r="Q322" s="4" t="s">
        <v>26</v>
      </c>
      <c r="R322" s="4">
        <v>0</v>
      </c>
      <c r="S322" s="4">
        <v>0</v>
      </c>
      <c r="T322" s="4">
        <v>60</v>
      </c>
      <c r="U322" s="4">
        <v>16</v>
      </c>
      <c r="V322" s="6">
        <f>IF(ISERROR(VLOOKUP($S$322,'TAR FIN'!$A$1:$O$85,15,0)),0,VLOOKUP($S$322,'TAR FIN'!$A$1:$O$85,15,0))</f>
        <v>0</v>
      </c>
      <c r="W322" s="6">
        <f>IF(ISERROR(VLOOKUP($T$322,'TAR FIN'!$A$1:$O$85,15,0)),0,VLOOKUP($T$322,'TAR FIN'!$A$1:$O$85,15,0))</f>
        <v>387.29</v>
      </c>
      <c r="X322" s="6">
        <f>IF(ISERROR(VLOOKUP($U$322,'TAR FIN'!$A$1:$O$85,15,0)),0,VLOOKUP($U$322,'TAR FIN'!$A$1:$O$85,15,0))</f>
        <v>196.87</v>
      </c>
      <c r="Y322" s="6"/>
      <c r="Z322" s="6">
        <f ca="1">('TUSD BE'!$AM$33+'TUSD BF'!$AM$33+'TUSD CVA'!$AM$33)*(1-CUSTOS!$M$38)</f>
        <v>464.7286080745173</v>
      </c>
      <c r="AA322" s="6">
        <f>('TE BE'!$AA$23+'TE BF'!$AA$23+'TE CVA'!$AA$23)*(1-CUSTOS!$M$38)</f>
        <v>204.57163525385519</v>
      </c>
      <c r="AB322" s="6">
        <f t="shared" ref="AB322:AB344" si="16">(J322-K322)*V322</f>
        <v>0</v>
      </c>
      <c r="AC322" s="6">
        <f>(L322-M322)*(W322+X322)+($W$184+$X$184-$W$322-$X$322)*(L322)</f>
        <v>419.0116000000001</v>
      </c>
      <c r="AD322" s="6">
        <f t="shared" ref="AD322:AD344" si="17">(J322-K322)*Y322</f>
        <v>0</v>
      </c>
      <c r="AE322" s="6">
        <f ca="1">(L322-M322)*(Z322+AA322)+($Z$184+$AA$184-$Z$322-$AA$322)*(L322)</f>
        <v>224.71399658982352</v>
      </c>
      <c r="AF322" s="4" t="s">
        <v>563</v>
      </c>
    </row>
    <row r="323" spans="1:32" ht="11.25" customHeight="1" x14ac:dyDescent="0.25">
      <c r="A323" s="4" t="s">
        <v>28</v>
      </c>
      <c r="B323" s="4" t="s">
        <v>40</v>
      </c>
      <c r="C323" s="4" t="s">
        <v>23</v>
      </c>
      <c r="D323" s="4" t="s">
        <v>41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44409</v>
      </c>
      <c r="J323" s="6">
        <v>0</v>
      </c>
      <c r="K323" s="6">
        <v>0</v>
      </c>
      <c r="L323" s="6">
        <v>14.803000000000001</v>
      </c>
      <c r="M323" s="6">
        <v>14.803000000000001</v>
      </c>
      <c r="N323" s="6">
        <v>14.803000000000001</v>
      </c>
      <c r="O323" s="6">
        <v>14.803000000000001</v>
      </c>
      <c r="P323" s="6">
        <v>12</v>
      </c>
      <c r="Q323" s="4" t="s">
        <v>26</v>
      </c>
      <c r="R323" s="4">
        <v>0</v>
      </c>
      <c r="S323" s="4">
        <v>0</v>
      </c>
      <c r="T323" s="4">
        <v>60</v>
      </c>
      <c r="U323" s="4">
        <v>16</v>
      </c>
      <c r="V323" s="6">
        <f>IF(ISERROR(VLOOKUP($S$323,'TAR FIN'!$A$1:$O$85,15,0)),0,VLOOKUP($S$323,'TAR FIN'!$A$1:$O$85,15,0))</f>
        <v>0</v>
      </c>
      <c r="W323" s="6">
        <f>IF(ISERROR(VLOOKUP($T$323,'TAR FIN'!$A$1:$O$85,15,0)),0,VLOOKUP($T$323,'TAR FIN'!$A$1:$O$85,15,0))</f>
        <v>387.29</v>
      </c>
      <c r="X323" s="6">
        <f>IF(ISERROR(VLOOKUP($U$323,'TAR FIN'!$A$1:$O$85,15,0)),0,VLOOKUP($U$323,'TAR FIN'!$A$1:$O$85,15,0))</f>
        <v>196.87</v>
      </c>
      <c r="Y323" s="6"/>
      <c r="Z323" s="6">
        <f ca="1">('TUSD BE'!$AM$33+'TUSD BF'!$AM$33+'TUSD CVA'!$AM$33)*(1-CUSTOS!$M$38)</f>
        <v>464.7286080745173</v>
      </c>
      <c r="AA323" s="6">
        <f>('TE BE'!$AA$23+'TE BF'!$AA$23+'TE CVA'!$AA$23)*(1-CUSTOS!$M$38)</f>
        <v>204.57163525385519</v>
      </c>
      <c r="AB323" s="6">
        <f t="shared" si="16"/>
        <v>0</v>
      </c>
      <c r="AC323" s="6">
        <f>(L323-M323)*(W323+X323)+($W$184+$X$184-$W$323-$X$323)*(L323)</f>
        <v>1179.2069800000004</v>
      </c>
      <c r="AD323" s="6">
        <f t="shared" si="17"/>
        <v>0</v>
      </c>
      <c r="AE323" s="6">
        <f ca="1">(L323-M323)*(Z323+AA323)+($Z$184+$AA$184-$Z$323-$AA$323)*(L323)</f>
        <v>632.40328736105664</v>
      </c>
      <c r="AF323" s="4" t="s">
        <v>563</v>
      </c>
    </row>
    <row r="324" spans="1:32" ht="11.25" customHeight="1" x14ac:dyDescent="0.25">
      <c r="A324" s="4" t="s">
        <v>21</v>
      </c>
      <c r="B324" s="4" t="s">
        <v>40</v>
      </c>
      <c r="C324" s="4" t="s">
        <v>23</v>
      </c>
      <c r="D324" s="4" t="s">
        <v>41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44440</v>
      </c>
      <c r="J324" s="6">
        <v>0</v>
      </c>
      <c r="K324" s="6">
        <v>0</v>
      </c>
      <c r="L324" s="6">
        <v>2510.3119999999999</v>
      </c>
      <c r="M324" s="6">
        <v>2510.3119999999999</v>
      </c>
      <c r="N324" s="6">
        <v>2510.3119999999999</v>
      </c>
      <c r="O324" s="6">
        <v>2510.3119999999999</v>
      </c>
      <c r="P324" s="6">
        <v>2094</v>
      </c>
      <c r="Q324" s="4" t="s">
        <v>26</v>
      </c>
      <c r="R324" s="4">
        <v>0</v>
      </c>
      <c r="S324" s="4">
        <v>0</v>
      </c>
      <c r="T324" s="4">
        <v>60</v>
      </c>
      <c r="U324" s="4">
        <v>16</v>
      </c>
      <c r="V324" s="6">
        <f>IF(ISERROR(VLOOKUP($S$324,'TAR FIN'!$A$1:$O$85,15,0)),0,VLOOKUP($S$324,'TAR FIN'!$A$1:$O$85,15,0))</f>
        <v>0</v>
      </c>
      <c r="W324" s="6">
        <f>IF(ISERROR(VLOOKUP($T$324,'TAR FIN'!$A$1:$O$85,15,0)),0,VLOOKUP($T$324,'TAR FIN'!$A$1:$O$85,15,0))</f>
        <v>387.29</v>
      </c>
      <c r="X324" s="6">
        <f>IF(ISERROR(VLOOKUP($U$324,'TAR FIN'!$A$1:$O$85,15,0)),0,VLOOKUP($U$324,'TAR FIN'!$A$1:$O$85,15,0))</f>
        <v>196.87</v>
      </c>
      <c r="Y324" s="6"/>
      <c r="Z324" s="6">
        <f ca="1">('TUSD BE'!$AM$33+'TUSD BF'!$AM$33+'TUSD CVA'!$AM$33)*(1-CUSTOS!$M$38)</f>
        <v>464.7286080745173</v>
      </c>
      <c r="AA324" s="6">
        <f>('TE BE'!$AA$23+'TE BF'!$AA$23+'TE CVA'!$AA$23)*(1-CUSTOS!$M$38)</f>
        <v>204.57163525385519</v>
      </c>
      <c r="AB324" s="6">
        <f t="shared" si="16"/>
        <v>0</v>
      </c>
      <c r="AC324" s="6">
        <f>(L324-M324)*(W324+X324)+($W$184+$X$184-$W$324-$X$324)*(L324)</f>
        <v>199971.45392000006</v>
      </c>
      <c r="AD324" s="6">
        <f t="shared" si="17"/>
        <v>0</v>
      </c>
      <c r="AE324" s="6">
        <f ca="1">(L324-M324)*(Z324+AA324)+($Z$184+$AA$184-$Z$324-$AA$324)*(L324)</f>
        <v>107243.77228277436</v>
      </c>
      <c r="AF324" s="4" t="s">
        <v>563</v>
      </c>
    </row>
    <row r="325" spans="1:32" ht="11.25" customHeight="1" x14ac:dyDescent="0.25">
      <c r="A325" s="4" t="s">
        <v>27</v>
      </c>
      <c r="B325" s="4" t="s">
        <v>40</v>
      </c>
      <c r="C325" s="4" t="s">
        <v>23</v>
      </c>
      <c r="D325" s="4" t="s">
        <v>41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44440</v>
      </c>
      <c r="J325" s="6">
        <v>0</v>
      </c>
      <c r="K325" s="6">
        <v>0</v>
      </c>
      <c r="L325" s="6">
        <v>-0.152</v>
      </c>
      <c r="M325" s="6">
        <v>-0.152</v>
      </c>
      <c r="N325" s="6">
        <v>-0.152</v>
      </c>
      <c r="O325" s="6">
        <v>-0.152</v>
      </c>
      <c r="P325" s="6">
        <v>0</v>
      </c>
      <c r="Q325" s="4" t="s">
        <v>26</v>
      </c>
      <c r="R325" s="4">
        <v>0</v>
      </c>
      <c r="S325" s="4">
        <v>0</v>
      </c>
      <c r="T325" s="4">
        <v>60</v>
      </c>
      <c r="U325" s="4">
        <v>16</v>
      </c>
      <c r="V325" s="6">
        <f>IF(ISERROR(VLOOKUP($S$325,'TAR FIN'!$A$1:$O$85,15,0)),0,VLOOKUP($S$325,'TAR FIN'!$A$1:$O$85,15,0))</f>
        <v>0</v>
      </c>
      <c r="W325" s="6">
        <f>IF(ISERROR(VLOOKUP($T$325,'TAR FIN'!$A$1:$O$85,15,0)),0,VLOOKUP($T$325,'TAR FIN'!$A$1:$O$85,15,0))</f>
        <v>387.29</v>
      </c>
      <c r="X325" s="6">
        <f>IF(ISERROR(VLOOKUP($U$325,'TAR FIN'!$A$1:$O$85,15,0)),0,VLOOKUP($U$325,'TAR FIN'!$A$1:$O$85,15,0))</f>
        <v>196.87</v>
      </c>
      <c r="Y325" s="6"/>
      <c r="Z325" s="6">
        <f ca="1">('TUSD BE'!$AM$33+'TUSD BF'!$AM$33+'TUSD CVA'!$AM$33)*(1-CUSTOS!$M$38)</f>
        <v>464.7286080745173</v>
      </c>
      <c r="AA325" s="6">
        <f>('TE BE'!$AA$23+'TE BF'!$AA$23+'TE CVA'!$AA$23)*(1-CUSTOS!$M$38)</f>
        <v>204.57163525385519</v>
      </c>
      <c r="AB325" s="6">
        <f t="shared" si="16"/>
        <v>0</v>
      </c>
      <c r="AC325" s="6">
        <f>(L325-M325)*(W325+X325)+($W$184+$X$184-$W$325-$X$325)*(L325)</f>
        <v>-12.108320000000003</v>
      </c>
      <c r="AD325" s="6">
        <f t="shared" si="17"/>
        <v>0</v>
      </c>
      <c r="AE325" s="6">
        <f ca="1">(L325-M325)*(Z325+AA325)+($Z$184+$AA$184-$Z$325-$AA$325)*(L325)</f>
        <v>-6.4936364033561169</v>
      </c>
      <c r="AF325" s="4" t="s">
        <v>563</v>
      </c>
    </row>
    <row r="326" spans="1:32" ht="11.25" customHeight="1" x14ac:dyDescent="0.25">
      <c r="A326" s="4" t="s">
        <v>28</v>
      </c>
      <c r="B326" s="4" t="s">
        <v>40</v>
      </c>
      <c r="C326" s="4" t="s">
        <v>23</v>
      </c>
      <c r="D326" s="4" t="s">
        <v>41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44440</v>
      </c>
      <c r="J326" s="6">
        <v>0</v>
      </c>
      <c r="K326" s="6">
        <v>0</v>
      </c>
      <c r="L326" s="6">
        <v>54.148000000000003</v>
      </c>
      <c r="M326" s="6">
        <v>54.148000000000003</v>
      </c>
      <c r="N326" s="6">
        <v>54.148000000000003</v>
      </c>
      <c r="O326" s="6">
        <v>54.148000000000003</v>
      </c>
      <c r="P326" s="6">
        <v>16</v>
      </c>
      <c r="Q326" s="4" t="s">
        <v>26</v>
      </c>
      <c r="R326" s="4">
        <v>0</v>
      </c>
      <c r="S326" s="4">
        <v>0</v>
      </c>
      <c r="T326" s="4">
        <v>60</v>
      </c>
      <c r="U326" s="4">
        <v>16</v>
      </c>
      <c r="V326" s="6">
        <f>IF(ISERROR(VLOOKUP($S$326,'TAR FIN'!$A$1:$O$85,15,0)),0,VLOOKUP($S$326,'TAR FIN'!$A$1:$O$85,15,0))</f>
        <v>0</v>
      </c>
      <c r="W326" s="6">
        <f>IF(ISERROR(VLOOKUP($T$326,'TAR FIN'!$A$1:$O$85,15,0)),0,VLOOKUP($T$326,'TAR FIN'!$A$1:$O$85,15,0))</f>
        <v>387.29</v>
      </c>
      <c r="X326" s="6">
        <f>IF(ISERROR(VLOOKUP($U$326,'TAR FIN'!$A$1:$O$85,15,0)),0,VLOOKUP($U$326,'TAR FIN'!$A$1:$O$85,15,0))</f>
        <v>196.87</v>
      </c>
      <c r="Y326" s="6"/>
      <c r="Z326" s="6">
        <f ca="1">('TUSD BE'!$AM$33+'TUSD BF'!$AM$33+'TUSD CVA'!$AM$33)*(1-CUSTOS!$M$38)</f>
        <v>464.7286080745173</v>
      </c>
      <c r="AA326" s="6">
        <f>('TE BE'!$AA$23+'TE BF'!$AA$23+'TE CVA'!$AA$23)*(1-CUSTOS!$M$38)</f>
        <v>204.57163525385519</v>
      </c>
      <c r="AB326" s="6">
        <f t="shared" si="16"/>
        <v>0</v>
      </c>
      <c r="AC326" s="6">
        <f>(L326-M326)*(W326+X326)+($W$184+$X$184-$W$326-$X$326)*(L326)</f>
        <v>4313.429680000002</v>
      </c>
      <c r="AD326" s="6">
        <f t="shared" si="17"/>
        <v>0</v>
      </c>
      <c r="AE326" s="6">
        <f ca="1">(L326-M326)*(Z326+AA326)+($Z$184+$AA$184-$Z$326-$AA$326)*(L326)</f>
        <v>2313.2725261113624</v>
      </c>
      <c r="AF326" s="4" t="s">
        <v>563</v>
      </c>
    </row>
    <row r="327" spans="1:32" ht="11.25" customHeight="1" x14ac:dyDescent="0.25">
      <c r="A327" s="4" t="s">
        <v>21</v>
      </c>
      <c r="B327" s="4" t="s">
        <v>40</v>
      </c>
      <c r="C327" s="4" t="s">
        <v>23</v>
      </c>
      <c r="D327" s="4" t="s">
        <v>41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44470</v>
      </c>
      <c r="J327" s="6">
        <v>0</v>
      </c>
      <c r="K327" s="6">
        <v>0</v>
      </c>
      <c r="L327" s="6">
        <v>2154.7689999999998</v>
      </c>
      <c r="M327" s="6">
        <v>2154.7689999999998</v>
      </c>
      <c r="N327" s="6">
        <v>2154.7689999999998</v>
      </c>
      <c r="O327" s="6">
        <v>2154.7689999999998</v>
      </c>
      <c r="P327" s="6">
        <v>2095</v>
      </c>
      <c r="Q327" s="4" t="s">
        <v>26</v>
      </c>
      <c r="R327" s="4">
        <v>0</v>
      </c>
      <c r="S327" s="4">
        <v>0</v>
      </c>
      <c r="T327" s="4">
        <v>60</v>
      </c>
      <c r="U327" s="4">
        <v>16</v>
      </c>
      <c r="V327" s="6">
        <f>IF(ISERROR(VLOOKUP($S$327,'TAR FIN'!$A$1:$O$85,15,0)),0,VLOOKUP($S$327,'TAR FIN'!$A$1:$O$85,15,0))</f>
        <v>0</v>
      </c>
      <c r="W327" s="6">
        <f>IF(ISERROR(VLOOKUP($T$327,'TAR FIN'!$A$1:$O$85,15,0)),0,VLOOKUP($T$327,'TAR FIN'!$A$1:$O$85,15,0))</f>
        <v>387.29</v>
      </c>
      <c r="X327" s="6">
        <f>IF(ISERROR(VLOOKUP($U$327,'TAR FIN'!$A$1:$O$85,15,0)),0,VLOOKUP($U$327,'TAR FIN'!$A$1:$O$85,15,0))</f>
        <v>196.87</v>
      </c>
      <c r="Y327" s="6"/>
      <c r="Z327" s="6">
        <f ca="1">('TUSD BE'!$AM$33+'TUSD BF'!$AM$33+'TUSD CVA'!$AM$33)*(1-CUSTOS!$M$38)</f>
        <v>464.7286080745173</v>
      </c>
      <c r="AA327" s="6">
        <f>('TE BE'!$AA$23+'TE BF'!$AA$23+'TE CVA'!$AA$23)*(1-CUSTOS!$M$38)</f>
        <v>204.57163525385519</v>
      </c>
      <c r="AB327" s="6">
        <f t="shared" si="16"/>
        <v>0</v>
      </c>
      <c r="AC327" s="6">
        <f>(L327-M327)*(W327+X327)+($W$184+$X$184-$W$327-$X$327)*(L327)</f>
        <v>171648.89854000002</v>
      </c>
      <c r="AD327" s="6">
        <f t="shared" si="17"/>
        <v>0</v>
      </c>
      <c r="AE327" s="6">
        <f ca="1">(L327-M327)*(Z327+AA327)+($Z$184+$AA$184-$Z$327-$AA$327)*(L327)</f>
        <v>92054.51591594248</v>
      </c>
      <c r="AF327" s="4" t="s">
        <v>563</v>
      </c>
    </row>
    <row r="328" spans="1:32" ht="11.25" customHeight="1" x14ac:dyDescent="0.25">
      <c r="A328" s="4" t="s">
        <v>27</v>
      </c>
      <c r="B328" s="4" t="s">
        <v>40</v>
      </c>
      <c r="C328" s="4" t="s">
        <v>23</v>
      </c>
      <c r="D328" s="4" t="s">
        <v>41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44470</v>
      </c>
      <c r="J328" s="6">
        <v>0</v>
      </c>
      <c r="K328" s="6">
        <v>0</v>
      </c>
      <c r="L328" s="6">
        <v>-9.8490000000000002</v>
      </c>
      <c r="M328" s="6">
        <v>-9.8490000000000002</v>
      </c>
      <c r="N328" s="6">
        <v>-9.8490000000000002</v>
      </c>
      <c r="O328" s="6">
        <v>-9.8490000000000002</v>
      </c>
      <c r="P328" s="6">
        <v>0</v>
      </c>
      <c r="Q328" s="4" t="s">
        <v>26</v>
      </c>
      <c r="R328" s="4">
        <v>0</v>
      </c>
      <c r="S328" s="4">
        <v>0</v>
      </c>
      <c r="T328" s="4">
        <v>60</v>
      </c>
      <c r="U328" s="4">
        <v>16</v>
      </c>
      <c r="V328" s="6">
        <f>IF(ISERROR(VLOOKUP($S$328,'TAR FIN'!$A$1:$O$85,15,0)),0,VLOOKUP($S$328,'TAR FIN'!$A$1:$O$85,15,0))</f>
        <v>0</v>
      </c>
      <c r="W328" s="6">
        <f>IF(ISERROR(VLOOKUP($T$328,'TAR FIN'!$A$1:$O$85,15,0)),0,VLOOKUP($T$328,'TAR FIN'!$A$1:$O$85,15,0))</f>
        <v>387.29</v>
      </c>
      <c r="X328" s="6">
        <f>IF(ISERROR(VLOOKUP($U$328,'TAR FIN'!$A$1:$O$85,15,0)),0,VLOOKUP($U$328,'TAR FIN'!$A$1:$O$85,15,0))</f>
        <v>196.87</v>
      </c>
      <c r="Y328" s="6"/>
      <c r="Z328" s="6">
        <f ca="1">('TUSD BE'!$AM$33+'TUSD BF'!$AM$33+'TUSD CVA'!$AM$33)*(1-CUSTOS!$M$38)</f>
        <v>464.7286080745173</v>
      </c>
      <c r="AA328" s="6">
        <f>('TE BE'!$AA$23+'TE BF'!$AA$23+'TE CVA'!$AA$23)*(1-CUSTOS!$M$38)</f>
        <v>204.57163525385519</v>
      </c>
      <c r="AB328" s="6">
        <f t="shared" si="16"/>
        <v>0</v>
      </c>
      <c r="AC328" s="6">
        <f>(L328-M328)*(W328+X328)+($W$184+$X$184-$W$328-$X$328)*(L328)</f>
        <v>-784.5713400000003</v>
      </c>
      <c r="AD328" s="6">
        <f t="shared" si="17"/>
        <v>0</v>
      </c>
      <c r="AE328" s="6">
        <f ca="1">(L328-M328)*(Z328+AA328)+($Z$184+$AA$184-$Z$328-$AA$328)*(L328)</f>
        <v>-420.76200616220001</v>
      </c>
      <c r="AF328" s="4" t="s">
        <v>563</v>
      </c>
    </row>
    <row r="329" spans="1:32" ht="11.25" customHeight="1" x14ac:dyDescent="0.25">
      <c r="A329" s="4" t="s">
        <v>28</v>
      </c>
      <c r="B329" s="4" t="s">
        <v>40</v>
      </c>
      <c r="C329" s="4" t="s">
        <v>23</v>
      </c>
      <c r="D329" s="4" t="s">
        <v>41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44470</v>
      </c>
      <c r="J329" s="6">
        <v>0</v>
      </c>
      <c r="K329" s="6">
        <v>0</v>
      </c>
      <c r="L329" s="6">
        <v>89.162000000000006</v>
      </c>
      <c r="M329" s="6">
        <v>89.162000000000006</v>
      </c>
      <c r="N329" s="6">
        <v>89.162000000000006</v>
      </c>
      <c r="O329" s="6">
        <v>89.162000000000006</v>
      </c>
      <c r="P329" s="6">
        <v>20</v>
      </c>
      <c r="Q329" s="4" t="s">
        <v>26</v>
      </c>
      <c r="R329" s="4">
        <v>0</v>
      </c>
      <c r="S329" s="4">
        <v>0</v>
      </c>
      <c r="T329" s="4">
        <v>60</v>
      </c>
      <c r="U329" s="4">
        <v>16</v>
      </c>
      <c r="V329" s="6">
        <f>IF(ISERROR(VLOOKUP($S$329,'TAR FIN'!$A$1:$O$85,15,0)),0,VLOOKUP($S$329,'TAR FIN'!$A$1:$O$85,15,0))</f>
        <v>0</v>
      </c>
      <c r="W329" s="6">
        <f>IF(ISERROR(VLOOKUP($T$329,'TAR FIN'!$A$1:$O$85,15,0)),0,VLOOKUP($T$329,'TAR FIN'!$A$1:$O$85,15,0))</f>
        <v>387.29</v>
      </c>
      <c r="X329" s="6">
        <f>IF(ISERROR(VLOOKUP($U$329,'TAR FIN'!$A$1:$O$85,15,0)),0,VLOOKUP($U$329,'TAR FIN'!$A$1:$O$85,15,0))</f>
        <v>196.87</v>
      </c>
      <c r="Y329" s="6"/>
      <c r="Z329" s="6">
        <f ca="1">('TUSD BE'!$AM$33+'TUSD BF'!$AM$33+'TUSD CVA'!$AM$33)*(1-CUSTOS!$M$38)</f>
        <v>464.7286080745173</v>
      </c>
      <c r="AA329" s="6">
        <f>('TE BE'!$AA$23+'TE BF'!$AA$23+'TE CVA'!$AA$23)*(1-CUSTOS!$M$38)</f>
        <v>204.57163525385519</v>
      </c>
      <c r="AB329" s="6">
        <f t="shared" si="16"/>
        <v>0</v>
      </c>
      <c r="AC329" s="6">
        <f>(L329-M329)*(W329+X329)+($W$184+$X$184-$W$329-$X$329)*(L329)</f>
        <v>7102.6449200000025</v>
      </c>
      <c r="AD329" s="6">
        <f t="shared" si="17"/>
        <v>0</v>
      </c>
      <c r="AE329" s="6">
        <f ca="1">(L329-M329)*(Z329+AA329)+($Z$184+$AA$184-$Z$329-$AA$329)*(L329)</f>
        <v>3809.1158486581458</v>
      </c>
      <c r="AF329" s="4" t="s">
        <v>563</v>
      </c>
    </row>
    <row r="330" spans="1:32" ht="11.25" customHeight="1" x14ac:dyDescent="0.25">
      <c r="A330" s="4" t="s">
        <v>21</v>
      </c>
      <c r="B330" s="4" t="s">
        <v>40</v>
      </c>
      <c r="C330" s="4" t="s">
        <v>23</v>
      </c>
      <c r="D330" s="4" t="s">
        <v>41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44501</v>
      </c>
      <c r="J330" s="6">
        <v>0</v>
      </c>
      <c r="K330" s="6">
        <v>0</v>
      </c>
      <c r="L330" s="6">
        <v>2489.1129999999998</v>
      </c>
      <c r="M330" s="6">
        <v>2489.1129999999998</v>
      </c>
      <c r="N330" s="6">
        <v>2489.1129999999998</v>
      </c>
      <c r="O330" s="6">
        <v>2489.1129999999998</v>
      </c>
      <c r="P330" s="6">
        <v>2092</v>
      </c>
      <c r="Q330" s="4" t="s">
        <v>26</v>
      </c>
      <c r="R330" s="4">
        <v>0</v>
      </c>
      <c r="S330" s="4">
        <v>0</v>
      </c>
      <c r="T330" s="4">
        <v>60</v>
      </c>
      <c r="U330" s="4">
        <v>16</v>
      </c>
      <c r="V330" s="6">
        <f>IF(ISERROR(VLOOKUP($S$330,'TAR FIN'!$A$1:$O$85,15,0)),0,VLOOKUP($S$330,'TAR FIN'!$A$1:$O$85,15,0))</f>
        <v>0</v>
      </c>
      <c r="W330" s="6">
        <f>IF(ISERROR(VLOOKUP($T$330,'TAR FIN'!$A$1:$O$85,15,0)),0,VLOOKUP($T$330,'TAR FIN'!$A$1:$O$85,15,0))</f>
        <v>387.29</v>
      </c>
      <c r="X330" s="6">
        <f>IF(ISERROR(VLOOKUP($U$330,'TAR FIN'!$A$1:$O$85,15,0)),0,VLOOKUP($U$330,'TAR FIN'!$A$1:$O$85,15,0))</f>
        <v>196.87</v>
      </c>
      <c r="Y330" s="6"/>
      <c r="Z330" s="6">
        <f ca="1">('TUSD BE'!$AM$33+'TUSD BF'!$AM$33+'TUSD CVA'!$AM$33)*(1-CUSTOS!$M$38)</f>
        <v>464.7286080745173</v>
      </c>
      <c r="AA330" s="6">
        <f>('TE BE'!$AA$23+'TE BF'!$AA$23+'TE CVA'!$AA$23)*(1-CUSTOS!$M$38)</f>
        <v>204.57163525385519</v>
      </c>
      <c r="AB330" s="6">
        <f t="shared" si="16"/>
        <v>0</v>
      </c>
      <c r="AC330" s="6">
        <f>(L330-M330)*(W330+X330)+($W$184+$X$184-$W$330-$X$330)*(L330)</f>
        <v>198282.74158000006</v>
      </c>
      <c r="AD330" s="6">
        <f t="shared" si="17"/>
        <v>0</v>
      </c>
      <c r="AE330" s="6">
        <f ca="1">(L330-M330)*(Z330+AA330)+($Z$184+$AA$184-$Z$330-$AA$330)*(L330)</f>
        <v>106338.12361096681</v>
      </c>
      <c r="AF330" s="4" t="s">
        <v>563</v>
      </c>
    </row>
    <row r="331" spans="1:32" ht="11.25" customHeight="1" x14ac:dyDescent="0.25">
      <c r="A331" s="4" t="s">
        <v>27</v>
      </c>
      <c r="B331" s="4" t="s">
        <v>40</v>
      </c>
      <c r="C331" s="4" t="s">
        <v>23</v>
      </c>
      <c r="D331" s="4" t="s">
        <v>41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44501</v>
      </c>
      <c r="J331" s="6">
        <v>0</v>
      </c>
      <c r="K331" s="6">
        <v>0</v>
      </c>
      <c r="L331" s="6">
        <v>-0.70099999999999996</v>
      </c>
      <c r="M331" s="6">
        <v>-0.70099999999999996</v>
      </c>
      <c r="N331" s="6">
        <v>-0.70099999999999996</v>
      </c>
      <c r="O331" s="6">
        <v>-0.70099999999999996</v>
      </c>
      <c r="P331" s="6">
        <v>0</v>
      </c>
      <c r="Q331" s="4" t="s">
        <v>26</v>
      </c>
      <c r="R331" s="4">
        <v>0</v>
      </c>
      <c r="S331" s="4">
        <v>0</v>
      </c>
      <c r="T331" s="4">
        <v>60</v>
      </c>
      <c r="U331" s="4">
        <v>16</v>
      </c>
      <c r="V331" s="6">
        <f>IF(ISERROR(VLOOKUP($S$331,'TAR FIN'!$A$1:$O$85,15,0)),0,VLOOKUP($S$331,'TAR FIN'!$A$1:$O$85,15,0))</f>
        <v>0</v>
      </c>
      <c r="W331" s="6">
        <f>IF(ISERROR(VLOOKUP($T$331,'TAR FIN'!$A$1:$O$85,15,0)),0,VLOOKUP($T$331,'TAR FIN'!$A$1:$O$85,15,0))</f>
        <v>387.29</v>
      </c>
      <c r="X331" s="6">
        <f>IF(ISERROR(VLOOKUP($U$331,'TAR FIN'!$A$1:$O$85,15,0)),0,VLOOKUP($U$331,'TAR FIN'!$A$1:$O$85,15,0))</f>
        <v>196.87</v>
      </c>
      <c r="Y331" s="6"/>
      <c r="Z331" s="6">
        <f ca="1">('TUSD BE'!$AM$33+'TUSD BF'!$AM$33+'TUSD CVA'!$AM$33)*(1-CUSTOS!$M$38)</f>
        <v>464.7286080745173</v>
      </c>
      <c r="AA331" s="6">
        <f>('TE BE'!$AA$23+'TE BF'!$AA$23+'TE CVA'!$AA$23)*(1-CUSTOS!$M$38)</f>
        <v>204.57163525385519</v>
      </c>
      <c r="AB331" s="6">
        <f t="shared" si="16"/>
        <v>0</v>
      </c>
      <c r="AC331" s="6">
        <f>(L331-M331)*(W331+X331)+($W$184+$X$184-$W$331-$X$331)*(L331)</f>
        <v>-55.841660000000012</v>
      </c>
      <c r="AD331" s="6">
        <f t="shared" si="17"/>
        <v>0</v>
      </c>
      <c r="AE331" s="6">
        <f ca="1">(L331-M331)*(Z331+AA331)+($Z$184+$AA$184-$Z$331-$AA$331)*(L331)</f>
        <v>-29.947625781267355</v>
      </c>
      <c r="AF331" s="4" t="s">
        <v>563</v>
      </c>
    </row>
    <row r="332" spans="1:32" ht="11.25" customHeight="1" x14ac:dyDescent="0.25">
      <c r="A332" s="4" t="s">
        <v>28</v>
      </c>
      <c r="B332" s="4" t="s">
        <v>40</v>
      </c>
      <c r="C332" s="4" t="s">
        <v>23</v>
      </c>
      <c r="D332" s="4" t="s">
        <v>41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44501</v>
      </c>
      <c r="J332" s="6">
        <v>0</v>
      </c>
      <c r="K332" s="6">
        <v>0</v>
      </c>
      <c r="L332" s="6">
        <v>67.254999999999995</v>
      </c>
      <c r="M332" s="6">
        <v>67.254999999999995</v>
      </c>
      <c r="N332" s="6">
        <v>67.254999999999995</v>
      </c>
      <c r="O332" s="6">
        <v>67.254999999999995</v>
      </c>
      <c r="P332" s="6">
        <v>21</v>
      </c>
      <c r="Q332" s="4" t="s">
        <v>26</v>
      </c>
      <c r="R332" s="4">
        <v>0</v>
      </c>
      <c r="S332" s="4">
        <v>0</v>
      </c>
      <c r="T332" s="4">
        <v>60</v>
      </c>
      <c r="U332" s="4">
        <v>16</v>
      </c>
      <c r="V332" s="6">
        <f>IF(ISERROR(VLOOKUP($S$332,'TAR FIN'!$A$1:$O$85,15,0)),0,VLOOKUP($S$332,'TAR FIN'!$A$1:$O$85,15,0))</f>
        <v>0</v>
      </c>
      <c r="W332" s="6">
        <f>IF(ISERROR(VLOOKUP($T$332,'TAR FIN'!$A$1:$O$85,15,0)),0,VLOOKUP($T$332,'TAR FIN'!$A$1:$O$85,15,0))</f>
        <v>387.29</v>
      </c>
      <c r="X332" s="6">
        <f>IF(ISERROR(VLOOKUP($U$332,'TAR FIN'!$A$1:$O$85,15,0)),0,VLOOKUP($U$332,'TAR FIN'!$A$1:$O$85,15,0))</f>
        <v>196.87</v>
      </c>
      <c r="Y332" s="6"/>
      <c r="Z332" s="6">
        <f ca="1">('TUSD BE'!$AM$33+'TUSD BF'!$AM$33+'TUSD CVA'!$AM$33)*(1-CUSTOS!$M$38)</f>
        <v>464.7286080745173</v>
      </c>
      <c r="AA332" s="6">
        <f>('TE BE'!$AA$23+'TE BF'!$AA$23+'TE CVA'!$AA$23)*(1-CUSTOS!$M$38)</f>
        <v>204.57163525385519</v>
      </c>
      <c r="AB332" s="6">
        <f t="shared" si="16"/>
        <v>0</v>
      </c>
      <c r="AC332" s="6">
        <f>(L332-M332)*(W332+X332)+($W$184+$X$184-$W$332-$X$332)*(L332)</f>
        <v>5357.533300000001</v>
      </c>
      <c r="AD332" s="6">
        <f t="shared" si="17"/>
        <v>0</v>
      </c>
      <c r="AE332" s="6">
        <f ca="1">(L332-M332)*(Z332+AA332)+($Z$184+$AA$184-$Z$332-$AA$332)*(L332)</f>
        <v>2873.2205020244451</v>
      </c>
      <c r="AF332" s="4" t="s">
        <v>563</v>
      </c>
    </row>
    <row r="333" spans="1:32" ht="11.25" customHeight="1" x14ac:dyDescent="0.25">
      <c r="A333" s="4" t="s">
        <v>21</v>
      </c>
      <c r="B333" s="4" t="s">
        <v>40</v>
      </c>
      <c r="C333" s="4" t="s">
        <v>23</v>
      </c>
      <c r="D333" s="4" t="s">
        <v>41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44531</v>
      </c>
      <c r="J333" s="6">
        <v>0</v>
      </c>
      <c r="K333" s="6">
        <v>0</v>
      </c>
      <c r="L333" s="6">
        <v>2225.7460000000001</v>
      </c>
      <c r="M333" s="6">
        <v>2225.7460000000001</v>
      </c>
      <c r="N333" s="6">
        <v>2225.7460000000001</v>
      </c>
      <c r="O333" s="6">
        <v>2225.7460000000001</v>
      </c>
      <c r="P333" s="6">
        <v>2098</v>
      </c>
      <c r="Q333" s="4" t="s">
        <v>26</v>
      </c>
      <c r="R333" s="4">
        <v>0</v>
      </c>
      <c r="S333" s="4">
        <v>0</v>
      </c>
      <c r="T333" s="4">
        <v>60</v>
      </c>
      <c r="U333" s="4">
        <v>16</v>
      </c>
      <c r="V333" s="6">
        <f>IF(ISERROR(VLOOKUP($S$333,'TAR FIN'!$A$1:$O$85,15,0)),0,VLOOKUP($S$333,'TAR FIN'!$A$1:$O$85,15,0))</f>
        <v>0</v>
      </c>
      <c r="W333" s="6">
        <f>IF(ISERROR(VLOOKUP($T$333,'TAR FIN'!$A$1:$O$85,15,0)),0,VLOOKUP($T$333,'TAR FIN'!$A$1:$O$85,15,0))</f>
        <v>387.29</v>
      </c>
      <c r="X333" s="6">
        <f>IF(ISERROR(VLOOKUP($U$333,'TAR FIN'!$A$1:$O$85,15,0)),0,VLOOKUP($U$333,'TAR FIN'!$A$1:$O$85,15,0))</f>
        <v>196.87</v>
      </c>
      <c r="Y333" s="6"/>
      <c r="Z333" s="6">
        <f ca="1">('TUSD BE'!$AM$33+'TUSD BF'!$AM$33+'TUSD CVA'!$AM$33)*(1-CUSTOS!$M$38)</f>
        <v>464.7286080745173</v>
      </c>
      <c r="AA333" s="6">
        <f>('TE BE'!$AA$23+'TE BF'!$AA$23+'TE CVA'!$AA$23)*(1-CUSTOS!$M$38)</f>
        <v>204.57163525385519</v>
      </c>
      <c r="AB333" s="6">
        <f t="shared" si="16"/>
        <v>0</v>
      </c>
      <c r="AC333" s="6">
        <f>(L333-M333)*(W333+X333)+($W$184+$X$184-$W$333-$X$333)*(L333)</f>
        <v>177302.92636000007</v>
      </c>
      <c r="AD333" s="6">
        <f t="shared" si="17"/>
        <v>0</v>
      </c>
      <c r="AE333" s="6">
        <f ca="1">(L333-M333)*(Z333+AA333)+($Z$184+$AA$184-$Z$333-$AA$333)*(L333)</f>
        <v>95086.745067264899</v>
      </c>
      <c r="AF333" s="4" t="s">
        <v>563</v>
      </c>
    </row>
    <row r="334" spans="1:32" ht="11.25" customHeight="1" x14ac:dyDescent="0.25">
      <c r="A334" s="4" t="s">
        <v>27</v>
      </c>
      <c r="B334" s="4" t="s">
        <v>40</v>
      </c>
      <c r="C334" s="4" t="s">
        <v>23</v>
      </c>
      <c r="D334" s="4" t="s">
        <v>41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44531</v>
      </c>
      <c r="J334" s="6">
        <v>0</v>
      </c>
      <c r="K334" s="6">
        <v>0</v>
      </c>
      <c r="L334" s="6">
        <v>-1.4530000000000001</v>
      </c>
      <c r="M334" s="6">
        <v>-1.4530000000000001</v>
      </c>
      <c r="N334" s="6">
        <v>-1.4530000000000001</v>
      </c>
      <c r="O334" s="6">
        <v>-1.4530000000000001</v>
      </c>
      <c r="P334" s="6">
        <v>0</v>
      </c>
      <c r="Q334" s="4" t="s">
        <v>26</v>
      </c>
      <c r="R334" s="4">
        <v>0</v>
      </c>
      <c r="S334" s="4">
        <v>0</v>
      </c>
      <c r="T334" s="4">
        <v>60</v>
      </c>
      <c r="U334" s="4">
        <v>16</v>
      </c>
      <c r="V334" s="6">
        <f>IF(ISERROR(VLOOKUP($S$334,'TAR FIN'!$A$1:$O$85,15,0)),0,VLOOKUP($S$334,'TAR FIN'!$A$1:$O$85,15,0))</f>
        <v>0</v>
      </c>
      <c r="W334" s="6">
        <f>IF(ISERROR(VLOOKUP($T$334,'TAR FIN'!$A$1:$O$85,15,0)),0,VLOOKUP($T$334,'TAR FIN'!$A$1:$O$85,15,0))</f>
        <v>387.29</v>
      </c>
      <c r="X334" s="6">
        <f>IF(ISERROR(VLOOKUP($U$334,'TAR FIN'!$A$1:$O$85,15,0)),0,VLOOKUP($U$334,'TAR FIN'!$A$1:$O$85,15,0))</f>
        <v>196.87</v>
      </c>
      <c r="Y334" s="6"/>
      <c r="Z334" s="6">
        <f ca="1">('TUSD BE'!$AM$33+'TUSD BF'!$AM$33+'TUSD CVA'!$AM$33)*(1-CUSTOS!$M$38)</f>
        <v>464.7286080745173</v>
      </c>
      <c r="AA334" s="6">
        <f>('TE BE'!$AA$23+'TE BF'!$AA$23+'TE CVA'!$AA$23)*(1-CUSTOS!$M$38)</f>
        <v>204.57163525385519</v>
      </c>
      <c r="AB334" s="6">
        <f t="shared" si="16"/>
        <v>0</v>
      </c>
      <c r="AC334" s="6">
        <f>(L334-M334)*(W334+X334)+($W$184+$X$184-$W$334-$X$334)*(L334)</f>
        <v>-115.74598000000005</v>
      </c>
      <c r="AD334" s="6">
        <f t="shared" si="17"/>
        <v>0</v>
      </c>
      <c r="AE334" s="6">
        <f ca="1">(L334-M334)*(Z334+AA334)+($Z$184+$AA$184-$Z$334-$AA$334)*(L334)</f>
        <v>-62.074037461029206</v>
      </c>
      <c r="AF334" s="4" t="s">
        <v>563</v>
      </c>
    </row>
    <row r="335" spans="1:32" ht="11.25" customHeight="1" x14ac:dyDescent="0.25">
      <c r="A335" s="4" t="s">
        <v>28</v>
      </c>
      <c r="B335" s="4" t="s">
        <v>40</v>
      </c>
      <c r="C335" s="4" t="s">
        <v>23</v>
      </c>
      <c r="D335" s="4" t="s">
        <v>41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44531</v>
      </c>
      <c r="J335" s="6">
        <v>0</v>
      </c>
      <c r="K335" s="6">
        <v>0</v>
      </c>
      <c r="L335" s="6">
        <v>76.545000000000002</v>
      </c>
      <c r="M335" s="6">
        <v>76.545000000000002</v>
      </c>
      <c r="N335" s="6">
        <v>76.545000000000002</v>
      </c>
      <c r="O335" s="6">
        <v>76.545000000000002</v>
      </c>
      <c r="P335" s="6">
        <v>24</v>
      </c>
      <c r="Q335" s="4" t="s">
        <v>26</v>
      </c>
      <c r="R335" s="4">
        <v>0</v>
      </c>
      <c r="S335" s="4">
        <v>0</v>
      </c>
      <c r="T335" s="4">
        <v>60</v>
      </c>
      <c r="U335" s="4">
        <v>16</v>
      </c>
      <c r="V335" s="6">
        <f>IF(ISERROR(VLOOKUP($S$335,'TAR FIN'!$A$1:$O$85,15,0)),0,VLOOKUP($S$335,'TAR FIN'!$A$1:$O$85,15,0))</f>
        <v>0</v>
      </c>
      <c r="W335" s="6">
        <f>IF(ISERROR(VLOOKUP($T$335,'TAR FIN'!$A$1:$O$85,15,0)),0,VLOOKUP($T$335,'TAR FIN'!$A$1:$O$85,15,0))</f>
        <v>387.29</v>
      </c>
      <c r="X335" s="6">
        <f>IF(ISERROR(VLOOKUP($U$335,'TAR FIN'!$A$1:$O$85,15,0)),0,VLOOKUP($U$335,'TAR FIN'!$A$1:$O$85,15,0))</f>
        <v>196.87</v>
      </c>
      <c r="Y335" s="6"/>
      <c r="Z335" s="6">
        <f ca="1">('TUSD BE'!$AM$33+'TUSD BF'!$AM$33+'TUSD CVA'!$AM$33)*(1-CUSTOS!$M$38)</f>
        <v>464.7286080745173</v>
      </c>
      <c r="AA335" s="6">
        <f>('TE BE'!$AA$23+'TE BF'!$AA$23+'TE CVA'!$AA$23)*(1-CUSTOS!$M$38)</f>
        <v>204.57163525385519</v>
      </c>
      <c r="AB335" s="6">
        <f t="shared" si="16"/>
        <v>0</v>
      </c>
      <c r="AC335" s="6">
        <f>(L335-M335)*(W335+X335)+($W$184+$X$184-$W$335-$X$335)*(L335)</f>
        <v>6097.5747000000019</v>
      </c>
      <c r="AD335" s="6">
        <f t="shared" si="17"/>
        <v>0</v>
      </c>
      <c r="AE335" s="6">
        <f ca="1">(L335-M335)*(Z335+AA335)+($Z$184+$AA$184-$Z$335-$AA$335)*(L335)</f>
        <v>3270.1013058874605</v>
      </c>
      <c r="AF335" s="4" t="s">
        <v>563</v>
      </c>
    </row>
    <row r="336" spans="1:32" ht="11.25" customHeight="1" x14ac:dyDescent="0.25">
      <c r="A336" s="4" t="s">
        <v>21</v>
      </c>
      <c r="B336" s="4" t="s">
        <v>40</v>
      </c>
      <c r="C336" s="4" t="s">
        <v>23</v>
      </c>
      <c r="D336" s="4" t="s">
        <v>41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44562</v>
      </c>
      <c r="J336" s="6">
        <v>0</v>
      </c>
      <c r="K336" s="6">
        <v>0</v>
      </c>
      <c r="L336" s="6">
        <v>2174.2919999999999</v>
      </c>
      <c r="M336" s="6">
        <v>2174.2919999999999</v>
      </c>
      <c r="N336" s="6">
        <v>2174.2919999999999</v>
      </c>
      <c r="O336" s="6">
        <v>2174.2919999999999</v>
      </c>
      <c r="P336" s="6">
        <v>2096</v>
      </c>
      <c r="Q336" s="4" t="s">
        <v>26</v>
      </c>
      <c r="R336" s="4">
        <v>0</v>
      </c>
      <c r="S336" s="4">
        <v>0</v>
      </c>
      <c r="T336" s="4">
        <v>60</v>
      </c>
      <c r="U336" s="4">
        <v>16</v>
      </c>
      <c r="V336" s="6">
        <f>IF(ISERROR(VLOOKUP($S$336,'TAR FIN'!$A$1:$O$85,15,0)),0,VLOOKUP($S$336,'TAR FIN'!$A$1:$O$85,15,0))</f>
        <v>0</v>
      </c>
      <c r="W336" s="6">
        <f>IF(ISERROR(VLOOKUP($T$336,'TAR FIN'!$A$1:$O$85,15,0)),0,VLOOKUP($T$336,'TAR FIN'!$A$1:$O$85,15,0))</f>
        <v>387.29</v>
      </c>
      <c r="X336" s="6">
        <f>IF(ISERROR(VLOOKUP($U$336,'TAR FIN'!$A$1:$O$85,15,0)),0,VLOOKUP($U$336,'TAR FIN'!$A$1:$O$85,15,0))</f>
        <v>196.87</v>
      </c>
      <c r="Y336" s="6"/>
      <c r="Z336" s="6">
        <f ca="1">('TUSD BE'!$AM$33+'TUSD BF'!$AM$33+'TUSD CVA'!$AM$33)*(1-CUSTOS!$M$38)</f>
        <v>464.7286080745173</v>
      </c>
      <c r="AA336" s="6">
        <f>('TE BE'!$AA$23+'TE BF'!$AA$23+'TE CVA'!$AA$23)*(1-CUSTOS!$M$38)</f>
        <v>204.57163525385519</v>
      </c>
      <c r="AB336" s="6">
        <f t="shared" si="16"/>
        <v>0</v>
      </c>
      <c r="AC336" s="6">
        <f>(L336-M336)*(W336+X336)+($W$184+$X$184-$W$336-$X$336)*(L336)</f>
        <v>173204.10072000005</v>
      </c>
      <c r="AD336" s="6">
        <f t="shared" si="17"/>
        <v>0</v>
      </c>
      <c r="AE336" s="6">
        <f ca="1">(L336-M336)*(Z336+AA336)+($Z$184+$AA$184-$Z$336-$AA$336)*(L336)</f>
        <v>92888.563702144602</v>
      </c>
      <c r="AF336" s="4" t="s">
        <v>563</v>
      </c>
    </row>
    <row r="337" spans="1:32" ht="11.25" customHeight="1" x14ac:dyDescent="0.25">
      <c r="A337" s="4" t="s">
        <v>27</v>
      </c>
      <c r="B337" s="4" t="s">
        <v>40</v>
      </c>
      <c r="C337" s="4" t="s">
        <v>23</v>
      </c>
      <c r="D337" s="4" t="s">
        <v>41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44562</v>
      </c>
      <c r="J337" s="6">
        <v>0</v>
      </c>
      <c r="K337" s="6">
        <v>0</v>
      </c>
      <c r="L337" s="6">
        <v>-4.2690000000000001</v>
      </c>
      <c r="M337" s="6">
        <v>-4.2690000000000001</v>
      </c>
      <c r="N337" s="6">
        <v>-4.2690000000000001</v>
      </c>
      <c r="O337" s="6">
        <v>-4.2690000000000001</v>
      </c>
      <c r="P337" s="6">
        <v>0</v>
      </c>
      <c r="Q337" s="4" t="s">
        <v>26</v>
      </c>
      <c r="R337" s="4">
        <v>0</v>
      </c>
      <c r="S337" s="4">
        <v>0</v>
      </c>
      <c r="T337" s="4">
        <v>60</v>
      </c>
      <c r="U337" s="4">
        <v>16</v>
      </c>
      <c r="V337" s="6">
        <f>IF(ISERROR(VLOOKUP($S$337,'TAR FIN'!$A$1:$O$85,15,0)),0,VLOOKUP($S$337,'TAR FIN'!$A$1:$O$85,15,0))</f>
        <v>0</v>
      </c>
      <c r="W337" s="6">
        <f>IF(ISERROR(VLOOKUP($T$337,'TAR FIN'!$A$1:$O$85,15,0)),0,VLOOKUP($T$337,'TAR FIN'!$A$1:$O$85,15,0))</f>
        <v>387.29</v>
      </c>
      <c r="X337" s="6">
        <f>IF(ISERROR(VLOOKUP($U$337,'TAR FIN'!$A$1:$O$85,15,0)),0,VLOOKUP($U$337,'TAR FIN'!$A$1:$O$85,15,0))</f>
        <v>196.87</v>
      </c>
      <c r="Y337" s="6"/>
      <c r="Z337" s="6">
        <f ca="1">('TUSD BE'!$AM$33+'TUSD BF'!$AM$33+'TUSD CVA'!$AM$33)*(1-CUSTOS!$M$38)</f>
        <v>464.7286080745173</v>
      </c>
      <c r="AA337" s="6">
        <f>('TE BE'!$AA$23+'TE BF'!$AA$23+'TE CVA'!$AA$23)*(1-CUSTOS!$M$38)</f>
        <v>204.57163525385519</v>
      </c>
      <c r="AB337" s="6">
        <f t="shared" si="16"/>
        <v>0</v>
      </c>
      <c r="AC337" s="6">
        <f>(L337-M337)*(W337+X337)+($W$184+$X$184-$W$337-$X$337)*(L337)</f>
        <v>-340.0685400000001</v>
      </c>
      <c r="AD337" s="6">
        <f t="shared" si="17"/>
        <v>0</v>
      </c>
      <c r="AE337" s="6">
        <f ca="1">(L337-M337)*(Z337+AA337)+($Z$184+$AA$184-$Z$337-$AA$337)*(L337)</f>
        <v>-182.37719609162676</v>
      </c>
      <c r="AF337" s="4" t="s">
        <v>563</v>
      </c>
    </row>
    <row r="338" spans="1:32" ht="11.25" customHeight="1" x14ac:dyDescent="0.25">
      <c r="A338" s="4" t="s">
        <v>28</v>
      </c>
      <c r="B338" s="4" t="s">
        <v>40</v>
      </c>
      <c r="C338" s="4" t="s">
        <v>23</v>
      </c>
      <c r="D338" s="4" t="s">
        <v>41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44562</v>
      </c>
      <c r="J338" s="6">
        <v>0</v>
      </c>
      <c r="K338" s="6">
        <v>0</v>
      </c>
      <c r="L338" s="6">
        <v>78.852000000000004</v>
      </c>
      <c r="M338" s="6">
        <v>78.852000000000004</v>
      </c>
      <c r="N338" s="6">
        <v>78.852000000000004</v>
      </c>
      <c r="O338" s="6">
        <v>78.852000000000004</v>
      </c>
      <c r="P338" s="6">
        <v>24</v>
      </c>
      <c r="Q338" s="4" t="s">
        <v>26</v>
      </c>
      <c r="R338" s="4">
        <v>0</v>
      </c>
      <c r="S338" s="4">
        <v>0</v>
      </c>
      <c r="T338" s="4">
        <v>60</v>
      </c>
      <c r="U338" s="4">
        <v>16</v>
      </c>
      <c r="V338" s="6">
        <f>IF(ISERROR(VLOOKUP($S$338,'TAR FIN'!$A$1:$O$85,15,0)),0,VLOOKUP($S$338,'TAR FIN'!$A$1:$O$85,15,0))</f>
        <v>0</v>
      </c>
      <c r="W338" s="6">
        <f>IF(ISERROR(VLOOKUP($T$338,'TAR FIN'!$A$1:$O$85,15,0)),0,VLOOKUP($T$338,'TAR FIN'!$A$1:$O$85,15,0))</f>
        <v>387.29</v>
      </c>
      <c r="X338" s="6">
        <f>IF(ISERROR(VLOOKUP($U$338,'TAR FIN'!$A$1:$O$85,15,0)),0,VLOOKUP($U$338,'TAR FIN'!$A$1:$O$85,15,0))</f>
        <v>196.87</v>
      </c>
      <c r="Y338" s="6"/>
      <c r="Z338" s="6">
        <f ca="1">('TUSD BE'!$AM$33+'TUSD BF'!$AM$33+'TUSD CVA'!$AM$33)*(1-CUSTOS!$M$38)</f>
        <v>464.7286080745173</v>
      </c>
      <c r="AA338" s="6">
        <f>('TE BE'!$AA$23+'TE BF'!$AA$23+'TE CVA'!$AA$23)*(1-CUSTOS!$M$38)</f>
        <v>204.57163525385519</v>
      </c>
      <c r="AB338" s="6">
        <f t="shared" si="16"/>
        <v>0</v>
      </c>
      <c r="AC338" s="6">
        <f>(L338-M338)*(W338+X338)+($W$184+$X$184-$W$338-$X$338)*(L338)</f>
        <v>6281.3503200000023</v>
      </c>
      <c r="AD338" s="6">
        <f t="shared" si="17"/>
        <v>0</v>
      </c>
      <c r="AE338" s="6">
        <f ca="1">(L338-M338)*(Z338+AA338)+($Z$184+$AA$184-$Z$338-$AA$338)*(L338)</f>
        <v>3368.6593268252409</v>
      </c>
      <c r="AF338" s="4" t="s">
        <v>563</v>
      </c>
    </row>
    <row r="339" spans="1:32" ht="11.25" customHeight="1" x14ac:dyDescent="0.25">
      <c r="A339" s="4" t="s">
        <v>21</v>
      </c>
      <c r="B339" s="4" t="s">
        <v>40</v>
      </c>
      <c r="C339" s="4" t="s">
        <v>23</v>
      </c>
      <c r="D339" s="4" t="s">
        <v>41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44593</v>
      </c>
      <c r="J339" s="6">
        <v>0</v>
      </c>
      <c r="K339" s="6">
        <v>0</v>
      </c>
      <c r="L339" s="6">
        <v>2301.3029999999999</v>
      </c>
      <c r="M339" s="6">
        <v>2301.3029999999999</v>
      </c>
      <c r="N339" s="6">
        <v>2301.3029999999999</v>
      </c>
      <c r="O339" s="6">
        <v>2301.3029999999999</v>
      </c>
      <c r="P339" s="6">
        <v>2085</v>
      </c>
      <c r="Q339" s="4" t="s">
        <v>26</v>
      </c>
      <c r="R339" s="4">
        <v>0</v>
      </c>
      <c r="S339" s="4">
        <v>0</v>
      </c>
      <c r="T339" s="4">
        <v>60</v>
      </c>
      <c r="U339" s="4">
        <v>16</v>
      </c>
      <c r="V339" s="6">
        <f>IF(ISERROR(VLOOKUP($S$339,'TAR FIN'!$A$1:$O$85,15,0)),0,VLOOKUP($S$339,'TAR FIN'!$A$1:$O$85,15,0))</f>
        <v>0</v>
      </c>
      <c r="W339" s="6">
        <f>IF(ISERROR(VLOOKUP($T$339,'TAR FIN'!$A$1:$O$85,15,0)),0,VLOOKUP($T$339,'TAR FIN'!$A$1:$O$85,15,0))</f>
        <v>387.29</v>
      </c>
      <c r="X339" s="6">
        <f>IF(ISERROR(VLOOKUP($U$339,'TAR FIN'!$A$1:$O$85,15,0)),0,VLOOKUP($U$339,'TAR FIN'!$A$1:$O$85,15,0))</f>
        <v>196.87</v>
      </c>
      <c r="Y339" s="6"/>
      <c r="Z339" s="6">
        <f ca="1">('TUSD BE'!$AM$33+'TUSD BF'!$AM$33+'TUSD CVA'!$AM$33)*(1-CUSTOS!$M$38)</f>
        <v>464.7286080745173</v>
      </c>
      <c r="AA339" s="6">
        <f>('TE BE'!$AA$23+'TE BF'!$AA$23+'TE CVA'!$AA$23)*(1-CUSTOS!$M$38)</f>
        <v>204.57163525385519</v>
      </c>
      <c r="AB339" s="6">
        <f t="shared" si="16"/>
        <v>0</v>
      </c>
      <c r="AC339" s="6">
        <f>(L339-M339)*(W339+X339)+($W$184+$X$184-$W$339-$X$339)*(L339)</f>
        <v>183321.79698000004</v>
      </c>
      <c r="AD339" s="6">
        <f t="shared" si="17"/>
        <v>0</v>
      </c>
      <c r="AE339" s="6">
        <f ca="1">(L339-M339)*(Z339+AA339)+($Z$184+$AA$184-$Z$339-$AA$339)*(L339)</f>
        <v>98314.637736530538</v>
      </c>
      <c r="AF339" s="4" t="s">
        <v>563</v>
      </c>
    </row>
    <row r="340" spans="1:32" ht="11.25" customHeight="1" x14ac:dyDescent="0.25">
      <c r="A340" s="4" t="s">
        <v>27</v>
      </c>
      <c r="B340" s="4" t="s">
        <v>40</v>
      </c>
      <c r="C340" s="4" t="s">
        <v>23</v>
      </c>
      <c r="D340" s="4" t="s">
        <v>41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44593</v>
      </c>
      <c r="J340" s="6">
        <v>0</v>
      </c>
      <c r="K340" s="6">
        <v>0</v>
      </c>
      <c r="L340" s="6">
        <v>-0.88700000000000001</v>
      </c>
      <c r="M340" s="6">
        <v>-0.88700000000000001</v>
      </c>
      <c r="N340" s="6">
        <v>-0.88700000000000001</v>
      </c>
      <c r="O340" s="6">
        <v>-0.88700000000000001</v>
      </c>
      <c r="P340" s="6">
        <v>0</v>
      </c>
      <c r="Q340" s="4" t="s">
        <v>26</v>
      </c>
      <c r="R340" s="4">
        <v>0</v>
      </c>
      <c r="S340" s="4">
        <v>0</v>
      </c>
      <c r="T340" s="4">
        <v>60</v>
      </c>
      <c r="U340" s="4">
        <v>16</v>
      </c>
      <c r="V340" s="6">
        <f>IF(ISERROR(VLOOKUP($S$340,'TAR FIN'!$A$1:$O$85,15,0)),0,VLOOKUP($S$340,'TAR FIN'!$A$1:$O$85,15,0))</f>
        <v>0</v>
      </c>
      <c r="W340" s="6">
        <f>IF(ISERROR(VLOOKUP($T$340,'TAR FIN'!$A$1:$O$85,15,0)),0,VLOOKUP($T$340,'TAR FIN'!$A$1:$O$85,15,0))</f>
        <v>387.29</v>
      </c>
      <c r="X340" s="6">
        <f>IF(ISERROR(VLOOKUP($U$340,'TAR FIN'!$A$1:$O$85,15,0)),0,VLOOKUP($U$340,'TAR FIN'!$A$1:$O$85,15,0))</f>
        <v>196.87</v>
      </c>
      <c r="Y340" s="6"/>
      <c r="Z340" s="6">
        <f ca="1">('TUSD BE'!$AM$33+'TUSD BF'!$AM$33+'TUSD CVA'!$AM$33)*(1-CUSTOS!$M$38)</f>
        <v>464.7286080745173</v>
      </c>
      <c r="AA340" s="6">
        <f>('TE BE'!$AA$23+'TE BF'!$AA$23+'TE CVA'!$AA$23)*(1-CUSTOS!$M$38)</f>
        <v>204.57163525385519</v>
      </c>
      <c r="AB340" s="6">
        <f t="shared" si="16"/>
        <v>0</v>
      </c>
      <c r="AC340" s="6">
        <f>(L340-M340)*(W340+X340)+($W$184+$X$184-$W$340-$X$340)*(L340)</f>
        <v>-70.658420000000021</v>
      </c>
      <c r="AD340" s="6">
        <f t="shared" si="17"/>
        <v>0</v>
      </c>
      <c r="AE340" s="6">
        <f ca="1">(L340-M340)*(Z340+AA340)+($Z$184+$AA$184-$Z$340-$AA$340)*(L340)</f>
        <v>-37.89378611695313</v>
      </c>
      <c r="AF340" s="4" t="s">
        <v>563</v>
      </c>
    </row>
    <row r="341" spans="1:32" ht="11.25" customHeight="1" x14ac:dyDescent="0.25">
      <c r="A341" s="4" t="s">
        <v>28</v>
      </c>
      <c r="B341" s="4" t="s">
        <v>40</v>
      </c>
      <c r="C341" s="4" t="s">
        <v>23</v>
      </c>
      <c r="D341" s="4" t="s">
        <v>41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44593</v>
      </c>
      <c r="J341" s="6">
        <v>0</v>
      </c>
      <c r="K341" s="6">
        <v>0</v>
      </c>
      <c r="L341" s="6">
        <v>86.263999999999996</v>
      </c>
      <c r="M341" s="6">
        <v>86.263999999999996</v>
      </c>
      <c r="N341" s="6">
        <v>86.263999999999996</v>
      </c>
      <c r="O341" s="6">
        <v>86.263999999999996</v>
      </c>
      <c r="P341" s="6">
        <v>29</v>
      </c>
      <c r="Q341" s="4" t="s">
        <v>26</v>
      </c>
      <c r="R341" s="4">
        <v>0</v>
      </c>
      <c r="S341" s="4">
        <v>0</v>
      </c>
      <c r="T341" s="4">
        <v>60</v>
      </c>
      <c r="U341" s="4">
        <v>16</v>
      </c>
      <c r="V341" s="6">
        <f>IF(ISERROR(VLOOKUP($S$341,'TAR FIN'!$A$1:$O$85,15,0)),0,VLOOKUP($S$341,'TAR FIN'!$A$1:$O$85,15,0))</f>
        <v>0</v>
      </c>
      <c r="W341" s="6">
        <f>IF(ISERROR(VLOOKUP($T$341,'TAR FIN'!$A$1:$O$85,15,0)),0,VLOOKUP($T$341,'TAR FIN'!$A$1:$O$85,15,0))</f>
        <v>387.29</v>
      </c>
      <c r="X341" s="6">
        <f>IF(ISERROR(VLOOKUP($U$341,'TAR FIN'!$A$1:$O$85,15,0)),0,VLOOKUP($U$341,'TAR FIN'!$A$1:$O$85,15,0))</f>
        <v>196.87</v>
      </c>
      <c r="Y341" s="6"/>
      <c r="Z341" s="6">
        <f ca="1">('TUSD BE'!$AM$33+'TUSD BF'!$AM$33+'TUSD CVA'!$AM$33)*(1-CUSTOS!$M$38)</f>
        <v>464.7286080745173</v>
      </c>
      <c r="AA341" s="6">
        <f>('TE BE'!$AA$23+'TE BF'!$AA$23+'TE CVA'!$AA$23)*(1-CUSTOS!$M$38)</f>
        <v>204.57163525385519</v>
      </c>
      <c r="AB341" s="6">
        <f t="shared" si="16"/>
        <v>0</v>
      </c>
      <c r="AC341" s="6">
        <f>(L341-M341)*(W341+X341)+($W$184+$X$184-$W$341-$X$341)*(L341)</f>
        <v>6871.7902400000021</v>
      </c>
      <c r="AD341" s="6">
        <f t="shared" si="17"/>
        <v>0</v>
      </c>
      <c r="AE341" s="6">
        <f ca="1">(L341-M341)*(Z341+AA341)+($Z$184+$AA$184-$Z$341-$AA$341)*(L341)</f>
        <v>3685.3095440731058</v>
      </c>
      <c r="AF341" s="4" t="s">
        <v>563</v>
      </c>
    </row>
    <row r="342" spans="1:32" ht="11.25" customHeight="1" x14ac:dyDescent="0.25">
      <c r="A342" s="4" t="s">
        <v>54</v>
      </c>
      <c r="B342" s="4" t="s">
        <v>40</v>
      </c>
      <c r="C342" s="4" t="s">
        <v>23</v>
      </c>
      <c r="D342" s="4" t="s">
        <v>41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44621</v>
      </c>
      <c r="J342" s="6">
        <v>0</v>
      </c>
      <c r="K342" s="6">
        <v>0</v>
      </c>
      <c r="L342" s="6">
        <v>2301.3029999999999</v>
      </c>
      <c r="M342" s="6">
        <v>2301.3029999999999</v>
      </c>
      <c r="N342" s="6">
        <v>2301.3029999999999</v>
      </c>
      <c r="O342" s="6">
        <v>2301.3029999999999</v>
      </c>
      <c r="P342" s="6">
        <v>2085</v>
      </c>
      <c r="Q342" s="4" t="s">
        <v>26</v>
      </c>
      <c r="R342" s="4">
        <v>0</v>
      </c>
      <c r="S342" s="4">
        <v>0</v>
      </c>
      <c r="T342" s="4">
        <v>60</v>
      </c>
      <c r="U342" s="4">
        <v>16</v>
      </c>
      <c r="V342" s="6">
        <f>IF(ISERROR(VLOOKUP($S$342,'TAR FIN'!$A$1:$O$85,15,0)),0,VLOOKUP($S$342,'TAR FIN'!$A$1:$O$85,15,0))</f>
        <v>0</v>
      </c>
      <c r="W342" s="6">
        <f>IF(ISERROR(VLOOKUP($T$342,'TAR FIN'!$A$1:$O$85,15,0)),0,VLOOKUP($T$342,'TAR FIN'!$A$1:$O$85,15,0))</f>
        <v>387.29</v>
      </c>
      <c r="X342" s="6">
        <f>IF(ISERROR(VLOOKUP($U$342,'TAR FIN'!$A$1:$O$85,15,0)),0,VLOOKUP($U$342,'TAR FIN'!$A$1:$O$85,15,0))</f>
        <v>196.87</v>
      </c>
      <c r="Y342" s="6"/>
      <c r="Z342" s="6">
        <f ca="1">('TUSD BE'!$AM$33+'TUSD BF'!$AM$33+'TUSD CVA'!$AM$33)*(1-CUSTOS!$M$38)</f>
        <v>464.7286080745173</v>
      </c>
      <c r="AA342" s="6">
        <f>('TE BE'!$AA$23+'TE BF'!$AA$23+'TE CVA'!$AA$23)*(1-CUSTOS!$M$38)</f>
        <v>204.57163525385519</v>
      </c>
      <c r="AB342" s="6">
        <f t="shared" si="16"/>
        <v>0</v>
      </c>
      <c r="AC342" s="6">
        <f>(L342-M342)*(W342+X342)+($W$184+$X$184-$W$342-$X$342)*(L342)</f>
        <v>183321.79698000004</v>
      </c>
      <c r="AD342" s="6">
        <f t="shared" si="17"/>
        <v>0</v>
      </c>
      <c r="AE342" s="6">
        <f ca="1">(L342-M342)*(Z342+AA342)+($Z$184+$AA$184-$Z$342-$AA$342)*(L342)</f>
        <v>98314.637736530538</v>
      </c>
      <c r="AF342" s="4" t="s">
        <v>563</v>
      </c>
    </row>
    <row r="343" spans="1:32" ht="11.25" customHeight="1" x14ac:dyDescent="0.25">
      <c r="A343" s="4" t="s">
        <v>54</v>
      </c>
      <c r="B343" s="4" t="s">
        <v>40</v>
      </c>
      <c r="C343" s="4" t="s">
        <v>23</v>
      </c>
      <c r="D343" s="4" t="s">
        <v>41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44621</v>
      </c>
      <c r="J343" s="6">
        <v>0</v>
      </c>
      <c r="K343" s="6">
        <v>0</v>
      </c>
      <c r="L343" s="6">
        <v>-0.88700000000000001</v>
      </c>
      <c r="M343" s="6">
        <v>-0.88700000000000001</v>
      </c>
      <c r="N343" s="6">
        <v>-0.88700000000000001</v>
      </c>
      <c r="O343" s="6">
        <v>-0.88700000000000001</v>
      </c>
      <c r="P343" s="6">
        <v>0</v>
      </c>
      <c r="Q343" s="4" t="s">
        <v>26</v>
      </c>
      <c r="R343" s="4">
        <v>0</v>
      </c>
      <c r="S343" s="4">
        <v>0</v>
      </c>
      <c r="T343" s="4">
        <v>60</v>
      </c>
      <c r="U343" s="4">
        <v>16</v>
      </c>
      <c r="V343" s="6">
        <f>IF(ISERROR(VLOOKUP($S$343,'TAR FIN'!$A$1:$O$85,15,0)),0,VLOOKUP($S$343,'TAR FIN'!$A$1:$O$85,15,0))</f>
        <v>0</v>
      </c>
      <c r="W343" s="6">
        <f>IF(ISERROR(VLOOKUP($T$343,'TAR FIN'!$A$1:$O$85,15,0)),0,VLOOKUP($T$343,'TAR FIN'!$A$1:$O$85,15,0))</f>
        <v>387.29</v>
      </c>
      <c r="X343" s="6">
        <f>IF(ISERROR(VLOOKUP($U$343,'TAR FIN'!$A$1:$O$85,15,0)),0,VLOOKUP($U$343,'TAR FIN'!$A$1:$O$85,15,0))</f>
        <v>196.87</v>
      </c>
      <c r="Y343" s="6"/>
      <c r="Z343" s="6">
        <f ca="1">('TUSD BE'!$AM$33+'TUSD BF'!$AM$33+'TUSD CVA'!$AM$33)*(1-CUSTOS!$M$38)</f>
        <v>464.7286080745173</v>
      </c>
      <c r="AA343" s="6">
        <f>('TE BE'!$AA$23+'TE BF'!$AA$23+'TE CVA'!$AA$23)*(1-CUSTOS!$M$38)</f>
        <v>204.57163525385519</v>
      </c>
      <c r="AB343" s="6">
        <f t="shared" si="16"/>
        <v>0</v>
      </c>
      <c r="AC343" s="6">
        <f>(L343-M343)*(W343+X343)+($W$184+$X$184-$W$343-$X$343)*(L343)</f>
        <v>-70.658420000000021</v>
      </c>
      <c r="AD343" s="6">
        <f t="shared" si="17"/>
        <v>0</v>
      </c>
      <c r="AE343" s="6">
        <f ca="1">(L343-M343)*(Z343+AA343)+($Z$184+$AA$184-$Z$343-$AA$343)*(L343)</f>
        <v>-37.89378611695313</v>
      </c>
      <c r="AF343" s="4" t="s">
        <v>563</v>
      </c>
    </row>
    <row r="344" spans="1:32" ht="11.25" customHeight="1" x14ac:dyDescent="0.25">
      <c r="A344" s="4" t="s">
        <v>54</v>
      </c>
      <c r="B344" s="4" t="s">
        <v>40</v>
      </c>
      <c r="C344" s="4" t="s">
        <v>23</v>
      </c>
      <c r="D344" s="4" t="s">
        <v>41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44621</v>
      </c>
      <c r="J344" s="6">
        <v>0</v>
      </c>
      <c r="K344" s="6">
        <v>0</v>
      </c>
      <c r="L344" s="6">
        <v>86.263999999999996</v>
      </c>
      <c r="M344" s="6">
        <v>86.263999999999996</v>
      </c>
      <c r="N344" s="6">
        <v>86.263999999999996</v>
      </c>
      <c r="O344" s="6">
        <v>86.263999999999996</v>
      </c>
      <c r="P344" s="6">
        <v>29</v>
      </c>
      <c r="Q344" s="4" t="s">
        <v>26</v>
      </c>
      <c r="R344" s="4">
        <v>0</v>
      </c>
      <c r="S344" s="4">
        <v>0</v>
      </c>
      <c r="T344" s="4">
        <v>60</v>
      </c>
      <c r="U344" s="4">
        <v>16</v>
      </c>
      <c r="V344" s="6">
        <f>IF(ISERROR(VLOOKUP($S$344,'TAR FIN'!$A$1:$O$85,15,0)),0,VLOOKUP($S$344,'TAR FIN'!$A$1:$O$85,15,0))</f>
        <v>0</v>
      </c>
      <c r="W344" s="6">
        <f>IF(ISERROR(VLOOKUP($T$344,'TAR FIN'!$A$1:$O$85,15,0)),0,VLOOKUP($T$344,'TAR FIN'!$A$1:$O$85,15,0))</f>
        <v>387.29</v>
      </c>
      <c r="X344" s="6">
        <f>IF(ISERROR(VLOOKUP($U$344,'TAR FIN'!$A$1:$O$85,15,0)),0,VLOOKUP($U$344,'TAR FIN'!$A$1:$O$85,15,0))</f>
        <v>196.87</v>
      </c>
      <c r="Y344" s="6"/>
      <c r="Z344" s="6">
        <f ca="1">('TUSD BE'!$AM$33+'TUSD BF'!$AM$33+'TUSD CVA'!$AM$33)*(1-CUSTOS!$M$38)</f>
        <v>464.7286080745173</v>
      </c>
      <c r="AA344" s="6">
        <f>('TE BE'!$AA$23+'TE BF'!$AA$23+'TE CVA'!$AA$23)*(1-CUSTOS!$M$38)</f>
        <v>204.57163525385519</v>
      </c>
      <c r="AB344" s="6">
        <f t="shared" si="16"/>
        <v>0</v>
      </c>
      <c r="AC344" s="6">
        <f>(L344-M344)*(W344+X344)+($W$184+$X$184-$W$344-$X$344)*(L344)</f>
        <v>6871.7902400000021</v>
      </c>
      <c r="AD344" s="6">
        <f t="shared" si="17"/>
        <v>0</v>
      </c>
      <c r="AE344" s="6">
        <f ca="1">(L344-M344)*(Z344+AA344)+($Z$184+$AA$184-$Z$344-$AA$344)*(L344)</f>
        <v>3685.3095440731058</v>
      </c>
      <c r="AF344" s="4" t="s">
        <v>563</v>
      </c>
    </row>
    <row r="345" spans="1:32" ht="11.25" customHeight="1" x14ac:dyDescent="0.25">
      <c r="A345" s="4" t="s">
        <v>21</v>
      </c>
      <c r="B345" s="4" t="s">
        <v>37</v>
      </c>
      <c r="C345" s="4" t="s">
        <v>23</v>
      </c>
      <c r="D345" s="4" t="s">
        <v>48</v>
      </c>
      <c r="E345" s="4" t="s">
        <v>49</v>
      </c>
      <c r="F345" s="4" t="s">
        <v>25</v>
      </c>
      <c r="G345" s="4" t="s">
        <v>25</v>
      </c>
      <c r="H345" s="4" t="s">
        <v>25</v>
      </c>
      <c r="I345" s="5">
        <v>44287</v>
      </c>
      <c r="J345" s="6">
        <v>0</v>
      </c>
      <c r="K345" s="70">
        <v>0</v>
      </c>
      <c r="L345" s="6">
        <v>43.765999999999998</v>
      </c>
      <c r="M345" s="70">
        <v>43.765999999999998</v>
      </c>
      <c r="N345" s="6">
        <v>43.765999999999998</v>
      </c>
      <c r="O345" s="70">
        <v>43.765999999999998</v>
      </c>
      <c r="P345" s="6">
        <v>17</v>
      </c>
      <c r="Q345" s="4" t="s">
        <v>26</v>
      </c>
      <c r="R345" s="4">
        <v>0</v>
      </c>
      <c r="S345" s="4">
        <v>0</v>
      </c>
      <c r="T345" s="4">
        <v>2</v>
      </c>
      <c r="U345" s="4">
        <v>26</v>
      </c>
      <c r="V345" s="70">
        <f>IF(ISERROR(VLOOKUP($S$345,'TAR FIN'!$A$1:$O$85,15,0)),0,VLOOKUP($S$345,'TAR FIN'!$A$1:$O$85,15,0))</f>
        <v>0</v>
      </c>
      <c r="W345" s="70">
        <f>IF(ISERROR(VLOOKUP($T$345,'TAR FIN'!$A$1:$O$85,15,0)),0,VLOOKUP($T$345,'TAR FIN'!$A$1:$O$85,15,0))*(1-0.06)</f>
        <v>413.69400000000002</v>
      </c>
      <c r="X345" s="70">
        <f>IF(ISERROR(VLOOKUP($U$345,'TAR FIN'!$A$1:$O$85,15,0)),0,VLOOKUP($U$345,'TAR FIN'!$A$1:$O$85,15,0))*(1-0.06)</f>
        <v>210.29679999999999</v>
      </c>
      <c r="Y345" s="70"/>
      <c r="Z345" s="70">
        <f ca="1">('TUSD BE'!$AM$48+'TUSD BF'!$AM$48+'TUSD CVA'!$AM$48)*1*(1-0.03)</f>
        <v>479.5603721620019</v>
      </c>
      <c r="AA345" s="70">
        <f>('TE BE'!$AA$38+'TE BF'!$AA$38+'TE CVA'!$AA$38)*1*(1-0.03)</f>
        <v>211.10051723004204</v>
      </c>
      <c r="AB345" s="70">
        <f>(SUBSIDIO!$J$345*SUBSIDIO!$V$345)*(0.06)/(1-0.06)</f>
        <v>0</v>
      </c>
      <c r="AC345" s="70">
        <f>((SUBSIDIO!$L$345*SUBSIDIO!$W$345)+(SUBSIDIO!$N$345*SUBSIDIO!$X$345))*(0.06)/(1-0.06)</f>
        <v>1743.1647671999999</v>
      </c>
      <c r="AD345" s="70">
        <f>(SUBSIDIO!$J$345*SUBSIDIO!$Y$345)*(0.03)/(1-0.03)</f>
        <v>0</v>
      </c>
      <c r="AE345" s="70">
        <f ca="1">((SUBSIDIO!$L$345*SUBSIDIO!$Z$345)+(SUBSIDIO!$N$345*SUBSIDIO!$AA$345))*(0.03)/(1-0.03)</f>
        <v>934.8700356226451</v>
      </c>
      <c r="AF345" s="4" t="s">
        <v>565</v>
      </c>
    </row>
    <row r="346" spans="1:32" ht="11.25" customHeight="1" x14ac:dyDescent="0.25">
      <c r="A346" s="4" t="s">
        <v>21</v>
      </c>
      <c r="B346" s="4" t="s">
        <v>37</v>
      </c>
      <c r="C346" s="4" t="s">
        <v>23</v>
      </c>
      <c r="D346" s="4" t="s">
        <v>48</v>
      </c>
      <c r="E346" s="4" t="s">
        <v>49</v>
      </c>
      <c r="F346" s="4" t="s">
        <v>25</v>
      </c>
      <c r="G346" s="4" t="s">
        <v>25</v>
      </c>
      <c r="H346" s="4" t="s">
        <v>25</v>
      </c>
      <c r="I346" s="5">
        <v>44317</v>
      </c>
      <c r="J346" s="6">
        <v>0</v>
      </c>
      <c r="K346" s="70">
        <v>0</v>
      </c>
      <c r="L346" s="6">
        <v>44.619</v>
      </c>
      <c r="M346" s="70">
        <v>44.619</v>
      </c>
      <c r="N346" s="6">
        <v>44.619</v>
      </c>
      <c r="O346" s="70">
        <v>44.619</v>
      </c>
      <c r="P346" s="6">
        <v>17</v>
      </c>
      <c r="Q346" s="4" t="s">
        <v>26</v>
      </c>
      <c r="R346" s="4">
        <v>0</v>
      </c>
      <c r="S346" s="4">
        <v>0</v>
      </c>
      <c r="T346" s="4">
        <v>2</v>
      </c>
      <c r="U346" s="4">
        <v>26</v>
      </c>
      <c r="V346" s="70">
        <f>IF(ISERROR(VLOOKUP($S$346,'TAR FIN'!$A$1:$O$85,15,0)),0,VLOOKUP($S$346,'TAR FIN'!$A$1:$O$85,15,0))</f>
        <v>0</v>
      </c>
      <c r="W346" s="70">
        <f>IF(ISERROR(VLOOKUP($T$346,'TAR FIN'!$A$1:$O$85,15,0)),0,VLOOKUP($T$346,'TAR FIN'!$A$1:$O$85,15,0))*(1-0.06)</f>
        <v>413.69400000000002</v>
      </c>
      <c r="X346" s="70">
        <f>IF(ISERROR(VLOOKUP($U$346,'TAR FIN'!$A$1:$O$85,15,0)),0,VLOOKUP($U$346,'TAR FIN'!$A$1:$O$85,15,0))*(1-0.06)</f>
        <v>210.29679999999999</v>
      </c>
      <c r="Y346" s="70"/>
      <c r="Z346" s="70">
        <f ca="1">('TUSD BE'!$AM$48+'TUSD BF'!$AM$48+'TUSD CVA'!$AM$48)*1*(1-0.03)</f>
        <v>479.5603721620019</v>
      </c>
      <c r="AA346" s="70">
        <f>('TE BE'!$AA$38+'TE BF'!$AA$38+'TE CVA'!$AA$38)*1*(1-0.03)</f>
        <v>211.10051723004204</v>
      </c>
      <c r="AB346" s="70">
        <f>(SUBSIDIO!$J$346*SUBSIDIO!$V$346)*(0.06)/(1-0.06)</f>
        <v>0</v>
      </c>
      <c r="AC346" s="70">
        <f>((SUBSIDIO!$L$346*SUBSIDIO!$W$346)+(SUBSIDIO!$N$346*SUBSIDIO!$X$346))*(0.06)/(1-0.06)</f>
        <v>1777.1390747999999</v>
      </c>
      <c r="AD346" s="70">
        <f>(SUBSIDIO!$J$346*SUBSIDIO!$Y$346)*(0.03)/(1-0.03)</f>
        <v>0</v>
      </c>
      <c r="AE346" s="70">
        <f ca="1">((SUBSIDIO!$L$346*SUBSIDIO!$Z$346)+(SUBSIDIO!$N$346*SUBSIDIO!$AA$346))*(0.03)/(1-0.03)</f>
        <v>953.09066671495691</v>
      </c>
      <c r="AF346" s="4" t="s">
        <v>565</v>
      </c>
    </row>
    <row r="347" spans="1:32" ht="11.25" customHeight="1" x14ac:dyDescent="0.25">
      <c r="A347" s="4" t="s">
        <v>21</v>
      </c>
      <c r="B347" s="4" t="s">
        <v>37</v>
      </c>
      <c r="C347" s="4" t="s">
        <v>23</v>
      </c>
      <c r="D347" s="4" t="s">
        <v>48</v>
      </c>
      <c r="E347" s="4" t="s">
        <v>49</v>
      </c>
      <c r="F347" s="4" t="s">
        <v>25</v>
      </c>
      <c r="G347" s="4" t="s">
        <v>25</v>
      </c>
      <c r="H347" s="4" t="s">
        <v>25</v>
      </c>
      <c r="I347" s="5">
        <v>44348</v>
      </c>
      <c r="J347" s="6">
        <v>0</v>
      </c>
      <c r="K347" s="70">
        <v>0</v>
      </c>
      <c r="L347" s="6">
        <v>47.972000000000001</v>
      </c>
      <c r="M347" s="70">
        <v>47.972000000000001</v>
      </c>
      <c r="N347" s="6">
        <v>47.972000000000001</v>
      </c>
      <c r="O347" s="70">
        <v>47.972000000000001</v>
      </c>
      <c r="P347" s="6">
        <v>17</v>
      </c>
      <c r="Q347" s="4" t="s">
        <v>26</v>
      </c>
      <c r="R347" s="4">
        <v>0</v>
      </c>
      <c r="S347" s="4">
        <v>0</v>
      </c>
      <c r="T347" s="4">
        <v>2</v>
      </c>
      <c r="U347" s="4">
        <v>26</v>
      </c>
      <c r="V347" s="70">
        <f>IF(ISERROR(VLOOKUP($S$347,'TAR FIN'!$A$1:$O$85,15,0)),0,VLOOKUP($S$347,'TAR FIN'!$A$1:$O$85,15,0))</f>
        <v>0</v>
      </c>
      <c r="W347" s="70">
        <f>IF(ISERROR(VLOOKUP($T$347,'TAR FIN'!$A$1:$O$85,15,0)),0,VLOOKUP($T$347,'TAR FIN'!$A$1:$O$85,15,0))*(1-0.06)</f>
        <v>413.69400000000002</v>
      </c>
      <c r="X347" s="70">
        <f>IF(ISERROR(VLOOKUP($U$347,'TAR FIN'!$A$1:$O$85,15,0)),0,VLOOKUP($U$347,'TAR FIN'!$A$1:$O$85,15,0))*(1-0.06)</f>
        <v>210.29679999999999</v>
      </c>
      <c r="Y347" s="70"/>
      <c r="Z347" s="70">
        <f ca="1">('TUSD BE'!$AM$48+'TUSD BF'!$AM$48+'TUSD CVA'!$AM$48)*1*(1-0.03)</f>
        <v>479.5603721620019</v>
      </c>
      <c r="AA347" s="70">
        <f>('TE BE'!$AA$38+'TE BF'!$AA$38+'TE CVA'!$AA$38)*1*(1-0.03)</f>
        <v>211.10051723004204</v>
      </c>
      <c r="AB347" s="70">
        <f>(SUBSIDIO!$J$347*SUBSIDIO!$V$347)*(0.06)/(1-0.06)</f>
        <v>0</v>
      </c>
      <c r="AC347" s="70">
        <f>((SUBSIDIO!$L$347*SUBSIDIO!$W$347)+(SUBSIDIO!$N$347*SUBSIDIO!$X$347))*(0.06)/(1-0.06)</f>
        <v>1910.6863824000002</v>
      </c>
      <c r="AD347" s="70">
        <f>(SUBSIDIO!$J$347*SUBSIDIO!$Y$347)*(0.03)/(1-0.03)</f>
        <v>0</v>
      </c>
      <c r="AE347" s="70">
        <f ca="1">((SUBSIDIO!$L$347*SUBSIDIO!$Z$347)+(SUBSIDIO!$N$347*SUBSIDIO!$AA$347))*(0.03)/(1-0.03)</f>
        <v>1024.7129129664472</v>
      </c>
      <c r="AF347" s="4" t="s">
        <v>565</v>
      </c>
    </row>
    <row r="348" spans="1:32" ht="11.25" customHeight="1" x14ac:dyDescent="0.25">
      <c r="A348" s="4" t="s">
        <v>21</v>
      </c>
      <c r="B348" s="4" t="s">
        <v>37</v>
      </c>
      <c r="C348" s="4" t="s">
        <v>23</v>
      </c>
      <c r="D348" s="4" t="s">
        <v>48</v>
      </c>
      <c r="E348" s="4" t="s">
        <v>49</v>
      </c>
      <c r="F348" s="4" t="s">
        <v>25</v>
      </c>
      <c r="G348" s="4" t="s">
        <v>25</v>
      </c>
      <c r="H348" s="4" t="s">
        <v>25</v>
      </c>
      <c r="I348" s="5">
        <v>44378</v>
      </c>
      <c r="J348" s="6">
        <v>0</v>
      </c>
      <c r="K348" s="70">
        <v>0</v>
      </c>
      <c r="L348" s="6">
        <v>36.499000000000002</v>
      </c>
      <c r="M348" s="70">
        <v>36.499000000000002</v>
      </c>
      <c r="N348" s="6">
        <v>36.499000000000002</v>
      </c>
      <c r="O348" s="70">
        <v>36.499000000000002</v>
      </c>
      <c r="P348" s="6">
        <v>17</v>
      </c>
      <c r="Q348" s="4" t="s">
        <v>26</v>
      </c>
      <c r="R348" s="4">
        <v>0</v>
      </c>
      <c r="S348" s="4">
        <v>0</v>
      </c>
      <c r="T348" s="4">
        <v>2</v>
      </c>
      <c r="U348" s="4">
        <v>26</v>
      </c>
      <c r="V348" s="70">
        <f>IF(ISERROR(VLOOKUP($S$348,'TAR FIN'!$A$1:$O$85,15,0)),0,VLOOKUP($S$348,'TAR FIN'!$A$1:$O$85,15,0))</f>
        <v>0</v>
      </c>
      <c r="W348" s="70">
        <f>IF(ISERROR(VLOOKUP($T$348,'TAR FIN'!$A$1:$O$85,15,0)),0,VLOOKUP($T$348,'TAR FIN'!$A$1:$O$85,15,0))*(1-0.06)</f>
        <v>413.69400000000002</v>
      </c>
      <c r="X348" s="70">
        <f>IF(ISERROR(VLOOKUP($U$348,'TAR FIN'!$A$1:$O$85,15,0)),0,VLOOKUP($U$348,'TAR FIN'!$A$1:$O$85,15,0))*(1-0.06)</f>
        <v>210.29679999999999</v>
      </c>
      <c r="Y348" s="70"/>
      <c r="Z348" s="70">
        <f ca="1">('TUSD BE'!$AM$48+'TUSD BF'!$AM$48+'TUSD CVA'!$AM$48)*1*(1-0.03)</f>
        <v>479.5603721620019</v>
      </c>
      <c r="AA348" s="70">
        <f>('TE BE'!$AA$38+'TE BF'!$AA$38+'TE CVA'!$AA$38)*1*(1-0.03)</f>
        <v>211.10051723004204</v>
      </c>
      <c r="AB348" s="70">
        <f>(SUBSIDIO!$J$348*SUBSIDIO!$V$348)*(0.06)/(1-0.06)</f>
        <v>0</v>
      </c>
      <c r="AC348" s="70">
        <f>((SUBSIDIO!$L$348*SUBSIDIO!$W$348)+(SUBSIDIO!$N$348*SUBSIDIO!$X$348))*(0.06)/(1-0.06)</f>
        <v>1453.7259707999999</v>
      </c>
      <c r="AD348" s="70">
        <f>(SUBSIDIO!$J$348*SUBSIDIO!$Y$348)*(0.03)/(1-0.03)</f>
        <v>0</v>
      </c>
      <c r="AE348" s="70">
        <f ca="1">((SUBSIDIO!$L$348*SUBSIDIO!$Z$348)+(SUBSIDIO!$N$348*SUBSIDIO!$AA$348))*(0.03)/(1-0.03)</f>
        <v>779.64222067794469</v>
      </c>
      <c r="AF348" s="4" t="s">
        <v>565</v>
      </c>
    </row>
    <row r="349" spans="1:32" ht="11.25" customHeight="1" x14ac:dyDescent="0.25">
      <c r="A349" s="4" t="s">
        <v>21</v>
      </c>
      <c r="B349" s="4" t="s">
        <v>37</v>
      </c>
      <c r="C349" s="4" t="s">
        <v>23</v>
      </c>
      <c r="D349" s="4" t="s">
        <v>48</v>
      </c>
      <c r="E349" s="4" t="s">
        <v>49</v>
      </c>
      <c r="F349" s="4" t="s">
        <v>25</v>
      </c>
      <c r="G349" s="4" t="s">
        <v>25</v>
      </c>
      <c r="H349" s="4" t="s">
        <v>25</v>
      </c>
      <c r="I349" s="5">
        <v>44409</v>
      </c>
      <c r="J349" s="6">
        <v>0</v>
      </c>
      <c r="K349" s="70">
        <v>0</v>
      </c>
      <c r="L349" s="6">
        <v>41.853999999999999</v>
      </c>
      <c r="M349" s="70">
        <v>41.853999999999999</v>
      </c>
      <c r="N349" s="6">
        <v>41.853999999999999</v>
      </c>
      <c r="O349" s="70">
        <v>41.853999999999999</v>
      </c>
      <c r="P349" s="6">
        <v>18</v>
      </c>
      <c r="Q349" s="4" t="s">
        <v>26</v>
      </c>
      <c r="R349" s="4">
        <v>0</v>
      </c>
      <c r="S349" s="4">
        <v>0</v>
      </c>
      <c r="T349" s="4">
        <v>2</v>
      </c>
      <c r="U349" s="4">
        <v>26</v>
      </c>
      <c r="V349" s="70">
        <f>IF(ISERROR(VLOOKUP($S$349,'TAR FIN'!$A$1:$O$85,15,0)),0,VLOOKUP($S$349,'TAR FIN'!$A$1:$O$85,15,0))</f>
        <v>0</v>
      </c>
      <c r="W349" s="70">
        <f>IF(ISERROR(VLOOKUP($T$349,'TAR FIN'!$A$1:$O$85,15,0)),0,VLOOKUP($T$349,'TAR FIN'!$A$1:$O$85,15,0))*(1-0.06)</f>
        <v>413.69400000000002</v>
      </c>
      <c r="X349" s="70">
        <f>IF(ISERROR(VLOOKUP($U$349,'TAR FIN'!$A$1:$O$85,15,0)),0,VLOOKUP($U$349,'TAR FIN'!$A$1:$O$85,15,0))*(1-0.06)</f>
        <v>210.29679999999999</v>
      </c>
      <c r="Y349" s="70"/>
      <c r="Z349" s="70">
        <f ca="1">('TUSD BE'!$AM$48+'TUSD BF'!$AM$48+'TUSD CVA'!$AM$48)*1*(1-0.03)</f>
        <v>479.5603721620019</v>
      </c>
      <c r="AA349" s="70">
        <f>('TE BE'!$AA$38+'TE BF'!$AA$38+'TE CVA'!$AA$38)*1*(1-0.03)</f>
        <v>211.10051723004204</v>
      </c>
      <c r="AB349" s="70">
        <f>(SUBSIDIO!$J$349*SUBSIDIO!$V$349)*(0.06)/(1-0.06)</f>
        <v>0</v>
      </c>
      <c r="AC349" s="70">
        <f>((SUBSIDIO!$L$349*SUBSIDIO!$W$349)+(SUBSIDIO!$N$349*SUBSIDIO!$X$349))*(0.06)/(1-0.06)</f>
        <v>1667.0113368</v>
      </c>
      <c r="AD349" s="70">
        <f>(SUBSIDIO!$J$349*SUBSIDIO!$Y$349)*(0.03)/(1-0.03)</f>
        <v>0</v>
      </c>
      <c r="AE349" s="70">
        <f ca="1">((SUBSIDIO!$L$349*SUBSIDIO!$Z$349)+(SUBSIDIO!$N$349*SUBSIDIO!$AA$349))*(0.03)/(1-0.03)</f>
        <v>894.0284803489053</v>
      </c>
      <c r="AF349" s="4" t="s">
        <v>565</v>
      </c>
    </row>
    <row r="350" spans="1:32" ht="11.25" customHeight="1" x14ac:dyDescent="0.25">
      <c r="A350" s="4" t="s">
        <v>21</v>
      </c>
      <c r="B350" s="4" t="s">
        <v>37</v>
      </c>
      <c r="C350" s="4" t="s">
        <v>23</v>
      </c>
      <c r="D350" s="4" t="s">
        <v>48</v>
      </c>
      <c r="E350" s="4" t="s">
        <v>49</v>
      </c>
      <c r="F350" s="4" t="s">
        <v>25</v>
      </c>
      <c r="G350" s="4" t="s">
        <v>25</v>
      </c>
      <c r="H350" s="4" t="s">
        <v>25</v>
      </c>
      <c r="I350" s="5">
        <v>44440</v>
      </c>
      <c r="J350" s="6">
        <v>0</v>
      </c>
      <c r="K350" s="70">
        <v>0</v>
      </c>
      <c r="L350" s="6">
        <v>44.115000000000002</v>
      </c>
      <c r="M350" s="70">
        <v>44.115000000000002</v>
      </c>
      <c r="N350" s="6">
        <v>44.115000000000002</v>
      </c>
      <c r="O350" s="70">
        <v>44.115000000000002</v>
      </c>
      <c r="P350" s="6">
        <v>18</v>
      </c>
      <c r="Q350" s="4" t="s">
        <v>26</v>
      </c>
      <c r="R350" s="4">
        <v>0</v>
      </c>
      <c r="S350" s="4">
        <v>0</v>
      </c>
      <c r="T350" s="4">
        <v>2</v>
      </c>
      <c r="U350" s="4">
        <v>26</v>
      </c>
      <c r="V350" s="70">
        <f>IF(ISERROR(VLOOKUP($S$350,'TAR FIN'!$A$1:$O$85,15,0)),0,VLOOKUP($S$350,'TAR FIN'!$A$1:$O$85,15,0))</f>
        <v>0</v>
      </c>
      <c r="W350" s="70">
        <f>IF(ISERROR(VLOOKUP($T$350,'TAR FIN'!$A$1:$O$85,15,0)),0,VLOOKUP($T$350,'TAR FIN'!$A$1:$O$85,15,0))*(1-0.06)</f>
        <v>413.69400000000002</v>
      </c>
      <c r="X350" s="70">
        <f>IF(ISERROR(VLOOKUP($U$350,'TAR FIN'!$A$1:$O$85,15,0)),0,VLOOKUP($U$350,'TAR FIN'!$A$1:$O$85,15,0))*(1-0.06)</f>
        <v>210.29679999999999</v>
      </c>
      <c r="Y350" s="70"/>
      <c r="Z350" s="70">
        <f ca="1">('TUSD BE'!$AM$48+'TUSD BF'!$AM$48+'TUSD CVA'!$AM$48)*1*(1-0.03)</f>
        <v>479.5603721620019</v>
      </c>
      <c r="AA350" s="70">
        <f>('TE BE'!$AA$38+'TE BF'!$AA$38+'TE CVA'!$AA$38)*1*(1-0.03)</f>
        <v>211.10051723004204</v>
      </c>
      <c r="AB350" s="70">
        <f>(SUBSIDIO!$J$350*SUBSIDIO!$V$350)*(0.06)/(1-0.06)</f>
        <v>0</v>
      </c>
      <c r="AC350" s="70">
        <f>((SUBSIDIO!$L$350*SUBSIDIO!$W$350)+(SUBSIDIO!$N$350*SUBSIDIO!$X$350))*(0.06)/(1-0.06)</f>
        <v>1757.0651580000001</v>
      </c>
      <c r="AD350" s="70">
        <f>(SUBSIDIO!$J$350*SUBSIDIO!$Y$350)*(0.03)/(1-0.03)</f>
        <v>0</v>
      </c>
      <c r="AE350" s="70">
        <f ca="1">((SUBSIDIO!$L$350*SUBSIDIO!$Z$350)+(SUBSIDIO!$N$350*SUBSIDIO!$AA$350))*(0.03)/(1-0.03)</f>
        <v>942.32490109886646</v>
      </c>
      <c r="AF350" s="4" t="s">
        <v>565</v>
      </c>
    </row>
    <row r="351" spans="1:32" ht="11.25" customHeight="1" x14ac:dyDescent="0.25">
      <c r="A351" s="4" t="s">
        <v>21</v>
      </c>
      <c r="B351" s="4" t="s">
        <v>37</v>
      </c>
      <c r="C351" s="4" t="s">
        <v>23</v>
      </c>
      <c r="D351" s="4" t="s">
        <v>48</v>
      </c>
      <c r="E351" s="4" t="s">
        <v>49</v>
      </c>
      <c r="F351" s="4" t="s">
        <v>25</v>
      </c>
      <c r="G351" s="4" t="s">
        <v>25</v>
      </c>
      <c r="H351" s="4" t="s">
        <v>25</v>
      </c>
      <c r="I351" s="5">
        <v>44470</v>
      </c>
      <c r="J351" s="6">
        <v>0</v>
      </c>
      <c r="K351" s="70">
        <v>0</v>
      </c>
      <c r="L351" s="6">
        <v>40.51</v>
      </c>
      <c r="M351" s="70">
        <v>40.51</v>
      </c>
      <c r="N351" s="6">
        <v>40.51</v>
      </c>
      <c r="O351" s="70">
        <v>40.51</v>
      </c>
      <c r="P351" s="6">
        <v>18</v>
      </c>
      <c r="Q351" s="4" t="s">
        <v>26</v>
      </c>
      <c r="R351" s="4">
        <v>0</v>
      </c>
      <c r="S351" s="4">
        <v>0</v>
      </c>
      <c r="T351" s="4">
        <v>2</v>
      </c>
      <c r="U351" s="4">
        <v>26</v>
      </c>
      <c r="V351" s="70">
        <f>IF(ISERROR(VLOOKUP($S$351,'TAR FIN'!$A$1:$O$85,15,0)),0,VLOOKUP($S$351,'TAR FIN'!$A$1:$O$85,15,0))</f>
        <v>0</v>
      </c>
      <c r="W351" s="70">
        <f>IF(ISERROR(VLOOKUP($T$351,'TAR FIN'!$A$1:$O$85,15,0)),0,VLOOKUP($T$351,'TAR FIN'!$A$1:$O$85,15,0))*(1-0.06)</f>
        <v>413.69400000000002</v>
      </c>
      <c r="X351" s="70">
        <f>IF(ISERROR(VLOOKUP($U$351,'TAR FIN'!$A$1:$O$85,15,0)),0,VLOOKUP($U$351,'TAR FIN'!$A$1:$O$85,15,0))*(1-0.06)</f>
        <v>210.29679999999999</v>
      </c>
      <c r="Y351" s="70"/>
      <c r="Z351" s="70">
        <f ca="1">('TUSD BE'!$AM$48+'TUSD BF'!$AM$48+'TUSD CVA'!$AM$48)*1*(1-0.03)</f>
        <v>479.5603721620019</v>
      </c>
      <c r="AA351" s="70">
        <f>('TE BE'!$AA$38+'TE BF'!$AA$38+'TE CVA'!$AA$38)*1*(1-0.03)</f>
        <v>211.10051723004204</v>
      </c>
      <c r="AB351" s="70">
        <f>(SUBSIDIO!$J$351*SUBSIDIO!$V$351)*(0.06)/(1-0.06)</f>
        <v>0</v>
      </c>
      <c r="AC351" s="70">
        <f>((SUBSIDIO!$L$351*SUBSIDIO!$W$351)+(SUBSIDIO!$N$351*SUBSIDIO!$X$351))*(0.06)/(1-0.06)</f>
        <v>1613.4808920000003</v>
      </c>
      <c r="AD351" s="70">
        <f>(SUBSIDIO!$J$351*SUBSIDIO!$Y$351)*(0.03)/(1-0.03)</f>
        <v>0</v>
      </c>
      <c r="AE351" s="70">
        <f ca="1">((SUBSIDIO!$L$351*SUBSIDIO!$Z$351)+(SUBSIDIO!$N$351*SUBSIDIO!$AA$351))*(0.03)/(1-0.03)</f>
        <v>865.31977203933081</v>
      </c>
      <c r="AF351" s="4" t="s">
        <v>565</v>
      </c>
    </row>
    <row r="352" spans="1:32" ht="11.25" customHeight="1" x14ac:dyDescent="0.25">
      <c r="A352" s="4" t="s">
        <v>21</v>
      </c>
      <c r="B352" s="4" t="s">
        <v>37</v>
      </c>
      <c r="C352" s="4" t="s">
        <v>23</v>
      </c>
      <c r="D352" s="4" t="s">
        <v>48</v>
      </c>
      <c r="E352" s="4" t="s">
        <v>49</v>
      </c>
      <c r="F352" s="4" t="s">
        <v>25</v>
      </c>
      <c r="G352" s="4" t="s">
        <v>25</v>
      </c>
      <c r="H352" s="4" t="s">
        <v>25</v>
      </c>
      <c r="I352" s="5">
        <v>44501</v>
      </c>
      <c r="J352" s="6">
        <v>0</v>
      </c>
      <c r="K352" s="70">
        <v>0</v>
      </c>
      <c r="L352" s="6">
        <v>65.736999999999995</v>
      </c>
      <c r="M352" s="70">
        <v>65.736999999999995</v>
      </c>
      <c r="N352" s="6">
        <v>65.736999999999995</v>
      </c>
      <c r="O352" s="70">
        <v>65.736999999999995</v>
      </c>
      <c r="P352" s="6">
        <v>18</v>
      </c>
      <c r="Q352" s="4" t="s">
        <v>26</v>
      </c>
      <c r="R352" s="4">
        <v>0</v>
      </c>
      <c r="S352" s="4">
        <v>0</v>
      </c>
      <c r="T352" s="4">
        <v>2</v>
      </c>
      <c r="U352" s="4">
        <v>26</v>
      </c>
      <c r="V352" s="70">
        <f>IF(ISERROR(VLOOKUP($S$352,'TAR FIN'!$A$1:$O$85,15,0)),0,VLOOKUP($S$352,'TAR FIN'!$A$1:$O$85,15,0))</f>
        <v>0</v>
      </c>
      <c r="W352" s="70">
        <f>IF(ISERROR(VLOOKUP($T$352,'TAR FIN'!$A$1:$O$85,15,0)),0,VLOOKUP($T$352,'TAR FIN'!$A$1:$O$85,15,0))*(1-0.06)</f>
        <v>413.69400000000002</v>
      </c>
      <c r="X352" s="70">
        <f>IF(ISERROR(VLOOKUP($U$352,'TAR FIN'!$A$1:$O$85,15,0)),0,VLOOKUP($U$352,'TAR FIN'!$A$1:$O$85,15,0))*(1-0.06)</f>
        <v>210.29679999999999</v>
      </c>
      <c r="Y352" s="70"/>
      <c r="Z352" s="70">
        <f ca="1">('TUSD BE'!$AM$48+'TUSD BF'!$AM$48+'TUSD CVA'!$AM$48)*1*(1-0.03)</f>
        <v>479.5603721620019</v>
      </c>
      <c r="AA352" s="70">
        <f>('TE BE'!$AA$38+'TE BF'!$AA$38+'TE CVA'!$AA$38)*1*(1-0.03)</f>
        <v>211.10051723004204</v>
      </c>
      <c r="AB352" s="70">
        <f>(SUBSIDIO!$J$352*SUBSIDIO!$V$352)*(0.06)/(1-0.06)</f>
        <v>0</v>
      </c>
      <c r="AC352" s="70">
        <f>((SUBSIDIO!$L$352*SUBSIDIO!$W$352)+(SUBSIDIO!$N$352*SUBSIDIO!$X$352))*(0.06)/(1-0.06)</f>
        <v>2618.2521203999995</v>
      </c>
      <c r="AD352" s="70">
        <f>(SUBSIDIO!$J$352*SUBSIDIO!$Y$352)*(0.03)/(1-0.03)</f>
        <v>0</v>
      </c>
      <c r="AE352" s="70">
        <f ca="1">((SUBSIDIO!$L$352*SUBSIDIO!$Z$352)+(SUBSIDIO!$N$352*SUBSIDIO!$AA$352))*(0.03)/(1-0.03)</f>
        <v>1404.1847902875709</v>
      </c>
      <c r="AF352" s="4" t="s">
        <v>565</v>
      </c>
    </row>
    <row r="353" spans="1:32" ht="11.25" customHeight="1" x14ac:dyDescent="0.25">
      <c r="A353" s="4" t="s">
        <v>21</v>
      </c>
      <c r="B353" s="4" t="s">
        <v>37</v>
      </c>
      <c r="C353" s="4" t="s">
        <v>23</v>
      </c>
      <c r="D353" s="4" t="s">
        <v>48</v>
      </c>
      <c r="E353" s="4" t="s">
        <v>49</v>
      </c>
      <c r="F353" s="4" t="s">
        <v>25</v>
      </c>
      <c r="G353" s="4" t="s">
        <v>25</v>
      </c>
      <c r="H353" s="4" t="s">
        <v>25</v>
      </c>
      <c r="I353" s="5">
        <v>44531</v>
      </c>
      <c r="J353" s="6">
        <v>0</v>
      </c>
      <c r="K353" s="70">
        <v>0</v>
      </c>
      <c r="L353" s="6">
        <v>51.005000000000003</v>
      </c>
      <c r="M353" s="70">
        <v>51.005000000000003</v>
      </c>
      <c r="N353" s="6">
        <v>51.005000000000003</v>
      </c>
      <c r="O353" s="70">
        <v>51.005000000000003</v>
      </c>
      <c r="P353" s="6">
        <v>18</v>
      </c>
      <c r="Q353" s="4" t="s">
        <v>26</v>
      </c>
      <c r="R353" s="4">
        <v>0</v>
      </c>
      <c r="S353" s="4">
        <v>0</v>
      </c>
      <c r="T353" s="4">
        <v>2</v>
      </c>
      <c r="U353" s="4">
        <v>26</v>
      </c>
      <c r="V353" s="70">
        <f>IF(ISERROR(VLOOKUP($S$353,'TAR FIN'!$A$1:$O$85,15,0)),0,VLOOKUP($S$353,'TAR FIN'!$A$1:$O$85,15,0))</f>
        <v>0</v>
      </c>
      <c r="W353" s="70">
        <f>IF(ISERROR(VLOOKUP($T$353,'TAR FIN'!$A$1:$O$85,15,0)),0,VLOOKUP($T$353,'TAR FIN'!$A$1:$O$85,15,0))*(1-0.06)</f>
        <v>413.69400000000002</v>
      </c>
      <c r="X353" s="70">
        <f>IF(ISERROR(VLOOKUP($U$353,'TAR FIN'!$A$1:$O$85,15,0)),0,VLOOKUP($U$353,'TAR FIN'!$A$1:$O$85,15,0))*(1-0.06)</f>
        <v>210.29679999999999</v>
      </c>
      <c r="Y353" s="70"/>
      <c r="Z353" s="70">
        <f ca="1">('TUSD BE'!$AM$48+'TUSD BF'!$AM$48+'TUSD CVA'!$AM$48)*1*(1-0.03)</f>
        <v>479.5603721620019</v>
      </c>
      <c r="AA353" s="70">
        <f>('TE BE'!$AA$38+'TE BF'!$AA$38+'TE CVA'!$AA$38)*1*(1-0.03)</f>
        <v>211.10051723004204</v>
      </c>
      <c r="AB353" s="70">
        <f>(SUBSIDIO!$J$353*SUBSIDIO!$V$353)*(0.06)/(1-0.06)</f>
        <v>0</v>
      </c>
      <c r="AC353" s="70">
        <f>((SUBSIDIO!$L$353*SUBSIDIO!$W$353)+(SUBSIDIO!$N$353*SUBSIDIO!$X$353))*(0.06)/(1-0.06)</f>
        <v>2031.4883460000003</v>
      </c>
      <c r="AD353" s="70">
        <f>(SUBSIDIO!$J$353*SUBSIDIO!$Y$353)*(0.03)/(1-0.03)</f>
        <v>0</v>
      </c>
      <c r="AE353" s="70">
        <f ca="1">((SUBSIDIO!$L$353*SUBSIDIO!$Z$353)+(SUBSIDIO!$N$353*SUBSIDIO!$AA$353))*(0.03)/(1-0.03)</f>
        <v>1089.4997524775631</v>
      </c>
      <c r="AF353" s="4" t="s">
        <v>565</v>
      </c>
    </row>
    <row r="354" spans="1:32" ht="11.25" customHeight="1" x14ac:dyDescent="0.25">
      <c r="A354" s="4" t="s">
        <v>21</v>
      </c>
      <c r="B354" s="4" t="s">
        <v>37</v>
      </c>
      <c r="C354" s="4" t="s">
        <v>23</v>
      </c>
      <c r="D354" s="4" t="s">
        <v>48</v>
      </c>
      <c r="E354" s="4" t="s">
        <v>49</v>
      </c>
      <c r="F354" s="4" t="s">
        <v>25</v>
      </c>
      <c r="G354" s="4" t="s">
        <v>25</v>
      </c>
      <c r="H354" s="4" t="s">
        <v>25</v>
      </c>
      <c r="I354" s="5">
        <v>44562</v>
      </c>
      <c r="J354" s="6">
        <v>0</v>
      </c>
      <c r="K354" s="70">
        <v>0</v>
      </c>
      <c r="L354" s="6">
        <v>55.319000000000003</v>
      </c>
      <c r="M354" s="70">
        <v>55.319000000000003</v>
      </c>
      <c r="N354" s="6">
        <v>55.319000000000003</v>
      </c>
      <c r="O354" s="70">
        <v>55.319000000000003</v>
      </c>
      <c r="P354" s="6">
        <v>18</v>
      </c>
      <c r="Q354" s="4" t="s">
        <v>26</v>
      </c>
      <c r="R354" s="4">
        <v>0</v>
      </c>
      <c r="S354" s="4">
        <v>0</v>
      </c>
      <c r="T354" s="4">
        <v>2</v>
      </c>
      <c r="U354" s="4">
        <v>26</v>
      </c>
      <c r="V354" s="70">
        <f>IF(ISERROR(VLOOKUP($S$354,'TAR FIN'!$A$1:$O$85,15,0)),0,VLOOKUP($S$354,'TAR FIN'!$A$1:$O$85,15,0))</f>
        <v>0</v>
      </c>
      <c r="W354" s="70">
        <f>IF(ISERROR(VLOOKUP($T$354,'TAR FIN'!$A$1:$O$85,15,0)),0,VLOOKUP($T$354,'TAR FIN'!$A$1:$O$85,15,0))*(1-0.06)</f>
        <v>413.69400000000002</v>
      </c>
      <c r="X354" s="70">
        <f>IF(ISERROR(VLOOKUP($U$354,'TAR FIN'!$A$1:$O$85,15,0)),0,VLOOKUP($U$354,'TAR FIN'!$A$1:$O$85,15,0))*(1-0.06)</f>
        <v>210.29679999999999</v>
      </c>
      <c r="Y354" s="70"/>
      <c r="Z354" s="70">
        <f ca="1">('TUSD BE'!$AM$48+'TUSD BF'!$AM$48+'TUSD CVA'!$AM$48)*1*(1-0.03)</f>
        <v>479.5603721620019</v>
      </c>
      <c r="AA354" s="70">
        <f>('TE BE'!$AA$38+'TE BF'!$AA$38+'TE CVA'!$AA$38)*1*(1-0.03)</f>
        <v>211.10051723004204</v>
      </c>
      <c r="AB354" s="70">
        <f>(SUBSIDIO!$J$354*SUBSIDIO!$V$354)*(0.06)/(1-0.06)</f>
        <v>0</v>
      </c>
      <c r="AC354" s="70">
        <f>((SUBSIDIO!$L$354*SUBSIDIO!$W$354)+(SUBSIDIO!$N$354*SUBSIDIO!$X$354))*(0.06)/(1-0.06)</f>
        <v>2203.3115148000002</v>
      </c>
      <c r="AD354" s="70">
        <f>(SUBSIDIO!$J$354*SUBSIDIO!$Y$354)*(0.03)/(1-0.03)</f>
        <v>0</v>
      </c>
      <c r="AE354" s="70">
        <f ca="1">((SUBSIDIO!$L$354*SUBSIDIO!$Z$354)+(SUBSIDIO!$N$354*SUBSIDIO!$AA$354))*(0.03)/(1-0.03)</f>
        <v>1181.6495795962417</v>
      </c>
      <c r="AF354" s="4" t="s">
        <v>565</v>
      </c>
    </row>
    <row r="355" spans="1:32" ht="11.25" customHeight="1" x14ac:dyDescent="0.25">
      <c r="A355" s="4" t="s">
        <v>21</v>
      </c>
      <c r="B355" s="4" t="s">
        <v>37</v>
      </c>
      <c r="C355" s="4" t="s">
        <v>23</v>
      </c>
      <c r="D355" s="4" t="s">
        <v>48</v>
      </c>
      <c r="E355" s="4" t="s">
        <v>49</v>
      </c>
      <c r="F355" s="4" t="s">
        <v>25</v>
      </c>
      <c r="G355" s="4" t="s">
        <v>25</v>
      </c>
      <c r="H355" s="4" t="s">
        <v>25</v>
      </c>
      <c r="I355" s="5">
        <v>44593</v>
      </c>
      <c r="J355" s="6">
        <v>0</v>
      </c>
      <c r="K355" s="70">
        <v>0</v>
      </c>
      <c r="L355" s="6">
        <v>61.372999999999998</v>
      </c>
      <c r="M355" s="70">
        <v>61.372999999999998</v>
      </c>
      <c r="N355" s="6">
        <v>61.372999999999998</v>
      </c>
      <c r="O355" s="70">
        <v>61.372999999999998</v>
      </c>
      <c r="P355" s="6">
        <v>18</v>
      </c>
      <c r="Q355" s="4" t="s">
        <v>26</v>
      </c>
      <c r="R355" s="4">
        <v>0</v>
      </c>
      <c r="S355" s="4">
        <v>0</v>
      </c>
      <c r="T355" s="4">
        <v>2</v>
      </c>
      <c r="U355" s="4">
        <v>26</v>
      </c>
      <c r="V355" s="70">
        <f>IF(ISERROR(VLOOKUP($S$355,'TAR FIN'!$A$1:$O$85,15,0)),0,VLOOKUP($S$355,'TAR FIN'!$A$1:$O$85,15,0))</f>
        <v>0</v>
      </c>
      <c r="W355" s="70">
        <f>IF(ISERROR(VLOOKUP($T$355,'TAR FIN'!$A$1:$O$85,15,0)),0,VLOOKUP($T$355,'TAR FIN'!$A$1:$O$85,15,0))*(1-0.06)</f>
        <v>413.69400000000002</v>
      </c>
      <c r="X355" s="70">
        <f>IF(ISERROR(VLOOKUP($U$355,'TAR FIN'!$A$1:$O$85,15,0)),0,VLOOKUP($U$355,'TAR FIN'!$A$1:$O$85,15,0))*(1-0.06)</f>
        <v>210.29679999999999</v>
      </c>
      <c r="Y355" s="70"/>
      <c r="Z355" s="70">
        <f ca="1">('TUSD BE'!$AM$48+'TUSD BF'!$AM$48+'TUSD CVA'!$AM$48)*1*(1-0.03)</f>
        <v>479.5603721620019</v>
      </c>
      <c r="AA355" s="70">
        <f>('TE BE'!$AA$38+'TE BF'!$AA$38+'TE CVA'!$AA$38)*1*(1-0.03)</f>
        <v>211.10051723004204</v>
      </c>
      <c r="AB355" s="70">
        <f>(SUBSIDIO!$J$355*SUBSIDIO!$V$355)*(0.06)/(1-0.06)</f>
        <v>0</v>
      </c>
      <c r="AC355" s="70">
        <f>((SUBSIDIO!$L$355*SUBSIDIO!$W$355)+(SUBSIDIO!$N$355*SUBSIDIO!$X$355))*(0.06)/(1-0.06)</f>
        <v>2444.4374916000002</v>
      </c>
      <c r="AD355" s="70">
        <f>(SUBSIDIO!$J$355*SUBSIDIO!$Y$355)*(0.03)/(1-0.03)</f>
        <v>0</v>
      </c>
      <c r="AE355" s="70">
        <f ca="1">((SUBSIDIO!$L$355*SUBSIDIO!$Z$355)+(SUBSIDIO!$N$355*SUBSIDIO!$AA$355))*(0.03)/(1-0.03)</f>
        <v>1310.9669308657087</v>
      </c>
      <c r="AF355" s="4" t="s">
        <v>565</v>
      </c>
    </row>
    <row r="356" spans="1:32" ht="11.25" customHeight="1" x14ac:dyDescent="0.25">
      <c r="A356" s="4" t="s">
        <v>54</v>
      </c>
      <c r="B356" s="4" t="s">
        <v>37</v>
      </c>
      <c r="C356" s="4" t="s">
        <v>23</v>
      </c>
      <c r="D356" s="4" t="s">
        <v>48</v>
      </c>
      <c r="E356" s="4" t="s">
        <v>49</v>
      </c>
      <c r="F356" s="4" t="s">
        <v>25</v>
      </c>
      <c r="G356" s="4" t="s">
        <v>25</v>
      </c>
      <c r="H356" s="4" t="s">
        <v>25</v>
      </c>
      <c r="I356" s="5">
        <v>44621</v>
      </c>
      <c r="J356" s="6">
        <v>0</v>
      </c>
      <c r="K356" s="70">
        <v>0</v>
      </c>
      <c r="L356" s="6">
        <v>61.372999999999998</v>
      </c>
      <c r="M356" s="70">
        <v>61.372999999999998</v>
      </c>
      <c r="N356" s="6">
        <v>61.372999999999998</v>
      </c>
      <c r="O356" s="70">
        <v>61.372999999999998</v>
      </c>
      <c r="P356" s="6">
        <v>18</v>
      </c>
      <c r="Q356" s="4" t="s">
        <v>26</v>
      </c>
      <c r="R356" s="4">
        <v>0</v>
      </c>
      <c r="S356" s="4">
        <v>0</v>
      </c>
      <c r="T356" s="4">
        <v>2</v>
      </c>
      <c r="U356" s="4">
        <v>26</v>
      </c>
      <c r="V356" s="70">
        <f>IF(ISERROR(VLOOKUP($S$356,'TAR FIN'!$A$1:$O$85,15,0)),0,VLOOKUP($S$356,'TAR FIN'!$A$1:$O$85,15,0))</f>
        <v>0</v>
      </c>
      <c r="W356" s="70">
        <f>IF(ISERROR(VLOOKUP($T$356,'TAR FIN'!$A$1:$O$85,15,0)),0,VLOOKUP($T$356,'TAR FIN'!$A$1:$O$85,15,0))*(1-0.06)</f>
        <v>413.69400000000002</v>
      </c>
      <c r="X356" s="70">
        <f>IF(ISERROR(VLOOKUP($U$356,'TAR FIN'!$A$1:$O$85,15,0)),0,VLOOKUP($U$356,'TAR FIN'!$A$1:$O$85,15,0))*(1-0.06)</f>
        <v>210.29679999999999</v>
      </c>
      <c r="Y356" s="70"/>
      <c r="Z356" s="70">
        <f ca="1">('TUSD BE'!$AM$48+'TUSD BF'!$AM$48+'TUSD CVA'!$AM$48)*1*(1-0.03)</f>
        <v>479.5603721620019</v>
      </c>
      <c r="AA356" s="70">
        <f>('TE BE'!$AA$38+'TE BF'!$AA$38+'TE CVA'!$AA$38)*1*(1-0.03)</f>
        <v>211.10051723004204</v>
      </c>
      <c r="AB356" s="70">
        <f>(SUBSIDIO!$J$356*SUBSIDIO!$V$356)*(0.06)/(1-0.06)</f>
        <v>0</v>
      </c>
      <c r="AC356" s="70">
        <f>((SUBSIDIO!$L$356*SUBSIDIO!$W$356)+(SUBSIDIO!$N$356*SUBSIDIO!$X$356))*(0.06)/(1-0.06)</f>
        <v>2444.4374916000002</v>
      </c>
      <c r="AD356" s="70">
        <f>(SUBSIDIO!$J$356*SUBSIDIO!$Y$356)*(0.03)/(1-0.03)</f>
        <v>0</v>
      </c>
      <c r="AE356" s="70">
        <f ca="1">((SUBSIDIO!$L$356*SUBSIDIO!$Z$356)+(SUBSIDIO!$N$356*SUBSIDIO!$AA$356))*(0.03)/(1-0.03)</f>
        <v>1310.9669308657087</v>
      </c>
      <c r="AF356" s="4" t="s">
        <v>565</v>
      </c>
    </row>
    <row r="357" spans="1:32" ht="11.25" customHeight="1" x14ac:dyDescent="0.25">
      <c r="V357" s="6"/>
      <c r="W357" s="6"/>
      <c r="X357" s="6"/>
      <c r="Y357" s="6"/>
      <c r="Z357" s="6"/>
      <c r="AA357" s="6"/>
      <c r="AB357" s="6"/>
      <c r="AC357" s="6"/>
      <c r="AD357" s="6"/>
      <c r="AE357" s="6"/>
    </row>
    <row r="358" spans="1:32" ht="11.25" customHeight="1" x14ac:dyDescent="0.25">
      <c r="V358" s="6"/>
      <c r="W358" s="6"/>
      <c r="X358" s="6"/>
      <c r="Y358" s="6"/>
      <c r="Z358" s="6"/>
      <c r="AA358" s="6"/>
      <c r="AB358" s="6"/>
      <c r="AC358" s="6"/>
      <c r="AD358" s="6"/>
      <c r="AE358" s="6"/>
    </row>
    <row r="359" spans="1:32" ht="11.25" customHeight="1" x14ac:dyDescent="0.25">
      <c r="V359" s="6"/>
      <c r="W359" s="6"/>
      <c r="X359" s="6"/>
      <c r="Y359" s="6"/>
      <c r="Z359" s="6"/>
      <c r="AA359" s="6"/>
      <c r="AB359" s="6"/>
      <c r="AC359" s="6"/>
      <c r="AD359" s="6"/>
      <c r="AE359" s="6"/>
    </row>
    <row r="360" spans="1:32" ht="11.25" customHeight="1" x14ac:dyDescent="0.25">
      <c r="V360" s="6"/>
      <c r="W360" s="6"/>
      <c r="X360" s="6"/>
      <c r="Y360" s="6"/>
      <c r="Z360" s="6"/>
      <c r="AA360" s="6"/>
      <c r="AB360" s="6"/>
      <c r="AC360" s="6"/>
      <c r="AD360" s="6"/>
      <c r="AE360" s="6"/>
    </row>
    <row r="361" spans="1:32" ht="11.25" customHeight="1" x14ac:dyDescent="0.25">
      <c r="V361" s="6"/>
      <c r="W361" s="6"/>
      <c r="X361" s="6"/>
      <c r="Y361" s="6"/>
      <c r="Z361" s="6"/>
      <c r="AA361" s="6"/>
      <c r="AB361" s="6"/>
      <c r="AC361" s="6"/>
      <c r="AD361" s="6"/>
      <c r="AE361" s="6"/>
    </row>
    <row r="362" spans="1:32" ht="11.25" customHeight="1" x14ac:dyDescent="0.25">
      <c r="V362" s="6"/>
      <c r="W362" s="6"/>
      <c r="X362" s="6"/>
      <c r="Y362" s="6"/>
      <c r="Z362" s="6"/>
      <c r="AA362" s="6"/>
      <c r="AB362" s="6"/>
      <c r="AC362" s="6"/>
      <c r="AD362" s="6"/>
      <c r="AE362" s="6"/>
    </row>
    <row r="363" spans="1:32" ht="11.25" customHeight="1" x14ac:dyDescent="0.25">
      <c r="V363" s="6"/>
      <c r="W363" s="6"/>
      <c r="X363" s="6"/>
      <c r="Y363" s="6"/>
      <c r="Z363" s="6"/>
      <c r="AA363" s="6"/>
      <c r="AB363" s="6"/>
      <c r="AC363" s="6"/>
      <c r="AD363" s="6"/>
      <c r="AE363" s="6"/>
    </row>
    <row r="364" spans="1:32" ht="11.25" customHeight="1" x14ac:dyDescent="0.25">
      <c r="V364" s="6"/>
      <c r="W364" s="6"/>
      <c r="X364" s="6"/>
      <c r="Y364" s="6"/>
      <c r="Z364" s="6"/>
      <c r="AA364" s="6"/>
      <c r="AB364" s="6"/>
      <c r="AC364" s="6"/>
      <c r="AD364" s="6"/>
      <c r="AE364" s="6"/>
    </row>
    <row r="365" spans="1:32" ht="11.25" customHeight="1" x14ac:dyDescent="0.25">
      <c r="V365" s="6"/>
      <c r="W365" s="6"/>
      <c r="X365" s="6"/>
      <c r="Y365" s="6"/>
      <c r="Z365" s="6"/>
      <c r="AA365" s="6"/>
      <c r="AB365" s="6"/>
      <c r="AC365" s="6"/>
      <c r="AD365" s="6"/>
      <c r="AE365" s="6"/>
    </row>
    <row r="366" spans="1:32" ht="11.25" customHeight="1" x14ac:dyDescent="0.25">
      <c r="V366" s="6"/>
      <c r="W366" s="6"/>
      <c r="X366" s="6"/>
      <c r="Y366" s="6"/>
      <c r="Z366" s="6"/>
      <c r="AA366" s="6"/>
      <c r="AB366" s="6"/>
      <c r="AC366" s="6"/>
      <c r="AD366" s="6"/>
      <c r="AE366" s="6"/>
    </row>
    <row r="367" spans="1:32" ht="11.25" customHeight="1" x14ac:dyDescent="0.25">
      <c r="V367" s="6"/>
      <c r="W367" s="6"/>
      <c r="X367" s="6"/>
      <c r="Y367" s="6"/>
      <c r="Z367" s="6"/>
      <c r="AA367" s="6"/>
      <c r="AB367" s="6"/>
      <c r="AC367" s="6"/>
      <c r="AD367" s="6"/>
      <c r="AE367" s="6"/>
    </row>
    <row r="368" spans="1:32" ht="11.25" customHeight="1" x14ac:dyDescent="0.25"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spans="22:31" ht="11.25" customHeight="1" x14ac:dyDescent="0.25"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spans="22:31" ht="11.25" customHeight="1" x14ac:dyDescent="0.25"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spans="22:31" ht="11.25" customHeight="1" x14ac:dyDescent="0.25"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spans="22:31" ht="11.25" customHeight="1" x14ac:dyDescent="0.25"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spans="22:31" ht="11.25" customHeight="1" x14ac:dyDescent="0.25"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spans="22:31" ht="11.25" customHeight="1" x14ac:dyDescent="0.25"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spans="22:31" ht="11.25" customHeight="1" x14ac:dyDescent="0.25"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spans="22:31" ht="11.25" customHeight="1" x14ac:dyDescent="0.25"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spans="22:31" ht="11.25" customHeight="1" x14ac:dyDescent="0.25"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spans="22:31" ht="11.25" customHeight="1" x14ac:dyDescent="0.25"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22:31" ht="11.25" customHeight="1" x14ac:dyDescent="0.25"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22:31" ht="11.25" customHeight="1" x14ac:dyDescent="0.25"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spans="22:31" ht="11.25" customHeight="1" x14ac:dyDescent="0.25"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spans="22:31" ht="11.25" customHeight="1" x14ac:dyDescent="0.25"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spans="22:31" ht="11.25" customHeight="1" x14ac:dyDescent="0.25"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spans="22:31" ht="11.25" customHeight="1" x14ac:dyDescent="0.25"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22:31" ht="11.25" customHeight="1" x14ac:dyDescent="0.25"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22:31" ht="11.25" customHeight="1" x14ac:dyDescent="0.25"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22:31" ht="11.25" customHeight="1" x14ac:dyDescent="0.25"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22:31" ht="11.25" customHeight="1" x14ac:dyDescent="0.25"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22:31" ht="11.25" customHeight="1" x14ac:dyDescent="0.25"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22:31" ht="11.25" customHeight="1" x14ac:dyDescent="0.25"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22:31" ht="11.25" customHeight="1" x14ac:dyDescent="0.25"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22:31" ht="11.25" customHeight="1" x14ac:dyDescent="0.25"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22:31" ht="11.25" customHeight="1" x14ac:dyDescent="0.25"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22:31" ht="11.25" customHeight="1" x14ac:dyDescent="0.25"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22:31" ht="11.25" customHeight="1" x14ac:dyDescent="0.25"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22:31" ht="11.25" customHeight="1" x14ac:dyDescent="0.25"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22:31" ht="11.25" customHeight="1" x14ac:dyDescent="0.25"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22:31" ht="11.25" customHeight="1" x14ac:dyDescent="0.25"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22:31" ht="11.25" customHeight="1" x14ac:dyDescent="0.25"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22:31" ht="11.25" customHeight="1" x14ac:dyDescent="0.25"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22:31" ht="11.25" customHeight="1" x14ac:dyDescent="0.25"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22:31" ht="11.25" customHeight="1" x14ac:dyDescent="0.25"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22:31" ht="11.25" customHeight="1" x14ac:dyDescent="0.25"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22:31" ht="11.25" customHeight="1" x14ac:dyDescent="0.25"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22:31" ht="11.25" customHeight="1" x14ac:dyDescent="0.25"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22:31" ht="11.25" customHeight="1" x14ac:dyDescent="0.25"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22:31" ht="11.25" customHeight="1" x14ac:dyDescent="0.25"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22:31" ht="11.25" customHeight="1" x14ac:dyDescent="0.25"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22:31" ht="11.25" customHeight="1" x14ac:dyDescent="0.25"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22:31" ht="11.25" customHeight="1" x14ac:dyDescent="0.25"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22:31" ht="11.25" customHeight="1" x14ac:dyDescent="0.25"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22:31" ht="11.25" customHeight="1" x14ac:dyDescent="0.25"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22:31" ht="11.25" customHeight="1" x14ac:dyDescent="0.25"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22:31" ht="11.25" customHeight="1" x14ac:dyDescent="0.25"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22:31" ht="11.25" customHeight="1" x14ac:dyDescent="0.25"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22:31" ht="11.25" customHeight="1" x14ac:dyDescent="0.25"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22:31" ht="11.25" customHeight="1" x14ac:dyDescent="0.25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25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25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25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25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25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25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25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25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25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25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25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25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25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25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25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25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25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25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25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25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25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25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25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25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25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25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25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25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22:31" ht="11.25" customHeight="1" x14ac:dyDescent="0.25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22:31" ht="11.25" customHeight="1" x14ac:dyDescent="0.25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22:31" ht="11.25" customHeight="1" x14ac:dyDescent="0.25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25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25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25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25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25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25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25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25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25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25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25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25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25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25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25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25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25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25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25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25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25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25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25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25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25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25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25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25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25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25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25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25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25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25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25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25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25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25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25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25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25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25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25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25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25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25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25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25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25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25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25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25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25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25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25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25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25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25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25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25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25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25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25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25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25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25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25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25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25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25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25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25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25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25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25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25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25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25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25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25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25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25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25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25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25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25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25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25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25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25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25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25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25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25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25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25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25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25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25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25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25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25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25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25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25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25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25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25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25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25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25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25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25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25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25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25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25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25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25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25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25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25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25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25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25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25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25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25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25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25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25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25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25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25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25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25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25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25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25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25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25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25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25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25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25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25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25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25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25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25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25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25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25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25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25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25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25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25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25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25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25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25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25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25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25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25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25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25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25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25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25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25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25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25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25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25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25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25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25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25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25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25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25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25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25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25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25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25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25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25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25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25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25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25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25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25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25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25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25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25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25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25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25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25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25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25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25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25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25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25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25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25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25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25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25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25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25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25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25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25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25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25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25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25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25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22:31" ht="11.25" customHeight="1" x14ac:dyDescent="0.25"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22:31" ht="11.25" customHeight="1" x14ac:dyDescent="0.25"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22:31" ht="11.25" customHeight="1" x14ac:dyDescent="0.25"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22:31" ht="11.25" customHeight="1" x14ac:dyDescent="0.25"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22:31" ht="11.25" customHeight="1" x14ac:dyDescent="0.25"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22:31" ht="11.25" customHeight="1" x14ac:dyDescent="0.25"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22:31" ht="11.25" customHeight="1" x14ac:dyDescent="0.25"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22:31" ht="11.25" customHeight="1" x14ac:dyDescent="0.25"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22:31" ht="11.25" customHeight="1" x14ac:dyDescent="0.25"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22:31" ht="11.25" customHeight="1" x14ac:dyDescent="0.25"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22:31" ht="11.25" customHeight="1" x14ac:dyDescent="0.25"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22:31" ht="11.25" customHeight="1" x14ac:dyDescent="0.25"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22:31" ht="11.25" customHeight="1" x14ac:dyDescent="0.25"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22:31" ht="11.25" customHeight="1" x14ac:dyDescent="0.25"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22:31" ht="11.25" customHeight="1" x14ac:dyDescent="0.25"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22:31" ht="11.25" customHeight="1" x14ac:dyDescent="0.25"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22:31" ht="11.25" customHeight="1" x14ac:dyDescent="0.25"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22:31" ht="11.25" customHeight="1" x14ac:dyDescent="0.25"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22:31" ht="11.25" customHeight="1" x14ac:dyDescent="0.25"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22:31" ht="11.25" customHeight="1" x14ac:dyDescent="0.25"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22:31" ht="11.25" customHeight="1" x14ac:dyDescent="0.25"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03B60-493B-480A-A0B3-C1A037825349}">
  <sheetPr codeName="Planilha18"/>
  <dimension ref="A1:J664"/>
  <sheetViews>
    <sheetView showGridLines="0" workbookViewId="0"/>
  </sheetViews>
  <sheetFormatPr defaultColWidth="9.140625" defaultRowHeight="11.25" customHeight="1" x14ac:dyDescent="0.2"/>
  <cols>
    <col min="1" max="1" width="34.7109375" style="15" bestFit="1" customWidth="1"/>
    <col min="2" max="2" width="24.5703125" style="19" bestFit="1" customWidth="1"/>
    <col min="3" max="3" width="25.5703125" style="19" bestFit="1" customWidth="1"/>
    <col min="4" max="4" width="26" style="19" bestFit="1" customWidth="1"/>
    <col min="5" max="5" width="26.85546875" style="19" bestFit="1" customWidth="1"/>
    <col min="6" max="6" width="23.7109375" style="19" bestFit="1" customWidth="1"/>
    <col min="7" max="7" width="24.5703125" style="19" bestFit="1" customWidth="1"/>
    <col min="8" max="8" width="18.28515625" style="20" bestFit="1" customWidth="1"/>
    <col min="9" max="9" width="16" style="20" bestFit="1" customWidth="1"/>
    <col min="10" max="10" width="13.85546875" style="20" bestFit="1" customWidth="1"/>
    <col min="11" max="16384" width="9.140625" style="15"/>
  </cols>
  <sheetData>
    <row r="1" spans="1:10" ht="11.25" customHeight="1" x14ac:dyDescent="0.2">
      <c r="A1" s="18" t="s">
        <v>547</v>
      </c>
      <c r="B1" s="19" t="s">
        <v>548</v>
      </c>
      <c r="C1" s="19" t="s">
        <v>549</v>
      </c>
      <c r="D1" s="19" t="s">
        <v>550</v>
      </c>
      <c r="E1" s="19" t="s">
        <v>551</v>
      </c>
      <c r="F1" s="19" t="s">
        <v>552</v>
      </c>
      <c r="G1" s="19" t="s">
        <v>553</v>
      </c>
      <c r="H1" s="20" t="s">
        <v>554</v>
      </c>
      <c r="I1" s="20" t="s">
        <v>555</v>
      </c>
      <c r="J1" s="20" t="s">
        <v>556</v>
      </c>
    </row>
    <row r="2" spans="1:10" ht="11.25" customHeight="1" x14ac:dyDescent="0.2">
      <c r="A2" s="21" t="s">
        <v>26</v>
      </c>
      <c r="B2" s="19">
        <v>13492530.411676003</v>
      </c>
      <c r="C2" s="19">
        <v>13696200.879727606</v>
      </c>
      <c r="D2" s="19">
        <v>42640527.228375889</v>
      </c>
      <c r="E2" s="19">
        <v>49414490.728986263</v>
      </c>
      <c r="F2" s="19">
        <v>30462526.309162546</v>
      </c>
      <c r="G2" s="19">
        <v>30805101.732023176</v>
      </c>
      <c r="H2" s="20">
        <v>0.12430525366006995</v>
      </c>
      <c r="I2" s="20">
        <v>1.1245798177861532E-2</v>
      </c>
      <c r="J2" s="20">
        <v>8.4533287468973928E-2</v>
      </c>
    </row>
    <row r="3" spans="1:10" ht="11.25" customHeight="1" x14ac:dyDescent="0.2">
      <c r="A3" s="22" t="s">
        <v>33</v>
      </c>
      <c r="B3" s="19">
        <v>13492530.411676003</v>
      </c>
      <c r="C3" s="19">
        <v>13696200.879727606</v>
      </c>
      <c r="D3" s="19">
        <v>7986433.1098818891</v>
      </c>
      <c r="E3" s="19">
        <v>9753534.6665002313</v>
      </c>
      <c r="F3" s="19">
        <v>12844542.567758942</v>
      </c>
      <c r="G3" s="19">
        <v>12708504.409167703</v>
      </c>
      <c r="H3" s="20">
        <v>9.1753590562781984E-2</v>
      </c>
      <c r="I3" s="20">
        <v>-1.0591125209293506E-2</v>
      </c>
      <c r="J3" s="20">
        <v>5.3454150671681466E-2</v>
      </c>
    </row>
    <row r="4" spans="1:10" ht="11.25" customHeight="1" x14ac:dyDescent="0.2">
      <c r="A4" s="23" t="s">
        <v>43</v>
      </c>
      <c r="B4" s="19">
        <v>192439.88</v>
      </c>
      <c r="C4" s="19">
        <v>195314.70161453649</v>
      </c>
      <c r="D4" s="19">
        <v>46597.523210000014</v>
      </c>
      <c r="E4" s="19">
        <v>65812.335494127066</v>
      </c>
      <c r="F4" s="19">
        <v>144327.81243999992</v>
      </c>
      <c r="G4" s="19">
        <v>142799.21850726451</v>
      </c>
      <c r="H4" s="20">
        <v>9.2410784262315859E-2</v>
      </c>
      <c r="I4" s="20">
        <v>-1.0591125209293173E-2</v>
      </c>
      <c r="J4" s="20">
        <v>5.3633034836159332E-2</v>
      </c>
    </row>
    <row r="5" spans="1:10" ht="11.25" customHeight="1" x14ac:dyDescent="0.2">
      <c r="A5" s="24" t="s">
        <v>42</v>
      </c>
      <c r="B5" s="19">
        <v>192439.88</v>
      </c>
      <c r="C5" s="19">
        <v>195314.70161453649</v>
      </c>
      <c r="D5" s="19">
        <v>46597.523210000014</v>
      </c>
      <c r="E5" s="19">
        <v>65812.335494127066</v>
      </c>
      <c r="F5" s="19">
        <v>144327.81243999992</v>
      </c>
      <c r="G5" s="19">
        <v>142799.21850726451</v>
      </c>
      <c r="H5" s="20">
        <v>9.2410784262315859E-2</v>
      </c>
      <c r="I5" s="20">
        <v>-1.0591125209293173E-2</v>
      </c>
      <c r="J5" s="20">
        <v>5.3633034836159332E-2</v>
      </c>
    </row>
    <row r="6" spans="1:10" ht="11.25" customHeight="1" x14ac:dyDescent="0.2">
      <c r="A6" s="25" t="s">
        <v>25</v>
      </c>
      <c r="B6" s="19">
        <v>192439.88</v>
      </c>
      <c r="C6" s="19">
        <v>195314.70161453649</v>
      </c>
      <c r="D6" s="19">
        <v>46597.523210000014</v>
      </c>
      <c r="E6" s="19">
        <v>65812.335494127066</v>
      </c>
      <c r="F6" s="19">
        <v>144327.81243999992</v>
      </c>
      <c r="G6" s="19">
        <v>142799.21850726451</v>
      </c>
      <c r="H6" s="20">
        <v>9.2410784262315859E-2</v>
      </c>
      <c r="I6" s="20">
        <v>-1.0591125209293173E-2</v>
      </c>
      <c r="J6" s="20">
        <v>5.3633034836159332E-2</v>
      </c>
    </row>
    <row r="7" spans="1:10" ht="11.25" customHeight="1" x14ac:dyDescent="0.2">
      <c r="A7" s="26" t="s">
        <v>25</v>
      </c>
      <c r="B7" s="19">
        <v>192439.88</v>
      </c>
      <c r="C7" s="19">
        <v>195314.70161453649</v>
      </c>
      <c r="D7" s="19">
        <v>46597.523210000014</v>
      </c>
      <c r="E7" s="19">
        <v>65812.335494127066</v>
      </c>
      <c r="F7" s="19">
        <v>144327.81243999992</v>
      </c>
      <c r="G7" s="19">
        <v>142799.21850726451</v>
      </c>
      <c r="H7" s="20">
        <v>9.2410784262315859E-2</v>
      </c>
      <c r="I7" s="20">
        <v>-1.0591125209293173E-2</v>
      </c>
      <c r="J7" s="20">
        <v>5.3633034836159332E-2</v>
      </c>
    </row>
    <row r="8" spans="1:10" ht="11.25" customHeight="1" x14ac:dyDescent="0.2">
      <c r="A8" s="27" t="s">
        <v>25</v>
      </c>
      <c r="B8" s="19">
        <v>192439.88</v>
      </c>
      <c r="C8" s="19">
        <v>195314.70161453649</v>
      </c>
      <c r="D8" s="19">
        <v>46597.523210000014</v>
      </c>
      <c r="E8" s="19">
        <v>65812.335494127066</v>
      </c>
      <c r="F8" s="19">
        <v>144327.81243999992</v>
      </c>
      <c r="G8" s="19">
        <v>142799.21850726451</v>
      </c>
      <c r="H8" s="20">
        <v>9.2410784262315859E-2</v>
      </c>
      <c r="I8" s="20">
        <v>-1.0591125209293173E-2</v>
      </c>
      <c r="J8" s="20">
        <v>5.3633034836159332E-2</v>
      </c>
    </row>
    <row r="9" spans="1:10" ht="11.25" customHeight="1" x14ac:dyDescent="0.2">
      <c r="A9" s="28" t="s">
        <v>36</v>
      </c>
      <c r="B9" s="19">
        <v>39399.03</v>
      </c>
      <c r="C9" s="19">
        <v>39993.849537431131</v>
      </c>
      <c r="D9" s="19">
        <v>41738.683340000003</v>
      </c>
      <c r="E9" s="19">
        <v>58949.919262354975</v>
      </c>
      <c r="F9" s="19">
        <v>129278.39175999998</v>
      </c>
      <c r="G9" s="19">
        <v>127909.18812601367</v>
      </c>
      <c r="H9" s="20">
        <v>0.21945473598906462</v>
      </c>
      <c r="I9" s="20">
        <v>-1.059112520929395E-2</v>
      </c>
      <c r="J9" s="20">
        <v>7.8115939927640987E-2</v>
      </c>
    </row>
    <row r="10" spans="1:10" ht="11.25" customHeight="1" x14ac:dyDescent="0.2">
      <c r="A10" s="29">
        <v>44287</v>
      </c>
      <c r="B10" s="19">
        <v>3371.04</v>
      </c>
      <c r="C10" s="19">
        <v>3421.9336502614865</v>
      </c>
      <c r="D10" s="19">
        <v>3549.23774</v>
      </c>
      <c r="E10" s="19">
        <v>5012.7905691598953</v>
      </c>
      <c r="F10" s="19">
        <v>10993.15336</v>
      </c>
      <c r="G10" s="19">
        <v>10876.723496319268</v>
      </c>
      <c r="H10" s="20">
        <v>0.21884186391359806</v>
      </c>
      <c r="I10" s="20">
        <v>-1.0591125209294172E-2</v>
      </c>
      <c r="J10" s="20">
        <v>7.8042928121159871E-2</v>
      </c>
    </row>
    <row r="11" spans="1:10" ht="11.25" customHeight="1" x14ac:dyDescent="0.2">
      <c r="A11" s="29">
        <v>44317</v>
      </c>
      <c r="B11" s="19">
        <v>3300.81</v>
      </c>
      <c r="C11" s="19">
        <v>3350.6433658810388</v>
      </c>
      <c r="D11" s="19">
        <v>3349.3773300000003</v>
      </c>
      <c r="E11" s="19">
        <v>4730.5163312001614</v>
      </c>
      <c r="F11" s="19">
        <v>10374.12012</v>
      </c>
      <c r="G11" s="19">
        <v>10264.246514872822</v>
      </c>
      <c r="H11" s="20">
        <v>0.21517775305755182</v>
      </c>
      <c r="I11" s="20">
        <v>-1.0591125209294061E-2</v>
      </c>
      <c r="J11" s="20">
        <v>7.7600734469467358E-2</v>
      </c>
    </row>
    <row r="12" spans="1:10" ht="11.25" customHeight="1" x14ac:dyDescent="0.2">
      <c r="A12" s="29">
        <v>44348</v>
      </c>
      <c r="B12" s="19">
        <v>3113.53</v>
      </c>
      <c r="C12" s="19">
        <v>3160.5359408665117</v>
      </c>
      <c r="D12" s="19">
        <v>3451.2938599999998</v>
      </c>
      <c r="E12" s="19">
        <v>4874.4588500874706</v>
      </c>
      <c r="F12" s="19">
        <v>10689.78904</v>
      </c>
      <c r="G12" s="19">
        <v>10576.572145816419</v>
      </c>
      <c r="H12" s="20">
        <v>0.2239467443920089</v>
      </c>
      <c r="I12" s="20">
        <v>-1.0591125209294172E-2</v>
      </c>
      <c r="J12" s="20">
        <v>7.8642971861188737E-2</v>
      </c>
    </row>
    <row r="13" spans="1:10" ht="11.25" customHeight="1" x14ac:dyDescent="0.2">
      <c r="A13" s="29">
        <v>44378</v>
      </c>
      <c r="B13" s="19">
        <v>3043.3</v>
      </c>
      <c r="C13" s="19">
        <v>3089.245656486064</v>
      </c>
      <c r="D13" s="19">
        <v>3242.5491600000005</v>
      </c>
      <c r="E13" s="19">
        <v>4579.6368234508127</v>
      </c>
      <c r="F13" s="19">
        <v>10043.238240000001</v>
      </c>
      <c r="G13" s="19">
        <v>9936.8690462933901</v>
      </c>
      <c r="H13" s="20">
        <v>0.2200233070716695</v>
      </c>
      <c r="I13" s="20">
        <v>-1.0591125209294061E-2</v>
      </c>
      <c r="J13" s="20">
        <v>7.8183433951750647E-2</v>
      </c>
    </row>
    <row r="14" spans="1:10" ht="11.25" customHeight="1" x14ac:dyDescent="0.2">
      <c r="A14" s="29">
        <v>44409</v>
      </c>
      <c r="B14" s="19">
        <v>3136.94</v>
      </c>
      <c r="C14" s="19">
        <v>3184.2993689933278</v>
      </c>
      <c r="D14" s="19">
        <v>3558.9887900000003</v>
      </c>
      <c r="E14" s="19">
        <v>5026.5625323418853</v>
      </c>
      <c r="F14" s="19">
        <v>11023.35556</v>
      </c>
      <c r="G14" s="19">
        <v>10906.605821037472</v>
      </c>
      <c r="H14" s="20">
        <v>0.22624689700966982</v>
      </c>
      <c r="I14" s="20">
        <v>-1.0591125209294061E-2</v>
      </c>
      <c r="J14" s="20">
        <v>7.8907440320674205E-2</v>
      </c>
    </row>
    <row r="15" spans="1:10" ht="11.25" customHeight="1" x14ac:dyDescent="0.2">
      <c r="A15" s="29">
        <v>44440</v>
      </c>
      <c r="B15" s="19">
        <v>3371.04</v>
      </c>
      <c r="C15" s="19">
        <v>3421.9336502614865</v>
      </c>
      <c r="D15" s="19">
        <v>3529.3022600000004</v>
      </c>
      <c r="E15" s="19">
        <v>4984.6345555433845</v>
      </c>
      <c r="F15" s="19">
        <v>10931.406640000001</v>
      </c>
      <c r="G15" s="19">
        <v>10815.630743562051</v>
      </c>
      <c r="H15" s="20">
        <v>0.21828278787505684</v>
      </c>
      <c r="I15" s="20">
        <v>-1.0591125209294172E-2</v>
      </c>
      <c r="J15" s="20">
        <v>7.7976089567239448E-2</v>
      </c>
    </row>
    <row r="16" spans="1:10" ht="11.25" customHeight="1" x14ac:dyDescent="0.2">
      <c r="A16" s="29">
        <v>44470</v>
      </c>
      <c r="B16" s="19">
        <v>3417.86</v>
      </c>
      <c r="C16" s="19">
        <v>3469.4605065151181</v>
      </c>
      <c r="D16" s="19">
        <v>3428.3247200000001</v>
      </c>
      <c r="E16" s="19">
        <v>4842.0182257032293</v>
      </c>
      <c r="F16" s="19">
        <v>10618.64608</v>
      </c>
      <c r="G16" s="19">
        <v>10506.182669813539</v>
      </c>
      <c r="H16" s="20">
        <v>0.21403074444335868</v>
      </c>
      <c r="I16" s="20">
        <v>-1.0591125209294172E-2</v>
      </c>
      <c r="J16" s="20">
        <v>7.7460275311220794E-2</v>
      </c>
    </row>
    <row r="17" spans="1:10" ht="11.25" customHeight="1" x14ac:dyDescent="0.2">
      <c r="A17" s="29">
        <v>44501</v>
      </c>
      <c r="B17" s="19">
        <v>3183.76</v>
      </c>
      <c r="C17" s="19">
        <v>3231.8262252469594</v>
      </c>
      <c r="D17" s="19">
        <v>3481.0526200000004</v>
      </c>
      <c r="E17" s="19">
        <v>4916.4888414280604</v>
      </c>
      <c r="F17" s="19">
        <v>10781.96168</v>
      </c>
      <c r="G17" s="19">
        <v>10667.768573845309</v>
      </c>
      <c r="H17" s="20">
        <v>0.22258727007917267</v>
      </c>
      <c r="I17" s="20">
        <v>-1.0591125209294061E-2</v>
      </c>
      <c r="J17" s="20">
        <v>7.8484957561486324E-2</v>
      </c>
    </row>
    <row r="18" spans="1:10" ht="11.25" customHeight="1" x14ac:dyDescent="0.2">
      <c r="A18" s="29">
        <v>44531</v>
      </c>
      <c r="B18" s="19">
        <v>3394.45</v>
      </c>
      <c r="C18" s="19">
        <v>3445.6970783883021</v>
      </c>
      <c r="D18" s="19">
        <v>3428.1080299999999</v>
      </c>
      <c r="E18" s="19">
        <v>4841.7121820769626</v>
      </c>
      <c r="F18" s="19">
        <v>10617.974919999999</v>
      </c>
      <c r="G18" s="19">
        <v>10505.518618153135</v>
      </c>
      <c r="H18" s="20">
        <v>0.21470703862452378</v>
      </c>
      <c r="I18" s="20">
        <v>-1.059112520929395E-2</v>
      </c>
      <c r="J18" s="20">
        <v>7.7543211121790856E-2</v>
      </c>
    </row>
    <row r="19" spans="1:10" ht="11.25" customHeight="1" x14ac:dyDescent="0.2">
      <c r="A19" s="29">
        <v>44562</v>
      </c>
      <c r="B19" s="19">
        <v>3230.58</v>
      </c>
      <c r="C19" s="19">
        <v>3279.3530815005911</v>
      </c>
      <c r="D19" s="19">
        <v>3551.3324100000004</v>
      </c>
      <c r="E19" s="19">
        <v>5015.748990880471</v>
      </c>
      <c r="F19" s="19">
        <v>10999.641240000001</v>
      </c>
      <c r="G19" s="19">
        <v>10883.142662369844</v>
      </c>
      <c r="H19" s="20">
        <v>0.22312138094703893</v>
      </c>
      <c r="I19" s="20">
        <v>-1.0591125209294283E-2</v>
      </c>
      <c r="J19" s="20">
        <v>7.8547190658500465E-2</v>
      </c>
    </row>
    <row r="20" spans="1:10" ht="11.25" customHeight="1" x14ac:dyDescent="0.2">
      <c r="A20" s="29">
        <v>44593</v>
      </c>
      <c r="B20" s="19">
        <v>3417.86</v>
      </c>
      <c r="C20" s="19">
        <v>3469.4605065151181</v>
      </c>
      <c r="D20" s="19">
        <v>3584.5582100000006</v>
      </c>
      <c r="E20" s="19">
        <v>5062.6756802413238</v>
      </c>
      <c r="F20" s="19">
        <v>11102.552440000001</v>
      </c>
      <c r="G20" s="19">
        <v>10984.963916965205</v>
      </c>
      <c r="H20" s="20">
        <v>0.21845567215221218</v>
      </c>
      <c r="I20" s="20">
        <v>-1.0591125209294283E-2</v>
      </c>
      <c r="J20" s="20">
        <v>7.7996782266070319E-2</v>
      </c>
    </row>
    <row r="21" spans="1:10" ht="11.25" customHeight="1" x14ac:dyDescent="0.2">
      <c r="A21" s="29">
        <v>44621</v>
      </c>
      <c r="B21" s="19">
        <v>3417.86</v>
      </c>
      <c r="C21" s="19">
        <v>3469.4605065151181</v>
      </c>
      <c r="D21" s="19">
        <v>3584.5582100000006</v>
      </c>
      <c r="E21" s="19">
        <v>5062.6756802413238</v>
      </c>
      <c r="F21" s="19">
        <v>11102.552440000001</v>
      </c>
      <c r="G21" s="19">
        <v>10984.963916965205</v>
      </c>
      <c r="H21" s="20">
        <v>0.21845567215221218</v>
      </c>
      <c r="I21" s="20">
        <v>-1.0591125209294283E-2</v>
      </c>
      <c r="J21" s="20">
        <v>7.7996782266070319E-2</v>
      </c>
    </row>
    <row r="22" spans="1:10" ht="11.25" customHeight="1" x14ac:dyDescent="0.2">
      <c r="A22" s="28" t="s">
        <v>35</v>
      </c>
      <c r="B22" s="19">
        <v>153040.85</v>
      </c>
      <c r="C22" s="19">
        <v>155320.85207710534</v>
      </c>
      <c r="D22" s="19">
        <v>4858.8398699999998</v>
      </c>
      <c r="E22" s="19">
        <v>6862.4162317720911</v>
      </c>
      <c r="F22" s="19">
        <v>15049.420680000003</v>
      </c>
      <c r="G22" s="19">
        <v>14890.030381250779</v>
      </c>
      <c r="H22" s="20">
        <v>2.712847911483629E-2</v>
      </c>
      <c r="I22" s="20">
        <v>-1.0591125209294394E-2</v>
      </c>
      <c r="J22" s="20">
        <v>2.3846252386108047E-2</v>
      </c>
    </row>
    <row r="23" spans="1:10" ht="11.25" customHeight="1" x14ac:dyDescent="0.2">
      <c r="A23" s="29">
        <v>44287</v>
      </c>
      <c r="B23" s="19">
        <v>12852.150000000001</v>
      </c>
      <c r="C23" s="19">
        <v>13043.621288190503</v>
      </c>
      <c r="D23" s="19">
        <v>403.26009000000005</v>
      </c>
      <c r="E23" s="19">
        <v>569.54718848182051</v>
      </c>
      <c r="F23" s="19">
        <v>1249.0287600000001</v>
      </c>
      <c r="G23" s="19">
        <v>1235.8001400128305</v>
      </c>
      <c r="H23" s="20">
        <v>2.6989612863220103E-2</v>
      </c>
      <c r="I23" s="20">
        <v>-1.0591125209294283E-2</v>
      </c>
      <c r="J23" s="20">
        <v>2.3753401992876899E-2</v>
      </c>
    </row>
    <row r="24" spans="1:10" ht="11.25" customHeight="1" x14ac:dyDescent="0.2">
      <c r="A24" s="29">
        <v>44317</v>
      </c>
      <c r="B24" s="19">
        <v>11849.5</v>
      </c>
      <c r="C24" s="19">
        <v>12026.033811806847</v>
      </c>
      <c r="D24" s="19">
        <v>418.13947000000002</v>
      </c>
      <c r="E24" s="19">
        <v>590.56218415211515</v>
      </c>
      <c r="F24" s="19">
        <v>1295.11508</v>
      </c>
      <c r="G24" s="19">
        <v>1281.398354027275</v>
      </c>
      <c r="H24" s="20">
        <v>2.8445287034422506E-2</v>
      </c>
      <c r="I24" s="20">
        <v>-1.0591125209294172E-2</v>
      </c>
      <c r="J24" s="20">
        <v>2.4717678016685563E-2</v>
      </c>
    </row>
    <row r="25" spans="1:10" ht="11.25" customHeight="1" x14ac:dyDescent="0.2">
      <c r="A25" s="29">
        <v>44348</v>
      </c>
      <c r="B25" s="19">
        <v>11940.650000000001</v>
      </c>
      <c r="C25" s="19">
        <v>12118.541764205362</v>
      </c>
      <c r="D25" s="19">
        <v>419.07846000000001</v>
      </c>
      <c r="E25" s="19">
        <v>591.88837319926961</v>
      </c>
      <c r="F25" s="19">
        <v>1298.0234399999999</v>
      </c>
      <c r="G25" s="19">
        <v>1284.2759112223612</v>
      </c>
      <c r="H25" s="20">
        <v>2.837454548775975E-2</v>
      </c>
      <c r="I25" s="20">
        <v>-1.0591125209294172E-2</v>
      </c>
      <c r="J25" s="20">
        <v>2.4671274679326283E-2</v>
      </c>
    </row>
    <row r="26" spans="1:10" ht="11.25" customHeight="1" x14ac:dyDescent="0.2">
      <c r="A26" s="29">
        <v>44378</v>
      </c>
      <c r="B26" s="19">
        <v>12578.7</v>
      </c>
      <c r="C26" s="19">
        <v>12766.09743099496</v>
      </c>
      <c r="D26" s="19">
        <v>387.22503</v>
      </c>
      <c r="E26" s="19">
        <v>546.89996013810492</v>
      </c>
      <c r="F26" s="19">
        <v>1199.36292</v>
      </c>
      <c r="G26" s="19">
        <v>1186.6603171428953</v>
      </c>
      <c r="H26" s="20">
        <v>2.6768037014715418E-2</v>
      </c>
      <c r="I26" s="20">
        <v>-1.0591125209294172E-2</v>
      </c>
      <c r="J26" s="20">
        <v>2.3604868425986414E-2</v>
      </c>
    </row>
    <row r="27" spans="1:10" ht="11.25" customHeight="1" x14ac:dyDescent="0.2">
      <c r="A27" s="29">
        <v>44409</v>
      </c>
      <c r="B27" s="19">
        <v>13399.050000000001</v>
      </c>
      <c r="C27" s="19">
        <v>13598.669002581588</v>
      </c>
      <c r="D27" s="19">
        <v>432.51324000000005</v>
      </c>
      <c r="E27" s="19">
        <v>610.86307802778822</v>
      </c>
      <c r="F27" s="19">
        <v>1339.63536</v>
      </c>
      <c r="G27" s="19">
        <v>1325.4471141674424</v>
      </c>
      <c r="H27" s="20">
        <v>2.7326545383989043E-2</v>
      </c>
      <c r="I27" s="20">
        <v>-1.059112520929395E-2</v>
      </c>
      <c r="J27" s="20">
        <v>2.3978368774159931E-2</v>
      </c>
    </row>
    <row r="28" spans="1:10" ht="11.25" customHeight="1" x14ac:dyDescent="0.2">
      <c r="A28" s="29">
        <v>44440</v>
      </c>
      <c r="B28" s="19">
        <v>12761</v>
      </c>
      <c r="C28" s="19">
        <v>12951.113335791988</v>
      </c>
      <c r="D28" s="19">
        <v>433.23554000000001</v>
      </c>
      <c r="E28" s="19">
        <v>611.88322344867629</v>
      </c>
      <c r="F28" s="19">
        <v>1341.87256</v>
      </c>
      <c r="G28" s="19">
        <v>1327.660619702124</v>
      </c>
      <c r="H28" s="20">
        <v>2.7948646067649685E-2</v>
      </c>
      <c r="I28" s="20">
        <v>-1.0591125209294061E-2</v>
      </c>
      <c r="J28" s="20">
        <v>2.4390922006337412E-2</v>
      </c>
    </row>
    <row r="29" spans="1:10" ht="11.25" customHeight="1" x14ac:dyDescent="0.2">
      <c r="A29" s="29">
        <v>44470</v>
      </c>
      <c r="B29" s="19">
        <v>13307.900000000001</v>
      </c>
      <c r="C29" s="19">
        <v>13506.161050183075</v>
      </c>
      <c r="D29" s="19">
        <v>370.97328000000005</v>
      </c>
      <c r="E29" s="19">
        <v>523.94668816812293</v>
      </c>
      <c r="F29" s="19">
        <v>1149.02592</v>
      </c>
      <c r="G29" s="19">
        <v>1136.8564426125556</v>
      </c>
      <c r="H29" s="20">
        <v>2.5677148341211709E-2</v>
      </c>
      <c r="I29" s="20">
        <v>-1.0591125209294172E-2</v>
      </c>
      <c r="J29" s="20">
        <v>2.2866690445518589E-2</v>
      </c>
    </row>
    <row r="30" spans="1:10" ht="11.25" customHeight="1" x14ac:dyDescent="0.2">
      <c r="A30" s="29">
        <v>44501</v>
      </c>
      <c r="B30" s="19">
        <v>12305.25</v>
      </c>
      <c r="C30" s="19">
        <v>12488.573573799418</v>
      </c>
      <c r="D30" s="19">
        <v>389.24747000000002</v>
      </c>
      <c r="E30" s="19">
        <v>549.75636731659165</v>
      </c>
      <c r="F30" s="19">
        <v>1205.62708</v>
      </c>
      <c r="G30" s="19">
        <v>1192.8581326400044</v>
      </c>
      <c r="H30" s="20">
        <v>2.708515811110801E-2</v>
      </c>
      <c r="I30" s="20">
        <v>-1.0591125209294061E-2</v>
      </c>
      <c r="J30" s="20">
        <v>2.3817306281332051E-2</v>
      </c>
    </row>
    <row r="31" spans="1:10" ht="11.25" customHeight="1" x14ac:dyDescent="0.2">
      <c r="A31" s="29">
        <v>44531</v>
      </c>
      <c r="B31" s="19">
        <v>13581.35</v>
      </c>
      <c r="C31" s="19">
        <v>13783.684907378616</v>
      </c>
      <c r="D31" s="19">
        <v>408.02727000000004</v>
      </c>
      <c r="E31" s="19">
        <v>576.28014825968194</v>
      </c>
      <c r="F31" s="19">
        <v>1263.7942800000001</v>
      </c>
      <c r="G31" s="19">
        <v>1250.4092765417302</v>
      </c>
      <c r="H31" s="20">
        <v>2.6490656337721186E-2</v>
      </c>
      <c r="I31" s="20">
        <v>-1.0591125209294283E-2</v>
      </c>
      <c r="J31" s="20">
        <v>2.34182629500439E-2</v>
      </c>
    </row>
    <row r="32" spans="1:10" ht="11.25" customHeight="1" x14ac:dyDescent="0.2">
      <c r="A32" s="29">
        <v>44562</v>
      </c>
      <c r="B32" s="19">
        <v>12761</v>
      </c>
      <c r="C32" s="19">
        <v>12951.113335791988</v>
      </c>
      <c r="D32" s="19">
        <v>370.53989999999999</v>
      </c>
      <c r="E32" s="19">
        <v>523.33460091559004</v>
      </c>
      <c r="F32" s="19">
        <v>1147.6836000000001</v>
      </c>
      <c r="G32" s="19">
        <v>1135.5283392917465</v>
      </c>
      <c r="H32" s="20">
        <v>2.6113314913476238E-2</v>
      </c>
      <c r="I32" s="20">
        <v>-1.0591125209294172E-2</v>
      </c>
      <c r="J32" s="20">
        <v>2.3163218644159711E-2</v>
      </c>
    </row>
    <row r="33" spans="1:10" ht="11.25" customHeight="1" x14ac:dyDescent="0.2">
      <c r="A33" s="29">
        <v>44593</v>
      </c>
      <c r="B33" s="19">
        <v>12852.150000000001</v>
      </c>
      <c r="C33" s="19">
        <v>13043.621288190503</v>
      </c>
      <c r="D33" s="19">
        <v>413.30006000000003</v>
      </c>
      <c r="E33" s="19">
        <v>583.72720983216504</v>
      </c>
      <c r="F33" s="19">
        <v>1280.1258400000002</v>
      </c>
      <c r="G33" s="19">
        <v>1266.5678669449073</v>
      </c>
      <c r="H33" s="20">
        <v>2.728127853829232E-2</v>
      </c>
      <c r="I33" s="20">
        <v>-1.0591125209294172E-2</v>
      </c>
      <c r="J33" s="20">
        <v>2.3948207163634772E-2</v>
      </c>
    </row>
    <row r="34" spans="1:10" ht="11.25" customHeight="1" x14ac:dyDescent="0.2">
      <c r="A34" s="29">
        <v>44621</v>
      </c>
      <c r="B34" s="19">
        <v>12852.150000000001</v>
      </c>
      <c r="C34" s="19">
        <v>13043.621288190503</v>
      </c>
      <c r="D34" s="19">
        <v>413.30006000000003</v>
      </c>
      <c r="E34" s="19">
        <v>583.72720983216504</v>
      </c>
      <c r="F34" s="19">
        <v>1280.1258400000002</v>
      </c>
      <c r="G34" s="19">
        <v>1266.5678669449073</v>
      </c>
      <c r="H34" s="20">
        <v>2.728127853829232E-2</v>
      </c>
      <c r="I34" s="20">
        <v>-1.0591125209294172E-2</v>
      </c>
      <c r="J34" s="20">
        <v>2.3948207163634772E-2</v>
      </c>
    </row>
    <row r="35" spans="1:10" ht="11.25" customHeight="1" x14ac:dyDescent="0.2">
      <c r="A35" s="23" t="s">
        <v>34</v>
      </c>
      <c r="B35" s="19">
        <v>13300090.531676002</v>
      </c>
      <c r="C35" s="19">
        <v>13500886.178113069</v>
      </c>
      <c r="D35" s="19">
        <v>7939835.5866718888</v>
      </c>
      <c r="E35" s="19">
        <v>9687722.3310061041</v>
      </c>
      <c r="F35" s="19">
        <v>12700214.755318942</v>
      </c>
      <c r="G35" s="19">
        <v>12565705.190660439</v>
      </c>
      <c r="H35" s="20">
        <v>9.1746194403564241E-2</v>
      </c>
      <c r="I35" s="20">
        <v>-1.0591125209293395E-2</v>
      </c>
      <c r="J35" s="20">
        <v>5.345213011535721E-2</v>
      </c>
    </row>
    <row r="36" spans="1:10" ht="11.25" customHeight="1" x14ac:dyDescent="0.2">
      <c r="A36" s="24" t="s">
        <v>39</v>
      </c>
      <c r="B36" s="19">
        <v>687106.90999999992</v>
      </c>
      <c r="C36" s="19">
        <v>697480.3789501728</v>
      </c>
      <c r="D36" s="19">
        <v>931155.00869999989</v>
      </c>
      <c r="E36" s="19">
        <v>1046857.1877000754</v>
      </c>
      <c r="F36" s="19">
        <v>793723.88339999993</v>
      </c>
      <c r="G36" s="19">
        <v>785317.4543693033</v>
      </c>
      <c r="H36" s="20">
        <v>7.7908060798667744E-2</v>
      </c>
      <c r="I36" s="20">
        <v>-1.0591125209293617E-2</v>
      </c>
      <c r="J36" s="20">
        <v>4.878520380057938E-2</v>
      </c>
    </row>
    <row r="37" spans="1:10" ht="11.25" customHeight="1" x14ac:dyDescent="0.2">
      <c r="A37" s="25" t="s">
        <v>25</v>
      </c>
      <c r="B37" s="19">
        <v>687106.90999999992</v>
      </c>
      <c r="C37" s="19">
        <v>697480.3789501728</v>
      </c>
      <c r="D37" s="19">
        <v>931155.00869999989</v>
      </c>
      <c r="E37" s="19">
        <v>1046857.1877000754</v>
      </c>
      <c r="F37" s="19">
        <v>793723.88339999993</v>
      </c>
      <c r="G37" s="19">
        <v>785317.4543693033</v>
      </c>
      <c r="H37" s="20">
        <v>7.7908060798667744E-2</v>
      </c>
      <c r="I37" s="20">
        <v>-1.0591125209293617E-2</v>
      </c>
      <c r="J37" s="20">
        <v>4.878520380057938E-2</v>
      </c>
    </row>
    <row r="38" spans="1:10" ht="11.25" customHeight="1" x14ac:dyDescent="0.2">
      <c r="A38" s="26" t="s">
        <v>25</v>
      </c>
      <c r="B38" s="19">
        <v>687106.90999999992</v>
      </c>
      <c r="C38" s="19">
        <v>697480.3789501728</v>
      </c>
      <c r="D38" s="19">
        <v>931155.00869999989</v>
      </c>
      <c r="E38" s="19">
        <v>1046857.1877000754</v>
      </c>
      <c r="F38" s="19">
        <v>793723.88339999993</v>
      </c>
      <c r="G38" s="19">
        <v>785317.4543693033</v>
      </c>
      <c r="H38" s="20">
        <v>7.7908060798667744E-2</v>
      </c>
      <c r="I38" s="20">
        <v>-1.0591125209293617E-2</v>
      </c>
      <c r="J38" s="20">
        <v>4.878520380057938E-2</v>
      </c>
    </row>
    <row r="39" spans="1:10" ht="11.25" customHeight="1" x14ac:dyDescent="0.2">
      <c r="A39" s="27" t="s">
        <v>25</v>
      </c>
      <c r="B39" s="19">
        <v>687106.90999999992</v>
      </c>
      <c r="C39" s="19">
        <v>697480.3789501728</v>
      </c>
      <c r="D39" s="19">
        <v>931155.00869999989</v>
      </c>
      <c r="E39" s="19">
        <v>1046857.1877000754</v>
      </c>
      <c r="F39" s="19">
        <v>793723.88339999993</v>
      </c>
      <c r="G39" s="19">
        <v>785317.4543693033</v>
      </c>
      <c r="H39" s="20">
        <v>7.7908060798667744E-2</v>
      </c>
      <c r="I39" s="20">
        <v>-1.0591125209293617E-2</v>
      </c>
      <c r="J39" s="20">
        <v>4.878520380057938E-2</v>
      </c>
    </row>
    <row r="40" spans="1:10" ht="11.25" customHeight="1" x14ac:dyDescent="0.2">
      <c r="A40" s="28" t="s">
        <v>36</v>
      </c>
      <c r="B40" s="19">
        <v>0</v>
      </c>
      <c r="C40" s="19">
        <v>0</v>
      </c>
      <c r="D40" s="19">
        <v>234015.37672</v>
      </c>
      <c r="E40" s="19">
        <v>330513.24239001703</v>
      </c>
      <c r="F40" s="19">
        <v>724822.3740800001</v>
      </c>
      <c r="G40" s="19">
        <v>717145.68956162082</v>
      </c>
      <c r="H40" s="20">
        <v>0.41235694432796621</v>
      </c>
      <c r="I40" s="20">
        <v>-1.0591125209294172E-2</v>
      </c>
      <c r="J40" s="20">
        <v>9.2634213742137872E-2</v>
      </c>
    </row>
    <row r="41" spans="1:10" ht="11.25" customHeight="1" x14ac:dyDescent="0.2">
      <c r="A41" s="29">
        <v>44287</v>
      </c>
      <c r="B41" s="19">
        <v>0</v>
      </c>
      <c r="C41" s="19">
        <v>0</v>
      </c>
      <c r="D41" s="19">
        <v>21602.115020000001</v>
      </c>
      <c r="E41" s="19">
        <v>30509.897160668457</v>
      </c>
      <c r="F41" s="19">
        <v>66908.835280000014</v>
      </c>
      <c r="G41" s="19">
        <v>66200.195427941479</v>
      </c>
      <c r="H41" s="20">
        <v>0.41235694432796599</v>
      </c>
      <c r="I41" s="20">
        <v>-1.0591125209294394E-2</v>
      </c>
      <c r="J41" s="20">
        <v>9.263421374213765E-2</v>
      </c>
    </row>
    <row r="42" spans="1:10" ht="11.25" customHeight="1" x14ac:dyDescent="0.2">
      <c r="A42" s="29">
        <v>44317</v>
      </c>
      <c r="B42" s="19">
        <v>0</v>
      </c>
      <c r="C42" s="19">
        <v>0</v>
      </c>
      <c r="D42" s="19">
        <v>14314.324710000001</v>
      </c>
      <c r="E42" s="19">
        <v>20216.935907533898</v>
      </c>
      <c r="F42" s="19">
        <v>44336.158439999999</v>
      </c>
      <c r="G42" s="19">
        <v>43866.588634662854</v>
      </c>
      <c r="H42" s="20">
        <v>0.41235694432796599</v>
      </c>
      <c r="I42" s="20">
        <v>-1.0591125209294172E-2</v>
      </c>
      <c r="J42" s="20">
        <v>9.2634213742137872E-2</v>
      </c>
    </row>
    <row r="43" spans="1:10" ht="11.25" customHeight="1" x14ac:dyDescent="0.2">
      <c r="A43" s="29">
        <v>44348</v>
      </c>
      <c r="B43" s="19">
        <v>0</v>
      </c>
      <c r="C43" s="19">
        <v>0</v>
      </c>
      <c r="D43" s="19">
        <v>13459.049280000003</v>
      </c>
      <c r="E43" s="19">
        <v>19008.981714660313</v>
      </c>
      <c r="F43" s="19">
        <v>41687.089920000006</v>
      </c>
      <c r="G43" s="19">
        <v>41245.576731046182</v>
      </c>
      <c r="H43" s="20">
        <v>0.41235694432796577</v>
      </c>
      <c r="I43" s="20">
        <v>-1.0591125209294172E-2</v>
      </c>
      <c r="J43" s="20">
        <v>9.2634213742137872E-2</v>
      </c>
    </row>
    <row r="44" spans="1:10" ht="11.25" customHeight="1" x14ac:dyDescent="0.2">
      <c r="A44" s="29">
        <v>44378</v>
      </c>
      <c r="B44" s="19">
        <v>0</v>
      </c>
      <c r="C44" s="19">
        <v>0</v>
      </c>
      <c r="D44" s="19">
        <v>17010.526150000002</v>
      </c>
      <c r="E44" s="19">
        <v>24024.934734624956</v>
      </c>
      <c r="F44" s="19">
        <v>52687.178599999999</v>
      </c>
      <c r="G44" s="19">
        <v>52129.162094522959</v>
      </c>
      <c r="H44" s="20">
        <v>0.41235694432796555</v>
      </c>
      <c r="I44" s="20">
        <v>-1.0591125209294061E-2</v>
      </c>
      <c r="J44" s="20">
        <v>9.2634213742137872E-2</v>
      </c>
    </row>
    <row r="45" spans="1:10" ht="11.25" customHeight="1" x14ac:dyDescent="0.2">
      <c r="A45" s="29">
        <v>44409</v>
      </c>
      <c r="B45" s="19">
        <v>0</v>
      </c>
      <c r="C45" s="19">
        <v>0</v>
      </c>
      <c r="D45" s="19">
        <v>21478.16834</v>
      </c>
      <c r="E45" s="19">
        <v>30334.84020644406</v>
      </c>
      <c r="F45" s="19">
        <v>66524.931759999992</v>
      </c>
      <c r="G45" s="19">
        <v>65820.357878190087</v>
      </c>
      <c r="H45" s="20">
        <v>0.41235694432796599</v>
      </c>
      <c r="I45" s="20">
        <v>-1.0591125209294061E-2</v>
      </c>
      <c r="J45" s="20">
        <v>9.2634213742137872E-2</v>
      </c>
    </row>
    <row r="46" spans="1:10" ht="11.25" customHeight="1" x14ac:dyDescent="0.2">
      <c r="A46" s="29">
        <v>44440</v>
      </c>
      <c r="B46" s="19">
        <v>0</v>
      </c>
      <c r="C46" s="19">
        <v>0</v>
      </c>
      <c r="D46" s="19">
        <v>17247.512780000001</v>
      </c>
      <c r="E46" s="19">
        <v>24359.644447218343</v>
      </c>
      <c r="F46" s="19">
        <v>53421.20392</v>
      </c>
      <c r="G46" s="19">
        <v>52855.413260452042</v>
      </c>
      <c r="H46" s="20">
        <v>0.41235694432796599</v>
      </c>
      <c r="I46" s="20">
        <v>-1.0591125209294172E-2</v>
      </c>
      <c r="J46" s="20">
        <v>9.263421374213765E-2</v>
      </c>
    </row>
    <row r="47" spans="1:10" ht="11.25" customHeight="1" x14ac:dyDescent="0.2">
      <c r="A47" s="29">
        <v>44470</v>
      </c>
      <c r="B47" s="19">
        <v>0</v>
      </c>
      <c r="C47" s="19">
        <v>0</v>
      </c>
      <c r="D47" s="19">
        <v>16261.789970000002</v>
      </c>
      <c r="E47" s="19">
        <v>22967.451991332367</v>
      </c>
      <c r="F47" s="19">
        <v>50368.09708</v>
      </c>
      <c r="G47" s="19">
        <v>49834.642257271844</v>
      </c>
      <c r="H47" s="20">
        <v>0.41235694432796599</v>
      </c>
      <c r="I47" s="20">
        <v>-1.059112520929395E-2</v>
      </c>
      <c r="J47" s="20">
        <v>9.2634213742137872E-2</v>
      </c>
    </row>
    <row r="48" spans="1:10" ht="11.25" customHeight="1" x14ac:dyDescent="0.2">
      <c r="A48" s="29">
        <v>44501</v>
      </c>
      <c r="B48" s="19">
        <v>0</v>
      </c>
      <c r="C48" s="19">
        <v>0</v>
      </c>
      <c r="D48" s="19">
        <v>20648.751250000001</v>
      </c>
      <c r="E48" s="19">
        <v>29163.407219638266</v>
      </c>
      <c r="F48" s="19">
        <v>63955.955000000002</v>
      </c>
      <c r="G48" s="19">
        <v>63278.589472715015</v>
      </c>
      <c r="H48" s="20">
        <v>0.41235694432796577</v>
      </c>
      <c r="I48" s="20">
        <v>-1.0591125209294172E-2</v>
      </c>
      <c r="J48" s="20">
        <v>9.263421374213765E-2</v>
      </c>
    </row>
    <row r="49" spans="1:10" ht="11.25" customHeight="1" x14ac:dyDescent="0.2">
      <c r="A49" s="29">
        <v>44531</v>
      </c>
      <c r="B49" s="19">
        <v>0</v>
      </c>
      <c r="C49" s="19">
        <v>0</v>
      </c>
      <c r="D49" s="19">
        <v>21172.779900000001</v>
      </c>
      <c r="E49" s="19">
        <v>29903.522722492577</v>
      </c>
      <c r="F49" s="19">
        <v>65579.043600000005</v>
      </c>
      <c r="G49" s="19">
        <v>64884.487738126641</v>
      </c>
      <c r="H49" s="20">
        <v>0.41235694432796577</v>
      </c>
      <c r="I49" s="20">
        <v>-1.0591125209294172E-2</v>
      </c>
      <c r="J49" s="20">
        <v>9.2634213742137872E-2</v>
      </c>
    </row>
    <row r="50" spans="1:10" ht="11.25" customHeight="1" x14ac:dyDescent="0.2">
      <c r="A50" s="29">
        <v>44562</v>
      </c>
      <c r="B50" s="19">
        <v>0</v>
      </c>
      <c r="C50" s="19">
        <v>0</v>
      </c>
      <c r="D50" s="19">
        <v>21842.063080000004</v>
      </c>
      <c r="E50" s="19">
        <v>30848.789469487481</v>
      </c>
      <c r="F50" s="19">
        <v>67652.033120000007</v>
      </c>
      <c r="G50" s="19">
        <v>66935.521966562766</v>
      </c>
      <c r="H50" s="20">
        <v>0.41235694432796577</v>
      </c>
      <c r="I50" s="20">
        <v>-1.0591125209294283E-2</v>
      </c>
      <c r="J50" s="20">
        <v>9.263421374213765E-2</v>
      </c>
    </row>
    <row r="51" spans="1:10" ht="11.25" customHeight="1" x14ac:dyDescent="0.2">
      <c r="A51" s="29">
        <v>44593</v>
      </c>
      <c r="B51" s="19">
        <v>0</v>
      </c>
      <c r="C51" s="19">
        <v>0</v>
      </c>
      <c r="D51" s="19">
        <v>24489.148120000002</v>
      </c>
      <c r="E51" s="19">
        <v>34587.418407958154</v>
      </c>
      <c r="F51" s="19">
        <v>75850.923679999993</v>
      </c>
      <c r="G51" s="19">
        <v>75047.577050064501</v>
      </c>
      <c r="H51" s="20">
        <v>0.41235694432796599</v>
      </c>
      <c r="I51" s="20">
        <v>-1.0591125209294061E-2</v>
      </c>
      <c r="J51" s="20">
        <v>9.2634213742138094E-2</v>
      </c>
    </row>
    <row r="52" spans="1:10" ht="11.25" customHeight="1" x14ac:dyDescent="0.2">
      <c r="A52" s="29">
        <v>44621</v>
      </c>
      <c r="B52" s="19">
        <v>0</v>
      </c>
      <c r="C52" s="19">
        <v>0</v>
      </c>
      <c r="D52" s="19">
        <v>24489.148120000002</v>
      </c>
      <c r="E52" s="19">
        <v>34587.418407958154</v>
      </c>
      <c r="F52" s="19">
        <v>75850.923679999993</v>
      </c>
      <c r="G52" s="19">
        <v>75047.577050064501</v>
      </c>
      <c r="H52" s="20">
        <v>0.41235694432796599</v>
      </c>
      <c r="I52" s="20">
        <v>-1.0591125209294061E-2</v>
      </c>
      <c r="J52" s="20">
        <v>9.2634213742138094E-2</v>
      </c>
    </row>
    <row r="53" spans="1:10" ht="11.25" customHeight="1" x14ac:dyDescent="0.2">
      <c r="A53" s="28" t="s">
        <v>25</v>
      </c>
      <c r="B53" s="19">
        <v>687106.90999999992</v>
      </c>
      <c r="C53" s="19">
        <v>697480.3789501728</v>
      </c>
      <c r="D53" s="19">
        <v>0</v>
      </c>
      <c r="E53" s="19">
        <v>0</v>
      </c>
      <c r="F53" s="19">
        <v>0</v>
      </c>
      <c r="G53" s="19">
        <v>0</v>
      </c>
      <c r="H53" s="20">
        <v>1.5097314259541639E-2</v>
      </c>
      <c r="I53" s="20">
        <v>0</v>
      </c>
      <c r="J53" s="20">
        <v>1.5097314259541639E-2</v>
      </c>
    </row>
    <row r="54" spans="1:10" ht="11.25" customHeight="1" x14ac:dyDescent="0.2">
      <c r="A54" s="29">
        <v>44287</v>
      </c>
      <c r="B54" s="19">
        <v>63417.69</v>
      </c>
      <c r="C54" s="19">
        <v>64375.126795544216</v>
      </c>
      <c r="D54" s="19">
        <v>0</v>
      </c>
      <c r="E54" s="19">
        <v>0</v>
      </c>
      <c r="F54" s="19">
        <v>0</v>
      </c>
      <c r="G54" s="19">
        <v>0</v>
      </c>
      <c r="H54" s="20">
        <v>1.5097314259542083E-2</v>
      </c>
      <c r="I54" s="20">
        <v>0</v>
      </c>
      <c r="J54" s="20">
        <v>1.5097314259542083E-2</v>
      </c>
    </row>
    <row r="55" spans="1:10" ht="11.25" customHeight="1" x14ac:dyDescent="0.2">
      <c r="A55" s="29">
        <v>44317</v>
      </c>
      <c r="B55" s="19">
        <v>56207.41</v>
      </c>
      <c r="C55" s="19">
        <v>57055.990932484921</v>
      </c>
      <c r="D55" s="19">
        <v>0</v>
      </c>
      <c r="E55" s="19">
        <v>0</v>
      </c>
      <c r="F55" s="19">
        <v>0</v>
      </c>
      <c r="G55" s="19">
        <v>0</v>
      </c>
      <c r="H55" s="20">
        <v>1.5097314259541861E-2</v>
      </c>
      <c r="I55" s="20">
        <v>0</v>
      </c>
      <c r="J55" s="20">
        <v>1.5097314259541861E-2</v>
      </c>
    </row>
    <row r="56" spans="1:10" ht="11.25" customHeight="1" x14ac:dyDescent="0.2">
      <c r="A56" s="29">
        <v>44348</v>
      </c>
      <c r="B56" s="19">
        <v>55481.700000000004</v>
      </c>
      <c r="C56" s="19">
        <v>56319.324660553633</v>
      </c>
      <c r="D56" s="19">
        <v>0</v>
      </c>
      <c r="E56" s="19">
        <v>0</v>
      </c>
      <c r="F56" s="19">
        <v>0</v>
      </c>
      <c r="G56" s="19">
        <v>0</v>
      </c>
      <c r="H56" s="20">
        <v>1.5097314259541861E-2</v>
      </c>
      <c r="I56" s="20">
        <v>0</v>
      </c>
      <c r="J56" s="20">
        <v>1.5097314259541861E-2</v>
      </c>
    </row>
    <row r="57" spans="1:10" ht="11.25" customHeight="1" x14ac:dyDescent="0.2">
      <c r="A57" s="29">
        <v>44378</v>
      </c>
      <c r="B57" s="19">
        <v>55973.310000000005</v>
      </c>
      <c r="C57" s="19">
        <v>56818.356651216767</v>
      </c>
      <c r="D57" s="19">
        <v>0</v>
      </c>
      <c r="E57" s="19">
        <v>0</v>
      </c>
      <c r="F57" s="19">
        <v>0</v>
      </c>
      <c r="G57" s="19">
        <v>0</v>
      </c>
      <c r="H57" s="20">
        <v>1.5097314259541861E-2</v>
      </c>
      <c r="I57" s="20">
        <v>0</v>
      </c>
      <c r="J57" s="20">
        <v>1.5097314259541861E-2</v>
      </c>
    </row>
    <row r="58" spans="1:10" ht="11.25" customHeight="1" x14ac:dyDescent="0.2">
      <c r="A58" s="29">
        <v>44409</v>
      </c>
      <c r="B58" s="19">
        <v>57963.16</v>
      </c>
      <c r="C58" s="19">
        <v>58838.248041996114</v>
      </c>
      <c r="D58" s="19">
        <v>0</v>
      </c>
      <c r="E58" s="19">
        <v>0</v>
      </c>
      <c r="F58" s="19">
        <v>0</v>
      </c>
      <c r="G58" s="19">
        <v>0</v>
      </c>
      <c r="H58" s="20">
        <v>1.5097314259541861E-2</v>
      </c>
      <c r="I58" s="20">
        <v>0</v>
      </c>
      <c r="J58" s="20">
        <v>1.5097314259541861E-2</v>
      </c>
    </row>
    <row r="59" spans="1:10" ht="11.25" customHeight="1" x14ac:dyDescent="0.2">
      <c r="A59" s="29">
        <v>44440</v>
      </c>
      <c r="B59" s="19">
        <v>55575.340000000004</v>
      </c>
      <c r="C59" s="19">
        <v>56414.378373060892</v>
      </c>
      <c r="D59" s="19">
        <v>0</v>
      </c>
      <c r="E59" s="19">
        <v>0</v>
      </c>
      <c r="F59" s="19">
        <v>0</v>
      </c>
      <c r="G59" s="19">
        <v>0</v>
      </c>
      <c r="H59" s="20">
        <v>1.5097314259541861E-2</v>
      </c>
      <c r="I59" s="20">
        <v>0</v>
      </c>
      <c r="J59" s="20">
        <v>1.5097314259541861E-2</v>
      </c>
    </row>
    <row r="60" spans="1:10" ht="11.25" customHeight="1" x14ac:dyDescent="0.2">
      <c r="A60" s="29">
        <v>44470</v>
      </c>
      <c r="B60" s="19">
        <v>54802.810000000005</v>
      </c>
      <c r="C60" s="19">
        <v>55630.185244875967</v>
      </c>
      <c r="D60" s="19">
        <v>0</v>
      </c>
      <c r="E60" s="19">
        <v>0</v>
      </c>
      <c r="F60" s="19">
        <v>0</v>
      </c>
      <c r="G60" s="19">
        <v>0</v>
      </c>
      <c r="H60" s="20">
        <v>1.5097314259541861E-2</v>
      </c>
      <c r="I60" s="20">
        <v>0</v>
      </c>
      <c r="J60" s="20">
        <v>1.5097314259541861E-2</v>
      </c>
    </row>
    <row r="61" spans="1:10" ht="11.25" customHeight="1" x14ac:dyDescent="0.2">
      <c r="A61" s="29">
        <v>44501</v>
      </c>
      <c r="B61" s="19">
        <v>56886.3</v>
      </c>
      <c r="C61" s="19">
        <v>57745.130348162587</v>
      </c>
      <c r="D61" s="19">
        <v>0</v>
      </c>
      <c r="E61" s="19">
        <v>0</v>
      </c>
      <c r="F61" s="19">
        <v>0</v>
      </c>
      <c r="G61" s="19">
        <v>0</v>
      </c>
      <c r="H61" s="20">
        <v>1.5097314259542083E-2</v>
      </c>
      <c r="I61" s="20">
        <v>0</v>
      </c>
      <c r="J61" s="20">
        <v>1.5097314259542083E-2</v>
      </c>
    </row>
    <row r="62" spans="1:10" ht="11.25" customHeight="1" x14ac:dyDescent="0.2">
      <c r="A62" s="29">
        <v>44531</v>
      </c>
      <c r="B62" s="19">
        <v>56464.920000000006</v>
      </c>
      <c r="C62" s="19">
        <v>57317.388641879901</v>
      </c>
      <c r="D62" s="19">
        <v>0</v>
      </c>
      <c r="E62" s="19">
        <v>0</v>
      </c>
      <c r="F62" s="19">
        <v>0</v>
      </c>
      <c r="G62" s="19">
        <v>0</v>
      </c>
      <c r="H62" s="20">
        <v>1.5097314259541861E-2</v>
      </c>
      <c r="I62" s="20">
        <v>0</v>
      </c>
      <c r="J62" s="20">
        <v>1.5097314259541861E-2</v>
      </c>
    </row>
    <row r="63" spans="1:10" ht="11.25" customHeight="1" x14ac:dyDescent="0.2">
      <c r="A63" s="29">
        <v>44562</v>
      </c>
      <c r="B63" s="19">
        <v>57003.350000000006</v>
      </c>
      <c r="C63" s="19">
        <v>57863.947488796664</v>
      </c>
      <c r="D63" s="19">
        <v>0</v>
      </c>
      <c r="E63" s="19">
        <v>0</v>
      </c>
      <c r="F63" s="19">
        <v>0</v>
      </c>
      <c r="G63" s="19">
        <v>0</v>
      </c>
      <c r="H63" s="20">
        <v>1.5097314259541861E-2</v>
      </c>
      <c r="I63" s="20">
        <v>0</v>
      </c>
      <c r="J63" s="20">
        <v>1.5097314259541861E-2</v>
      </c>
    </row>
    <row r="64" spans="1:10" ht="11.25" customHeight="1" x14ac:dyDescent="0.2">
      <c r="A64" s="29">
        <v>44593</v>
      </c>
      <c r="B64" s="19">
        <v>58665.460000000006</v>
      </c>
      <c r="C64" s="19">
        <v>59551.150885800591</v>
      </c>
      <c r="D64" s="19">
        <v>0</v>
      </c>
      <c r="E64" s="19">
        <v>0</v>
      </c>
      <c r="F64" s="19">
        <v>0</v>
      </c>
      <c r="G64" s="19">
        <v>0</v>
      </c>
      <c r="H64" s="20">
        <v>1.5097314259541861E-2</v>
      </c>
      <c r="I64" s="20">
        <v>0</v>
      </c>
      <c r="J64" s="20">
        <v>1.5097314259541861E-2</v>
      </c>
    </row>
    <row r="65" spans="1:10" ht="11.25" customHeight="1" x14ac:dyDescent="0.2">
      <c r="A65" s="29">
        <v>44621</v>
      </c>
      <c r="B65" s="19">
        <v>58665.460000000006</v>
      </c>
      <c r="C65" s="19">
        <v>59551.150885800591</v>
      </c>
      <c r="D65" s="19">
        <v>0</v>
      </c>
      <c r="E65" s="19">
        <v>0</v>
      </c>
      <c r="F65" s="19">
        <v>0</v>
      </c>
      <c r="G65" s="19">
        <v>0</v>
      </c>
      <c r="H65" s="20">
        <v>1.5097314259541861E-2</v>
      </c>
      <c r="I65" s="20">
        <v>0</v>
      </c>
      <c r="J65" s="20">
        <v>1.5097314259541861E-2</v>
      </c>
    </row>
    <row r="66" spans="1:10" ht="11.25" customHeight="1" x14ac:dyDescent="0.2">
      <c r="A66" s="28" t="s">
        <v>35</v>
      </c>
      <c r="B66" s="19">
        <v>0</v>
      </c>
      <c r="C66" s="19">
        <v>0</v>
      </c>
      <c r="D66" s="19">
        <v>697139.63197999995</v>
      </c>
      <c r="E66" s="19">
        <v>716343.94531005842</v>
      </c>
      <c r="F66" s="19">
        <v>68901.509319999997</v>
      </c>
      <c r="G66" s="19">
        <v>68171.764807682543</v>
      </c>
      <c r="H66" s="20">
        <v>2.7547298201243908E-2</v>
      </c>
      <c r="I66" s="20">
        <v>-1.059112520929395E-2</v>
      </c>
      <c r="J66" s="20">
        <v>2.4116940751235827E-2</v>
      </c>
    </row>
    <row r="67" spans="1:10" ht="11.25" customHeight="1" x14ac:dyDescent="0.2">
      <c r="A67" s="29">
        <v>44287</v>
      </c>
      <c r="B67" s="19">
        <v>0</v>
      </c>
      <c r="C67" s="19">
        <v>0</v>
      </c>
      <c r="D67" s="19">
        <v>61127.977899999991</v>
      </c>
      <c r="E67" s="19">
        <v>62811.888535650345</v>
      </c>
      <c r="F67" s="19">
        <v>6041.5585999999994</v>
      </c>
      <c r="G67" s="19">
        <v>5977.5716964081121</v>
      </c>
      <c r="H67" s="20">
        <v>2.754729820124413E-2</v>
      </c>
      <c r="I67" s="20">
        <v>-1.0591125209294061E-2</v>
      </c>
      <c r="J67" s="20">
        <v>2.4116940751235827E-2</v>
      </c>
    </row>
    <row r="68" spans="1:10" ht="11.25" customHeight="1" x14ac:dyDescent="0.2">
      <c r="A68" s="29">
        <v>44317</v>
      </c>
      <c r="B68" s="19">
        <v>0</v>
      </c>
      <c r="C68" s="19">
        <v>0</v>
      </c>
      <c r="D68" s="19">
        <v>44264.306899999996</v>
      </c>
      <c r="E68" s="19">
        <v>45483.66896184568</v>
      </c>
      <c r="F68" s="19">
        <v>4374.8445999999994</v>
      </c>
      <c r="G68" s="19">
        <v>4328.5100730701952</v>
      </c>
      <c r="H68" s="20">
        <v>2.754729820124413E-2</v>
      </c>
      <c r="I68" s="20">
        <v>-1.0591125209294172E-2</v>
      </c>
      <c r="J68" s="20">
        <v>2.4116940751235827E-2</v>
      </c>
    </row>
    <row r="69" spans="1:10" ht="11.25" customHeight="1" x14ac:dyDescent="0.2">
      <c r="A69" s="29">
        <v>44348</v>
      </c>
      <c r="B69" s="19">
        <v>0</v>
      </c>
      <c r="C69" s="19">
        <v>0</v>
      </c>
      <c r="D69" s="19">
        <v>40988.906640000001</v>
      </c>
      <c r="E69" s="19">
        <v>42118.040274155035</v>
      </c>
      <c r="F69" s="19">
        <v>4051.12176</v>
      </c>
      <c r="G69" s="19">
        <v>4008.2158222017442</v>
      </c>
      <c r="H69" s="20">
        <v>2.754729820124413E-2</v>
      </c>
      <c r="I69" s="20">
        <v>-1.0591125209294061E-2</v>
      </c>
      <c r="J69" s="20">
        <v>2.4116940751235827E-2</v>
      </c>
    </row>
    <row r="70" spans="1:10" ht="11.25" customHeight="1" x14ac:dyDescent="0.2">
      <c r="A70" s="29">
        <v>44378</v>
      </c>
      <c r="B70" s="19">
        <v>0</v>
      </c>
      <c r="C70" s="19">
        <v>0</v>
      </c>
      <c r="D70" s="19">
        <v>53246.192339999994</v>
      </c>
      <c r="E70" s="19">
        <v>54712.981078470773</v>
      </c>
      <c r="F70" s="19">
        <v>5262.56556</v>
      </c>
      <c r="G70" s="19">
        <v>5206.8290692319215</v>
      </c>
      <c r="H70" s="20">
        <v>2.754729820124413E-2</v>
      </c>
      <c r="I70" s="20">
        <v>-1.0591125209294061E-2</v>
      </c>
      <c r="J70" s="20">
        <v>2.4116940751235827E-2</v>
      </c>
    </row>
    <row r="71" spans="1:10" ht="11.25" customHeight="1" x14ac:dyDescent="0.2">
      <c r="A71" s="29">
        <v>44409</v>
      </c>
      <c r="B71" s="19">
        <v>0</v>
      </c>
      <c r="C71" s="19">
        <v>0</v>
      </c>
      <c r="D71" s="19">
        <v>76506.740420000002</v>
      </c>
      <c r="E71" s="19">
        <v>78614.294412754898</v>
      </c>
      <c r="F71" s="19">
        <v>7561.5122799999999</v>
      </c>
      <c r="G71" s="19">
        <v>7481.4273566709044</v>
      </c>
      <c r="H71" s="20">
        <v>2.7547298201243908E-2</v>
      </c>
      <c r="I71" s="20">
        <v>-1.0591125209294172E-2</v>
      </c>
      <c r="J71" s="20">
        <v>2.4116940751235605E-2</v>
      </c>
    </row>
    <row r="72" spans="1:10" ht="11.25" customHeight="1" x14ac:dyDescent="0.2">
      <c r="A72" s="29">
        <v>44440</v>
      </c>
      <c r="B72" s="19">
        <v>0</v>
      </c>
      <c r="C72" s="19">
        <v>0</v>
      </c>
      <c r="D72" s="19">
        <v>57746.189379999996</v>
      </c>
      <c r="E72" s="19">
        <v>59336.940878836365</v>
      </c>
      <c r="F72" s="19">
        <v>5707.3209199999992</v>
      </c>
      <c r="G72" s="19">
        <v>5646.8739695266559</v>
      </c>
      <c r="H72" s="20">
        <v>2.7547298201243908E-2</v>
      </c>
      <c r="I72" s="20">
        <v>-1.0591125209294061E-2</v>
      </c>
      <c r="J72" s="20">
        <v>2.4116940751235827E-2</v>
      </c>
    </row>
    <row r="73" spans="1:10" ht="11.25" customHeight="1" x14ac:dyDescent="0.2">
      <c r="A73" s="29">
        <v>44470</v>
      </c>
      <c r="B73" s="19">
        <v>0</v>
      </c>
      <c r="C73" s="19">
        <v>0</v>
      </c>
      <c r="D73" s="19">
        <v>43075.9274</v>
      </c>
      <c r="E73" s="19">
        <v>44262.552817382937</v>
      </c>
      <c r="F73" s="19">
        <v>4257.3915999999999</v>
      </c>
      <c r="G73" s="19">
        <v>4212.3010324994029</v>
      </c>
      <c r="H73" s="20">
        <v>2.7547298201243908E-2</v>
      </c>
      <c r="I73" s="20">
        <v>-1.0591125209294061E-2</v>
      </c>
      <c r="J73" s="20">
        <v>2.4116940751235605E-2</v>
      </c>
    </row>
    <row r="74" spans="1:10" ht="11.25" customHeight="1" x14ac:dyDescent="0.2">
      <c r="A74" s="29">
        <v>44501</v>
      </c>
      <c r="B74" s="19">
        <v>0</v>
      </c>
      <c r="C74" s="19">
        <v>0</v>
      </c>
      <c r="D74" s="19">
        <v>51057.31048</v>
      </c>
      <c r="E74" s="19">
        <v>52463.801437146059</v>
      </c>
      <c r="F74" s="19">
        <v>5046.2283200000002</v>
      </c>
      <c r="G74" s="19">
        <v>4992.783084028194</v>
      </c>
      <c r="H74" s="20">
        <v>2.7547298201243908E-2</v>
      </c>
      <c r="I74" s="20">
        <v>-1.0591125209294172E-2</v>
      </c>
      <c r="J74" s="20">
        <v>2.4116940751235605E-2</v>
      </c>
    </row>
    <row r="75" spans="1:10" ht="11.25" customHeight="1" x14ac:dyDescent="0.2">
      <c r="A75" s="29">
        <v>44531</v>
      </c>
      <c r="B75" s="19">
        <v>0</v>
      </c>
      <c r="C75" s="19">
        <v>0</v>
      </c>
      <c r="D75" s="19">
        <v>57069.378959999995</v>
      </c>
      <c r="E75" s="19">
        <v>58641.486160370921</v>
      </c>
      <c r="F75" s="19">
        <v>5640.4286400000001</v>
      </c>
      <c r="G75" s="19">
        <v>5580.6901540396711</v>
      </c>
      <c r="H75" s="20">
        <v>2.754729820124413E-2</v>
      </c>
      <c r="I75" s="20">
        <v>-1.0591125209294172E-2</v>
      </c>
      <c r="J75" s="20">
        <v>2.4116940751235827E-2</v>
      </c>
    </row>
    <row r="76" spans="1:10" ht="11.25" customHeight="1" x14ac:dyDescent="0.2">
      <c r="A76" s="29">
        <v>44562</v>
      </c>
      <c r="B76" s="19">
        <v>0</v>
      </c>
      <c r="C76" s="19">
        <v>0</v>
      </c>
      <c r="D76" s="19">
        <v>55063.84708</v>
      </c>
      <c r="E76" s="19">
        <v>56580.707295620457</v>
      </c>
      <c r="F76" s="19">
        <v>5442.2127200000004</v>
      </c>
      <c r="G76" s="19">
        <v>5384.5735636668669</v>
      </c>
      <c r="H76" s="20">
        <v>2.7547298201243908E-2</v>
      </c>
      <c r="I76" s="20">
        <v>-1.0591125209294172E-2</v>
      </c>
      <c r="J76" s="20">
        <v>2.4116940751235605E-2</v>
      </c>
    </row>
    <row r="77" spans="1:10" ht="11.25" customHeight="1" x14ac:dyDescent="0.2">
      <c r="A77" s="29">
        <v>44593</v>
      </c>
      <c r="B77" s="19">
        <v>0</v>
      </c>
      <c r="C77" s="19">
        <v>0</v>
      </c>
      <c r="D77" s="19">
        <v>78496.42723999999</v>
      </c>
      <c r="E77" s="19">
        <v>80658.791728912518</v>
      </c>
      <c r="F77" s="19">
        <v>7758.1621599999989</v>
      </c>
      <c r="G77" s="19">
        <v>7675.9944931694317</v>
      </c>
      <c r="H77" s="20">
        <v>2.7547298201243908E-2</v>
      </c>
      <c r="I77" s="20">
        <v>-1.0591125209294061E-2</v>
      </c>
      <c r="J77" s="20">
        <v>2.4116940751235827E-2</v>
      </c>
    </row>
    <row r="78" spans="1:10" ht="11.25" customHeight="1" x14ac:dyDescent="0.2">
      <c r="A78" s="29">
        <v>44621</v>
      </c>
      <c r="B78" s="19">
        <v>0</v>
      </c>
      <c r="C78" s="19">
        <v>0</v>
      </c>
      <c r="D78" s="19">
        <v>78496.42723999999</v>
      </c>
      <c r="E78" s="19">
        <v>80658.791728912518</v>
      </c>
      <c r="F78" s="19">
        <v>7758.1621599999989</v>
      </c>
      <c r="G78" s="19">
        <v>7675.9944931694317</v>
      </c>
      <c r="H78" s="20">
        <v>2.7547298201243908E-2</v>
      </c>
      <c r="I78" s="20">
        <v>-1.0591125209294061E-2</v>
      </c>
      <c r="J78" s="20">
        <v>2.4116940751235827E-2</v>
      </c>
    </row>
    <row r="79" spans="1:10" ht="11.25" customHeight="1" x14ac:dyDescent="0.2">
      <c r="A79" s="24" t="s">
        <v>38</v>
      </c>
      <c r="B79" s="19">
        <v>947519.75</v>
      </c>
      <c r="C79" s="19">
        <v>961824.75343287247</v>
      </c>
      <c r="D79" s="19">
        <v>1233463.7733800001</v>
      </c>
      <c r="E79" s="19">
        <v>1400752.9028656681</v>
      </c>
      <c r="F79" s="19">
        <v>1160684.1929199998</v>
      </c>
      <c r="G79" s="19">
        <v>1148391.2413043361</v>
      </c>
      <c r="H79" s="20">
        <v>8.326249647091033E-2</v>
      </c>
      <c r="I79" s="20">
        <v>-1.0591125209293506E-2</v>
      </c>
      <c r="J79" s="20">
        <v>5.0663679239279169E-2</v>
      </c>
    </row>
    <row r="80" spans="1:10" ht="11.25" customHeight="1" x14ac:dyDescent="0.2">
      <c r="A80" s="25" t="s">
        <v>25</v>
      </c>
      <c r="B80" s="19">
        <v>947519.75</v>
      </c>
      <c r="C80" s="19">
        <v>961824.75343287247</v>
      </c>
      <c r="D80" s="19">
        <v>1233463.7733800001</v>
      </c>
      <c r="E80" s="19">
        <v>1400752.9028656681</v>
      </c>
      <c r="F80" s="19">
        <v>1160684.1929199998</v>
      </c>
      <c r="G80" s="19">
        <v>1148391.2413043361</v>
      </c>
      <c r="H80" s="20">
        <v>8.326249647091033E-2</v>
      </c>
      <c r="I80" s="20">
        <v>-1.0591125209293506E-2</v>
      </c>
      <c r="J80" s="20">
        <v>5.0663679239279169E-2</v>
      </c>
    </row>
    <row r="81" spans="1:10" ht="11.25" customHeight="1" x14ac:dyDescent="0.2">
      <c r="A81" s="26" t="s">
        <v>25</v>
      </c>
      <c r="B81" s="19">
        <v>947519.75</v>
      </c>
      <c r="C81" s="19">
        <v>961824.75343287247</v>
      </c>
      <c r="D81" s="19">
        <v>1233463.7733800001</v>
      </c>
      <c r="E81" s="19">
        <v>1400752.9028656681</v>
      </c>
      <c r="F81" s="19">
        <v>1160684.1929199998</v>
      </c>
      <c r="G81" s="19">
        <v>1148391.2413043361</v>
      </c>
      <c r="H81" s="20">
        <v>8.326249647091033E-2</v>
      </c>
      <c r="I81" s="20">
        <v>-1.0591125209293506E-2</v>
      </c>
      <c r="J81" s="20">
        <v>5.0663679239279169E-2</v>
      </c>
    </row>
    <row r="82" spans="1:10" ht="11.25" customHeight="1" x14ac:dyDescent="0.2">
      <c r="A82" s="27" t="s">
        <v>25</v>
      </c>
      <c r="B82" s="19">
        <v>947519.75</v>
      </c>
      <c r="C82" s="19">
        <v>961824.75343287247</v>
      </c>
      <c r="D82" s="19">
        <v>1233463.7733800001</v>
      </c>
      <c r="E82" s="19">
        <v>1400752.9028656681</v>
      </c>
      <c r="F82" s="19">
        <v>1160684.1929199998</v>
      </c>
      <c r="G82" s="19">
        <v>1148391.2413043361</v>
      </c>
      <c r="H82" s="20">
        <v>8.326249647091033E-2</v>
      </c>
      <c r="I82" s="20">
        <v>-1.0591125209293506E-2</v>
      </c>
      <c r="J82" s="20">
        <v>5.0663679239279169E-2</v>
      </c>
    </row>
    <row r="83" spans="1:10" ht="11.25" customHeight="1" x14ac:dyDescent="0.2">
      <c r="A83" s="28" t="s">
        <v>36</v>
      </c>
      <c r="B83" s="19">
        <v>0</v>
      </c>
      <c r="C83" s="19">
        <v>0</v>
      </c>
      <c r="D83" s="19">
        <v>346432.41519999999</v>
      </c>
      <c r="E83" s="19">
        <v>489286.22734802915</v>
      </c>
      <c r="F83" s="19">
        <v>1073014.8128</v>
      </c>
      <c r="G83" s="19">
        <v>1061650.3785662078</v>
      </c>
      <c r="H83" s="20">
        <v>0.41235694432796621</v>
      </c>
      <c r="I83" s="20">
        <v>-1.059112520929395E-2</v>
      </c>
      <c r="J83" s="20">
        <v>9.2634213742138094E-2</v>
      </c>
    </row>
    <row r="84" spans="1:10" ht="11.25" customHeight="1" x14ac:dyDescent="0.2">
      <c r="A84" s="29">
        <v>44287</v>
      </c>
      <c r="B84" s="19">
        <v>0</v>
      </c>
      <c r="C84" s="19">
        <v>0</v>
      </c>
      <c r="D84" s="19">
        <v>84032.309769999993</v>
      </c>
      <c r="E84" s="19">
        <v>118683.61625157826</v>
      </c>
      <c r="F84" s="19">
        <v>260275.62427999996</v>
      </c>
      <c r="G84" s="19">
        <v>257519.0125543233</v>
      </c>
      <c r="H84" s="20">
        <v>0.41235694432796599</v>
      </c>
      <c r="I84" s="20">
        <v>-1.0591125209294061E-2</v>
      </c>
      <c r="J84" s="20">
        <v>9.2634213742137872E-2</v>
      </c>
    </row>
    <row r="85" spans="1:10" ht="11.25" customHeight="1" x14ac:dyDescent="0.2">
      <c r="A85" s="29">
        <v>44317</v>
      </c>
      <c r="B85" s="19">
        <v>0</v>
      </c>
      <c r="C85" s="19">
        <v>0</v>
      </c>
      <c r="D85" s="19">
        <v>64227.349380000007</v>
      </c>
      <c r="E85" s="19">
        <v>90711.942912621482</v>
      </c>
      <c r="F85" s="19">
        <v>198933.16631999999</v>
      </c>
      <c r="G85" s="19">
        <v>196826.24024722356</v>
      </c>
      <c r="H85" s="20">
        <v>0.41235694432796577</v>
      </c>
      <c r="I85" s="20">
        <v>-1.0591125209294061E-2</v>
      </c>
      <c r="J85" s="20">
        <v>9.2634213742138094E-2</v>
      </c>
    </row>
    <row r="86" spans="1:10" ht="11.25" customHeight="1" x14ac:dyDescent="0.2">
      <c r="A86" s="29">
        <v>44348</v>
      </c>
      <c r="B86" s="19">
        <v>0</v>
      </c>
      <c r="C86" s="19">
        <v>0</v>
      </c>
      <c r="D86" s="19">
        <v>26927.705150000002</v>
      </c>
      <c r="E86" s="19">
        <v>38031.531363418435</v>
      </c>
      <c r="F86" s="19">
        <v>83403.934600000008</v>
      </c>
      <c r="G86" s="19">
        <v>82520.593085703615</v>
      </c>
      <c r="H86" s="20">
        <v>0.41235694432796599</v>
      </c>
      <c r="I86" s="20">
        <v>-1.0591125209294283E-2</v>
      </c>
      <c r="J86" s="20">
        <v>9.2634213742137872E-2</v>
      </c>
    </row>
    <row r="87" spans="1:10" ht="11.25" customHeight="1" x14ac:dyDescent="0.2">
      <c r="A87" s="29">
        <v>44378</v>
      </c>
      <c r="B87" s="19">
        <v>0</v>
      </c>
      <c r="C87" s="19">
        <v>0</v>
      </c>
      <c r="D87" s="19">
        <v>20955.367600000001</v>
      </c>
      <c r="E87" s="19">
        <v>29596.458950805263</v>
      </c>
      <c r="F87" s="19">
        <v>64905.646399999998</v>
      </c>
      <c r="G87" s="19">
        <v>64218.222572187427</v>
      </c>
      <c r="H87" s="20">
        <v>0.41235694432796599</v>
      </c>
      <c r="I87" s="20">
        <v>-1.0591125209294172E-2</v>
      </c>
      <c r="J87" s="20">
        <v>9.2634213742137872E-2</v>
      </c>
    </row>
    <row r="88" spans="1:10" ht="11.25" customHeight="1" x14ac:dyDescent="0.2">
      <c r="A88" s="29">
        <v>44409</v>
      </c>
      <c r="B88" s="19">
        <v>0</v>
      </c>
      <c r="C88" s="19">
        <v>0</v>
      </c>
      <c r="D88" s="19">
        <v>19482.308980000002</v>
      </c>
      <c r="E88" s="19">
        <v>27515.974379446092</v>
      </c>
      <c r="F88" s="19">
        <v>60343.100720000002</v>
      </c>
      <c r="G88" s="19">
        <v>59703.99938475743</v>
      </c>
      <c r="H88" s="20">
        <v>0.41235694432796577</v>
      </c>
      <c r="I88" s="20">
        <v>-1.0591125209294172E-2</v>
      </c>
      <c r="J88" s="20">
        <v>9.263421374213765E-2</v>
      </c>
    </row>
    <row r="89" spans="1:10" ht="11.25" customHeight="1" x14ac:dyDescent="0.2">
      <c r="A89" s="29">
        <v>44440</v>
      </c>
      <c r="B89" s="19">
        <v>0</v>
      </c>
      <c r="C89" s="19">
        <v>0</v>
      </c>
      <c r="D89" s="19">
        <v>19758.227580000002</v>
      </c>
      <c r="E89" s="19">
        <v>27905.66993022534</v>
      </c>
      <c r="F89" s="19">
        <v>61197.71112</v>
      </c>
      <c r="G89" s="19">
        <v>60549.558499005863</v>
      </c>
      <c r="H89" s="20">
        <v>0.41235694432796577</v>
      </c>
      <c r="I89" s="20">
        <v>-1.0591125209294172E-2</v>
      </c>
      <c r="J89" s="20">
        <v>9.2634213742137872E-2</v>
      </c>
    </row>
    <row r="90" spans="1:10" ht="11.25" customHeight="1" x14ac:dyDescent="0.2">
      <c r="A90" s="29">
        <v>44470</v>
      </c>
      <c r="B90" s="19">
        <v>0</v>
      </c>
      <c r="C90" s="19">
        <v>0</v>
      </c>
      <c r="D90" s="19">
        <v>20106.809560000002</v>
      </c>
      <c r="E90" s="19">
        <v>28397.992110345935</v>
      </c>
      <c r="F90" s="19">
        <v>62277.383840000002</v>
      </c>
      <c r="G90" s="19">
        <v>61617.796270043291</v>
      </c>
      <c r="H90" s="20">
        <v>0.41235694432796599</v>
      </c>
      <c r="I90" s="20">
        <v>-1.0591125209294172E-2</v>
      </c>
      <c r="J90" s="20">
        <v>9.263421374213765E-2</v>
      </c>
    </row>
    <row r="91" spans="1:10" ht="11.25" customHeight="1" x14ac:dyDescent="0.2">
      <c r="A91" s="29">
        <v>44501</v>
      </c>
      <c r="B91" s="19">
        <v>0</v>
      </c>
      <c r="C91" s="19">
        <v>0</v>
      </c>
      <c r="D91" s="19">
        <v>17005.036670000001</v>
      </c>
      <c r="E91" s="19">
        <v>24017.18162942621</v>
      </c>
      <c r="F91" s="19">
        <v>52670.175880000003</v>
      </c>
      <c r="G91" s="19">
        <v>52112.339452459382</v>
      </c>
      <c r="H91" s="20">
        <v>0.41235694432796577</v>
      </c>
      <c r="I91" s="20">
        <v>-1.0591125209294061E-2</v>
      </c>
      <c r="J91" s="20">
        <v>9.2634213742137872E-2</v>
      </c>
    </row>
    <row r="92" spans="1:10" ht="11.25" customHeight="1" x14ac:dyDescent="0.2">
      <c r="A92" s="29">
        <v>44531</v>
      </c>
      <c r="B92" s="19">
        <v>0</v>
      </c>
      <c r="C92" s="19">
        <v>0</v>
      </c>
      <c r="D92" s="19">
        <v>19140.95</v>
      </c>
      <c r="E92" s="19">
        <v>27033.853653534377</v>
      </c>
      <c r="F92" s="19">
        <v>59285.799999999996</v>
      </c>
      <c r="G92" s="19">
        <v>58657.896669066831</v>
      </c>
      <c r="H92" s="20">
        <v>0.41235694432796577</v>
      </c>
      <c r="I92" s="20">
        <v>-1.0591125209294061E-2</v>
      </c>
      <c r="J92" s="20">
        <v>9.2634213742137872E-2</v>
      </c>
    </row>
    <row r="93" spans="1:10" ht="11.25" customHeight="1" x14ac:dyDescent="0.2">
      <c r="A93" s="29">
        <v>44562</v>
      </c>
      <c r="B93" s="19">
        <v>0</v>
      </c>
      <c r="C93" s="19">
        <v>0</v>
      </c>
      <c r="D93" s="19">
        <v>16465.911950000002</v>
      </c>
      <c r="E93" s="19">
        <v>23255.74508727534</v>
      </c>
      <c r="F93" s="19">
        <v>51000.3298</v>
      </c>
      <c r="G93" s="19">
        <v>50460.178921372906</v>
      </c>
      <c r="H93" s="20">
        <v>0.41235694432796577</v>
      </c>
      <c r="I93" s="20">
        <v>-1.0591125209294061E-2</v>
      </c>
      <c r="J93" s="20">
        <v>9.2634213742137872E-2</v>
      </c>
    </row>
    <row r="94" spans="1:10" ht="11.25" customHeight="1" x14ac:dyDescent="0.2">
      <c r="A94" s="29">
        <v>44593</v>
      </c>
      <c r="B94" s="19">
        <v>0</v>
      </c>
      <c r="C94" s="19">
        <v>0</v>
      </c>
      <c r="D94" s="19">
        <v>19165.219280000001</v>
      </c>
      <c r="E94" s="19">
        <v>27068.130539676218</v>
      </c>
      <c r="F94" s="19">
        <v>59360.969920000003</v>
      </c>
      <c r="G94" s="19">
        <v>58732.270455032136</v>
      </c>
      <c r="H94" s="20">
        <v>0.41235694432796577</v>
      </c>
      <c r="I94" s="20">
        <v>-1.0591125209294172E-2</v>
      </c>
      <c r="J94" s="20">
        <v>9.263421374213765E-2</v>
      </c>
    </row>
    <row r="95" spans="1:10" ht="11.25" customHeight="1" x14ac:dyDescent="0.2">
      <c r="A95" s="29">
        <v>44621</v>
      </c>
      <c r="B95" s="19">
        <v>0</v>
      </c>
      <c r="C95" s="19">
        <v>0</v>
      </c>
      <c r="D95" s="19">
        <v>19165.219280000001</v>
      </c>
      <c r="E95" s="19">
        <v>27068.130539676218</v>
      </c>
      <c r="F95" s="19">
        <v>59360.969920000003</v>
      </c>
      <c r="G95" s="19">
        <v>58732.270455032136</v>
      </c>
      <c r="H95" s="20">
        <v>0.41235694432796577</v>
      </c>
      <c r="I95" s="20">
        <v>-1.0591125209294172E-2</v>
      </c>
      <c r="J95" s="20">
        <v>9.263421374213765E-2</v>
      </c>
    </row>
    <row r="96" spans="1:10" ht="11.25" customHeight="1" x14ac:dyDescent="0.2">
      <c r="A96" s="28" t="s">
        <v>25</v>
      </c>
      <c r="B96" s="19">
        <v>947519.75</v>
      </c>
      <c r="C96" s="19">
        <v>961824.75343287247</v>
      </c>
      <c r="D96" s="19">
        <v>0</v>
      </c>
      <c r="E96" s="19">
        <v>0</v>
      </c>
      <c r="F96" s="19">
        <v>0</v>
      </c>
      <c r="G96" s="19">
        <v>0</v>
      </c>
      <c r="H96" s="20">
        <v>1.5097314259542083E-2</v>
      </c>
      <c r="I96" s="20">
        <v>0</v>
      </c>
      <c r="J96" s="20">
        <v>1.5097314259542083E-2</v>
      </c>
    </row>
    <row r="97" spans="1:10" ht="11.25" customHeight="1" x14ac:dyDescent="0.2">
      <c r="A97" s="29">
        <v>44287</v>
      </c>
      <c r="B97" s="19">
        <v>171384.61000000002</v>
      </c>
      <c r="C97" s="19">
        <v>173972.05731641906</v>
      </c>
      <c r="D97" s="19">
        <v>0</v>
      </c>
      <c r="E97" s="19">
        <v>0</v>
      </c>
      <c r="F97" s="19">
        <v>0</v>
      </c>
      <c r="G97" s="19">
        <v>0</v>
      </c>
      <c r="H97" s="20">
        <v>1.5097314259542083E-2</v>
      </c>
      <c r="I97" s="20">
        <v>0</v>
      </c>
      <c r="J97" s="20">
        <v>1.5097314259542083E-2</v>
      </c>
    </row>
    <row r="98" spans="1:10" ht="11.25" customHeight="1" x14ac:dyDescent="0.2">
      <c r="A98" s="29">
        <v>44317</v>
      </c>
      <c r="B98" s="19">
        <v>164314.79</v>
      </c>
      <c r="C98" s="19">
        <v>166795.50202212064</v>
      </c>
      <c r="D98" s="19">
        <v>0</v>
      </c>
      <c r="E98" s="19">
        <v>0</v>
      </c>
      <c r="F98" s="19">
        <v>0</v>
      </c>
      <c r="G98" s="19">
        <v>0</v>
      </c>
      <c r="H98" s="20">
        <v>1.5097314259541861E-2</v>
      </c>
      <c r="I98" s="20">
        <v>0</v>
      </c>
      <c r="J98" s="20">
        <v>1.5097314259541861E-2</v>
      </c>
    </row>
    <row r="99" spans="1:10" ht="11.25" customHeight="1" x14ac:dyDescent="0.2">
      <c r="A99" s="29">
        <v>44348</v>
      </c>
      <c r="B99" s="19">
        <v>103050.82</v>
      </c>
      <c r="C99" s="19">
        <v>104606.6106142435</v>
      </c>
      <c r="D99" s="19">
        <v>0</v>
      </c>
      <c r="E99" s="19">
        <v>0</v>
      </c>
      <c r="F99" s="19">
        <v>0</v>
      </c>
      <c r="G99" s="19">
        <v>0</v>
      </c>
      <c r="H99" s="20">
        <v>1.5097314259542083E-2</v>
      </c>
      <c r="I99" s="20">
        <v>0</v>
      </c>
      <c r="J99" s="20">
        <v>1.5097314259542083E-2</v>
      </c>
    </row>
    <row r="100" spans="1:10" ht="11.25" customHeight="1" x14ac:dyDescent="0.2">
      <c r="A100" s="29">
        <v>44378</v>
      </c>
      <c r="B100" s="19">
        <v>54779.4</v>
      </c>
      <c r="C100" s="19">
        <v>55606.421816749156</v>
      </c>
      <c r="D100" s="19">
        <v>0</v>
      </c>
      <c r="E100" s="19">
        <v>0</v>
      </c>
      <c r="F100" s="19">
        <v>0</v>
      </c>
      <c r="G100" s="19">
        <v>0</v>
      </c>
      <c r="H100" s="20">
        <v>1.5097314259542083E-2</v>
      </c>
      <c r="I100" s="20">
        <v>0</v>
      </c>
      <c r="J100" s="20">
        <v>1.5097314259542083E-2</v>
      </c>
    </row>
    <row r="101" spans="1:10" ht="11.25" customHeight="1" x14ac:dyDescent="0.2">
      <c r="A101" s="29">
        <v>44409</v>
      </c>
      <c r="B101" s="19">
        <v>54170.74</v>
      </c>
      <c r="C101" s="19">
        <v>54988.572685451938</v>
      </c>
      <c r="D101" s="19">
        <v>0</v>
      </c>
      <c r="E101" s="19">
        <v>0</v>
      </c>
      <c r="F101" s="19">
        <v>0</v>
      </c>
      <c r="G101" s="19">
        <v>0</v>
      </c>
      <c r="H101" s="20">
        <v>1.5097314259541861E-2</v>
      </c>
      <c r="I101" s="20">
        <v>0</v>
      </c>
      <c r="J101" s="20">
        <v>1.5097314259541861E-2</v>
      </c>
    </row>
    <row r="102" spans="1:10" ht="11.25" customHeight="1" x14ac:dyDescent="0.2">
      <c r="A102" s="29">
        <v>44440</v>
      </c>
      <c r="B102" s="19">
        <v>55341.24</v>
      </c>
      <c r="C102" s="19">
        <v>56176.744091792738</v>
      </c>
      <c r="D102" s="19">
        <v>0</v>
      </c>
      <c r="E102" s="19">
        <v>0</v>
      </c>
      <c r="F102" s="19">
        <v>0</v>
      </c>
      <c r="G102" s="19">
        <v>0</v>
      </c>
      <c r="H102" s="20">
        <v>1.5097314259542083E-2</v>
      </c>
      <c r="I102" s="20">
        <v>0</v>
      </c>
      <c r="J102" s="20">
        <v>1.5097314259542083E-2</v>
      </c>
    </row>
    <row r="103" spans="1:10" ht="11.25" customHeight="1" x14ac:dyDescent="0.2">
      <c r="A103" s="29">
        <v>44470</v>
      </c>
      <c r="B103" s="19">
        <v>56605.38</v>
      </c>
      <c r="C103" s="19">
        <v>57459.969210640789</v>
      </c>
      <c r="D103" s="19">
        <v>0</v>
      </c>
      <c r="E103" s="19">
        <v>0</v>
      </c>
      <c r="F103" s="19">
        <v>0</v>
      </c>
      <c r="G103" s="19">
        <v>0</v>
      </c>
      <c r="H103" s="20">
        <v>1.5097314259541861E-2</v>
      </c>
      <c r="I103" s="20">
        <v>0</v>
      </c>
      <c r="J103" s="20">
        <v>1.5097314259541861E-2</v>
      </c>
    </row>
    <row r="104" spans="1:10" ht="11.25" customHeight="1" x14ac:dyDescent="0.2">
      <c r="A104" s="29">
        <v>44501</v>
      </c>
      <c r="B104" s="19">
        <v>55411.469999999994</v>
      </c>
      <c r="C104" s="19">
        <v>56248.034376173186</v>
      </c>
      <c r="D104" s="19">
        <v>0</v>
      </c>
      <c r="E104" s="19">
        <v>0</v>
      </c>
      <c r="F104" s="19">
        <v>0</v>
      </c>
      <c r="G104" s="19">
        <v>0</v>
      </c>
      <c r="H104" s="20">
        <v>1.5097314259542083E-2</v>
      </c>
      <c r="I104" s="20">
        <v>0</v>
      </c>
      <c r="J104" s="20">
        <v>1.5097314259542083E-2</v>
      </c>
    </row>
    <row r="105" spans="1:10" ht="11.25" customHeight="1" x14ac:dyDescent="0.2">
      <c r="A105" s="29">
        <v>44531</v>
      </c>
      <c r="B105" s="19">
        <v>52485.219999999994</v>
      </c>
      <c r="C105" s="19">
        <v>53277.6058603212</v>
      </c>
      <c r="D105" s="19">
        <v>0</v>
      </c>
      <c r="E105" s="19">
        <v>0</v>
      </c>
      <c r="F105" s="19">
        <v>0</v>
      </c>
      <c r="G105" s="19">
        <v>0</v>
      </c>
      <c r="H105" s="20">
        <v>1.5097314259542083E-2</v>
      </c>
      <c r="I105" s="20">
        <v>0</v>
      </c>
      <c r="J105" s="20">
        <v>1.5097314259542083E-2</v>
      </c>
    </row>
    <row r="106" spans="1:10" ht="11.25" customHeight="1" x14ac:dyDescent="0.2">
      <c r="A106" s="29">
        <v>44562</v>
      </c>
      <c r="B106" s="19">
        <v>59835.96</v>
      </c>
      <c r="C106" s="19">
        <v>60739.322292141384</v>
      </c>
      <c r="D106" s="19">
        <v>0</v>
      </c>
      <c r="E106" s="19">
        <v>0</v>
      </c>
      <c r="F106" s="19">
        <v>0</v>
      </c>
      <c r="G106" s="19">
        <v>0</v>
      </c>
      <c r="H106" s="20">
        <v>1.5097314259542083E-2</v>
      </c>
      <c r="I106" s="20">
        <v>0</v>
      </c>
      <c r="J106" s="20">
        <v>1.5097314259542083E-2</v>
      </c>
    </row>
    <row r="107" spans="1:10" ht="11.25" customHeight="1" x14ac:dyDescent="0.2">
      <c r="A107" s="29">
        <v>44593</v>
      </c>
      <c r="B107" s="19">
        <v>60070.06</v>
      </c>
      <c r="C107" s="19">
        <v>60976.956573409545</v>
      </c>
      <c r="D107" s="19">
        <v>0</v>
      </c>
      <c r="E107" s="19">
        <v>0</v>
      </c>
      <c r="F107" s="19">
        <v>0</v>
      </c>
      <c r="G107" s="19">
        <v>0</v>
      </c>
      <c r="H107" s="20">
        <v>1.5097314259542083E-2</v>
      </c>
      <c r="I107" s="20">
        <v>0</v>
      </c>
      <c r="J107" s="20">
        <v>1.5097314259542083E-2</v>
      </c>
    </row>
    <row r="108" spans="1:10" ht="11.25" customHeight="1" x14ac:dyDescent="0.2">
      <c r="A108" s="29">
        <v>44621</v>
      </c>
      <c r="B108" s="19">
        <v>60070.06</v>
      </c>
      <c r="C108" s="19">
        <v>60976.956573409545</v>
      </c>
      <c r="D108" s="19">
        <v>0</v>
      </c>
      <c r="E108" s="19">
        <v>0</v>
      </c>
      <c r="F108" s="19">
        <v>0</v>
      </c>
      <c r="G108" s="19">
        <v>0</v>
      </c>
      <c r="H108" s="20">
        <v>1.5097314259542083E-2</v>
      </c>
      <c r="I108" s="20">
        <v>0</v>
      </c>
      <c r="J108" s="20">
        <v>1.5097314259542083E-2</v>
      </c>
    </row>
    <row r="109" spans="1:10" ht="11.25" customHeight="1" x14ac:dyDescent="0.2">
      <c r="A109" s="28" t="s">
        <v>35</v>
      </c>
      <c r="B109" s="19">
        <v>0</v>
      </c>
      <c r="C109" s="19">
        <v>0</v>
      </c>
      <c r="D109" s="19">
        <v>887031.35818000021</v>
      </c>
      <c r="E109" s="19">
        <v>911466.67551763868</v>
      </c>
      <c r="F109" s="19">
        <v>87669.380120000016</v>
      </c>
      <c r="G109" s="19">
        <v>86740.862738127864</v>
      </c>
      <c r="H109" s="20">
        <v>2.7547298201243686E-2</v>
      </c>
      <c r="I109" s="20">
        <v>-1.0591125209294505E-2</v>
      </c>
      <c r="J109" s="20">
        <v>2.4116940751235383E-2</v>
      </c>
    </row>
    <row r="110" spans="1:10" ht="11.25" customHeight="1" x14ac:dyDescent="0.2">
      <c r="A110" s="29">
        <v>44287</v>
      </c>
      <c r="B110" s="19">
        <v>0</v>
      </c>
      <c r="C110" s="19">
        <v>0</v>
      </c>
      <c r="D110" s="19">
        <v>189995.85088000001</v>
      </c>
      <c r="E110" s="19">
        <v>195229.72324119046</v>
      </c>
      <c r="F110" s="19">
        <v>18778.161920000002</v>
      </c>
      <c r="G110" s="19">
        <v>18579.280055904881</v>
      </c>
      <c r="H110" s="20">
        <v>2.7547298201243908E-2</v>
      </c>
      <c r="I110" s="20">
        <v>-1.0591125209294283E-2</v>
      </c>
      <c r="J110" s="20">
        <v>2.4116940751235605E-2</v>
      </c>
    </row>
    <row r="111" spans="1:10" ht="11.25" customHeight="1" x14ac:dyDescent="0.2">
      <c r="A111" s="29">
        <v>44317</v>
      </c>
      <c r="B111" s="19">
        <v>0</v>
      </c>
      <c r="C111" s="19">
        <v>0</v>
      </c>
      <c r="D111" s="19">
        <v>135880.44382000001</v>
      </c>
      <c r="E111" s="19">
        <v>139623.58292562692</v>
      </c>
      <c r="F111" s="19">
        <v>13429.687880000001</v>
      </c>
      <c r="G111" s="19">
        <v>13287.452374141181</v>
      </c>
      <c r="H111" s="20">
        <v>2.7547298201243908E-2</v>
      </c>
      <c r="I111" s="20">
        <v>-1.0591125209294172E-2</v>
      </c>
      <c r="J111" s="20">
        <v>2.4116940751235383E-2</v>
      </c>
    </row>
    <row r="112" spans="1:10" ht="11.25" customHeight="1" x14ac:dyDescent="0.2">
      <c r="A112" s="29">
        <v>44348</v>
      </c>
      <c r="B112" s="19">
        <v>0</v>
      </c>
      <c r="C112" s="19">
        <v>0</v>
      </c>
      <c r="D112" s="19">
        <v>68534.411659999998</v>
      </c>
      <c r="E112" s="19">
        <v>70422.349535044836</v>
      </c>
      <c r="F112" s="19">
        <v>6773.5704400000004</v>
      </c>
      <c r="G112" s="19">
        <v>6701.8307073559863</v>
      </c>
      <c r="H112" s="20">
        <v>2.754729820124413E-2</v>
      </c>
      <c r="I112" s="20">
        <v>-1.0591125209294172E-2</v>
      </c>
      <c r="J112" s="20">
        <v>2.4116940751235827E-2</v>
      </c>
    </row>
    <row r="113" spans="1:10" ht="11.25" customHeight="1" x14ac:dyDescent="0.2">
      <c r="A113" s="29">
        <v>44378</v>
      </c>
      <c r="B113" s="19">
        <v>0</v>
      </c>
      <c r="C113" s="19">
        <v>0</v>
      </c>
      <c r="D113" s="19">
        <v>48603.589760000003</v>
      </c>
      <c r="E113" s="19">
        <v>49942.48734076965</v>
      </c>
      <c r="F113" s="19">
        <v>4803.7158399999998</v>
      </c>
      <c r="G113" s="19">
        <v>4752.8390840686907</v>
      </c>
      <c r="H113" s="20">
        <v>2.7547298201243908E-2</v>
      </c>
      <c r="I113" s="20">
        <v>-1.0591125209294061E-2</v>
      </c>
      <c r="J113" s="20">
        <v>2.4116940751235827E-2</v>
      </c>
    </row>
    <row r="114" spans="1:10" ht="11.25" customHeight="1" x14ac:dyDescent="0.2">
      <c r="A114" s="29">
        <v>44409</v>
      </c>
      <c r="B114" s="19">
        <v>0</v>
      </c>
      <c r="C114" s="19">
        <v>0</v>
      </c>
      <c r="D114" s="19">
        <v>50989.403079999996</v>
      </c>
      <c r="E114" s="19">
        <v>52394.023371748182</v>
      </c>
      <c r="F114" s="19">
        <v>5039.5167199999996</v>
      </c>
      <c r="G114" s="19">
        <v>4986.1425674241482</v>
      </c>
      <c r="H114" s="20">
        <v>2.7547298201243908E-2</v>
      </c>
      <c r="I114" s="20">
        <v>-1.0591125209294172E-2</v>
      </c>
      <c r="J114" s="20">
        <v>2.4116940751235605E-2</v>
      </c>
    </row>
    <row r="115" spans="1:10" ht="11.25" customHeight="1" x14ac:dyDescent="0.2">
      <c r="A115" s="29">
        <v>44440</v>
      </c>
      <c r="B115" s="19">
        <v>0</v>
      </c>
      <c r="C115" s="19">
        <v>0</v>
      </c>
      <c r="D115" s="19">
        <v>58511.279419999992</v>
      </c>
      <c r="E115" s="19">
        <v>60123.107082319053</v>
      </c>
      <c r="F115" s="19">
        <v>5782.9382800000003</v>
      </c>
      <c r="G115" s="19">
        <v>5721.6904565988989</v>
      </c>
      <c r="H115" s="20">
        <v>2.754729820124413E-2</v>
      </c>
      <c r="I115" s="20">
        <v>-1.0591125209294394E-2</v>
      </c>
      <c r="J115" s="20">
        <v>2.4116940751235827E-2</v>
      </c>
    </row>
    <row r="116" spans="1:10" ht="11.25" customHeight="1" x14ac:dyDescent="0.2">
      <c r="A116" s="29">
        <v>44470</v>
      </c>
      <c r="B116" s="19">
        <v>0</v>
      </c>
      <c r="C116" s="19">
        <v>0</v>
      </c>
      <c r="D116" s="19">
        <v>44540.463659999994</v>
      </c>
      <c r="E116" s="19">
        <v>45767.433094463689</v>
      </c>
      <c r="F116" s="19">
        <v>4402.1384399999997</v>
      </c>
      <c r="G116" s="19">
        <v>4355.5148405933132</v>
      </c>
      <c r="H116" s="20">
        <v>2.754729820124413E-2</v>
      </c>
      <c r="I116" s="20">
        <v>-1.0591125209294061E-2</v>
      </c>
      <c r="J116" s="20">
        <v>2.4116940751235827E-2</v>
      </c>
    </row>
    <row r="117" spans="1:10" ht="11.25" customHeight="1" x14ac:dyDescent="0.2">
      <c r="A117" s="29">
        <v>44501</v>
      </c>
      <c r="B117" s="19">
        <v>0</v>
      </c>
      <c r="C117" s="19">
        <v>0</v>
      </c>
      <c r="D117" s="19">
        <v>50704.191999999995</v>
      </c>
      <c r="E117" s="19">
        <v>52100.955497077128</v>
      </c>
      <c r="F117" s="19">
        <v>5011.3279999999995</v>
      </c>
      <c r="G117" s="19">
        <v>4958.252397687158</v>
      </c>
      <c r="H117" s="20">
        <v>2.754729820124413E-2</v>
      </c>
      <c r="I117" s="20">
        <v>-1.0591125209294172E-2</v>
      </c>
      <c r="J117" s="20">
        <v>2.4116940751235827E-2</v>
      </c>
    </row>
    <row r="118" spans="1:10" ht="11.25" customHeight="1" x14ac:dyDescent="0.2">
      <c r="A118" s="29">
        <v>44531</v>
      </c>
      <c r="B118" s="19">
        <v>0</v>
      </c>
      <c r="C118" s="19">
        <v>0</v>
      </c>
      <c r="D118" s="19">
        <v>58590.50471999999</v>
      </c>
      <c r="E118" s="19">
        <v>60204.51482528323</v>
      </c>
      <c r="F118" s="19">
        <v>5790.7684799999997</v>
      </c>
      <c r="G118" s="19">
        <v>5729.437725970286</v>
      </c>
      <c r="H118" s="20">
        <v>2.754729820124413E-2</v>
      </c>
      <c r="I118" s="20">
        <v>-1.0591125209294061E-2</v>
      </c>
      <c r="J118" s="20">
        <v>2.4116940751235827E-2</v>
      </c>
    </row>
    <row r="119" spans="1:10" ht="11.25" customHeight="1" x14ac:dyDescent="0.2">
      <c r="A119" s="29">
        <v>44562</v>
      </c>
      <c r="B119" s="19">
        <v>0</v>
      </c>
      <c r="C119" s="19">
        <v>0</v>
      </c>
      <c r="D119" s="19">
        <v>52558.064019999998</v>
      </c>
      <c r="E119" s="19">
        <v>54005.896682439015</v>
      </c>
      <c r="F119" s="19">
        <v>5194.5546799999993</v>
      </c>
      <c r="G119" s="19">
        <v>5139.5385009775946</v>
      </c>
      <c r="H119" s="20">
        <v>2.754729820124413E-2</v>
      </c>
      <c r="I119" s="20">
        <v>-1.0591125209294061E-2</v>
      </c>
      <c r="J119" s="20">
        <v>2.4116940751235827E-2</v>
      </c>
    </row>
    <row r="120" spans="1:10" ht="11.25" customHeight="1" x14ac:dyDescent="0.2">
      <c r="A120" s="29">
        <v>44593</v>
      </c>
      <c r="B120" s="19">
        <v>0</v>
      </c>
      <c r="C120" s="19">
        <v>0</v>
      </c>
      <c r="D120" s="19">
        <v>64061.57757999999</v>
      </c>
      <c r="E120" s="19">
        <v>65826.300960838387</v>
      </c>
      <c r="F120" s="19">
        <v>6331.4997199999998</v>
      </c>
      <c r="G120" s="19">
        <v>6264.4420137028683</v>
      </c>
      <c r="H120" s="20">
        <v>2.754729820124413E-2</v>
      </c>
      <c r="I120" s="20">
        <v>-1.0591125209294283E-2</v>
      </c>
      <c r="J120" s="20">
        <v>2.4116940751235827E-2</v>
      </c>
    </row>
    <row r="121" spans="1:10" ht="11.25" customHeight="1" x14ac:dyDescent="0.2">
      <c r="A121" s="29">
        <v>44621</v>
      </c>
      <c r="B121" s="19">
        <v>0</v>
      </c>
      <c r="C121" s="19">
        <v>0</v>
      </c>
      <c r="D121" s="19">
        <v>64061.57757999999</v>
      </c>
      <c r="E121" s="19">
        <v>65826.300960838387</v>
      </c>
      <c r="F121" s="19">
        <v>6331.4997199999998</v>
      </c>
      <c r="G121" s="19">
        <v>6264.4420137028683</v>
      </c>
      <c r="H121" s="20">
        <v>2.754729820124413E-2</v>
      </c>
      <c r="I121" s="20">
        <v>-1.0591125209294283E-2</v>
      </c>
      <c r="J121" s="20">
        <v>2.4116940751235827E-2</v>
      </c>
    </row>
    <row r="122" spans="1:10" ht="11.25" customHeight="1" x14ac:dyDescent="0.2">
      <c r="A122" s="24" t="s">
        <v>42</v>
      </c>
      <c r="B122" s="19">
        <v>50565.600000000013</v>
      </c>
      <c r="C122" s="19">
        <v>51329.004753922316</v>
      </c>
      <c r="D122" s="19">
        <v>245384.87424</v>
      </c>
      <c r="E122" s="19">
        <v>274409.97880453762</v>
      </c>
      <c r="F122" s="19">
        <v>197747.89776000002</v>
      </c>
      <c r="G122" s="19">
        <v>195653.52501494915</v>
      </c>
      <c r="H122" s="20">
        <v>0.10065369685572123</v>
      </c>
      <c r="I122" s="20">
        <v>-1.0591125209294283E-2</v>
      </c>
      <c r="J122" s="20">
        <v>5.6095256018808604E-2</v>
      </c>
    </row>
    <row r="123" spans="1:10" ht="11.25" customHeight="1" x14ac:dyDescent="0.2">
      <c r="A123" s="25" t="s">
        <v>25</v>
      </c>
      <c r="B123" s="19">
        <v>50565.600000000013</v>
      </c>
      <c r="C123" s="19">
        <v>51329.004753922316</v>
      </c>
      <c r="D123" s="19">
        <v>245384.87424</v>
      </c>
      <c r="E123" s="19">
        <v>274409.97880453762</v>
      </c>
      <c r="F123" s="19">
        <v>197747.89776000002</v>
      </c>
      <c r="G123" s="19">
        <v>195653.52501494915</v>
      </c>
      <c r="H123" s="20">
        <v>0.10065369685572123</v>
      </c>
      <c r="I123" s="20">
        <v>-1.0591125209294283E-2</v>
      </c>
      <c r="J123" s="20">
        <v>5.6095256018808604E-2</v>
      </c>
    </row>
    <row r="124" spans="1:10" ht="11.25" customHeight="1" x14ac:dyDescent="0.2">
      <c r="A124" s="26" t="s">
        <v>25</v>
      </c>
      <c r="B124" s="19">
        <v>50565.600000000013</v>
      </c>
      <c r="C124" s="19">
        <v>51329.004753922316</v>
      </c>
      <c r="D124" s="19">
        <v>245384.87424</v>
      </c>
      <c r="E124" s="19">
        <v>274409.97880453762</v>
      </c>
      <c r="F124" s="19">
        <v>197747.89776000002</v>
      </c>
      <c r="G124" s="19">
        <v>195653.52501494915</v>
      </c>
      <c r="H124" s="20">
        <v>0.10065369685572123</v>
      </c>
      <c r="I124" s="20">
        <v>-1.0591125209294283E-2</v>
      </c>
      <c r="J124" s="20">
        <v>5.6095256018808604E-2</v>
      </c>
    </row>
    <row r="125" spans="1:10" ht="11.25" customHeight="1" x14ac:dyDescent="0.2">
      <c r="A125" s="27" t="s">
        <v>25</v>
      </c>
      <c r="B125" s="19">
        <v>50565.600000000013</v>
      </c>
      <c r="C125" s="19">
        <v>51329.004753922316</v>
      </c>
      <c r="D125" s="19">
        <v>245384.87424</v>
      </c>
      <c r="E125" s="19">
        <v>274409.97880453762</v>
      </c>
      <c r="F125" s="19">
        <v>197747.89776000002</v>
      </c>
      <c r="G125" s="19">
        <v>195653.52501494915</v>
      </c>
      <c r="H125" s="20">
        <v>0.10065369685572123</v>
      </c>
      <c r="I125" s="20">
        <v>-1.0591125209294283E-2</v>
      </c>
      <c r="J125" s="20">
        <v>5.6095256018808604E-2</v>
      </c>
    </row>
    <row r="126" spans="1:10" ht="11.25" customHeight="1" x14ac:dyDescent="0.2">
      <c r="A126" s="28" t="s">
        <v>36</v>
      </c>
      <c r="B126" s="19">
        <v>0</v>
      </c>
      <c r="C126" s="19">
        <v>0</v>
      </c>
      <c r="D126" s="19">
        <v>57860.852720000003</v>
      </c>
      <c r="E126" s="19">
        <v>81720.177143829671</v>
      </c>
      <c r="F126" s="19">
        <v>179214.03808000003</v>
      </c>
      <c r="G126" s="19">
        <v>177315.95976343151</v>
      </c>
      <c r="H126" s="20">
        <v>0.41235694432796577</v>
      </c>
      <c r="I126" s="20">
        <v>-1.0591125209294283E-2</v>
      </c>
      <c r="J126" s="20">
        <v>9.263421374213765E-2</v>
      </c>
    </row>
    <row r="127" spans="1:10" ht="11.25" customHeight="1" x14ac:dyDescent="0.2">
      <c r="A127" s="29">
        <v>44287</v>
      </c>
      <c r="B127" s="19">
        <v>0</v>
      </c>
      <c r="C127" s="19">
        <v>0</v>
      </c>
      <c r="D127" s="19">
        <v>4805.5341300000009</v>
      </c>
      <c r="E127" s="19">
        <v>6787.1294997105506</v>
      </c>
      <c r="F127" s="19">
        <v>14884.315320000002</v>
      </c>
      <c r="G127" s="19">
        <v>14726.673672791267</v>
      </c>
      <c r="H127" s="20">
        <v>0.41235694432796577</v>
      </c>
      <c r="I127" s="20">
        <v>-1.0591125209294172E-2</v>
      </c>
      <c r="J127" s="20">
        <v>9.2634213742137872E-2</v>
      </c>
    </row>
    <row r="128" spans="1:10" ht="11.25" customHeight="1" x14ac:dyDescent="0.2">
      <c r="A128" s="29">
        <v>44317</v>
      </c>
      <c r="B128" s="19">
        <v>0</v>
      </c>
      <c r="C128" s="19">
        <v>0</v>
      </c>
      <c r="D128" s="19">
        <v>4585.2326300000004</v>
      </c>
      <c r="E128" s="19">
        <v>6475.9851463396826</v>
      </c>
      <c r="F128" s="19">
        <v>14201.96932</v>
      </c>
      <c r="G128" s="19">
        <v>14051.554484713326</v>
      </c>
      <c r="H128" s="20">
        <v>0.41235694432796577</v>
      </c>
      <c r="I128" s="20">
        <v>-1.0591125209294172E-2</v>
      </c>
      <c r="J128" s="20">
        <v>9.263421374213765E-2</v>
      </c>
    </row>
    <row r="129" spans="1:10" ht="11.25" customHeight="1" x14ac:dyDescent="0.2">
      <c r="A129" s="29">
        <v>44348</v>
      </c>
      <c r="B129" s="19">
        <v>0</v>
      </c>
      <c r="C129" s="19">
        <v>0</v>
      </c>
      <c r="D129" s="19">
        <v>4781.1926200000007</v>
      </c>
      <c r="E129" s="19">
        <v>6752.7505990266218</v>
      </c>
      <c r="F129" s="19">
        <v>14808.921680000001</v>
      </c>
      <c r="G129" s="19">
        <v>14652.078536272489</v>
      </c>
      <c r="H129" s="20">
        <v>0.41235694432796577</v>
      </c>
      <c r="I129" s="20">
        <v>-1.0591125209294283E-2</v>
      </c>
      <c r="J129" s="20">
        <v>9.2634213742137872E-2</v>
      </c>
    </row>
    <row r="130" spans="1:10" ht="11.25" customHeight="1" x14ac:dyDescent="0.2">
      <c r="A130" s="29">
        <v>44378</v>
      </c>
      <c r="B130" s="19">
        <v>0</v>
      </c>
      <c r="C130" s="19">
        <v>0</v>
      </c>
      <c r="D130" s="19">
        <v>4592.4556300000004</v>
      </c>
      <c r="E130" s="19">
        <v>6486.1866005485645</v>
      </c>
      <c r="F130" s="19">
        <v>14224.341320000001</v>
      </c>
      <c r="G130" s="19">
        <v>14073.689540060144</v>
      </c>
      <c r="H130" s="20">
        <v>0.41235694432796599</v>
      </c>
      <c r="I130" s="20">
        <v>-1.0591125209294172E-2</v>
      </c>
      <c r="J130" s="20">
        <v>9.263421374213765E-2</v>
      </c>
    </row>
    <row r="131" spans="1:10" ht="11.25" customHeight="1" x14ac:dyDescent="0.2">
      <c r="A131" s="29">
        <v>44409</v>
      </c>
      <c r="B131" s="19">
        <v>0</v>
      </c>
      <c r="C131" s="19">
        <v>0</v>
      </c>
      <c r="D131" s="19">
        <v>4841.3602100000007</v>
      </c>
      <c r="E131" s="19">
        <v>6837.7287125865996</v>
      </c>
      <c r="F131" s="19">
        <v>14995.28044</v>
      </c>
      <c r="G131" s="19">
        <v>14836.463547311481</v>
      </c>
      <c r="H131" s="20">
        <v>0.41235694432796577</v>
      </c>
      <c r="I131" s="20">
        <v>-1.0591125209294172E-2</v>
      </c>
      <c r="J131" s="20">
        <v>9.2634213742137872E-2</v>
      </c>
    </row>
    <row r="132" spans="1:10" ht="11.25" customHeight="1" x14ac:dyDescent="0.2">
      <c r="A132" s="29">
        <v>44440</v>
      </c>
      <c r="B132" s="19">
        <v>0</v>
      </c>
      <c r="C132" s="19">
        <v>0</v>
      </c>
      <c r="D132" s="19">
        <v>4749.1947300000002</v>
      </c>
      <c r="E132" s="19">
        <v>6707.5581568812795</v>
      </c>
      <c r="F132" s="19">
        <v>14709.81372</v>
      </c>
      <c r="G132" s="19">
        <v>14554.020241086087</v>
      </c>
      <c r="H132" s="20">
        <v>0.41235694432796599</v>
      </c>
      <c r="I132" s="20">
        <v>-1.0591125209294172E-2</v>
      </c>
      <c r="J132" s="20">
        <v>9.263421374213765E-2</v>
      </c>
    </row>
    <row r="133" spans="1:10" ht="11.25" customHeight="1" x14ac:dyDescent="0.2">
      <c r="A133" s="29">
        <v>44470</v>
      </c>
      <c r="B133" s="19">
        <v>0</v>
      </c>
      <c r="C133" s="19">
        <v>0</v>
      </c>
      <c r="D133" s="19">
        <v>4708.6014699999996</v>
      </c>
      <c r="E133" s="19">
        <v>6650.2259842273679</v>
      </c>
      <c r="F133" s="19">
        <v>14584.083079999999</v>
      </c>
      <c r="G133" s="19">
        <v>14429.62123003697</v>
      </c>
      <c r="H133" s="20">
        <v>0.41235694432796599</v>
      </c>
      <c r="I133" s="20">
        <v>-1.0591125209294172E-2</v>
      </c>
      <c r="J133" s="20">
        <v>9.263421374213765E-2</v>
      </c>
    </row>
    <row r="134" spans="1:10" ht="11.25" customHeight="1" x14ac:dyDescent="0.2">
      <c r="A134" s="29">
        <v>44501</v>
      </c>
      <c r="B134" s="19">
        <v>0</v>
      </c>
      <c r="C134" s="19">
        <v>0</v>
      </c>
      <c r="D134" s="19">
        <v>4961.1175500000008</v>
      </c>
      <c r="E134" s="19">
        <v>7006.8688233698449</v>
      </c>
      <c r="F134" s="19">
        <v>15366.208200000001</v>
      </c>
      <c r="G134" s="19">
        <v>15203.462764961718</v>
      </c>
      <c r="H134" s="20">
        <v>0.41235694432796577</v>
      </c>
      <c r="I134" s="20">
        <v>-1.0591125209294172E-2</v>
      </c>
      <c r="J134" s="20">
        <v>9.263421374213765E-2</v>
      </c>
    </row>
    <row r="135" spans="1:10" ht="11.25" customHeight="1" x14ac:dyDescent="0.2">
      <c r="A135" s="29">
        <v>44531</v>
      </c>
      <c r="B135" s="19">
        <v>0</v>
      </c>
      <c r="C135" s="19">
        <v>0</v>
      </c>
      <c r="D135" s="19">
        <v>4756.8511100000005</v>
      </c>
      <c r="E135" s="19">
        <v>6718.371698342693</v>
      </c>
      <c r="F135" s="19">
        <v>14733.528039999999</v>
      </c>
      <c r="G135" s="19">
        <v>14577.483399753713</v>
      </c>
      <c r="H135" s="20">
        <v>0.41235694432796577</v>
      </c>
      <c r="I135" s="20">
        <v>-1.0591125209294172E-2</v>
      </c>
      <c r="J135" s="20">
        <v>9.2634213742137872E-2</v>
      </c>
    </row>
    <row r="136" spans="1:10" ht="11.25" customHeight="1" x14ac:dyDescent="0.2">
      <c r="A136" s="29">
        <v>44562</v>
      </c>
      <c r="B136" s="19">
        <v>0</v>
      </c>
      <c r="C136" s="19">
        <v>0</v>
      </c>
      <c r="D136" s="19">
        <v>5040.6427800000001</v>
      </c>
      <c r="E136" s="19">
        <v>7119.1868342096241</v>
      </c>
      <c r="F136" s="19">
        <v>15612.52392</v>
      </c>
      <c r="G136" s="19">
        <v>15447.169724330181</v>
      </c>
      <c r="H136" s="20">
        <v>0.41235694432796599</v>
      </c>
      <c r="I136" s="20">
        <v>-1.0591125209294061E-2</v>
      </c>
      <c r="J136" s="20">
        <v>9.263421374213765E-2</v>
      </c>
    </row>
    <row r="137" spans="1:10" ht="11.25" customHeight="1" x14ac:dyDescent="0.2">
      <c r="A137" s="29">
        <v>44593</v>
      </c>
      <c r="B137" s="19">
        <v>0</v>
      </c>
      <c r="C137" s="19">
        <v>0</v>
      </c>
      <c r="D137" s="19">
        <v>5019.33493</v>
      </c>
      <c r="E137" s="19">
        <v>7089.0925442934249</v>
      </c>
      <c r="F137" s="19">
        <v>15546.526519999999</v>
      </c>
      <c r="G137" s="19">
        <v>15381.871311057068</v>
      </c>
      <c r="H137" s="20">
        <v>0.41235694432796599</v>
      </c>
      <c r="I137" s="20">
        <v>-1.0591125209294061E-2</v>
      </c>
      <c r="J137" s="20">
        <v>9.2634213742137872E-2</v>
      </c>
    </row>
    <row r="138" spans="1:10" ht="11.25" customHeight="1" x14ac:dyDescent="0.2">
      <c r="A138" s="29">
        <v>44621</v>
      </c>
      <c r="B138" s="19">
        <v>0</v>
      </c>
      <c r="C138" s="19">
        <v>0</v>
      </c>
      <c r="D138" s="19">
        <v>5019.33493</v>
      </c>
      <c r="E138" s="19">
        <v>7089.0925442934249</v>
      </c>
      <c r="F138" s="19">
        <v>15546.526519999999</v>
      </c>
      <c r="G138" s="19">
        <v>15381.871311057068</v>
      </c>
      <c r="H138" s="20">
        <v>0.41235694432796599</v>
      </c>
      <c r="I138" s="20">
        <v>-1.0591125209294061E-2</v>
      </c>
      <c r="J138" s="20">
        <v>9.2634213742137872E-2</v>
      </c>
    </row>
    <row r="139" spans="1:10" ht="11.25" customHeight="1" x14ac:dyDescent="0.2">
      <c r="A139" s="28" t="s">
        <v>25</v>
      </c>
      <c r="B139" s="19">
        <v>50565.600000000013</v>
      </c>
      <c r="C139" s="19">
        <v>51329.004753922316</v>
      </c>
      <c r="D139" s="19">
        <v>0</v>
      </c>
      <c r="E139" s="19">
        <v>0</v>
      </c>
      <c r="F139" s="19">
        <v>0</v>
      </c>
      <c r="G139" s="19">
        <v>0</v>
      </c>
      <c r="H139" s="20">
        <v>1.5097314259542083E-2</v>
      </c>
      <c r="I139" s="20">
        <v>0</v>
      </c>
      <c r="J139" s="20">
        <v>1.5097314259542083E-2</v>
      </c>
    </row>
    <row r="140" spans="1:10" ht="11.25" customHeight="1" x14ac:dyDescent="0.2">
      <c r="A140" s="29">
        <v>44287</v>
      </c>
      <c r="B140" s="19">
        <v>4213.8</v>
      </c>
      <c r="C140" s="19">
        <v>4277.4170628268585</v>
      </c>
      <c r="D140" s="19">
        <v>0</v>
      </c>
      <c r="E140" s="19">
        <v>0</v>
      </c>
      <c r="F140" s="19">
        <v>0</v>
      </c>
      <c r="G140" s="19">
        <v>0</v>
      </c>
      <c r="H140" s="20">
        <v>1.5097314259542083E-2</v>
      </c>
      <c r="I140" s="20">
        <v>0</v>
      </c>
      <c r="J140" s="20">
        <v>1.5097314259542083E-2</v>
      </c>
    </row>
    <row r="141" spans="1:10" ht="11.25" customHeight="1" x14ac:dyDescent="0.2">
      <c r="A141" s="29">
        <v>44317</v>
      </c>
      <c r="B141" s="19">
        <v>4213.8</v>
      </c>
      <c r="C141" s="19">
        <v>4277.4170628268585</v>
      </c>
      <c r="D141" s="19">
        <v>0</v>
      </c>
      <c r="E141" s="19">
        <v>0</v>
      </c>
      <c r="F141" s="19">
        <v>0</v>
      </c>
      <c r="G141" s="19">
        <v>0</v>
      </c>
      <c r="H141" s="20">
        <v>1.5097314259542083E-2</v>
      </c>
      <c r="I141" s="20">
        <v>0</v>
      </c>
      <c r="J141" s="20">
        <v>1.5097314259542083E-2</v>
      </c>
    </row>
    <row r="142" spans="1:10" ht="11.25" customHeight="1" x14ac:dyDescent="0.2">
      <c r="A142" s="29">
        <v>44348</v>
      </c>
      <c r="B142" s="19">
        <v>4213.8</v>
      </c>
      <c r="C142" s="19">
        <v>4277.4170628268585</v>
      </c>
      <c r="D142" s="19">
        <v>0</v>
      </c>
      <c r="E142" s="19">
        <v>0</v>
      </c>
      <c r="F142" s="19">
        <v>0</v>
      </c>
      <c r="G142" s="19">
        <v>0</v>
      </c>
      <c r="H142" s="20">
        <v>1.5097314259542083E-2</v>
      </c>
      <c r="I142" s="20">
        <v>0</v>
      </c>
      <c r="J142" s="20">
        <v>1.5097314259542083E-2</v>
      </c>
    </row>
    <row r="143" spans="1:10" ht="11.25" customHeight="1" x14ac:dyDescent="0.2">
      <c r="A143" s="29">
        <v>44378</v>
      </c>
      <c r="B143" s="19">
        <v>4213.8</v>
      </c>
      <c r="C143" s="19">
        <v>4277.4170628268585</v>
      </c>
      <c r="D143" s="19">
        <v>0</v>
      </c>
      <c r="E143" s="19">
        <v>0</v>
      </c>
      <c r="F143" s="19">
        <v>0</v>
      </c>
      <c r="G143" s="19">
        <v>0</v>
      </c>
      <c r="H143" s="20">
        <v>1.5097314259542083E-2</v>
      </c>
      <c r="I143" s="20">
        <v>0</v>
      </c>
      <c r="J143" s="20">
        <v>1.5097314259542083E-2</v>
      </c>
    </row>
    <row r="144" spans="1:10" ht="11.25" customHeight="1" x14ac:dyDescent="0.2">
      <c r="A144" s="29">
        <v>44409</v>
      </c>
      <c r="B144" s="19">
        <v>4213.8</v>
      </c>
      <c r="C144" s="19">
        <v>4277.4170628268585</v>
      </c>
      <c r="D144" s="19">
        <v>0</v>
      </c>
      <c r="E144" s="19">
        <v>0</v>
      </c>
      <c r="F144" s="19">
        <v>0</v>
      </c>
      <c r="G144" s="19">
        <v>0</v>
      </c>
      <c r="H144" s="20">
        <v>1.5097314259542083E-2</v>
      </c>
      <c r="I144" s="20">
        <v>0</v>
      </c>
      <c r="J144" s="20">
        <v>1.5097314259542083E-2</v>
      </c>
    </row>
    <row r="145" spans="1:10" ht="11.25" customHeight="1" x14ac:dyDescent="0.2">
      <c r="A145" s="29">
        <v>44440</v>
      </c>
      <c r="B145" s="19">
        <v>4213.8</v>
      </c>
      <c r="C145" s="19">
        <v>4277.4170628268585</v>
      </c>
      <c r="D145" s="19">
        <v>0</v>
      </c>
      <c r="E145" s="19">
        <v>0</v>
      </c>
      <c r="F145" s="19">
        <v>0</v>
      </c>
      <c r="G145" s="19">
        <v>0</v>
      </c>
      <c r="H145" s="20">
        <v>1.5097314259542083E-2</v>
      </c>
      <c r="I145" s="20">
        <v>0</v>
      </c>
      <c r="J145" s="20">
        <v>1.5097314259542083E-2</v>
      </c>
    </row>
    <row r="146" spans="1:10" ht="11.25" customHeight="1" x14ac:dyDescent="0.2">
      <c r="A146" s="29">
        <v>44470</v>
      </c>
      <c r="B146" s="19">
        <v>4213.8</v>
      </c>
      <c r="C146" s="19">
        <v>4277.4170628268585</v>
      </c>
      <c r="D146" s="19">
        <v>0</v>
      </c>
      <c r="E146" s="19">
        <v>0</v>
      </c>
      <c r="F146" s="19">
        <v>0</v>
      </c>
      <c r="G146" s="19">
        <v>0</v>
      </c>
      <c r="H146" s="20">
        <v>1.5097314259542083E-2</v>
      </c>
      <c r="I146" s="20">
        <v>0</v>
      </c>
      <c r="J146" s="20">
        <v>1.5097314259542083E-2</v>
      </c>
    </row>
    <row r="147" spans="1:10" ht="11.25" customHeight="1" x14ac:dyDescent="0.2">
      <c r="A147" s="29">
        <v>44501</v>
      </c>
      <c r="B147" s="19">
        <v>4213.8</v>
      </c>
      <c r="C147" s="19">
        <v>4277.4170628268585</v>
      </c>
      <c r="D147" s="19">
        <v>0</v>
      </c>
      <c r="E147" s="19">
        <v>0</v>
      </c>
      <c r="F147" s="19">
        <v>0</v>
      </c>
      <c r="G147" s="19">
        <v>0</v>
      </c>
      <c r="H147" s="20">
        <v>1.5097314259542083E-2</v>
      </c>
      <c r="I147" s="20">
        <v>0</v>
      </c>
      <c r="J147" s="20">
        <v>1.5097314259542083E-2</v>
      </c>
    </row>
    <row r="148" spans="1:10" ht="11.25" customHeight="1" x14ac:dyDescent="0.2">
      <c r="A148" s="29">
        <v>44531</v>
      </c>
      <c r="B148" s="19">
        <v>4213.8</v>
      </c>
      <c r="C148" s="19">
        <v>4277.4170628268585</v>
      </c>
      <c r="D148" s="19">
        <v>0</v>
      </c>
      <c r="E148" s="19">
        <v>0</v>
      </c>
      <c r="F148" s="19">
        <v>0</v>
      </c>
      <c r="G148" s="19">
        <v>0</v>
      </c>
      <c r="H148" s="20">
        <v>1.5097314259542083E-2</v>
      </c>
      <c r="I148" s="20">
        <v>0</v>
      </c>
      <c r="J148" s="20">
        <v>1.5097314259542083E-2</v>
      </c>
    </row>
    <row r="149" spans="1:10" ht="11.25" customHeight="1" x14ac:dyDescent="0.2">
      <c r="A149" s="29">
        <v>44562</v>
      </c>
      <c r="B149" s="19">
        <v>4213.8</v>
      </c>
      <c r="C149" s="19">
        <v>4277.4170628268585</v>
      </c>
      <c r="D149" s="19">
        <v>0</v>
      </c>
      <c r="E149" s="19">
        <v>0</v>
      </c>
      <c r="F149" s="19">
        <v>0</v>
      </c>
      <c r="G149" s="19">
        <v>0</v>
      </c>
      <c r="H149" s="20">
        <v>1.5097314259542083E-2</v>
      </c>
      <c r="I149" s="20">
        <v>0</v>
      </c>
      <c r="J149" s="20">
        <v>1.5097314259542083E-2</v>
      </c>
    </row>
    <row r="150" spans="1:10" ht="11.25" customHeight="1" x14ac:dyDescent="0.2">
      <c r="A150" s="29">
        <v>44593</v>
      </c>
      <c r="B150" s="19">
        <v>4213.8</v>
      </c>
      <c r="C150" s="19">
        <v>4277.4170628268585</v>
      </c>
      <c r="D150" s="19">
        <v>0</v>
      </c>
      <c r="E150" s="19">
        <v>0</v>
      </c>
      <c r="F150" s="19">
        <v>0</v>
      </c>
      <c r="G150" s="19">
        <v>0</v>
      </c>
      <c r="H150" s="20">
        <v>1.5097314259542083E-2</v>
      </c>
      <c r="I150" s="20">
        <v>0</v>
      </c>
      <c r="J150" s="20">
        <v>1.5097314259542083E-2</v>
      </c>
    </row>
    <row r="151" spans="1:10" ht="11.25" customHeight="1" x14ac:dyDescent="0.2">
      <c r="A151" s="29">
        <v>44621</v>
      </c>
      <c r="B151" s="19">
        <v>4213.8</v>
      </c>
      <c r="C151" s="19">
        <v>4277.4170628268585</v>
      </c>
      <c r="D151" s="19">
        <v>0</v>
      </c>
      <c r="E151" s="19">
        <v>0</v>
      </c>
      <c r="F151" s="19">
        <v>0</v>
      </c>
      <c r="G151" s="19">
        <v>0</v>
      </c>
      <c r="H151" s="20">
        <v>1.5097314259542083E-2</v>
      </c>
      <c r="I151" s="20">
        <v>0</v>
      </c>
      <c r="J151" s="20">
        <v>1.5097314259542083E-2</v>
      </c>
    </row>
    <row r="152" spans="1:10" ht="11.25" customHeight="1" x14ac:dyDescent="0.2">
      <c r="A152" s="28" t="s">
        <v>35</v>
      </c>
      <c r="B152" s="19">
        <v>0</v>
      </c>
      <c r="C152" s="19">
        <v>0</v>
      </c>
      <c r="D152" s="19">
        <v>187524.02151999998</v>
      </c>
      <c r="E152" s="19">
        <v>192689.80166070795</v>
      </c>
      <c r="F152" s="19">
        <v>18533.859679999998</v>
      </c>
      <c r="G152" s="19">
        <v>18337.565251517633</v>
      </c>
      <c r="H152" s="20">
        <v>2.754729820124413E-2</v>
      </c>
      <c r="I152" s="20">
        <v>-1.059112520929395E-2</v>
      </c>
      <c r="J152" s="20">
        <v>2.4116940751235827E-2</v>
      </c>
    </row>
    <row r="153" spans="1:10" ht="11.25" customHeight="1" x14ac:dyDescent="0.2">
      <c r="A153" s="29">
        <v>44287</v>
      </c>
      <c r="B153" s="19">
        <v>0</v>
      </c>
      <c r="C153" s="19">
        <v>0</v>
      </c>
      <c r="D153" s="19">
        <v>14160.956480000001</v>
      </c>
      <c r="E153" s="19">
        <v>14551.052570969399</v>
      </c>
      <c r="F153" s="19">
        <v>1399.59232</v>
      </c>
      <c r="G153" s="19">
        <v>1384.7690624969136</v>
      </c>
      <c r="H153" s="20">
        <v>2.7547298201243908E-2</v>
      </c>
      <c r="I153" s="20">
        <v>-1.0591125209294061E-2</v>
      </c>
      <c r="J153" s="20">
        <v>2.4116940751235605E-2</v>
      </c>
    </row>
    <row r="154" spans="1:10" ht="11.25" customHeight="1" x14ac:dyDescent="0.2">
      <c r="A154" s="29">
        <v>44317</v>
      </c>
      <c r="B154" s="19">
        <v>0</v>
      </c>
      <c r="C154" s="19">
        <v>0</v>
      </c>
      <c r="D154" s="19">
        <v>15075.442800000001</v>
      </c>
      <c r="E154" s="19">
        <v>15490.730518327397</v>
      </c>
      <c r="F154" s="19">
        <v>1489.9752000000001</v>
      </c>
      <c r="G154" s="19">
        <v>1474.194686098057</v>
      </c>
      <c r="H154" s="20">
        <v>2.7547298201243908E-2</v>
      </c>
      <c r="I154" s="20">
        <v>-1.0591125209294172E-2</v>
      </c>
      <c r="J154" s="20">
        <v>2.4116940751235605E-2</v>
      </c>
    </row>
    <row r="155" spans="1:10" ht="11.25" customHeight="1" x14ac:dyDescent="0.2">
      <c r="A155" s="29">
        <v>44348</v>
      </c>
      <c r="B155" s="19">
        <v>0</v>
      </c>
      <c r="C155" s="19">
        <v>0</v>
      </c>
      <c r="D155" s="19">
        <v>15983.138379999999</v>
      </c>
      <c r="E155" s="19">
        <v>16423.430659145608</v>
      </c>
      <c r="F155" s="19">
        <v>1579.6869199999999</v>
      </c>
      <c r="G155" s="19">
        <v>1562.9562580387958</v>
      </c>
      <c r="H155" s="20">
        <v>2.754729820124413E-2</v>
      </c>
      <c r="I155" s="20">
        <v>-1.0591125209294061E-2</v>
      </c>
      <c r="J155" s="20">
        <v>2.4116940751236049E-2</v>
      </c>
    </row>
    <row r="156" spans="1:10" ht="11.25" customHeight="1" x14ac:dyDescent="0.2">
      <c r="A156" s="29">
        <v>44378</v>
      </c>
      <c r="B156" s="19">
        <v>0</v>
      </c>
      <c r="C156" s="19">
        <v>0</v>
      </c>
      <c r="D156" s="19">
        <v>15138.823039999999</v>
      </c>
      <c r="E156" s="19">
        <v>15555.856712698742</v>
      </c>
      <c r="F156" s="19">
        <v>1496.23936</v>
      </c>
      <c r="G156" s="19">
        <v>1480.3925015951659</v>
      </c>
      <c r="H156" s="20">
        <v>2.7547298201243908E-2</v>
      </c>
      <c r="I156" s="20">
        <v>-1.0591125209294172E-2</v>
      </c>
      <c r="J156" s="20">
        <v>2.4116940751235827E-2</v>
      </c>
    </row>
    <row r="157" spans="1:10" ht="11.25" customHeight="1" x14ac:dyDescent="0.2">
      <c r="A157" s="29">
        <v>44409</v>
      </c>
      <c r="B157" s="19">
        <v>0</v>
      </c>
      <c r="C157" s="19">
        <v>0</v>
      </c>
      <c r="D157" s="19">
        <v>16227.605019999999</v>
      </c>
      <c r="E157" s="19">
        <v>16674.631694577944</v>
      </c>
      <c r="F157" s="19">
        <v>1603.8486799999998</v>
      </c>
      <c r="G157" s="19">
        <v>1586.8621178133587</v>
      </c>
      <c r="H157" s="20">
        <v>2.754729820124413E-2</v>
      </c>
      <c r="I157" s="20">
        <v>-1.0591125209294172E-2</v>
      </c>
      <c r="J157" s="20">
        <v>2.4116940751235827E-2</v>
      </c>
    </row>
    <row r="158" spans="1:10" ht="11.25" customHeight="1" x14ac:dyDescent="0.2">
      <c r="A158" s="29">
        <v>44440</v>
      </c>
      <c r="B158" s="19">
        <v>0</v>
      </c>
      <c r="C158" s="19">
        <v>0</v>
      </c>
      <c r="D158" s="19">
        <v>16118.95318</v>
      </c>
      <c r="E158" s="19">
        <v>16562.986789941351</v>
      </c>
      <c r="F158" s="19">
        <v>1593.1101200000001</v>
      </c>
      <c r="G158" s="19">
        <v>1576.2372912468866</v>
      </c>
      <c r="H158" s="20">
        <v>2.754729820124413E-2</v>
      </c>
      <c r="I158" s="20">
        <v>-1.0591125209294061E-2</v>
      </c>
      <c r="J158" s="20">
        <v>2.4116940751235605E-2</v>
      </c>
    </row>
    <row r="159" spans="1:10" ht="11.25" customHeight="1" x14ac:dyDescent="0.2">
      <c r="A159" s="29">
        <v>44470</v>
      </c>
      <c r="B159" s="19">
        <v>0</v>
      </c>
      <c r="C159" s="19">
        <v>0</v>
      </c>
      <c r="D159" s="19">
        <v>14002.505879999999</v>
      </c>
      <c r="E159" s="19">
        <v>14388.237085041032</v>
      </c>
      <c r="F159" s="19">
        <v>1383.93192</v>
      </c>
      <c r="G159" s="19">
        <v>1369.2745237541412</v>
      </c>
      <c r="H159" s="20">
        <v>2.754729820124413E-2</v>
      </c>
      <c r="I159" s="20">
        <v>-1.0591125209294061E-2</v>
      </c>
      <c r="J159" s="20">
        <v>2.4116940751235605E-2</v>
      </c>
    </row>
    <row r="160" spans="1:10" ht="11.25" customHeight="1" x14ac:dyDescent="0.2">
      <c r="A160" s="29">
        <v>44501</v>
      </c>
      <c r="B160" s="19">
        <v>0</v>
      </c>
      <c r="C160" s="19">
        <v>0</v>
      </c>
      <c r="D160" s="19">
        <v>15725.090259999999</v>
      </c>
      <c r="E160" s="19">
        <v>16158.274010633697</v>
      </c>
      <c r="F160" s="19">
        <v>1554.1828399999999</v>
      </c>
      <c r="G160" s="19">
        <v>1537.7222949434235</v>
      </c>
      <c r="H160" s="20">
        <v>2.754729820124413E-2</v>
      </c>
      <c r="I160" s="20">
        <v>-1.0591125209294172E-2</v>
      </c>
      <c r="J160" s="20">
        <v>2.4116940751235827E-2</v>
      </c>
    </row>
    <row r="161" spans="1:10" ht="11.25" customHeight="1" x14ac:dyDescent="0.2">
      <c r="A161" s="29">
        <v>44531</v>
      </c>
      <c r="B161" s="19">
        <v>0</v>
      </c>
      <c r="C161" s="19">
        <v>0</v>
      </c>
      <c r="D161" s="19">
        <v>16822.92656</v>
      </c>
      <c r="E161" s="19">
        <v>17286.35273456595</v>
      </c>
      <c r="F161" s="19">
        <v>1662.68704</v>
      </c>
      <c r="G161" s="19">
        <v>1645.0773133754894</v>
      </c>
      <c r="H161" s="20">
        <v>2.754729820124413E-2</v>
      </c>
      <c r="I161" s="20">
        <v>-1.0591125209294061E-2</v>
      </c>
      <c r="J161" s="20">
        <v>2.4116940751235827E-2</v>
      </c>
    </row>
    <row r="162" spans="1:10" ht="11.25" customHeight="1" x14ac:dyDescent="0.2">
      <c r="A162" s="29">
        <v>44562</v>
      </c>
      <c r="B162" s="19">
        <v>0</v>
      </c>
      <c r="C162" s="19">
        <v>0</v>
      </c>
      <c r="D162" s="19">
        <v>14980.372440000001</v>
      </c>
      <c r="E162" s="19">
        <v>15393.041226770378</v>
      </c>
      <c r="F162" s="19">
        <v>1480.5789600000001</v>
      </c>
      <c r="G162" s="19">
        <v>1464.8979628523934</v>
      </c>
      <c r="H162" s="20">
        <v>2.7547298201243908E-2</v>
      </c>
      <c r="I162" s="20">
        <v>-1.0591125209294172E-2</v>
      </c>
      <c r="J162" s="20">
        <v>2.4116940751235605E-2</v>
      </c>
    </row>
    <row r="163" spans="1:10" ht="11.25" customHeight="1" x14ac:dyDescent="0.2">
      <c r="A163" s="29">
        <v>44593</v>
      </c>
      <c r="B163" s="19">
        <v>0</v>
      </c>
      <c r="C163" s="19">
        <v>0</v>
      </c>
      <c r="D163" s="19">
        <v>16644.103739999999</v>
      </c>
      <c r="E163" s="19">
        <v>17102.603829018219</v>
      </c>
      <c r="F163" s="19">
        <v>1645.01316</v>
      </c>
      <c r="G163" s="19">
        <v>1627.5906196515034</v>
      </c>
      <c r="H163" s="20">
        <v>2.7547298201243908E-2</v>
      </c>
      <c r="I163" s="20">
        <v>-1.0591125209294061E-2</v>
      </c>
      <c r="J163" s="20">
        <v>2.4116940751235827E-2</v>
      </c>
    </row>
    <row r="164" spans="1:10" ht="11.25" customHeight="1" x14ac:dyDescent="0.2">
      <c r="A164" s="29">
        <v>44621</v>
      </c>
      <c r="B164" s="19">
        <v>0</v>
      </c>
      <c r="C164" s="19">
        <v>0</v>
      </c>
      <c r="D164" s="19">
        <v>16644.103739999999</v>
      </c>
      <c r="E164" s="19">
        <v>17102.603829018219</v>
      </c>
      <c r="F164" s="19">
        <v>1645.01316</v>
      </c>
      <c r="G164" s="19">
        <v>1627.5906196515034</v>
      </c>
      <c r="H164" s="20">
        <v>2.7547298201243908E-2</v>
      </c>
      <c r="I164" s="20">
        <v>-1.0591125209294061E-2</v>
      </c>
      <c r="J164" s="20">
        <v>2.4116940751235827E-2</v>
      </c>
    </row>
    <row r="165" spans="1:10" ht="11.25" customHeight="1" x14ac:dyDescent="0.2">
      <c r="A165" s="24" t="s">
        <v>24</v>
      </c>
      <c r="B165" s="19">
        <v>34014.730000000003</v>
      </c>
      <c r="C165" s="19">
        <v>34528.261068263469</v>
      </c>
      <c r="D165" s="19">
        <v>52095.222650000003</v>
      </c>
      <c r="E165" s="19">
        <v>58444.342669582344</v>
      </c>
      <c r="F165" s="19">
        <v>43439.712399999989</v>
      </c>
      <c r="G165" s="19">
        <v>42979.636966915888</v>
      </c>
      <c r="H165" s="20">
        <v>7.9696375118675666E-2</v>
      </c>
      <c r="I165" s="20">
        <v>-1.0591125209293506E-2</v>
      </c>
      <c r="J165" s="20">
        <v>4.9421784705430349E-2</v>
      </c>
    </row>
    <row r="166" spans="1:10" ht="11.25" customHeight="1" x14ac:dyDescent="0.2">
      <c r="A166" s="25" t="s">
        <v>24</v>
      </c>
      <c r="B166" s="19">
        <v>34014.730000000003</v>
      </c>
      <c r="C166" s="19">
        <v>34528.261068263469</v>
      </c>
      <c r="D166" s="19">
        <v>52095.222650000003</v>
      </c>
      <c r="E166" s="19">
        <v>58444.342669582344</v>
      </c>
      <c r="F166" s="19">
        <v>43439.712399999989</v>
      </c>
      <c r="G166" s="19">
        <v>42979.636966915888</v>
      </c>
      <c r="H166" s="20">
        <v>7.9696375118675666E-2</v>
      </c>
      <c r="I166" s="20">
        <v>-1.0591125209293506E-2</v>
      </c>
      <c r="J166" s="20">
        <v>4.9421784705430349E-2</v>
      </c>
    </row>
    <row r="167" spans="1:10" ht="11.25" customHeight="1" x14ac:dyDescent="0.2">
      <c r="A167" s="26" t="s">
        <v>25</v>
      </c>
      <c r="B167" s="19">
        <v>34014.730000000003</v>
      </c>
      <c r="C167" s="19">
        <v>34528.261068263469</v>
      </c>
      <c r="D167" s="19">
        <v>52095.222650000003</v>
      </c>
      <c r="E167" s="19">
        <v>58444.342669582344</v>
      </c>
      <c r="F167" s="19">
        <v>43439.712399999989</v>
      </c>
      <c r="G167" s="19">
        <v>42979.636966915888</v>
      </c>
      <c r="H167" s="20">
        <v>7.9696375118675666E-2</v>
      </c>
      <c r="I167" s="20">
        <v>-1.0591125209293506E-2</v>
      </c>
      <c r="J167" s="20">
        <v>4.9421784705430349E-2</v>
      </c>
    </row>
    <row r="168" spans="1:10" ht="11.25" customHeight="1" x14ac:dyDescent="0.2">
      <c r="A168" s="27" t="s">
        <v>25</v>
      </c>
      <c r="B168" s="19">
        <v>34014.730000000003</v>
      </c>
      <c r="C168" s="19">
        <v>34528.261068263469</v>
      </c>
      <c r="D168" s="19">
        <v>52095.222650000003</v>
      </c>
      <c r="E168" s="19">
        <v>58444.342669582344</v>
      </c>
      <c r="F168" s="19">
        <v>43439.712399999989</v>
      </c>
      <c r="G168" s="19">
        <v>42979.636966915888</v>
      </c>
      <c r="H168" s="20">
        <v>7.9696375118675666E-2</v>
      </c>
      <c r="I168" s="20">
        <v>-1.0591125209293506E-2</v>
      </c>
      <c r="J168" s="20">
        <v>4.9421784705430349E-2</v>
      </c>
    </row>
    <row r="169" spans="1:10" ht="11.25" customHeight="1" x14ac:dyDescent="0.2">
      <c r="A169" s="28" t="s">
        <v>36</v>
      </c>
      <c r="B169" s="19">
        <v>0</v>
      </c>
      <c r="C169" s="19">
        <v>0</v>
      </c>
      <c r="D169" s="19">
        <v>12770.047310000002</v>
      </c>
      <c r="E169" s="19">
        <v>18035.864997675162</v>
      </c>
      <c r="F169" s="19">
        <v>39553.024840000005</v>
      </c>
      <c r="G169" s="19">
        <v>39134.113801513246</v>
      </c>
      <c r="H169" s="20">
        <v>0.41235694432796577</v>
      </c>
      <c r="I169" s="20">
        <v>-1.0591125209294061E-2</v>
      </c>
      <c r="J169" s="20">
        <v>9.2634213742137872E-2</v>
      </c>
    </row>
    <row r="170" spans="1:10" ht="11.25" customHeight="1" x14ac:dyDescent="0.2">
      <c r="A170" s="29">
        <v>44287</v>
      </c>
      <c r="B170" s="19">
        <v>0</v>
      </c>
      <c r="C170" s="19">
        <v>0</v>
      </c>
      <c r="D170" s="19">
        <v>1090.88969</v>
      </c>
      <c r="E170" s="19">
        <v>1540.725629167282</v>
      </c>
      <c r="F170" s="19">
        <v>3378.8431599999999</v>
      </c>
      <c r="G170" s="19">
        <v>3343.0574090298728</v>
      </c>
      <c r="H170" s="20">
        <v>0.41235694432796599</v>
      </c>
      <c r="I170" s="20">
        <v>-1.0591125209294172E-2</v>
      </c>
      <c r="J170" s="20">
        <v>9.263421374213765E-2</v>
      </c>
    </row>
    <row r="171" spans="1:10" ht="11.25" customHeight="1" x14ac:dyDescent="0.2">
      <c r="A171" s="29">
        <v>44317</v>
      </c>
      <c r="B171" s="19">
        <v>0</v>
      </c>
      <c r="C171" s="19">
        <v>0</v>
      </c>
      <c r="D171" s="19">
        <v>788.96829000000002</v>
      </c>
      <c r="E171" s="19">
        <v>1114.3048432360606</v>
      </c>
      <c r="F171" s="19">
        <v>2443.6935600000002</v>
      </c>
      <c r="G171" s="19">
        <v>2417.8120955328941</v>
      </c>
      <c r="H171" s="20">
        <v>0.41235694432796599</v>
      </c>
      <c r="I171" s="20">
        <v>-1.0591125209294283E-2</v>
      </c>
      <c r="J171" s="20">
        <v>9.263421374213765E-2</v>
      </c>
    </row>
    <row r="172" spans="1:10" ht="11.25" customHeight="1" x14ac:dyDescent="0.2">
      <c r="A172" s="29">
        <v>44348</v>
      </c>
      <c r="B172" s="19">
        <v>0</v>
      </c>
      <c r="C172" s="19">
        <v>0</v>
      </c>
      <c r="D172" s="19">
        <v>812.37081000000001</v>
      </c>
      <c r="E172" s="19">
        <v>1147.3575548728345</v>
      </c>
      <c r="F172" s="19">
        <v>2516.17884</v>
      </c>
      <c r="G172" s="19">
        <v>2489.5296748565834</v>
      </c>
      <c r="H172" s="20">
        <v>0.41235694432796577</v>
      </c>
      <c r="I172" s="20">
        <v>-1.0591125209294172E-2</v>
      </c>
      <c r="J172" s="20">
        <v>9.2634213742137872E-2</v>
      </c>
    </row>
    <row r="173" spans="1:10" ht="11.25" customHeight="1" x14ac:dyDescent="0.2">
      <c r="A173" s="29">
        <v>44378</v>
      </c>
      <c r="B173" s="19">
        <v>0</v>
      </c>
      <c r="C173" s="19">
        <v>0</v>
      </c>
      <c r="D173" s="19">
        <v>1318.2697300000002</v>
      </c>
      <c r="E173" s="19">
        <v>1861.8674076628529</v>
      </c>
      <c r="F173" s="19">
        <v>4083.1137200000003</v>
      </c>
      <c r="G173" s="19">
        <v>4039.8689513476934</v>
      </c>
      <c r="H173" s="20">
        <v>0.41235694432796577</v>
      </c>
      <c r="I173" s="20">
        <v>-1.0591125209294172E-2</v>
      </c>
      <c r="J173" s="20">
        <v>9.2634213742137872E-2</v>
      </c>
    </row>
    <row r="174" spans="1:10" ht="11.25" customHeight="1" x14ac:dyDescent="0.2">
      <c r="A174" s="29">
        <v>44409</v>
      </c>
      <c r="B174" s="19">
        <v>0</v>
      </c>
      <c r="C174" s="19">
        <v>0</v>
      </c>
      <c r="D174" s="19">
        <v>794.60222999999996</v>
      </c>
      <c r="E174" s="19">
        <v>1122.2619775189876</v>
      </c>
      <c r="F174" s="19">
        <v>2461.14372</v>
      </c>
      <c r="G174" s="19">
        <v>2435.0774387034121</v>
      </c>
      <c r="H174" s="20">
        <v>0.41235694432796599</v>
      </c>
      <c r="I174" s="20">
        <v>-1.0591125209294172E-2</v>
      </c>
      <c r="J174" s="20">
        <v>9.2634213742137872E-2</v>
      </c>
    </row>
    <row r="175" spans="1:10" ht="11.25" customHeight="1" x14ac:dyDescent="0.2">
      <c r="A175" s="29">
        <v>44440</v>
      </c>
      <c r="B175" s="19">
        <v>0</v>
      </c>
      <c r="C175" s="19">
        <v>0</v>
      </c>
      <c r="D175" s="19">
        <v>1458.7570800000001</v>
      </c>
      <c r="E175" s="19">
        <v>2060.2856920255863</v>
      </c>
      <c r="F175" s="19">
        <v>4518.2491200000004</v>
      </c>
      <c r="G175" s="19">
        <v>4470.3957778432969</v>
      </c>
      <c r="H175" s="20">
        <v>0.41235694432796599</v>
      </c>
      <c r="I175" s="20">
        <v>-1.0591125209294283E-2</v>
      </c>
      <c r="J175" s="20">
        <v>9.263421374213765E-2</v>
      </c>
    </row>
    <row r="176" spans="1:10" ht="11.25" customHeight="1" x14ac:dyDescent="0.2">
      <c r="A176" s="29">
        <v>44470</v>
      </c>
      <c r="B176" s="19">
        <v>0</v>
      </c>
      <c r="C176" s="19">
        <v>0</v>
      </c>
      <c r="D176" s="19">
        <v>1221.1203800000001</v>
      </c>
      <c r="E176" s="19">
        <v>1724.6578485534044</v>
      </c>
      <c r="F176" s="19">
        <v>3782.2103199999997</v>
      </c>
      <c r="G176" s="19">
        <v>3742.1524569329954</v>
      </c>
      <c r="H176" s="20">
        <v>0.41235694432796577</v>
      </c>
      <c r="I176" s="20">
        <v>-1.0591125209294061E-2</v>
      </c>
      <c r="J176" s="20">
        <v>9.2634213742137872E-2</v>
      </c>
    </row>
    <row r="177" spans="1:10" ht="11.25" customHeight="1" x14ac:dyDescent="0.2">
      <c r="A177" s="29">
        <v>44501</v>
      </c>
      <c r="B177" s="19">
        <v>0</v>
      </c>
      <c r="C177" s="19">
        <v>0</v>
      </c>
      <c r="D177" s="19">
        <v>1021.1877400000001</v>
      </c>
      <c r="E177" s="19">
        <v>1442.2815960515813</v>
      </c>
      <c r="F177" s="19">
        <v>3162.95336</v>
      </c>
      <c r="G177" s="19">
        <v>3129.4541249330823</v>
      </c>
      <c r="H177" s="20">
        <v>0.41235694432796577</v>
      </c>
      <c r="I177" s="20">
        <v>-1.0591125209294172E-2</v>
      </c>
      <c r="J177" s="20">
        <v>9.263421374213765E-2</v>
      </c>
    </row>
    <row r="178" spans="1:10" ht="11.25" customHeight="1" x14ac:dyDescent="0.2">
      <c r="A178" s="29">
        <v>44531</v>
      </c>
      <c r="B178" s="19">
        <v>0</v>
      </c>
      <c r="C178" s="19">
        <v>0</v>
      </c>
      <c r="D178" s="19">
        <v>1441.9274900000003</v>
      </c>
      <c r="E178" s="19">
        <v>2036.5163037188938</v>
      </c>
      <c r="F178" s="19">
        <v>4466.1223600000003</v>
      </c>
      <c r="G178" s="19">
        <v>4418.8210988852115</v>
      </c>
      <c r="H178" s="20">
        <v>0.41235694432796577</v>
      </c>
      <c r="I178" s="20">
        <v>-1.0591125209294283E-2</v>
      </c>
      <c r="J178" s="20">
        <v>9.2634213742137872E-2</v>
      </c>
    </row>
    <row r="179" spans="1:10" ht="11.25" customHeight="1" x14ac:dyDescent="0.2">
      <c r="A179" s="29">
        <v>44562</v>
      </c>
      <c r="B179" s="19">
        <v>0</v>
      </c>
      <c r="C179" s="19">
        <v>0</v>
      </c>
      <c r="D179" s="19">
        <v>1347.30619</v>
      </c>
      <c r="E179" s="19">
        <v>1902.8772535825537</v>
      </c>
      <c r="F179" s="19">
        <v>4173.0491599999996</v>
      </c>
      <c r="G179" s="19">
        <v>4128.8518738418998</v>
      </c>
      <c r="H179" s="20">
        <v>0.41235694432796577</v>
      </c>
      <c r="I179" s="20">
        <v>-1.0591125209294172E-2</v>
      </c>
      <c r="J179" s="20">
        <v>9.2634213742137872E-2</v>
      </c>
    </row>
    <row r="180" spans="1:10" ht="11.25" customHeight="1" x14ac:dyDescent="0.2">
      <c r="A180" s="29">
        <v>44593</v>
      </c>
      <c r="B180" s="19">
        <v>0</v>
      </c>
      <c r="C180" s="19">
        <v>0</v>
      </c>
      <c r="D180" s="19">
        <v>737.32384000000002</v>
      </c>
      <c r="E180" s="19">
        <v>1041.364445642562</v>
      </c>
      <c r="F180" s="19">
        <v>2283.7337600000001</v>
      </c>
      <c r="G180" s="19">
        <v>2259.5464498031479</v>
      </c>
      <c r="H180" s="20">
        <v>0.41235694432796577</v>
      </c>
      <c r="I180" s="20">
        <v>-1.0591125209294172E-2</v>
      </c>
      <c r="J180" s="20">
        <v>9.263421374213765E-2</v>
      </c>
    </row>
    <row r="181" spans="1:10" ht="11.25" customHeight="1" x14ac:dyDescent="0.2">
      <c r="A181" s="29">
        <v>44621</v>
      </c>
      <c r="B181" s="19">
        <v>0</v>
      </c>
      <c r="C181" s="19">
        <v>0</v>
      </c>
      <c r="D181" s="19">
        <v>737.32384000000002</v>
      </c>
      <c r="E181" s="19">
        <v>1041.364445642562</v>
      </c>
      <c r="F181" s="19">
        <v>2283.7337600000001</v>
      </c>
      <c r="G181" s="19">
        <v>2259.5464498031479</v>
      </c>
      <c r="H181" s="20">
        <v>0.41235694432796577</v>
      </c>
      <c r="I181" s="20">
        <v>-1.0591125209294172E-2</v>
      </c>
      <c r="J181" s="20">
        <v>9.263421374213765E-2</v>
      </c>
    </row>
    <row r="182" spans="1:10" ht="11.25" customHeight="1" x14ac:dyDescent="0.2">
      <c r="A182" s="28" t="s">
        <v>25</v>
      </c>
      <c r="B182" s="19">
        <v>34014.730000000003</v>
      </c>
      <c r="C182" s="19">
        <v>34528.261068263469</v>
      </c>
      <c r="D182" s="19">
        <v>0</v>
      </c>
      <c r="E182" s="19">
        <v>0</v>
      </c>
      <c r="F182" s="19">
        <v>0</v>
      </c>
      <c r="G182" s="19">
        <v>0</v>
      </c>
      <c r="H182" s="20">
        <v>1.5097314259541861E-2</v>
      </c>
      <c r="I182" s="20">
        <v>0</v>
      </c>
      <c r="J182" s="20">
        <v>1.5097314259541861E-2</v>
      </c>
    </row>
    <row r="183" spans="1:10" ht="11.25" customHeight="1" x14ac:dyDescent="0.2">
      <c r="A183" s="29">
        <v>44287</v>
      </c>
      <c r="B183" s="19">
        <v>2575.1</v>
      </c>
      <c r="C183" s="19">
        <v>2613.9770939497466</v>
      </c>
      <c r="D183" s="19">
        <v>0</v>
      </c>
      <c r="E183" s="19">
        <v>0</v>
      </c>
      <c r="F183" s="19">
        <v>0</v>
      </c>
      <c r="G183" s="19">
        <v>0</v>
      </c>
      <c r="H183" s="20">
        <v>1.5097314259542083E-2</v>
      </c>
      <c r="I183" s="20">
        <v>0</v>
      </c>
      <c r="J183" s="20">
        <v>1.5097314259542083E-2</v>
      </c>
    </row>
    <row r="184" spans="1:10" ht="11.25" customHeight="1" x14ac:dyDescent="0.2">
      <c r="A184" s="29">
        <v>44317</v>
      </c>
      <c r="B184" s="19">
        <v>2715.56</v>
      </c>
      <c r="C184" s="19">
        <v>2756.557662710642</v>
      </c>
      <c r="D184" s="19">
        <v>0</v>
      </c>
      <c r="E184" s="19">
        <v>0</v>
      </c>
      <c r="F184" s="19">
        <v>0</v>
      </c>
      <c r="G184" s="19">
        <v>0</v>
      </c>
      <c r="H184" s="20">
        <v>1.5097314259542083E-2</v>
      </c>
      <c r="I184" s="20">
        <v>0</v>
      </c>
      <c r="J184" s="20">
        <v>1.5097314259542083E-2</v>
      </c>
    </row>
    <row r="185" spans="1:10" ht="11.25" customHeight="1" x14ac:dyDescent="0.2">
      <c r="A185" s="29">
        <v>44348</v>
      </c>
      <c r="B185" s="19">
        <v>2575.1</v>
      </c>
      <c r="C185" s="19">
        <v>2613.9770939497466</v>
      </c>
      <c r="D185" s="19">
        <v>0</v>
      </c>
      <c r="E185" s="19">
        <v>0</v>
      </c>
      <c r="F185" s="19">
        <v>0</v>
      </c>
      <c r="G185" s="19">
        <v>0</v>
      </c>
      <c r="H185" s="20">
        <v>1.5097314259542083E-2</v>
      </c>
      <c r="I185" s="20">
        <v>0</v>
      </c>
      <c r="J185" s="20">
        <v>1.5097314259542083E-2</v>
      </c>
    </row>
    <row r="186" spans="1:10" ht="11.25" customHeight="1" x14ac:dyDescent="0.2">
      <c r="A186" s="29">
        <v>44378</v>
      </c>
      <c r="B186" s="19">
        <v>3066.71</v>
      </c>
      <c r="C186" s="19">
        <v>3113.0090846128801</v>
      </c>
      <c r="D186" s="19">
        <v>0</v>
      </c>
      <c r="E186" s="19">
        <v>0</v>
      </c>
      <c r="F186" s="19">
        <v>0</v>
      </c>
      <c r="G186" s="19">
        <v>0</v>
      </c>
      <c r="H186" s="20">
        <v>1.5097314259542083E-2</v>
      </c>
      <c r="I186" s="20">
        <v>0</v>
      </c>
      <c r="J186" s="20">
        <v>1.5097314259542083E-2</v>
      </c>
    </row>
    <row r="187" spans="1:10" ht="11.25" customHeight="1" x14ac:dyDescent="0.2">
      <c r="A187" s="29">
        <v>44409</v>
      </c>
      <c r="B187" s="19">
        <v>2575.1</v>
      </c>
      <c r="C187" s="19">
        <v>2613.9770939497466</v>
      </c>
      <c r="D187" s="19">
        <v>0</v>
      </c>
      <c r="E187" s="19">
        <v>0</v>
      </c>
      <c r="F187" s="19">
        <v>0</v>
      </c>
      <c r="G187" s="19">
        <v>0</v>
      </c>
      <c r="H187" s="20">
        <v>1.5097314259542083E-2</v>
      </c>
      <c r="I187" s="20">
        <v>0</v>
      </c>
      <c r="J187" s="20">
        <v>1.5097314259542083E-2</v>
      </c>
    </row>
    <row r="188" spans="1:10" ht="11.25" customHeight="1" x14ac:dyDescent="0.2">
      <c r="A188" s="29">
        <v>44440</v>
      </c>
      <c r="B188" s="19">
        <v>3417.86</v>
      </c>
      <c r="C188" s="19">
        <v>3469.4605065151181</v>
      </c>
      <c r="D188" s="19">
        <v>0</v>
      </c>
      <c r="E188" s="19">
        <v>0</v>
      </c>
      <c r="F188" s="19">
        <v>0</v>
      </c>
      <c r="G188" s="19">
        <v>0</v>
      </c>
      <c r="H188" s="20">
        <v>1.5097314259541861E-2</v>
      </c>
      <c r="I188" s="20">
        <v>0</v>
      </c>
      <c r="J188" s="20">
        <v>1.5097314259541861E-2</v>
      </c>
    </row>
    <row r="189" spans="1:10" ht="11.25" customHeight="1" x14ac:dyDescent="0.2">
      <c r="A189" s="29">
        <v>44470</v>
      </c>
      <c r="B189" s="19">
        <v>3090.12</v>
      </c>
      <c r="C189" s="19">
        <v>3136.7725127396957</v>
      </c>
      <c r="D189" s="19">
        <v>0</v>
      </c>
      <c r="E189" s="19">
        <v>0</v>
      </c>
      <c r="F189" s="19">
        <v>0</v>
      </c>
      <c r="G189" s="19">
        <v>0</v>
      </c>
      <c r="H189" s="20">
        <v>1.5097314259541861E-2</v>
      </c>
      <c r="I189" s="20">
        <v>0</v>
      </c>
      <c r="J189" s="20">
        <v>1.5097314259541861E-2</v>
      </c>
    </row>
    <row r="190" spans="1:10" ht="11.25" customHeight="1" x14ac:dyDescent="0.2">
      <c r="A190" s="29">
        <v>44501</v>
      </c>
      <c r="B190" s="19">
        <v>2738.97</v>
      </c>
      <c r="C190" s="19">
        <v>2780.3210908374576</v>
      </c>
      <c r="D190" s="19">
        <v>0</v>
      </c>
      <c r="E190" s="19">
        <v>0</v>
      </c>
      <c r="F190" s="19">
        <v>0</v>
      </c>
      <c r="G190" s="19">
        <v>0</v>
      </c>
      <c r="H190" s="20">
        <v>1.5097314259542083E-2</v>
      </c>
      <c r="I190" s="20">
        <v>0</v>
      </c>
      <c r="J190" s="20">
        <v>1.5097314259542083E-2</v>
      </c>
    </row>
    <row r="191" spans="1:10" ht="11.25" customHeight="1" x14ac:dyDescent="0.2">
      <c r="A191" s="29">
        <v>44531</v>
      </c>
      <c r="B191" s="19">
        <v>2809.2</v>
      </c>
      <c r="C191" s="19">
        <v>2851.6113752179053</v>
      </c>
      <c r="D191" s="19">
        <v>0</v>
      </c>
      <c r="E191" s="19">
        <v>0</v>
      </c>
      <c r="F191" s="19">
        <v>0</v>
      </c>
      <c r="G191" s="19">
        <v>0</v>
      </c>
      <c r="H191" s="20">
        <v>1.5097314259542083E-2</v>
      </c>
      <c r="I191" s="20">
        <v>0</v>
      </c>
      <c r="J191" s="20">
        <v>1.5097314259542083E-2</v>
      </c>
    </row>
    <row r="192" spans="1:10" ht="11.25" customHeight="1" x14ac:dyDescent="0.2">
      <c r="A192" s="29">
        <v>44562</v>
      </c>
      <c r="B192" s="19">
        <v>3019.89</v>
      </c>
      <c r="C192" s="19">
        <v>3065.4822283592484</v>
      </c>
      <c r="D192" s="19">
        <v>0</v>
      </c>
      <c r="E192" s="19">
        <v>0</v>
      </c>
      <c r="F192" s="19">
        <v>0</v>
      </c>
      <c r="G192" s="19">
        <v>0</v>
      </c>
      <c r="H192" s="20">
        <v>1.5097314259542083E-2</v>
      </c>
      <c r="I192" s="20">
        <v>0</v>
      </c>
      <c r="J192" s="20">
        <v>1.5097314259542083E-2</v>
      </c>
    </row>
    <row r="193" spans="1:10" ht="11.25" customHeight="1" x14ac:dyDescent="0.2">
      <c r="A193" s="29">
        <v>44593</v>
      </c>
      <c r="B193" s="19">
        <v>2715.56</v>
      </c>
      <c r="C193" s="19">
        <v>2756.557662710642</v>
      </c>
      <c r="D193" s="19">
        <v>0</v>
      </c>
      <c r="E193" s="19">
        <v>0</v>
      </c>
      <c r="F193" s="19">
        <v>0</v>
      </c>
      <c r="G193" s="19">
        <v>0</v>
      </c>
      <c r="H193" s="20">
        <v>1.5097314259542083E-2</v>
      </c>
      <c r="I193" s="20">
        <v>0</v>
      </c>
      <c r="J193" s="20">
        <v>1.5097314259542083E-2</v>
      </c>
    </row>
    <row r="194" spans="1:10" ht="11.25" customHeight="1" x14ac:dyDescent="0.2">
      <c r="A194" s="29">
        <v>44621</v>
      </c>
      <c r="B194" s="19">
        <v>2715.56</v>
      </c>
      <c r="C194" s="19">
        <v>2756.557662710642</v>
      </c>
      <c r="D194" s="19">
        <v>0</v>
      </c>
      <c r="E194" s="19">
        <v>0</v>
      </c>
      <c r="F194" s="19">
        <v>0</v>
      </c>
      <c r="G194" s="19">
        <v>0</v>
      </c>
      <c r="H194" s="20">
        <v>1.5097314259542083E-2</v>
      </c>
      <c r="I194" s="20">
        <v>0</v>
      </c>
      <c r="J194" s="20">
        <v>1.5097314259542083E-2</v>
      </c>
    </row>
    <row r="195" spans="1:10" ht="11.25" customHeight="1" x14ac:dyDescent="0.2">
      <c r="A195" s="28" t="s">
        <v>35</v>
      </c>
      <c r="B195" s="19">
        <v>0</v>
      </c>
      <c r="C195" s="19">
        <v>0</v>
      </c>
      <c r="D195" s="19">
        <v>39325.175340000002</v>
      </c>
      <c r="E195" s="19">
        <v>40408.477671907189</v>
      </c>
      <c r="F195" s="19">
        <v>3886.6875600000008</v>
      </c>
      <c r="G195" s="19">
        <v>3845.5231654026343</v>
      </c>
      <c r="H195" s="20">
        <v>2.7547298201243908E-2</v>
      </c>
      <c r="I195" s="20">
        <v>-1.0591125209294283E-2</v>
      </c>
      <c r="J195" s="20">
        <v>2.4116940751235827E-2</v>
      </c>
    </row>
    <row r="196" spans="1:10" ht="11.25" customHeight="1" x14ac:dyDescent="0.2">
      <c r="A196" s="29">
        <v>44287</v>
      </c>
      <c r="B196" s="19">
        <v>0</v>
      </c>
      <c r="C196" s="19">
        <v>0</v>
      </c>
      <c r="D196" s="19">
        <v>2983.3984399999999</v>
      </c>
      <c r="E196" s="19">
        <v>3065.583006479806</v>
      </c>
      <c r="F196" s="19">
        <v>294.86295999999999</v>
      </c>
      <c r="G196" s="19">
        <v>291.74002947105691</v>
      </c>
      <c r="H196" s="20">
        <v>2.7547298201243908E-2</v>
      </c>
      <c r="I196" s="20">
        <v>-1.0591125209294061E-2</v>
      </c>
      <c r="J196" s="20">
        <v>2.4116940751235827E-2</v>
      </c>
    </row>
    <row r="197" spans="1:10" ht="11.25" customHeight="1" x14ac:dyDescent="0.2">
      <c r="A197" s="29">
        <v>44317</v>
      </c>
      <c r="B197" s="19">
        <v>0</v>
      </c>
      <c r="C197" s="19">
        <v>0</v>
      </c>
      <c r="D197" s="19">
        <v>2159.45532</v>
      </c>
      <c r="E197" s="19">
        <v>2218.9424796523026</v>
      </c>
      <c r="F197" s="19">
        <v>213.42887999999999</v>
      </c>
      <c r="G197" s="19">
        <v>211.16842800864057</v>
      </c>
      <c r="H197" s="20">
        <v>2.7547298201243908E-2</v>
      </c>
      <c r="I197" s="20">
        <v>-1.0591125209294172E-2</v>
      </c>
      <c r="J197" s="20">
        <v>2.4116940751235605E-2</v>
      </c>
    </row>
    <row r="198" spans="1:10" ht="11.25" customHeight="1" x14ac:dyDescent="0.2">
      <c r="A198" s="29">
        <v>44348</v>
      </c>
      <c r="B198" s="19">
        <v>0</v>
      </c>
      <c r="C198" s="19">
        <v>0</v>
      </c>
      <c r="D198" s="19">
        <v>2286.2157999999999</v>
      </c>
      <c r="E198" s="19">
        <v>2349.1948683949954</v>
      </c>
      <c r="F198" s="19">
        <v>225.9572</v>
      </c>
      <c r="G198" s="19">
        <v>223.56405900285847</v>
      </c>
      <c r="H198" s="20">
        <v>2.7547298201243908E-2</v>
      </c>
      <c r="I198" s="20">
        <v>-1.0591125209294172E-2</v>
      </c>
      <c r="J198" s="20">
        <v>2.4116940751235605E-2</v>
      </c>
    </row>
    <row r="199" spans="1:10" ht="11.25" customHeight="1" x14ac:dyDescent="0.2">
      <c r="A199" s="29">
        <v>44378</v>
      </c>
      <c r="B199" s="19">
        <v>0</v>
      </c>
      <c r="C199" s="19">
        <v>0</v>
      </c>
      <c r="D199" s="19">
        <v>4142.3514000000005</v>
      </c>
      <c r="E199" s="19">
        <v>4256.4619892701403</v>
      </c>
      <c r="F199" s="19">
        <v>409.4076</v>
      </c>
      <c r="G199" s="19">
        <v>405.07151284676343</v>
      </c>
      <c r="H199" s="20">
        <v>2.7547298201243908E-2</v>
      </c>
      <c r="I199" s="20">
        <v>-1.0591125209294061E-2</v>
      </c>
      <c r="J199" s="20">
        <v>2.4116940751235827E-2</v>
      </c>
    </row>
    <row r="200" spans="1:10" ht="11.25" customHeight="1" x14ac:dyDescent="0.2">
      <c r="A200" s="29">
        <v>44409</v>
      </c>
      <c r="B200" s="19">
        <v>0</v>
      </c>
      <c r="C200" s="19">
        <v>0</v>
      </c>
      <c r="D200" s="19">
        <v>2360.9139399999999</v>
      </c>
      <c r="E200" s="19">
        <v>2425.9507403326538</v>
      </c>
      <c r="F200" s="19">
        <v>233.33995999999999</v>
      </c>
      <c r="G200" s="19">
        <v>230.86862726730828</v>
      </c>
      <c r="H200" s="20">
        <v>2.7547298201243908E-2</v>
      </c>
      <c r="I200" s="20">
        <v>-1.0591125209294283E-2</v>
      </c>
      <c r="J200" s="20">
        <v>2.4116940751235605E-2</v>
      </c>
    </row>
    <row r="201" spans="1:10" ht="11.25" customHeight="1" x14ac:dyDescent="0.2">
      <c r="A201" s="29">
        <v>44440</v>
      </c>
      <c r="B201" s="19">
        <v>0</v>
      </c>
      <c r="C201" s="19">
        <v>0</v>
      </c>
      <c r="D201" s="19">
        <v>4499.9970400000002</v>
      </c>
      <c r="E201" s="19">
        <v>4623.9598003655956</v>
      </c>
      <c r="F201" s="19">
        <v>444.75536</v>
      </c>
      <c r="G201" s="19">
        <v>440.04490029473533</v>
      </c>
      <c r="H201" s="20">
        <v>2.7547298201243908E-2</v>
      </c>
      <c r="I201" s="20">
        <v>-1.0591125209294061E-2</v>
      </c>
      <c r="J201" s="20">
        <v>2.4116940751235605E-2</v>
      </c>
    </row>
    <row r="202" spans="1:10" ht="11.25" customHeight="1" x14ac:dyDescent="0.2">
      <c r="A202" s="29">
        <v>44470</v>
      </c>
      <c r="B202" s="19">
        <v>0</v>
      </c>
      <c r="C202" s="19">
        <v>0</v>
      </c>
      <c r="D202" s="19">
        <v>3965.79216</v>
      </c>
      <c r="E202" s="19">
        <v>4075.0390192356754</v>
      </c>
      <c r="F202" s="19">
        <v>391.95744000000002</v>
      </c>
      <c r="G202" s="19">
        <v>387.80616967624559</v>
      </c>
      <c r="H202" s="20">
        <v>2.7547298201243908E-2</v>
      </c>
      <c r="I202" s="20">
        <v>-1.0591125209294283E-2</v>
      </c>
      <c r="J202" s="20">
        <v>2.4116940751235605E-2</v>
      </c>
    </row>
    <row r="203" spans="1:10" ht="11.25" customHeight="1" x14ac:dyDescent="0.2">
      <c r="A203" s="29">
        <v>44501</v>
      </c>
      <c r="B203" s="19">
        <v>0</v>
      </c>
      <c r="C203" s="19">
        <v>0</v>
      </c>
      <c r="D203" s="19">
        <v>2824.9478399999998</v>
      </c>
      <c r="E203" s="19">
        <v>2902.7675205514402</v>
      </c>
      <c r="F203" s="19">
        <v>279.20256000000001</v>
      </c>
      <c r="G203" s="19">
        <v>276.24549072828455</v>
      </c>
      <c r="H203" s="20">
        <v>2.754729820124413E-2</v>
      </c>
      <c r="I203" s="20">
        <v>-1.0591125209294172E-2</v>
      </c>
      <c r="J203" s="20">
        <v>2.4116940751235827E-2</v>
      </c>
    </row>
    <row r="204" spans="1:10" ht="11.25" customHeight="1" x14ac:dyDescent="0.2">
      <c r="A204" s="29">
        <v>44531</v>
      </c>
      <c r="B204" s="19">
        <v>0</v>
      </c>
      <c r="C204" s="19">
        <v>0</v>
      </c>
      <c r="D204" s="19">
        <v>5088.5278400000007</v>
      </c>
      <c r="E204" s="19">
        <v>5228.703033813812</v>
      </c>
      <c r="F204" s="19">
        <v>502.92256000000003</v>
      </c>
      <c r="G204" s="19">
        <v>497.59604419646132</v>
      </c>
      <c r="H204" s="20">
        <v>2.7547298201243908E-2</v>
      </c>
      <c r="I204" s="20">
        <v>-1.0591125209294061E-2</v>
      </c>
      <c r="J204" s="20">
        <v>2.4116940751235605E-2</v>
      </c>
    </row>
    <row r="205" spans="1:10" ht="11.25" customHeight="1" x14ac:dyDescent="0.2">
      <c r="A205" s="29">
        <v>44562</v>
      </c>
      <c r="B205" s="19">
        <v>0</v>
      </c>
      <c r="C205" s="19">
        <v>0</v>
      </c>
      <c r="D205" s="19">
        <v>4866.6969999999992</v>
      </c>
      <c r="E205" s="19">
        <v>5000.761353514099</v>
      </c>
      <c r="F205" s="19">
        <v>480.99799999999999</v>
      </c>
      <c r="G205" s="19">
        <v>475.90368995657991</v>
      </c>
      <c r="H205" s="20">
        <v>2.754729820124413E-2</v>
      </c>
      <c r="I205" s="20">
        <v>-1.0591125209294172E-2</v>
      </c>
      <c r="J205" s="20">
        <v>2.4116940751235827E-2</v>
      </c>
    </row>
    <row r="206" spans="1:10" ht="11.25" customHeight="1" x14ac:dyDescent="0.2">
      <c r="A206" s="29">
        <v>44593</v>
      </c>
      <c r="B206" s="19">
        <v>0</v>
      </c>
      <c r="C206" s="19">
        <v>0</v>
      </c>
      <c r="D206" s="19">
        <v>2073.4392800000001</v>
      </c>
      <c r="E206" s="19">
        <v>2130.5569301483329</v>
      </c>
      <c r="F206" s="19">
        <v>204.92752000000002</v>
      </c>
      <c r="G206" s="19">
        <v>202.75710697684988</v>
      </c>
      <c r="H206" s="20">
        <v>2.754729820124413E-2</v>
      </c>
      <c r="I206" s="20">
        <v>-1.0591125209294172E-2</v>
      </c>
      <c r="J206" s="20">
        <v>2.4116940751235827E-2</v>
      </c>
    </row>
    <row r="207" spans="1:10" ht="11.25" customHeight="1" x14ac:dyDescent="0.2">
      <c r="A207" s="29">
        <v>44621</v>
      </c>
      <c r="B207" s="19">
        <v>0</v>
      </c>
      <c r="C207" s="19">
        <v>0</v>
      </c>
      <c r="D207" s="19">
        <v>2073.4392800000001</v>
      </c>
      <c r="E207" s="19">
        <v>2130.5569301483329</v>
      </c>
      <c r="F207" s="19">
        <v>204.92752000000002</v>
      </c>
      <c r="G207" s="19">
        <v>202.75710697684988</v>
      </c>
      <c r="H207" s="20">
        <v>2.754729820124413E-2</v>
      </c>
      <c r="I207" s="20">
        <v>-1.0591125209294172E-2</v>
      </c>
      <c r="J207" s="20">
        <v>2.4116940751235827E-2</v>
      </c>
    </row>
    <row r="208" spans="1:10" ht="11.25" customHeight="1" x14ac:dyDescent="0.2">
      <c r="A208" s="24" t="s">
        <v>41</v>
      </c>
      <c r="B208" s="19">
        <v>11504154.925676003</v>
      </c>
      <c r="C208" s="19">
        <v>11677836.767879389</v>
      </c>
      <c r="D208" s="19">
        <v>5027104.1774317548</v>
      </c>
      <c r="E208" s="19">
        <v>6406839.6720539154</v>
      </c>
      <c r="F208" s="19">
        <v>10168872.802148426</v>
      </c>
      <c r="G208" s="19">
        <v>10061172.997063488</v>
      </c>
      <c r="H208" s="20">
        <v>9.3968482808034492E-2</v>
      </c>
      <c r="I208" s="20">
        <v>-1.0591125209293839E-2</v>
      </c>
      <c r="J208" s="20">
        <v>5.4146456537018439E-2</v>
      </c>
    </row>
    <row r="209" spans="1:10" ht="11.25" customHeight="1" x14ac:dyDescent="0.2">
      <c r="A209" s="25" t="s">
        <v>50</v>
      </c>
      <c r="B209" s="19">
        <v>11140020.147796001</v>
      </c>
      <c r="C209" s="19">
        <v>11308204.532824906</v>
      </c>
      <c r="D209" s="19">
        <v>4460693.032549236</v>
      </c>
      <c r="E209" s="19">
        <v>5759886.9330135947</v>
      </c>
      <c r="F209" s="19">
        <v>9606881.4608395416</v>
      </c>
      <c r="G209" s="19">
        <v>9505133.7764169481</v>
      </c>
      <c r="H209" s="20">
        <v>9.405841056945774E-2</v>
      </c>
      <c r="I209" s="20">
        <v>-1.0591125209293506E-2</v>
      </c>
      <c r="J209" s="20">
        <v>5.4175363437472646E-2</v>
      </c>
    </row>
    <row r="210" spans="1:10" ht="11.25" customHeight="1" x14ac:dyDescent="0.2">
      <c r="A210" s="26" t="s">
        <v>52</v>
      </c>
      <c r="B210" s="19">
        <v>0</v>
      </c>
      <c r="C210" s="19">
        <v>0</v>
      </c>
      <c r="D210" s="19">
        <v>558445.79717400006</v>
      </c>
      <c r="E210" s="19">
        <v>788724.79966946587</v>
      </c>
      <c r="F210" s="19">
        <v>1729689.7929360003</v>
      </c>
      <c r="G210" s="19">
        <v>1711370.4317657766</v>
      </c>
      <c r="H210" s="20">
        <v>0.41235694432796621</v>
      </c>
      <c r="I210" s="20">
        <v>-1.0591125209294394E-2</v>
      </c>
      <c r="J210" s="20">
        <v>9.2634213742137872E-2</v>
      </c>
    </row>
    <row r="211" spans="1:10" ht="11.25" customHeight="1" x14ac:dyDescent="0.2">
      <c r="A211" s="27" t="s">
        <v>25</v>
      </c>
      <c r="B211" s="19">
        <v>0</v>
      </c>
      <c r="C211" s="19">
        <v>0</v>
      </c>
      <c r="D211" s="19">
        <v>558445.79717400006</v>
      </c>
      <c r="E211" s="19">
        <v>788724.79966946587</v>
      </c>
      <c r="F211" s="19">
        <v>1729689.7929360003</v>
      </c>
      <c r="G211" s="19">
        <v>1711370.4317657766</v>
      </c>
      <c r="H211" s="20">
        <v>0.41235694432796621</v>
      </c>
      <c r="I211" s="20">
        <v>-1.0591125209294394E-2</v>
      </c>
      <c r="J211" s="20">
        <v>9.2634213742137872E-2</v>
      </c>
    </row>
    <row r="212" spans="1:10" ht="11.25" customHeight="1" x14ac:dyDescent="0.2">
      <c r="A212" s="28" t="s">
        <v>36</v>
      </c>
      <c r="B212" s="19">
        <v>0</v>
      </c>
      <c r="C212" s="19">
        <v>0</v>
      </c>
      <c r="D212" s="19">
        <v>558445.79717400006</v>
      </c>
      <c r="E212" s="19">
        <v>788724.79966946587</v>
      </c>
      <c r="F212" s="19">
        <v>1729689.7929360003</v>
      </c>
      <c r="G212" s="19">
        <v>1711370.4317657766</v>
      </c>
      <c r="H212" s="20">
        <v>0.41235694432796621</v>
      </c>
      <c r="I212" s="20">
        <v>-1.0591125209294394E-2</v>
      </c>
      <c r="J212" s="20">
        <v>9.2634213742137872E-2</v>
      </c>
    </row>
    <row r="213" spans="1:10" ht="11.25" customHeight="1" x14ac:dyDescent="0.2">
      <c r="A213" s="29">
        <v>44287</v>
      </c>
      <c r="B213" s="19">
        <v>0</v>
      </c>
      <c r="C213" s="19">
        <v>0</v>
      </c>
      <c r="D213" s="19">
        <v>59767.825842000006</v>
      </c>
      <c r="E213" s="19">
        <v>84413.503875333161</v>
      </c>
      <c r="F213" s="19">
        <v>185120.55928800002</v>
      </c>
      <c r="G213" s="19">
        <v>183159.92426576625</v>
      </c>
      <c r="H213" s="20">
        <v>0.41235694432796577</v>
      </c>
      <c r="I213" s="20">
        <v>-1.0591125209294172E-2</v>
      </c>
      <c r="J213" s="20">
        <v>9.2634213742137872E-2</v>
      </c>
    </row>
    <row r="214" spans="1:10" ht="11.25" customHeight="1" x14ac:dyDescent="0.2">
      <c r="A214" s="29">
        <v>44317</v>
      </c>
      <c r="B214" s="19">
        <v>0</v>
      </c>
      <c r="C214" s="19">
        <v>0</v>
      </c>
      <c r="D214" s="19">
        <v>51986.704632000001</v>
      </c>
      <c r="E214" s="19">
        <v>73423.783299732022</v>
      </c>
      <c r="F214" s="19">
        <v>161019.87484799998</v>
      </c>
      <c r="G214" s="19">
        <v>159314.49319229994</v>
      </c>
      <c r="H214" s="20">
        <v>0.41235694432796577</v>
      </c>
      <c r="I214" s="20">
        <v>-1.0591125209294172E-2</v>
      </c>
      <c r="J214" s="20">
        <v>9.2634213742137872E-2</v>
      </c>
    </row>
    <row r="215" spans="1:10" ht="11.25" customHeight="1" x14ac:dyDescent="0.2">
      <c r="A215" s="29">
        <v>44348</v>
      </c>
      <c r="B215" s="19">
        <v>0</v>
      </c>
      <c r="C215" s="19">
        <v>0</v>
      </c>
      <c r="D215" s="19">
        <v>13480.241562000001</v>
      </c>
      <c r="E215" s="19">
        <v>19038.912781309165</v>
      </c>
      <c r="F215" s="19">
        <v>41752.729368</v>
      </c>
      <c r="G215" s="19">
        <v>41310.520983433737</v>
      </c>
      <c r="H215" s="20">
        <v>0.41235694432796577</v>
      </c>
      <c r="I215" s="20">
        <v>-1.0591125209294172E-2</v>
      </c>
      <c r="J215" s="20">
        <v>9.2634213742137872E-2</v>
      </c>
    </row>
    <row r="216" spans="1:10" ht="11.25" customHeight="1" x14ac:dyDescent="0.2">
      <c r="A216" s="29">
        <v>44378</v>
      </c>
      <c r="B216" s="19">
        <v>0</v>
      </c>
      <c r="C216" s="19">
        <v>0</v>
      </c>
      <c r="D216" s="19">
        <v>34733.326776000002</v>
      </c>
      <c r="E216" s="19">
        <v>49055.855271696077</v>
      </c>
      <c r="F216" s="19">
        <v>107580.504864</v>
      </c>
      <c r="G216" s="19">
        <v>106441.1062669063</v>
      </c>
      <c r="H216" s="20">
        <v>0.41235694432796577</v>
      </c>
      <c r="I216" s="20">
        <v>-1.0591125209294172E-2</v>
      </c>
      <c r="J216" s="20">
        <v>9.2634213742137872E-2</v>
      </c>
    </row>
    <row r="217" spans="1:10" ht="11.25" customHeight="1" x14ac:dyDescent="0.2">
      <c r="A217" s="29">
        <v>44409</v>
      </c>
      <c r="B217" s="19">
        <v>0</v>
      </c>
      <c r="C217" s="19">
        <v>0</v>
      </c>
      <c r="D217" s="19">
        <v>50521.663542000009</v>
      </c>
      <c r="E217" s="19">
        <v>71354.622342544724</v>
      </c>
      <c r="F217" s="19">
        <v>156482.16208800001</v>
      </c>
      <c r="G217" s="19">
        <v>154824.83991630495</v>
      </c>
      <c r="H217" s="20">
        <v>0.41235694432796577</v>
      </c>
      <c r="I217" s="20">
        <v>-1.0591125209294061E-2</v>
      </c>
      <c r="J217" s="20">
        <v>9.263421374213765E-2</v>
      </c>
    </row>
    <row r="218" spans="1:10" ht="11.25" customHeight="1" x14ac:dyDescent="0.2">
      <c r="A218" s="29">
        <v>44440</v>
      </c>
      <c r="B218" s="19">
        <v>0</v>
      </c>
      <c r="C218" s="19">
        <v>0</v>
      </c>
      <c r="D218" s="19">
        <v>49267.851864000004</v>
      </c>
      <c r="E218" s="19">
        <v>69583.792712241921</v>
      </c>
      <c r="F218" s="19">
        <v>152598.696096</v>
      </c>
      <c r="G218" s="19">
        <v>150982.50419887225</v>
      </c>
      <c r="H218" s="20">
        <v>0.41235694432796577</v>
      </c>
      <c r="I218" s="20">
        <v>-1.0591125209294061E-2</v>
      </c>
      <c r="J218" s="20">
        <v>9.2634213742138094E-2</v>
      </c>
    </row>
    <row r="219" spans="1:10" ht="11.25" customHeight="1" x14ac:dyDescent="0.2">
      <c r="A219" s="29">
        <v>44470</v>
      </c>
      <c r="B219" s="19">
        <v>0</v>
      </c>
      <c r="C219" s="19">
        <v>0</v>
      </c>
      <c r="D219" s="19">
        <v>36653.243514000002</v>
      </c>
      <c r="E219" s="19">
        <v>51767.463009141873</v>
      </c>
      <c r="F219" s="19">
        <v>113527.116696</v>
      </c>
      <c r="G219" s="19">
        <v>112324.73678842251</v>
      </c>
      <c r="H219" s="20">
        <v>0.41235694432796577</v>
      </c>
      <c r="I219" s="20">
        <v>-1.0591125209294172E-2</v>
      </c>
      <c r="J219" s="20">
        <v>9.263421374213765E-2</v>
      </c>
    </row>
    <row r="220" spans="1:10" ht="11.25" customHeight="1" x14ac:dyDescent="0.2">
      <c r="A220" s="29">
        <v>44501</v>
      </c>
      <c r="B220" s="19">
        <v>0</v>
      </c>
      <c r="C220" s="19">
        <v>0</v>
      </c>
      <c r="D220" s="19">
        <v>67787.54441100001</v>
      </c>
      <c r="E220" s="19">
        <v>95740.209087816256</v>
      </c>
      <c r="F220" s="19">
        <v>209960.258004</v>
      </c>
      <c r="G220" s="19">
        <v>207736.54262250394</v>
      </c>
      <c r="H220" s="20">
        <v>0.41235694432796599</v>
      </c>
      <c r="I220" s="20">
        <v>-1.0591125209294172E-2</v>
      </c>
      <c r="J220" s="20">
        <v>9.263421374213765E-2</v>
      </c>
    </row>
    <row r="221" spans="1:10" ht="11.25" customHeight="1" x14ac:dyDescent="0.2">
      <c r="A221" s="29">
        <v>44531</v>
      </c>
      <c r="B221" s="19">
        <v>0</v>
      </c>
      <c r="C221" s="19">
        <v>0</v>
      </c>
      <c r="D221" s="19">
        <v>56730.677133000005</v>
      </c>
      <c r="E221" s="19">
        <v>80123.965805220287</v>
      </c>
      <c r="F221" s="19">
        <v>175713.51361200001</v>
      </c>
      <c r="G221" s="19">
        <v>173852.50978837028</v>
      </c>
      <c r="H221" s="20">
        <v>0.41235694432796577</v>
      </c>
      <c r="I221" s="20">
        <v>-1.0591125209294283E-2</v>
      </c>
      <c r="J221" s="20">
        <v>9.263421374213765E-2</v>
      </c>
    </row>
    <row r="222" spans="1:10" ht="11.25" customHeight="1" x14ac:dyDescent="0.2">
      <c r="A222" s="29">
        <v>44562</v>
      </c>
      <c r="B222" s="19">
        <v>0</v>
      </c>
      <c r="C222" s="19">
        <v>0</v>
      </c>
      <c r="D222" s="19">
        <v>30510.602070000001</v>
      </c>
      <c r="E222" s="19">
        <v>43091.860709191715</v>
      </c>
      <c r="F222" s="19">
        <v>94501.341480000003</v>
      </c>
      <c r="G222" s="19">
        <v>93500.465939939051</v>
      </c>
      <c r="H222" s="20">
        <v>0.41235694432796599</v>
      </c>
      <c r="I222" s="20">
        <v>-1.0591125209294283E-2</v>
      </c>
      <c r="J222" s="20">
        <v>9.2634213742137872E-2</v>
      </c>
    </row>
    <row r="223" spans="1:10" ht="11.25" customHeight="1" x14ac:dyDescent="0.2">
      <c r="A223" s="29">
        <v>44593</v>
      </c>
      <c r="B223" s="19">
        <v>0</v>
      </c>
      <c r="C223" s="19">
        <v>0</v>
      </c>
      <c r="D223" s="19">
        <v>53503.057914000005</v>
      </c>
      <c r="E223" s="19">
        <v>75565.415387619243</v>
      </c>
      <c r="F223" s="19">
        <v>165716.51829599999</v>
      </c>
      <c r="G223" s="19">
        <v>163961.39390147879</v>
      </c>
      <c r="H223" s="20">
        <v>0.41235694432796599</v>
      </c>
      <c r="I223" s="20">
        <v>-1.0591125209294061E-2</v>
      </c>
      <c r="J223" s="20">
        <v>9.2634213742137872E-2</v>
      </c>
    </row>
    <row r="224" spans="1:10" ht="11.25" customHeight="1" x14ac:dyDescent="0.2">
      <c r="A224" s="29">
        <v>44621</v>
      </c>
      <c r="B224" s="19">
        <v>0</v>
      </c>
      <c r="C224" s="19">
        <v>0</v>
      </c>
      <c r="D224" s="19">
        <v>53503.057914000005</v>
      </c>
      <c r="E224" s="19">
        <v>75565.415387619243</v>
      </c>
      <c r="F224" s="19">
        <v>165716.51829599999</v>
      </c>
      <c r="G224" s="19">
        <v>163961.39390147879</v>
      </c>
      <c r="H224" s="20">
        <v>0.41235694432796599</v>
      </c>
      <c r="I224" s="20">
        <v>-1.0591125209294061E-2</v>
      </c>
      <c r="J224" s="20">
        <v>9.2634213742137872E-2</v>
      </c>
    </row>
    <row r="225" spans="1:10" ht="11.25" customHeight="1" x14ac:dyDescent="0.2">
      <c r="A225" s="26" t="s">
        <v>25</v>
      </c>
      <c r="B225" s="19">
        <v>11140020.147796001</v>
      </c>
      <c r="C225" s="19">
        <v>11308204.532824906</v>
      </c>
      <c r="D225" s="19">
        <v>3902247.2353752363</v>
      </c>
      <c r="E225" s="19">
        <v>4971162.1333441287</v>
      </c>
      <c r="F225" s="19">
        <v>7877191.6679035444</v>
      </c>
      <c r="G225" s="19">
        <v>7793763.3446511691</v>
      </c>
      <c r="H225" s="20">
        <v>8.2241543211884593E-2</v>
      </c>
      <c r="I225" s="20">
        <v>-1.0591125209293728E-2</v>
      </c>
      <c r="J225" s="20">
        <v>5.0335872115242042E-2</v>
      </c>
    </row>
    <row r="226" spans="1:10" ht="11.25" customHeight="1" x14ac:dyDescent="0.2">
      <c r="A226" s="27" t="s">
        <v>25</v>
      </c>
      <c r="B226" s="19">
        <v>11140020.147796001</v>
      </c>
      <c r="C226" s="19">
        <v>11308204.532824906</v>
      </c>
      <c r="D226" s="19">
        <v>3902247.2353752363</v>
      </c>
      <c r="E226" s="19">
        <v>4971162.1333441287</v>
      </c>
      <c r="F226" s="19">
        <v>7877191.6679035444</v>
      </c>
      <c r="G226" s="19">
        <v>7793763.3446511691</v>
      </c>
      <c r="H226" s="20">
        <v>8.2241543211884593E-2</v>
      </c>
      <c r="I226" s="20">
        <v>-1.0591125209293728E-2</v>
      </c>
      <c r="J226" s="20">
        <v>5.0335872115242042E-2</v>
      </c>
    </row>
    <row r="227" spans="1:10" ht="11.25" customHeight="1" x14ac:dyDescent="0.2">
      <c r="A227" s="28" t="s">
        <v>36</v>
      </c>
      <c r="B227" s="19">
        <v>0</v>
      </c>
      <c r="C227" s="19">
        <v>0</v>
      </c>
      <c r="D227" s="19">
        <v>2498426.2723092642</v>
      </c>
      <c r="E227" s="19">
        <v>3528669.6955874227</v>
      </c>
      <c r="F227" s="19">
        <v>7738445.5993496971</v>
      </c>
      <c r="G227" s="19">
        <v>7656486.7530816728</v>
      </c>
      <c r="H227" s="20">
        <v>0.41235694432796599</v>
      </c>
      <c r="I227" s="20">
        <v>-1.0591125209293839E-2</v>
      </c>
      <c r="J227" s="20">
        <v>9.2634213742138094E-2</v>
      </c>
    </row>
    <row r="228" spans="1:10" ht="11.25" customHeight="1" x14ac:dyDescent="0.2">
      <c r="A228" s="29">
        <v>44287</v>
      </c>
      <c r="B228" s="19">
        <v>0</v>
      </c>
      <c r="C228" s="19">
        <v>0</v>
      </c>
      <c r="D228" s="19">
        <v>271065.59920320002</v>
      </c>
      <c r="E228" s="19">
        <v>382841.38140306063</v>
      </c>
      <c r="F228" s="19">
        <v>839579.06484479993</v>
      </c>
      <c r="G228" s="19">
        <v>830686.97784592665</v>
      </c>
      <c r="H228" s="20">
        <v>0.41235694432796577</v>
      </c>
      <c r="I228" s="20">
        <v>-1.0591125209294061E-2</v>
      </c>
      <c r="J228" s="20">
        <v>9.2634213742137872E-2</v>
      </c>
    </row>
    <row r="229" spans="1:10" ht="11.25" customHeight="1" x14ac:dyDescent="0.2">
      <c r="A229" s="29">
        <v>44317</v>
      </c>
      <c r="B229" s="19">
        <v>0</v>
      </c>
      <c r="C229" s="19">
        <v>0</v>
      </c>
      <c r="D229" s="19">
        <v>221930.91900366402</v>
      </c>
      <c r="E229" s="19">
        <v>313445.6746159122</v>
      </c>
      <c r="F229" s="19">
        <v>687392.84507129597</v>
      </c>
      <c r="G229" s="19">
        <v>680112.58138117299</v>
      </c>
      <c r="H229" s="20">
        <v>0.41235694432796577</v>
      </c>
      <c r="I229" s="20">
        <v>-1.0591125209294061E-2</v>
      </c>
      <c r="J229" s="20">
        <v>9.2634213742137872E-2</v>
      </c>
    </row>
    <row r="230" spans="1:10" ht="11.25" customHeight="1" x14ac:dyDescent="0.2">
      <c r="A230" s="29">
        <v>44348</v>
      </c>
      <c r="B230" s="19">
        <v>0</v>
      </c>
      <c r="C230" s="19">
        <v>0</v>
      </c>
      <c r="D230" s="19">
        <v>61081.062585600004</v>
      </c>
      <c r="E230" s="19">
        <v>86268.262909703262</v>
      </c>
      <c r="F230" s="19">
        <v>189188.0841984</v>
      </c>
      <c r="G230" s="19">
        <v>187184.36951054825</v>
      </c>
      <c r="H230" s="20">
        <v>0.41235694432796577</v>
      </c>
      <c r="I230" s="20">
        <v>-1.0591125209294172E-2</v>
      </c>
      <c r="J230" s="20">
        <v>9.263421374213765E-2</v>
      </c>
    </row>
    <row r="231" spans="1:10" ht="11.25" customHeight="1" x14ac:dyDescent="0.2">
      <c r="A231" s="29">
        <v>44378</v>
      </c>
      <c r="B231" s="19">
        <v>0</v>
      </c>
      <c r="C231" s="19">
        <v>0</v>
      </c>
      <c r="D231" s="19">
        <v>126469.15962240001</v>
      </c>
      <c r="E231" s="19">
        <v>178619.59583601862</v>
      </c>
      <c r="F231" s="19">
        <v>391716.46671360004</v>
      </c>
      <c r="G231" s="19">
        <v>387567.74856809399</v>
      </c>
      <c r="H231" s="20">
        <v>0.41235694432796577</v>
      </c>
      <c r="I231" s="20">
        <v>-1.0591125209294172E-2</v>
      </c>
      <c r="J231" s="20">
        <v>9.263421374213765E-2</v>
      </c>
    </row>
    <row r="232" spans="1:10" ht="11.25" customHeight="1" x14ac:dyDescent="0.2">
      <c r="A232" s="29">
        <v>44409</v>
      </c>
      <c r="B232" s="19">
        <v>0</v>
      </c>
      <c r="C232" s="19">
        <v>0</v>
      </c>
      <c r="D232" s="19">
        <v>207942.5887392</v>
      </c>
      <c r="E232" s="19">
        <v>293689.15922734339</v>
      </c>
      <c r="F232" s="19">
        <v>644066.39834880002</v>
      </c>
      <c r="G232" s="19">
        <v>637245.01048078865</v>
      </c>
      <c r="H232" s="20">
        <v>0.41235694432796577</v>
      </c>
      <c r="I232" s="20">
        <v>-1.0591125209294283E-2</v>
      </c>
      <c r="J232" s="20">
        <v>9.263421374213765E-2</v>
      </c>
    </row>
    <row r="233" spans="1:10" ht="11.25" customHeight="1" x14ac:dyDescent="0.2">
      <c r="A233" s="29">
        <v>44440</v>
      </c>
      <c r="B233" s="19">
        <v>0</v>
      </c>
      <c r="C233" s="19">
        <v>0</v>
      </c>
      <c r="D233" s="19">
        <v>218022.79951680001</v>
      </c>
      <c r="E233" s="19">
        <v>307926.01491937635</v>
      </c>
      <c r="F233" s="19">
        <v>675288.11723520001</v>
      </c>
      <c r="G233" s="19">
        <v>668136.05623321352</v>
      </c>
      <c r="H233" s="20">
        <v>0.41235694432796577</v>
      </c>
      <c r="I233" s="20">
        <v>-1.0591125209294172E-2</v>
      </c>
      <c r="J233" s="20">
        <v>9.2634213742137872E-2</v>
      </c>
    </row>
    <row r="234" spans="1:10" ht="11.25" customHeight="1" x14ac:dyDescent="0.2">
      <c r="A234" s="29">
        <v>44470</v>
      </c>
      <c r="B234" s="19">
        <v>0</v>
      </c>
      <c r="C234" s="19">
        <v>0</v>
      </c>
      <c r="D234" s="19">
        <v>181749.51758400002</v>
      </c>
      <c r="E234" s="19">
        <v>256695.19328802015</v>
      </c>
      <c r="F234" s="19">
        <v>562937.8661760001</v>
      </c>
      <c r="G234" s="19">
        <v>556975.72075027716</v>
      </c>
      <c r="H234" s="20">
        <v>0.41235694432796577</v>
      </c>
      <c r="I234" s="20">
        <v>-1.0591125209294172E-2</v>
      </c>
      <c r="J234" s="20">
        <v>9.263421374213765E-2</v>
      </c>
    </row>
    <row r="235" spans="1:10" ht="11.25" customHeight="1" x14ac:dyDescent="0.2">
      <c r="A235" s="29">
        <v>44501</v>
      </c>
      <c r="B235" s="19">
        <v>0</v>
      </c>
      <c r="C235" s="19">
        <v>0</v>
      </c>
      <c r="D235" s="19">
        <v>310143.71649600001</v>
      </c>
      <c r="E235" s="19">
        <v>438033.63173280953</v>
      </c>
      <c r="F235" s="19">
        <v>960616.81094399991</v>
      </c>
      <c r="G235" s="19">
        <v>950442.79802113923</v>
      </c>
      <c r="H235" s="20">
        <v>0.41235694432796599</v>
      </c>
      <c r="I235" s="20">
        <v>-1.0591125209294061E-2</v>
      </c>
      <c r="J235" s="20">
        <v>9.2634213742137872E-2</v>
      </c>
    </row>
    <row r="236" spans="1:10" ht="11.25" customHeight="1" x14ac:dyDescent="0.2">
      <c r="A236" s="29">
        <v>44531</v>
      </c>
      <c r="B236" s="19">
        <v>0</v>
      </c>
      <c r="C236" s="19">
        <v>0</v>
      </c>
      <c r="D236" s="19">
        <v>254756.71238400004</v>
      </c>
      <c r="E236" s="19">
        <v>359807.41184970475</v>
      </c>
      <c r="F236" s="19">
        <v>789065.09337600018</v>
      </c>
      <c r="G236" s="19">
        <v>780708.00617377146</v>
      </c>
      <c r="H236" s="20">
        <v>0.41235694432796577</v>
      </c>
      <c r="I236" s="20">
        <v>-1.0591125209294283E-2</v>
      </c>
      <c r="J236" s="20">
        <v>9.263421374213765E-2</v>
      </c>
    </row>
    <row r="237" spans="1:10" ht="11.25" customHeight="1" x14ac:dyDescent="0.2">
      <c r="A237" s="29">
        <v>44562</v>
      </c>
      <c r="B237" s="19">
        <v>0</v>
      </c>
      <c r="C237" s="19">
        <v>0</v>
      </c>
      <c r="D237" s="19">
        <v>157057.12002240002</v>
      </c>
      <c r="E237" s="19">
        <v>221820.71411978747</v>
      </c>
      <c r="F237" s="19">
        <v>486457.41231360001</v>
      </c>
      <c r="G237" s="19">
        <v>481305.28095079743</v>
      </c>
      <c r="H237" s="20">
        <v>0.41235694432796577</v>
      </c>
      <c r="I237" s="20">
        <v>-1.0591125209294172E-2</v>
      </c>
      <c r="J237" s="20">
        <v>9.2634213742137872E-2</v>
      </c>
    </row>
    <row r="238" spans="1:10" ht="11.25" customHeight="1" x14ac:dyDescent="0.2">
      <c r="A238" s="29">
        <v>44593</v>
      </c>
      <c r="B238" s="19">
        <v>0</v>
      </c>
      <c r="C238" s="19">
        <v>0</v>
      </c>
      <c r="D238" s="19">
        <v>244103.53857600002</v>
      </c>
      <c r="E238" s="19">
        <v>344761.32784284314</v>
      </c>
      <c r="F238" s="19">
        <v>756068.72006400011</v>
      </c>
      <c r="G238" s="19">
        <v>748061.1015829714</v>
      </c>
      <c r="H238" s="20">
        <v>0.41235694432796599</v>
      </c>
      <c r="I238" s="20">
        <v>-1.0591125209294283E-2</v>
      </c>
      <c r="J238" s="20">
        <v>9.2634213742137872E-2</v>
      </c>
    </row>
    <row r="239" spans="1:10" ht="11.25" customHeight="1" x14ac:dyDescent="0.2">
      <c r="A239" s="29">
        <v>44621</v>
      </c>
      <c r="B239" s="19">
        <v>0</v>
      </c>
      <c r="C239" s="19">
        <v>0</v>
      </c>
      <c r="D239" s="19">
        <v>244103.53857600002</v>
      </c>
      <c r="E239" s="19">
        <v>344761.32784284314</v>
      </c>
      <c r="F239" s="19">
        <v>756068.72006400011</v>
      </c>
      <c r="G239" s="19">
        <v>748061.1015829714</v>
      </c>
      <c r="H239" s="20">
        <v>0.41235694432796599</v>
      </c>
      <c r="I239" s="20">
        <v>-1.0591125209294283E-2</v>
      </c>
      <c r="J239" s="20">
        <v>9.2634213742137872E-2</v>
      </c>
    </row>
    <row r="240" spans="1:10" ht="11.25" customHeight="1" x14ac:dyDescent="0.2">
      <c r="A240" s="28" t="s">
        <v>25</v>
      </c>
      <c r="B240" s="19">
        <v>11140020.147796001</v>
      </c>
      <c r="C240" s="19">
        <v>11308204.532824906</v>
      </c>
      <c r="D240" s="19">
        <v>0</v>
      </c>
      <c r="E240" s="19">
        <v>0</v>
      </c>
      <c r="F240" s="19">
        <v>0</v>
      </c>
      <c r="G240" s="19">
        <v>0</v>
      </c>
      <c r="H240" s="20">
        <v>1.5097314259541639E-2</v>
      </c>
      <c r="I240" s="20">
        <v>0</v>
      </c>
      <c r="J240" s="20">
        <v>1.5097314259541639E-2</v>
      </c>
    </row>
    <row r="241" spans="1:10" ht="11.25" customHeight="1" x14ac:dyDescent="0.2">
      <c r="A241" s="29">
        <v>44287</v>
      </c>
      <c r="B241" s="19">
        <v>889325.29919999989</v>
      </c>
      <c r="C241" s="19">
        <v>902751.72272098355</v>
      </c>
      <c r="D241" s="19">
        <v>0</v>
      </c>
      <c r="E241" s="19">
        <v>0</v>
      </c>
      <c r="F241" s="19">
        <v>0</v>
      </c>
      <c r="G241" s="19">
        <v>0</v>
      </c>
      <c r="H241" s="20">
        <v>1.5097314259542083E-2</v>
      </c>
      <c r="I241" s="20">
        <v>0</v>
      </c>
      <c r="J241" s="20">
        <v>1.5097314259542083E-2</v>
      </c>
    </row>
    <row r="242" spans="1:10" ht="11.25" customHeight="1" x14ac:dyDescent="0.2">
      <c r="A242" s="29">
        <v>44317</v>
      </c>
      <c r="B242" s="19">
        <v>879293.54299600003</v>
      </c>
      <c r="C242" s="19">
        <v>892568.51394099672</v>
      </c>
      <c r="D242" s="19">
        <v>0</v>
      </c>
      <c r="E242" s="19">
        <v>0</v>
      </c>
      <c r="F242" s="19">
        <v>0</v>
      </c>
      <c r="G242" s="19">
        <v>0</v>
      </c>
      <c r="H242" s="20">
        <v>1.5097314259541861E-2</v>
      </c>
      <c r="I242" s="20">
        <v>0</v>
      </c>
      <c r="J242" s="20">
        <v>1.5097314259541861E-2</v>
      </c>
    </row>
    <row r="243" spans="1:10" ht="11.25" customHeight="1" x14ac:dyDescent="0.2">
      <c r="A243" s="29">
        <v>44348</v>
      </c>
      <c r="B243" s="19">
        <v>601843.00800000003</v>
      </c>
      <c r="C243" s="19">
        <v>610929.22102668404</v>
      </c>
      <c r="D243" s="19">
        <v>0</v>
      </c>
      <c r="E243" s="19">
        <v>0</v>
      </c>
      <c r="F243" s="19">
        <v>0</v>
      </c>
      <c r="G243" s="19">
        <v>0</v>
      </c>
      <c r="H243" s="20">
        <v>1.5097314259541861E-2</v>
      </c>
      <c r="I243" s="20">
        <v>0</v>
      </c>
      <c r="J243" s="20">
        <v>1.5097314259541861E-2</v>
      </c>
    </row>
    <row r="244" spans="1:10" ht="11.25" customHeight="1" x14ac:dyDescent="0.2">
      <c r="A244" s="29">
        <v>44378</v>
      </c>
      <c r="B244" s="19">
        <v>803094.0959999999</v>
      </c>
      <c r="C244" s="19">
        <v>815218.65994729474</v>
      </c>
      <c r="D244" s="19">
        <v>0</v>
      </c>
      <c r="E244" s="19">
        <v>0</v>
      </c>
      <c r="F244" s="19">
        <v>0</v>
      </c>
      <c r="G244" s="19">
        <v>0</v>
      </c>
      <c r="H244" s="20">
        <v>1.5097314259542083E-2</v>
      </c>
      <c r="I244" s="20">
        <v>0</v>
      </c>
      <c r="J244" s="20">
        <v>1.5097314259542083E-2</v>
      </c>
    </row>
    <row r="245" spans="1:10" ht="11.25" customHeight="1" x14ac:dyDescent="0.2">
      <c r="A245" s="29">
        <v>44409</v>
      </c>
      <c r="B245" s="19">
        <v>915709.30559999996</v>
      </c>
      <c r="C245" s="19">
        <v>929534.05675703008</v>
      </c>
      <c r="D245" s="19">
        <v>0</v>
      </c>
      <c r="E245" s="19">
        <v>0</v>
      </c>
      <c r="F245" s="19">
        <v>0</v>
      </c>
      <c r="G245" s="19">
        <v>0</v>
      </c>
      <c r="H245" s="20">
        <v>1.5097314259541861E-2</v>
      </c>
      <c r="I245" s="20">
        <v>0</v>
      </c>
      <c r="J245" s="20">
        <v>1.5097314259541861E-2</v>
      </c>
    </row>
    <row r="246" spans="1:10" ht="11.25" customHeight="1" x14ac:dyDescent="0.2">
      <c r="A246" s="29">
        <v>44440</v>
      </c>
      <c r="B246" s="19">
        <v>953442.48</v>
      </c>
      <c r="C246" s="19">
        <v>967836.90074895706</v>
      </c>
      <c r="D246" s="19">
        <v>0</v>
      </c>
      <c r="E246" s="19">
        <v>0</v>
      </c>
      <c r="F246" s="19">
        <v>0</v>
      </c>
      <c r="G246" s="19">
        <v>0</v>
      </c>
      <c r="H246" s="20">
        <v>1.5097314259542083E-2</v>
      </c>
      <c r="I246" s="20">
        <v>0</v>
      </c>
      <c r="J246" s="20">
        <v>1.5097314259542083E-2</v>
      </c>
    </row>
    <row r="247" spans="1:10" ht="11.25" customHeight="1" x14ac:dyDescent="0.2">
      <c r="A247" s="29">
        <v>44470</v>
      </c>
      <c r="B247" s="19">
        <v>1065698.1120000002</v>
      </c>
      <c r="C247" s="19">
        <v>1081787.2913026647</v>
      </c>
      <c r="D247" s="19">
        <v>0</v>
      </c>
      <c r="E247" s="19">
        <v>0</v>
      </c>
      <c r="F247" s="19">
        <v>0</v>
      </c>
      <c r="G247" s="19">
        <v>0</v>
      </c>
      <c r="H247" s="20">
        <v>1.5097314259541861E-2</v>
      </c>
      <c r="I247" s="20">
        <v>0</v>
      </c>
      <c r="J247" s="20">
        <v>1.5097314259541861E-2</v>
      </c>
    </row>
    <row r="248" spans="1:10" ht="11.25" customHeight="1" x14ac:dyDescent="0.2">
      <c r="A248" s="29">
        <v>44501</v>
      </c>
      <c r="B248" s="19">
        <v>1055337.7824000001</v>
      </c>
      <c r="C248" s="19">
        <v>1071270.5485508612</v>
      </c>
      <c r="D248" s="19">
        <v>0</v>
      </c>
      <c r="E248" s="19">
        <v>0</v>
      </c>
      <c r="F248" s="19">
        <v>0</v>
      </c>
      <c r="G248" s="19">
        <v>0</v>
      </c>
      <c r="H248" s="20">
        <v>1.5097314259542083E-2</v>
      </c>
      <c r="I248" s="20">
        <v>0</v>
      </c>
      <c r="J248" s="20">
        <v>1.5097314259542083E-2</v>
      </c>
    </row>
    <row r="249" spans="1:10" ht="11.25" customHeight="1" x14ac:dyDescent="0.2">
      <c r="A249" s="29">
        <v>44531</v>
      </c>
      <c r="B249" s="19">
        <v>1025942.3136000001</v>
      </c>
      <c r="C249" s="19">
        <v>1041431.2871205809</v>
      </c>
      <c r="D249" s="19">
        <v>0</v>
      </c>
      <c r="E249" s="19">
        <v>0</v>
      </c>
      <c r="F249" s="19">
        <v>0</v>
      </c>
      <c r="G249" s="19">
        <v>0</v>
      </c>
      <c r="H249" s="20">
        <v>1.5097314259542083E-2</v>
      </c>
      <c r="I249" s="20">
        <v>0</v>
      </c>
      <c r="J249" s="20">
        <v>1.5097314259542083E-2</v>
      </c>
    </row>
    <row r="250" spans="1:10" ht="11.25" customHeight="1" x14ac:dyDescent="0.2">
      <c r="A250" s="29">
        <v>44562</v>
      </c>
      <c r="B250" s="19">
        <v>974410.34880000004</v>
      </c>
      <c r="C250" s="19">
        <v>989121.32805358362</v>
      </c>
      <c r="D250" s="19">
        <v>0</v>
      </c>
      <c r="E250" s="19">
        <v>0</v>
      </c>
      <c r="F250" s="19">
        <v>0</v>
      </c>
      <c r="G250" s="19">
        <v>0</v>
      </c>
      <c r="H250" s="20">
        <v>1.5097314259542083E-2</v>
      </c>
      <c r="I250" s="20">
        <v>0</v>
      </c>
      <c r="J250" s="20">
        <v>1.5097314259542083E-2</v>
      </c>
    </row>
    <row r="251" spans="1:10" ht="11.25" customHeight="1" x14ac:dyDescent="0.2">
      <c r="A251" s="29">
        <v>44593</v>
      </c>
      <c r="B251" s="19">
        <v>987961.92960000003</v>
      </c>
      <c r="C251" s="19">
        <v>1002877.5013276347</v>
      </c>
      <c r="D251" s="19">
        <v>0</v>
      </c>
      <c r="E251" s="19">
        <v>0</v>
      </c>
      <c r="F251" s="19">
        <v>0</v>
      </c>
      <c r="G251" s="19">
        <v>0</v>
      </c>
      <c r="H251" s="20">
        <v>1.5097314259541861E-2</v>
      </c>
      <c r="I251" s="20">
        <v>0</v>
      </c>
      <c r="J251" s="20">
        <v>1.5097314259541861E-2</v>
      </c>
    </row>
    <row r="252" spans="1:10" ht="11.25" customHeight="1" x14ac:dyDescent="0.2">
      <c r="A252" s="29">
        <v>44621</v>
      </c>
      <c r="B252" s="19">
        <v>987961.92960000003</v>
      </c>
      <c r="C252" s="19">
        <v>1002877.5013276347</v>
      </c>
      <c r="D252" s="19">
        <v>0</v>
      </c>
      <c r="E252" s="19">
        <v>0</v>
      </c>
      <c r="F252" s="19">
        <v>0</v>
      </c>
      <c r="G252" s="19">
        <v>0</v>
      </c>
      <c r="H252" s="20">
        <v>1.5097314259541861E-2</v>
      </c>
      <c r="I252" s="20">
        <v>0</v>
      </c>
      <c r="J252" s="20">
        <v>1.5097314259541861E-2</v>
      </c>
    </row>
    <row r="253" spans="1:10" ht="11.25" customHeight="1" x14ac:dyDescent="0.2">
      <c r="A253" s="28" t="s">
        <v>35</v>
      </c>
      <c r="B253" s="19">
        <v>0</v>
      </c>
      <c r="C253" s="19">
        <v>0</v>
      </c>
      <c r="D253" s="19">
        <v>1403820.9630659719</v>
      </c>
      <c r="E253" s="19">
        <v>1442492.4377567079</v>
      </c>
      <c r="F253" s="19">
        <v>138746.06855384802</v>
      </c>
      <c r="G253" s="19">
        <v>137276.59156949687</v>
      </c>
      <c r="H253" s="20">
        <v>2.7547298201244352E-2</v>
      </c>
      <c r="I253" s="20">
        <v>-1.0591125209294394E-2</v>
      </c>
      <c r="J253" s="20">
        <v>2.4116940751236049E-2</v>
      </c>
    </row>
    <row r="254" spans="1:10" ht="11.25" customHeight="1" x14ac:dyDescent="0.2">
      <c r="A254" s="29">
        <v>44287</v>
      </c>
      <c r="B254" s="19">
        <v>0</v>
      </c>
      <c r="C254" s="19">
        <v>0</v>
      </c>
      <c r="D254" s="19">
        <v>110257.71419519998</v>
      </c>
      <c r="E254" s="19">
        <v>113295.01632712269</v>
      </c>
      <c r="F254" s="19">
        <v>10897.275916799999</v>
      </c>
      <c r="G254" s="19">
        <v>10781.861503124945</v>
      </c>
      <c r="H254" s="20">
        <v>2.754729820124413E-2</v>
      </c>
      <c r="I254" s="20">
        <v>-1.0591125209294172E-2</v>
      </c>
      <c r="J254" s="20">
        <v>2.4116940751235827E-2</v>
      </c>
    </row>
    <row r="255" spans="1:10" ht="11.25" customHeight="1" x14ac:dyDescent="0.2">
      <c r="A255" s="29">
        <v>44317</v>
      </c>
      <c r="B255" s="19">
        <v>0</v>
      </c>
      <c r="C255" s="19">
        <v>0</v>
      </c>
      <c r="D255" s="19">
        <v>87091.044473971997</v>
      </c>
      <c r="E255" s="19">
        <v>89490.167446754305</v>
      </c>
      <c r="F255" s="19">
        <v>8607.6076258479989</v>
      </c>
      <c r="G255" s="19">
        <v>8516.4433757301686</v>
      </c>
      <c r="H255" s="20">
        <v>2.7547298201243908E-2</v>
      </c>
      <c r="I255" s="20">
        <v>-1.0591125209294061E-2</v>
      </c>
      <c r="J255" s="20">
        <v>2.4116940751235827E-2</v>
      </c>
    </row>
    <row r="256" spans="1:10" ht="11.25" customHeight="1" x14ac:dyDescent="0.2">
      <c r="A256" s="29">
        <v>44348</v>
      </c>
      <c r="B256" s="19">
        <v>0</v>
      </c>
      <c r="C256" s="19">
        <v>0</v>
      </c>
      <c r="D256" s="19">
        <v>41557.155763200004</v>
      </c>
      <c r="E256" s="19">
        <v>42701.943125404418</v>
      </c>
      <c r="F256" s="19">
        <v>4107.2844288000006</v>
      </c>
      <c r="G256" s="19">
        <v>4063.7836651443954</v>
      </c>
      <c r="H256" s="20">
        <v>2.7547298201243908E-2</v>
      </c>
      <c r="I256" s="20">
        <v>-1.0591125209294172E-2</v>
      </c>
      <c r="J256" s="20">
        <v>2.4116940751235605E-2</v>
      </c>
    </row>
    <row r="257" spans="1:10" ht="11.25" customHeight="1" x14ac:dyDescent="0.2">
      <c r="A257" s="29">
        <v>44378</v>
      </c>
      <c r="B257" s="19">
        <v>0</v>
      </c>
      <c r="C257" s="19">
        <v>0</v>
      </c>
      <c r="D257" s="19">
        <v>114321.2930112</v>
      </c>
      <c r="E257" s="19">
        <v>117470.53576053132</v>
      </c>
      <c r="F257" s="19">
        <v>11298.8980608</v>
      </c>
      <c r="G257" s="19">
        <v>11179.230016711017</v>
      </c>
      <c r="H257" s="20">
        <v>2.7547298201243908E-2</v>
      </c>
      <c r="I257" s="20">
        <v>-1.0591125209294061E-2</v>
      </c>
      <c r="J257" s="20">
        <v>2.4116940751235827E-2</v>
      </c>
    </row>
    <row r="258" spans="1:10" ht="11.25" customHeight="1" x14ac:dyDescent="0.2">
      <c r="A258" s="29">
        <v>44409</v>
      </c>
      <c r="B258" s="19">
        <v>0</v>
      </c>
      <c r="C258" s="19">
        <v>0</v>
      </c>
      <c r="D258" s="19">
        <v>106639.6079232</v>
      </c>
      <c r="E258" s="19">
        <v>109577.24100272414</v>
      </c>
      <c r="F258" s="19">
        <v>10539.6818688</v>
      </c>
      <c r="G258" s="19">
        <v>10428.054778461412</v>
      </c>
      <c r="H258" s="20">
        <v>2.754729820124413E-2</v>
      </c>
      <c r="I258" s="20">
        <v>-1.0591125209294172E-2</v>
      </c>
      <c r="J258" s="20">
        <v>2.4116940751235827E-2</v>
      </c>
    </row>
    <row r="259" spans="1:10" ht="11.25" customHeight="1" x14ac:dyDescent="0.2">
      <c r="A259" s="29">
        <v>44440</v>
      </c>
      <c r="B259" s="19">
        <v>0</v>
      </c>
      <c r="C259" s="19">
        <v>0</v>
      </c>
      <c r="D259" s="19">
        <v>121192.4353728</v>
      </c>
      <c r="E259" s="19">
        <v>124530.95952974951</v>
      </c>
      <c r="F259" s="19">
        <v>11978.0045952</v>
      </c>
      <c r="G259" s="19">
        <v>11851.144048774737</v>
      </c>
      <c r="H259" s="20">
        <v>2.7547298201243908E-2</v>
      </c>
      <c r="I259" s="20">
        <v>-1.0591125209294061E-2</v>
      </c>
      <c r="J259" s="20">
        <v>2.4116940751235827E-2</v>
      </c>
    </row>
    <row r="260" spans="1:10" ht="11.25" customHeight="1" x14ac:dyDescent="0.2">
      <c r="A260" s="29">
        <v>44470</v>
      </c>
      <c r="B260" s="19">
        <v>0</v>
      </c>
      <c r="C260" s="19">
        <v>0</v>
      </c>
      <c r="D260" s="19">
        <v>95963.478124799993</v>
      </c>
      <c r="E260" s="19">
        <v>98607.012673132413</v>
      </c>
      <c r="F260" s="19">
        <v>9484.5109632000003</v>
      </c>
      <c r="G260" s="19">
        <v>9384.0593200398253</v>
      </c>
      <c r="H260" s="20">
        <v>2.7547298201243908E-2</v>
      </c>
      <c r="I260" s="20">
        <v>-1.0591125209294283E-2</v>
      </c>
      <c r="J260" s="20">
        <v>2.4116940751235827E-2</v>
      </c>
    </row>
    <row r="261" spans="1:10" ht="11.25" customHeight="1" x14ac:dyDescent="0.2">
      <c r="A261" s="29">
        <v>44501</v>
      </c>
      <c r="B261" s="19">
        <v>0</v>
      </c>
      <c r="C261" s="19">
        <v>0</v>
      </c>
      <c r="D261" s="19">
        <v>162060.73847040001</v>
      </c>
      <c r="E261" s="19">
        <v>166525.07395975792</v>
      </c>
      <c r="F261" s="19">
        <v>16017.206553600001</v>
      </c>
      <c r="G261" s="19">
        <v>15847.566313487696</v>
      </c>
      <c r="H261" s="20">
        <v>2.7547298201243908E-2</v>
      </c>
      <c r="I261" s="20">
        <v>-1.0591125209294172E-2</v>
      </c>
      <c r="J261" s="20">
        <v>2.4116940751235605E-2</v>
      </c>
    </row>
    <row r="262" spans="1:10" ht="11.25" customHeight="1" x14ac:dyDescent="0.2">
      <c r="A262" s="29">
        <v>44531</v>
      </c>
      <c r="B262" s="19">
        <v>0</v>
      </c>
      <c r="C262" s="19">
        <v>0</v>
      </c>
      <c r="D262" s="19">
        <v>158683.83928320001</v>
      </c>
      <c r="E262" s="19">
        <v>163055.15032365258</v>
      </c>
      <c r="F262" s="19">
        <v>15683.4521088</v>
      </c>
      <c r="G262" s="19">
        <v>15517.346703801732</v>
      </c>
      <c r="H262" s="20">
        <v>2.7547298201243908E-2</v>
      </c>
      <c r="I262" s="20">
        <v>-1.0591125209294061E-2</v>
      </c>
      <c r="J262" s="20">
        <v>2.4116940751235605E-2</v>
      </c>
    </row>
    <row r="263" spans="1:10" ht="11.25" customHeight="1" x14ac:dyDescent="0.2">
      <c r="A263" s="29">
        <v>44562</v>
      </c>
      <c r="B263" s="19">
        <v>0</v>
      </c>
      <c r="C263" s="19">
        <v>0</v>
      </c>
      <c r="D263" s="19">
        <v>93305.854118400006</v>
      </c>
      <c r="E263" s="19">
        <v>95876.178305721332</v>
      </c>
      <c r="F263" s="19">
        <v>9221.8457856000005</v>
      </c>
      <c r="G263" s="19">
        <v>9124.176062223909</v>
      </c>
      <c r="H263" s="20">
        <v>2.7547298201243908E-2</v>
      </c>
      <c r="I263" s="20">
        <v>-1.0591125209294172E-2</v>
      </c>
      <c r="J263" s="20">
        <v>2.4116940751235605E-2</v>
      </c>
    </row>
    <row r="264" spans="1:10" ht="11.25" customHeight="1" x14ac:dyDescent="0.2">
      <c r="A264" s="29">
        <v>44593</v>
      </c>
      <c r="B264" s="19">
        <v>0</v>
      </c>
      <c r="C264" s="19">
        <v>0</v>
      </c>
      <c r="D264" s="19">
        <v>156373.90116479999</v>
      </c>
      <c r="E264" s="19">
        <v>160681.57965107859</v>
      </c>
      <c r="F264" s="19">
        <v>15455.150323199998</v>
      </c>
      <c r="G264" s="19">
        <v>15291.462890998526</v>
      </c>
      <c r="H264" s="20">
        <v>2.7547298201243908E-2</v>
      </c>
      <c r="I264" s="20">
        <v>-1.059112520929395E-2</v>
      </c>
      <c r="J264" s="20">
        <v>2.4116940751235605E-2</v>
      </c>
    </row>
    <row r="265" spans="1:10" ht="11.25" customHeight="1" x14ac:dyDescent="0.2">
      <c r="A265" s="29">
        <v>44621</v>
      </c>
      <c r="B265" s="19">
        <v>0</v>
      </c>
      <c r="C265" s="19">
        <v>0</v>
      </c>
      <c r="D265" s="19">
        <v>156373.90116479999</v>
      </c>
      <c r="E265" s="19">
        <v>160681.57965107859</v>
      </c>
      <c r="F265" s="19">
        <v>15455.150323199998</v>
      </c>
      <c r="G265" s="19">
        <v>15291.462890998526</v>
      </c>
      <c r="H265" s="20">
        <v>2.7547298201243908E-2</v>
      </c>
      <c r="I265" s="20">
        <v>-1.059112520929395E-2</v>
      </c>
      <c r="J265" s="20">
        <v>2.4116940751235605E-2</v>
      </c>
    </row>
    <row r="266" spans="1:10" ht="11.25" customHeight="1" x14ac:dyDescent="0.2">
      <c r="A266" s="25" t="s">
        <v>25</v>
      </c>
      <c r="B266" s="19">
        <v>364134.77788000001</v>
      </c>
      <c r="C266" s="19">
        <v>369632.23505448282</v>
      </c>
      <c r="D266" s="19">
        <v>566411.14488251996</v>
      </c>
      <c r="E266" s="19">
        <v>646952.73904031981</v>
      </c>
      <c r="F266" s="19">
        <v>561991.34130888002</v>
      </c>
      <c r="G266" s="19">
        <v>556039.22064653831</v>
      </c>
      <c r="H266" s="20">
        <v>9.2460833181513324E-2</v>
      </c>
      <c r="I266" s="20">
        <v>-1.0591125209294505E-2</v>
      </c>
      <c r="J266" s="20">
        <v>5.3658245323454645E-2</v>
      </c>
    </row>
    <row r="267" spans="1:10" ht="11.25" customHeight="1" x14ac:dyDescent="0.2">
      <c r="A267" s="26" t="s">
        <v>25</v>
      </c>
      <c r="B267" s="19">
        <v>364134.77788000001</v>
      </c>
      <c r="C267" s="19">
        <v>369632.23505448282</v>
      </c>
      <c r="D267" s="19">
        <v>566411.14488251996</v>
      </c>
      <c r="E267" s="19">
        <v>646952.73904031981</v>
      </c>
      <c r="F267" s="19">
        <v>561991.34130888002</v>
      </c>
      <c r="G267" s="19">
        <v>556039.22064653831</v>
      </c>
      <c r="H267" s="20">
        <v>9.2460833181513324E-2</v>
      </c>
      <c r="I267" s="20">
        <v>-1.0591125209294505E-2</v>
      </c>
      <c r="J267" s="20">
        <v>5.3658245323454645E-2</v>
      </c>
    </row>
    <row r="268" spans="1:10" ht="11.25" customHeight="1" x14ac:dyDescent="0.2">
      <c r="A268" s="27" t="s">
        <v>25</v>
      </c>
      <c r="B268" s="19">
        <v>364134.77788000001</v>
      </c>
      <c r="C268" s="19">
        <v>369632.23505448282</v>
      </c>
      <c r="D268" s="19">
        <v>566411.14488251996</v>
      </c>
      <c r="E268" s="19">
        <v>646952.73904031981</v>
      </c>
      <c r="F268" s="19">
        <v>561991.34130888002</v>
      </c>
      <c r="G268" s="19">
        <v>556039.22064653831</v>
      </c>
      <c r="H268" s="20">
        <v>9.2460833181513324E-2</v>
      </c>
      <c r="I268" s="20">
        <v>-1.0591125209294505E-2</v>
      </c>
      <c r="J268" s="20">
        <v>5.3658245323454645E-2</v>
      </c>
    </row>
    <row r="269" spans="1:10" ht="11.25" customHeight="1" x14ac:dyDescent="0.2">
      <c r="A269" s="28" t="s">
        <v>36</v>
      </c>
      <c r="B269" s="19">
        <v>0</v>
      </c>
      <c r="C269" s="19">
        <v>0</v>
      </c>
      <c r="D269" s="19">
        <v>168754.85866544</v>
      </c>
      <c r="E269" s="19">
        <v>238342.0965252186</v>
      </c>
      <c r="F269" s="19">
        <v>522689.14551615994</v>
      </c>
      <c r="G269" s="19">
        <v>517153.27933045931</v>
      </c>
      <c r="H269" s="20">
        <v>0.41235694432796599</v>
      </c>
      <c r="I269" s="20">
        <v>-1.0591125209294172E-2</v>
      </c>
      <c r="J269" s="20">
        <v>9.2634213742137872E-2</v>
      </c>
    </row>
    <row r="270" spans="1:10" ht="11.25" customHeight="1" x14ac:dyDescent="0.2">
      <c r="A270" s="29">
        <v>44287</v>
      </c>
      <c r="B270" s="19">
        <v>0</v>
      </c>
      <c r="C270" s="19">
        <v>0</v>
      </c>
      <c r="D270" s="19">
        <v>13043.559206399999</v>
      </c>
      <c r="E270" s="19">
        <v>18422.16142391201</v>
      </c>
      <c r="F270" s="19">
        <v>40400.1808896</v>
      </c>
      <c r="G270" s="19">
        <v>39972.297515320111</v>
      </c>
      <c r="H270" s="20">
        <v>0.41235694432796577</v>
      </c>
      <c r="I270" s="20">
        <v>-1.0591125209294172E-2</v>
      </c>
      <c r="J270" s="20">
        <v>9.263421374213765E-2</v>
      </c>
    </row>
    <row r="271" spans="1:10" ht="11.25" customHeight="1" x14ac:dyDescent="0.2">
      <c r="A271" s="29">
        <v>44317</v>
      </c>
      <c r="B271" s="19">
        <v>0</v>
      </c>
      <c r="C271" s="19">
        <v>0</v>
      </c>
      <c r="D271" s="19">
        <v>10156.361999840001</v>
      </c>
      <c r="E271" s="19">
        <v>14344.408399582693</v>
      </c>
      <c r="F271" s="19">
        <v>31457.584197760003</v>
      </c>
      <c r="G271" s="19">
        <v>31124.412984739614</v>
      </c>
      <c r="H271" s="20">
        <v>0.41235694432796599</v>
      </c>
      <c r="I271" s="20">
        <v>-1.0591125209294172E-2</v>
      </c>
      <c r="J271" s="20">
        <v>9.2634213742137872E-2</v>
      </c>
    </row>
    <row r="272" spans="1:10" ht="11.25" customHeight="1" x14ac:dyDescent="0.2">
      <c r="A272" s="29">
        <v>44348</v>
      </c>
      <c r="B272" s="19">
        <v>0</v>
      </c>
      <c r="C272" s="19">
        <v>0</v>
      </c>
      <c r="D272" s="19">
        <v>9251.7268992000008</v>
      </c>
      <c r="E272" s="19">
        <v>13066.740733110959</v>
      </c>
      <c r="F272" s="19">
        <v>28655.632588799999</v>
      </c>
      <c r="G272" s="19">
        <v>28352.137196100492</v>
      </c>
      <c r="H272" s="20">
        <v>0.41235694432796577</v>
      </c>
      <c r="I272" s="20">
        <v>-1.0591125209294061E-2</v>
      </c>
      <c r="J272" s="20">
        <v>9.2634213742137872E-2</v>
      </c>
    </row>
    <row r="273" spans="1:10" ht="11.25" customHeight="1" x14ac:dyDescent="0.2">
      <c r="A273" s="29">
        <v>44378</v>
      </c>
      <c r="B273" s="19">
        <v>0</v>
      </c>
      <c r="C273" s="19">
        <v>0</v>
      </c>
      <c r="D273" s="19">
        <v>11273.565945600001</v>
      </c>
      <c r="E273" s="19">
        <v>15922.299150607432</v>
      </c>
      <c r="F273" s="19">
        <v>34917.9312384</v>
      </c>
      <c r="G273" s="19">
        <v>34548.111056604583</v>
      </c>
      <c r="H273" s="20">
        <v>0.41235694432796577</v>
      </c>
      <c r="I273" s="20">
        <v>-1.0591125209294172E-2</v>
      </c>
      <c r="J273" s="20">
        <v>9.2634213742137872E-2</v>
      </c>
    </row>
    <row r="274" spans="1:10" ht="11.25" customHeight="1" x14ac:dyDescent="0.2">
      <c r="A274" s="29">
        <v>44409</v>
      </c>
      <c r="B274" s="19">
        <v>0</v>
      </c>
      <c r="C274" s="19">
        <v>0</v>
      </c>
      <c r="D274" s="19">
        <v>13133.840928</v>
      </c>
      <c r="E274" s="19">
        <v>18549.671440359656</v>
      </c>
      <c r="F274" s="19">
        <v>40679.812991999999</v>
      </c>
      <c r="G274" s="19">
        <v>40248.967999111053</v>
      </c>
      <c r="H274" s="20">
        <v>0.41235694432796599</v>
      </c>
      <c r="I274" s="20">
        <v>-1.0591125209294172E-2</v>
      </c>
      <c r="J274" s="20">
        <v>9.2634213742137872E-2</v>
      </c>
    </row>
    <row r="275" spans="1:10" ht="11.25" customHeight="1" x14ac:dyDescent="0.2">
      <c r="A275" s="29">
        <v>44440</v>
      </c>
      <c r="B275" s="19">
        <v>0</v>
      </c>
      <c r="C275" s="19">
        <v>0</v>
      </c>
      <c r="D275" s="19">
        <v>14373.5157504</v>
      </c>
      <c r="E275" s="19">
        <v>20300.534784484833</v>
      </c>
      <c r="F275" s="19">
        <v>44519.492505599999</v>
      </c>
      <c r="G275" s="19">
        <v>44047.980986218958</v>
      </c>
      <c r="H275" s="20">
        <v>0.41235694432796577</v>
      </c>
      <c r="I275" s="20">
        <v>-1.0591125209294172E-2</v>
      </c>
      <c r="J275" s="20">
        <v>9.263421374213765E-2</v>
      </c>
    </row>
    <row r="276" spans="1:10" ht="11.25" customHeight="1" x14ac:dyDescent="0.2">
      <c r="A276" s="29">
        <v>44470</v>
      </c>
      <c r="B276" s="19">
        <v>0</v>
      </c>
      <c r="C276" s="19">
        <v>0</v>
      </c>
      <c r="D276" s="19">
        <v>12700.738291199999</v>
      </c>
      <c r="E276" s="19">
        <v>17937.975923668422</v>
      </c>
      <c r="F276" s="19">
        <v>39338.352076799994</v>
      </c>
      <c r="G276" s="19">
        <v>38921.714664427309</v>
      </c>
      <c r="H276" s="20">
        <v>0.41235694432796599</v>
      </c>
      <c r="I276" s="20">
        <v>-1.0591125209294172E-2</v>
      </c>
      <c r="J276" s="20">
        <v>9.2634213742137872E-2</v>
      </c>
    </row>
    <row r="277" spans="1:10" ht="11.25" customHeight="1" x14ac:dyDescent="0.2">
      <c r="A277" s="29">
        <v>44501</v>
      </c>
      <c r="B277" s="19">
        <v>0</v>
      </c>
      <c r="C277" s="19">
        <v>0</v>
      </c>
      <c r="D277" s="19">
        <v>15660.4809984</v>
      </c>
      <c r="E277" s="19">
        <v>22118.189089606396</v>
      </c>
      <c r="F277" s="19">
        <v>48505.645977599997</v>
      </c>
      <c r="G277" s="19">
        <v>47991.916607693543</v>
      </c>
      <c r="H277" s="20">
        <v>0.41235694432796577</v>
      </c>
      <c r="I277" s="20">
        <v>-1.0591125209294061E-2</v>
      </c>
      <c r="J277" s="20">
        <v>9.2634213742137872E-2</v>
      </c>
    </row>
    <row r="278" spans="1:10" ht="11.25" customHeight="1" x14ac:dyDescent="0.2">
      <c r="A278" s="29">
        <v>44531</v>
      </c>
      <c r="B278" s="19">
        <v>0</v>
      </c>
      <c r="C278" s="19">
        <v>0</v>
      </c>
      <c r="D278" s="19">
        <v>15294.361574400002</v>
      </c>
      <c r="E278" s="19">
        <v>21601.097778666644</v>
      </c>
      <c r="F278" s="19">
        <v>47371.654041599999</v>
      </c>
      <c r="G278" s="19">
        <v>46869.934922274049</v>
      </c>
      <c r="H278" s="20">
        <v>0.41235694432796599</v>
      </c>
      <c r="I278" s="20">
        <v>-1.0591125209294172E-2</v>
      </c>
      <c r="J278" s="20">
        <v>9.263421374213765E-2</v>
      </c>
    </row>
    <row r="279" spans="1:10" ht="11.25" customHeight="1" x14ac:dyDescent="0.2">
      <c r="A279" s="29">
        <v>44562</v>
      </c>
      <c r="B279" s="19">
        <v>0</v>
      </c>
      <c r="C279" s="19">
        <v>0</v>
      </c>
      <c r="D279" s="19">
        <v>15207.4082112</v>
      </c>
      <c r="E279" s="19">
        <v>21478.288592318451</v>
      </c>
      <c r="F279" s="19">
        <v>47102.330956799997</v>
      </c>
      <c r="G279" s="19">
        <v>46603.464271986915</v>
      </c>
      <c r="H279" s="20">
        <v>0.41235694432796599</v>
      </c>
      <c r="I279" s="20">
        <v>-1.0591125209294172E-2</v>
      </c>
      <c r="J279" s="20">
        <v>9.2634213742137872E-2</v>
      </c>
    </row>
    <row r="280" spans="1:10" ht="11.25" customHeight="1" x14ac:dyDescent="0.2">
      <c r="A280" s="29">
        <v>44593</v>
      </c>
      <c r="B280" s="19">
        <v>0</v>
      </c>
      <c r="C280" s="19">
        <v>0</v>
      </c>
      <c r="D280" s="19">
        <v>19329.649430400001</v>
      </c>
      <c r="E280" s="19">
        <v>27300.364604450551</v>
      </c>
      <c r="F280" s="19">
        <v>59870.264025600001</v>
      </c>
      <c r="G280" s="19">
        <v>59236.17056299137</v>
      </c>
      <c r="H280" s="20">
        <v>0.41235694432796599</v>
      </c>
      <c r="I280" s="20">
        <v>-1.0591125209294172E-2</v>
      </c>
      <c r="J280" s="20">
        <v>9.263421374213765E-2</v>
      </c>
    </row>
    <row r="281" spans="1:10" ht="11.25" customHeight="1" x14ac:dyDescent="0.2">
      <c r="A281" s="29">
        <v>44621</v>
      </c>
      <c r="B281" s="19">
        <v>0</v>
      </c>
      <c r="C281" s="19">
        <v>0</v>
      </c>
      <c r="D281" s="19">
        <v>19329.649430400001</v>
      </c>
      <c r="E281" s="19">
        <v>27300.364604450551</v>
      </c>
      <c r="F281" s="19">
        <v>59870.264025600001</v>
      </c>
      <c r="G281" s="19">
        <v>59236.17056299137</v>
      </c>
      <c r="H281" s="20">
        <v>0.41235694432796599</v>
      </c>
      <c r="I281" s="20">
        <v>-1.0591125209294172E-2</v>
      </c>
      <c r="J281" s="20">
        <v>9.263421374213765E-2</v>
      </c>
    </row>
    <row r="282" spans="1:10" ht="11.25" customHeight="1" x14ac:dyDescent="0.2">
      <c r="A282" s="28" t="s">
        <v>25</v>
      </c>
      <c r="B282" s="19">
        <v>364134.77788000001</v>
      </c>
      <c r="C282" s="19">
        <v>369632.23505448282</v>
      </c>
      <c r="D282" s="19">
        <v>0</v>
      </c>
      <c r="E282" s="19">
        <v>0</v>
      </c>
      <c r="F282" s="19">
        <v>0</v>
      </c>
      <c r="G282" s="19">
        <v>0</v>
      </c>
      <c r="H282" s="20">
        <v>1.5097314259541861E-2</v>
      </c>
      <c r="I282" s="20">
        <v>0</v>
      </c>
      <c r="J282" s="20">
        <v>1.5097314259541861E-2</v>
      </c>
    </row>
    <row r="283" spans="1:10" ht="11.25" customHeight="1" x14ac:dyDescent="0.2">
      <c r="A283" s="29">
        <v>44287</v>
      </c>
      <c r="B283" s="19">
        <v>32182.195200000002</v>
      </c>
      <c r="C283" s="19">
        <v>32668.059914496323</v>
      </c>
      <c r="D283" s="19">
        <v>0</v>
      </c>
      <c r="E283" s="19">
        <v>0</v>
      </c>
      <c r="F283" s="19">
        <v>0</v>
      </c>
      <c r="G283" s="19">
        <v>0</v>
      </c>
      <c r="H283" s="20">
        <v>1.5097314259541861E-2</v>
      </c>
      <c r="I283" s="20">
        <v>0</v>
      </c>
      <c r="J283" s="20">
        <v>1.5097314259541861E-2</v>
      </c>
    </row>
    <row r="284" spans="1:10" ht="11.25" customHeight="1" x14ac:dyDescent="0.2">
      <c r="A284" s="29">
        <v>44317</v>
      </c>
      <c r="B284" s="19">
        <v>23906.947479999999</v>
      </c>
      <c r="C284" s="19">
        <v>24267.878179091924</v>
      </c>
      <c r="D284" s="19">
        <v>0</v>
      </c>
      <c r="E284" s="19">
        <v>0</v>
      </c>
      <c r="F284" s="19">
        <v>0</v>
      </c>
      <c r="G284" s="19">
        <v>0</v>
      </c>
      <c r="H284" s="20">
        <v>1.5097314259541861E-2</v>
      </c>
      <c r="I284" s="20">
        <v>0</v>
      </c>
      <c r="J284" s="20">
        <v>1.5097314259541861E-2</v>
      </c>
    </row>
    <row r="285" spans="1:10" ht="11.25" customHeight="1" x14ac:dyDescent="0.2">
      <c r="A285" s="29">
        <v>44348</v>
      </c>
      <c r="B285" s="19">
        <v>29035.891199999998</v>
      </c>
      <c r="C285" s="19">
        <v>29474.25517425227</v>
      </c>
      <c r="D285" s="19">
        <v>0</v>
      </c>
      <c r="E285" s="19">
        <v>0</v>
      </c>
      <c r="F285" s="19">
        <v>0</v>
      </c>
      <c r="G285" s="19">
        <v>0</v>
      </c>
      <c r="H285" s="20">
        <v>1.5097314259542083E-2</v>
      </c>
      <c r="I285" s="20">
        <v>0</v>
      </c>
      <c r="J285" s="20">
        <v>1.5097314259542083E-2</v>
      </c>
    </row>
    <row r="286" spans="1:10" ht="11.25" customHeight="1" x14ac:dyDescent="0.2">
      <c r="A286" s="29">
        <v>44378</v>
      </c>
      <c r="B286" s="19">
        <v>29462.889599999999</v>
      </c>
      <c r="C286" s="19">
        <v>29907.700103285391</v>
      </c>
      <c r="D286" s="19">
        <v>0</v>
      </c>
      <c r="E286" s="19">
        <v>0</v>
      </c>
      <c r="F286" s="19">
        <v>0</v>
      </c>
      <c r="G286" s="19">
        <v>0</v>
      </c>
      <c r="H286" s="20">
        <v>1.5097314259542083E-2</v>
      </c>
      <c r="I286" s="20">
        <v>0</v>
      </c>
      <c r="J286" s="20">
        <v>1.5097314259542083E-2</v>
      </c>
    </row>
    <row r="287" spans="1:10" ht="11.25" customHeight="1" x14ac:dyDescent="0.2">
      <c r="A287" s="29">
        <v>44409</v>
      </c>
      <c r="B287" s="19">
        <v>31103.462400000004</v>
      </c>
      <c r="C287" s="19">
        <v>31573.041146412652</v>
      </c>
      <c r="D287" s="19">
        <v>0</v>
      </c>
      <c r="E287" s="19">
        <v>0</v>
      </c>
      <c r="F287" s="19">
        <v>0</v>
      </c>
      <c r="G287" s="19">
        <v>0</v>
      </c>
      <c r="H287" s="20">
        <v>1.5097314259542083E-2</v>
      </c>
      <c r="I287" s="20">
        <v>0</v>
      </c>
      <c r="J287" s="20">
        <v>1.5097314259542083E-2</v>
      </c>
    </row>
    <row r="288" spans="1:10" ht="11.25" customHeight="1" x14ac:dyDescent="0.2">
      <c r="A288" s="29">
        <v>44440</v>
      </c>
      <c r="B288" s="19">
        <v>33350.822400000005</v>
      </c>
      <c r="C288" s="19">
        <v>33854.330246586978</v>
      </c>
      <c r="D288" s="19">
        <v>0</v>
      </c>
      <c r="E288" s="19">
        <v>0</v>
      </c>
      <c r="F288" s="19">
        <v>0</v>
      </c>
      <c r="G288" s="19">
        <v>0</v>
      </c>
      <c r="H288" s="20">
        <v>1.5097314259542083E-2</v>
      </c>
      <c r="I288" s="20">
        <v>0</v>
      </c>
      <c r="J288" s="20">
        <v>1.5097314259542083E-2</v>
      </c>
    </row>
    <row r="289" spans="1:10" ht="11.25" customHeight="1" x14ac:dyDescent="0.2">
      <c r="A289" s="29">
        <v>44470</v>
      </c>
      <c r="B289" s="19">
        <v>30946.147200000003</v>
      </c>
      <c r="C289" s="19">
        <v>31413.350909400448</v>
      </c>
      <c r="D289" s="19">
        <v>0</v>
      </c>
      <c r="E289" s="19">
        <v>0</v>
      </c>
      <c r="F289" s="19">
        <v>0</v>
      </c>
      <c r="G289" s="19">
        <v>0</v>
      </c>
      <c r="H289" s="20">
        <v>1.5097314259541861E-2</v>
      </c>
      <c r="I289" s="20">
        <v>0</v>
      </c>
      <c r="J289" s="20">
        <v>1.5097314259541861E-2</v>
      </c>
    </row>
    <row r="290" spans="1:10" ht="11.25" customHeight="1" x14ac:dyDescent="0.2">
      <c r="A290" s="29">
        <v>44501</v>
      </c>
      <c r="B290" s="19">
        <v>31080.988800000003</v>
      </c>
      <c r="C290" s="19">
        <v>31550.228255410908</v>
      </c>
      <c r="D290" s="19">
        <v>0</v>
      </c>
      <c r="E290" s="19">
        <v>0</v>
      </c>
      <c r="F290" s="19">
        <v>0</v>
      </c>
      <c r="G290" s="19">
        <v>0</v>
      </c>
      <c r="H290" s="20">
        <v>1.5097314259542083E-2</v>
      </c>
      <c r="I290" s="20">
        <v>0</v>
      </c>
      <c r="J290" s="20">
        <v>1.5097314259542083E-2</v>
      </c>
    </row>
    <row r="291" spans="1:10" ht="11.25" customHeight="1" x14ac:dyDescent="0.2">
      <c r="A291" s="29">
        <v>44531</v>
      </c>
      <c r="B291" s="19">
        <v>31687.775999999998</v>
      </c>
      <c r="C291" s="19">
        <v>32166.17631245797</v>
      </c>
      <c r="D291" s="19">
        <v>0</v>
      </c>
      <c r="E291" s="19">
        <v>0</v>
      </c>
      <c r="F291" s="19">
        <v>0</v>
      </c>
      <c r="G291" s="19">
        <v>0</v>
      </c>
      <c r="H291" s="20">
        <v>1.5097314259542083E-2</v>
      </c>
      <c r="I291" s="20">
        <v>0</v>
      </c>
      <c r="J291" s="20">
        <v>1.5097314259542083E-2</v>
      </c>
    </row>
    <row r="292" spans="1:10" ht="11.25" customHeight="1" x14ac:dyDescent="0.2">
      <c r="A292" s="29">
        <v>44562</v>
      </c>
      <c r="B292" s="19">
        <v>29215.68</v>
      </c>
      <c r="C292" s="19">
        <v>29656.758302266215</v>
      </c>
      <c r="D292" s="19">
        <v>0</v>
      </c>
      <c r="E292" s="19">
        <v>0</v>
      </c>
      <c r="F292" s="19">
        <v>0</v>
      </c>
      <c r="G292" s="19">
        <v>0</v>
      </c>
      <c r="H292" s="20">
        <v>1.5097314259541861E-2</v>
      </c>
      <c r="I292" s="20">
        <v>0</v>
      </c>
      <c r="J292" s="20">
        <v>1.5097314259541861E-2</v>
      </c>
    </row>
    <row r="293" spans="1:10" ht="11.25" customHeight="1" x14ac:dyDescent="0.2">
      <c r="A293" s="29">
        <v>44593</v>
      </c>
      <c r="B293" s="19">
        <v>31080.988800000003</v>
      </c>
      <c r="C293" s="19">
        <v>31550.228255410908</v>
      </c>
      <c r="D293" s="19">
        <v>0</v>
      </c>
      <c r="E293" s="19">
        <v>0</v>
      </c>
      <c r="F293" s="19">
        <v>0</v>
      </c>
      <c r="G293" s="19">
        <v>0</v>
      </c>
      <c r="H293" s="20">
        <v>1.5097314259542083E-2</v>
      </c>
      <c r="I293" s="20">
        <v>0</v>
      </c>
      <c r="J293" s="20">
        <v>1.5097314259542083E-2</v>
      </c>
    </row>
    <row r="294" spans="1:10" ht="11.25" customHeight="1" x14ac:dyDescent="0.2">
      <c r="A294" s="29">
        <v>44621</v>
      </c>
      <c r="B294" s="19">
        <v>31080.988800000003</v>
      </c>
      <c r="C294" s="19">
        <v>31550.228255410908</v>
      </c>
      <c r="D294" s="19">
        <v>0</v>
      </c>
      <c r="E294" s="19">
        <v>0</v>
      </c>
      <c r="F294" s="19">
        <v>0</v>
      </c>
      <c r="G294" s="19">
        <v>0</v>
      </c>
      <c r="H294" s="20">
        <v>1.5097314259542083E-2</v>
      </c>
      <c r="I294" s="20">
        <v>0</v>
      </c>
      <c r="J294" s="20">
        <v>1.5097314259542083E-2</v>
      </c>
    </row>
    <row r="295" spans="1:10" ht="11.25" customHeight="1" x14ac:dyDescent="0.2">
      <c r="A295" s="28" t="s">
        <v>35</v>
      </c>
      <c r="B295" s="19">
        <v>0</v>
      </c>
      <c r="C295" s="19">
        <v>0</v>
      </c>
      <c r="D295" s="19">
        <v>397656.28621707996</v>
      </c>
      <c r="E295" s="19">
        <v>408610.64251510112</v>
      </c>
      <c r="F295" s="19">
        <v>39302.195792719998</v>
      </c>
      <c r="G295" s="19">
        <v>38885.941316079108</v>
      </c>
      <c r="H295" s="20">
        <v>2.754729820124413E-2</v>
      </c>
      <c r="I295" s="20">
        <v>-1.0591125209294172E-2</v>
      </c>
      <c r="J295" s="20">
        <v>2.4116940751235827E-2</v>
      </c>
    </row>
    <row r="296" spans="1:10" ht="11.25" customHeight="1" x14ac:dyDescent="0.2">
      <c r="A296" s="29">
        <v>44287</v>
      </c>
      <c r="B296" s="19">
        <v>0</v>
      </c>
      <c r="C296" s="19">
        <v>0</v>
      </c>
      <c r="D296" s="19">
        <v>29425.091308799998</v>
      </c>
      <c r="E296" s="19">
        <v>30235.673073682345</v>
      </c>
      <c r="F296" s="19">
        <v>2908.2168191999999</v>
      </c>
      <c r="G296" s="19">
        <v>2877.4155307320775</v>
      </c>
      <c r="H296" s="20">
        <v>2.7547298201243908E-2</v>
      </c>
      <c r="I296" s="20">
        <v>-1.0591125209294172E-2</v>
      </c>
      <c r="J296" s="20">
        <v>2.4116940751235605E-2</v>
      </c>
    </row>
    <row r="297" spans="1:10" ht="11.25" customHeight="1" x14ac:dyDescent="0.2">
      <c r="A297" s="29">
        <v>44317</v>
      </c>
      <c r="B297" s="19">
        <v>0</v>
      </c>
      <c r="C297" s="19">
        <v>0</v>
      </c>
      <c r="D297" s="19">
        <v>22220.718281079997</v>
      </c>
      <c r="E297" s="19">
        <v>22832.839033814744</v>
      </c>
      <c r="F297" s="19">
        <v>2196.1755687199998</v>
      </c>
      <c r="G297" s="19">
        <v>2172.9155982900934</v>
      </c>
      <c r="H297" s="20">
        <v>2.754729820124413E-2</v>
      </c>
      <c r="I297" s="20">
        <v>-1.0591125209294172E-2</v>
      </c>
      <c r="J297" s="20">
        <v>2.4116940751235827E-2</v>
      </c>
    </row>
    <row r="298" spans="1:10" ht="11.25" customHeight="1" x14ac:dyDescent="0.2">
      <c r="A298" s="29">
        <v>44348</v>
      </c>
      <c r="B298" s="19">
        <v>0</v>
      </c>
      <c r="C298" s="19">
        <v>0</v>
      </c>
      <c r="D298" s="19">
        <v>19518.216537599998</v>
      </c>
      <c r="E298" s="19">
        <v>20055.890668917717</v>
      </c>
      <c r="F298" s="19">
        <v>1929.0749183999999</v>
      </c>
      <c r="G298" s="19">
        <v>1908.6438444011164</v>
      </c>
      <c r="H298" s="20">
        <v>2.7547298201243908E-2</v>
      </c>
      <c r="I298" s="20">
        <v>-1.0591125209294283E-2</v>
      </c>
      <c r="J298" s="20">
        <v>2.4116940751235605E-2</v>
      </c>
    </row>
    <row r="299" spans="1:10" ht="11.25" customHeight="1" x14ac:dyDescent="0.2">
      <c r="A299" s="29">
        <v>44378</v>
      </c>
      <c r="B299" s="19">
        <v>0</v>
      </c>
      <c r="C299" s="19">
        <v>0</v>
      </c>
      <c r="D299" s="19">
        <v>28136.4804864</v>
      </c>
      <c r="E299" s="19">
        <v>28911.564504692342</v>
      </c>
      <c r="F299" s="19">
        <v>2780.8574976</v>
      </c>
      <c r="G299" s="19">
        <v>2751.405087653714</v>
      </c>
      <c r="H299" s="20">
        <v>2.7547298201243908E-2</v>
      </c>
      <c r="I299" s="20">
        <v>-1.0591125209294172E-2</v>
      </c>
      <c r="J299" s="20">
        <v>2.4116940751235827E-2</v>
      </c>
    </row>
    <row r="300" spans="1:10" ht="11.25" customHeight="1" x14ac:dyDescent="0.2">
      <c r="A300" s="29">
        <v>44409</v>
      </c>
      <c r="B300" s="19">
        <v>0</v>
      </c>
      <c r="C300" s="19">
        <v>0</v>
      </c>
      <c r="D300" s="19">
        <v>32825.893900800002</v>
      </c>
      <c r="E300" s="19">
        <v>33730.158588807739</v>
      </c>
      <c r="F300" s="19">
        <v>3244.3337472000003</v>
      </c>
      <c r="G300" s="19">
        <v>3209.9726022626664</v>
      </c>
      <c r="H300" s="20">
        <v>2.754729820124413E-2</v>
      </c>
      <c r="I300" s="20">
        <v>-1.0591125209294172E-2</v>
      </c>
      <c r="J300" s="20">
        <v>2.4116940751235827E-2</v>
      </c>
    </row>
    <row r="301" spans="1:10" ht="11.25" customHeight="1" x14ac:dyDescent="0.2">
      <c r="A301" s="29">
        <v>44440</v>
      </c>
      <c r="B301" s="19">
        <v>0</v>
      </c>
      <c r="C301" s="19">
        <v>0</v>
      </c>
      <c r="D301" s="19">
        <v>29333.823763199998</v>
      </c>
      <c r="E301" s="19">
        <v>30141.891353787607</v>
      </c>
      <c r="F301" s="19">
        <v>2899.1964287999999</v>
      </c>
      <c r="G301" s="19">
        <v>2868.4906764162406</v>
      </c>
      <c r="H301" s="20">
        <v>2.754729820124413E-2</v>
      </c>
      <c r="I301" s="20">
        <v>-1.0591125209294172E-2</v>
      </c>
      <c r="J301" s="20">
        <v>2.4116940751235827E-2</v>
      </c>
    </row>
    <row r="302" spans="1:10" ht="11.25" customHeight="1" x14ac:dyDescent="0.2">
      <c r="A302" s="29">
        <v>44470</v>
      </c>
      <c r="B302" s="19">
        <v>0</v>
      </c>
      <c r="C302" s="19">
        <v>0</v>
      </c>
      <c r="D302" s="19">
        <v>23944.692499199999</v>
      </c>
      <c r="E302" s="19">
        <v>24604.304083812549</v>
      </c>
      <c r="F302" s="19">
        <v>2366.5638527999999</v>
      </c>
      <c r="G302" s="19">
        <v>2341.4992787192054</v>
      </c>
      <c r="H302" s="20">
        <v>2.7547298201243908E-2</v>
      </c>
      <c r="I302" s="20">
        <v>-1.0591125209294172E-2</v>
      </c>
      <c r="J302" s="20">
        <v>2.4116940751235605E-2</v>
      </c>
    </row>
    <row r="303" spans="1:10" ht="11.25" customHeight="1" x14ac:dyDescent="0.2">
      <c r="A303" s="29">
        <v>44501</v>
      </c>
      <c r="B303" s="19">
        <v>0</v>
      </c>
      <c r="C303" s="19">
        <v>0</v>
      </c>
      <c r="D303" s="19">
        <v>32504.2844544</v>
      </c>
      <c r="E303" s="19">
        <v>33399.689671083419</v>
      </c>
      <c r="F303" s="19">
        <v>3212.5476096000002</v>
      </c>
      <c r="G303" s="19">
        <v>3178.5231156259078</v>
      </c>
      <c r="H303" s="20">
        <v>2.754729820124413E-2</v>
      </c>
      <c r="I303" s="20">
        <v>-1.0591125209294172E-2</v>
      </c>
      <c r="J303" s="20">
        <v>2.4116940751235827E-2</v>
      </c>
    </row>
    <row r="304" spans="1:10" ht="11.25" customHeight="1" x14ac:dyDescent="0.2">
      <c r="A304" s="29">
        <v>44531</v>
      </c>
      <c r="B304" s="19">
        <v>0</v>
      </c>
      <c r="C304" s="19">
        <v>0</v>
      </c>
      <c r="D304" s="19">
        <v>34086.255244799999</v>
      </c>
      <c r="E304" s="19">
        <v>35025.239482592224</v>
      </c>
      <c r="F304" s="19">
        <v>3368.9010432</v>
      </c>
      <c r="G304" s="19">
        <v>3333.220590433747</v>
      </c>
      <c r="H304" s="20">
        <v>2.754729820124413E-2</v>
      </c>
      <c r="I304" s="20">
        <v>-1.0591125209294172E-2</v>
      </c>
      <c r="J304" s="20">
        <v>2.4116940751235827E-2</v>
      </c>
    </row>
    <row r="305" spans="1:10" ht="11.25" customHeight="1" x14ac:dyDescent="0.2">
      <c r="A305" s="29">
        <v>44562</v>
      </c>
      <c r="B305" s="19">
        <v>0</v>
      </c>
      <c r="C305" s="19">
        <v>0</v>
      </c>
      <c r="D305" s="19">
        <v>35713.859808000001</v>
      </c>
      <c r="E305" s="19">
        <v>36697.680154048394</v>
      </c>
      <c r="F305" s="19">
        <v>3529.7646719999998</v>
      </c>
      <c r="G305" s="19">
        <v>3492.3804923995049</v>
      </c>
      <c r="H305" s="20">
        <v>2.7547298201243908E-2</v>
      </c>
      <c r="I305" s="20">
        <v>-1.0591125209294061E-2</v>
      </c>
      <c r="J305" s="20">
        <v>2.4116940751235605E-2</v>
      </c>
    </row>
    <row r="306" spans="1:10" ht="11.25" customHeight="1" x14ac:dyDescent="0.2">
      <c r="A306" s="29">
        <v>44593</v>
      </c>
      <c r="B306" s="19">
        <v>0</v>
      </c>
      <c r="C306" s="19">
        <v>0</v>
      </c>
      <c r="D306" s="19">
        <v>54973.484966399992</v>
      </c>
      <c r="E306" s="19">
        <v>56487.855949931021</v>
      </c>
      <c r="F306" s="19">
        <v>5433.2818175999992</v>
      </c>
      <c r="G306" s="19">
        <v>5375.7372495724167</v>
      </c>
      <c r="H306" s="20">
        <v>2.754729820124413E-2</v>
      </c>
      <c r="I306" s="20">
        <v>-1.0591125209294061E-2</v>
      </c>
      <c r="J306" s="20">
        <v>2.4116940751235827E-2</v>
      </c>
    </row>
    <row r="307" spans="1:10" ht="11.25" customHeight="1" x14ac:dyDescent="0.2">
      <c r="A307" s="29">
        <v>44621</v>
      </c>
      <c r="B307" s="19">
        <v>0</v>
      </c>
      <c r="C307" s="19">
        <v>0</v>
      </c>
      <c r="D307" s="19">
        <v>54973.484966399992</v>
      </c>
      <c r="E307" s="19">
        <v>56487.855949931021</v>
      </c>
      <c r="F307" s="19">
        <v>5433.2818175999992</v>
      </c>
      <c r="G307" s="19">
        <v>5375.7372495724167</v>
      </c>
      <c r="H307" s="20">
        <v>2.754729820124413E-2</v>
      </c>
      <c r="I307" s="20">
        <v>-1.0591125209294061E-2</v>
      </c>
      <c r="J307" s="20">
        <v>2.4116940751235827E-2</v>
      </c>
    </row>
    <row r="308" spans="1:10" ht="11.25" customHeight="1" x14ac:dyDescent="0.2">
      <c r="A308" s="24" t="s">
        <v>48</v>
      </c>
      <c r="B308" s="19">
        <v>76728.616000000009</v>
      </c>
      <c r="C308" s="19">
        <v>77887.012028451718</v>
      </c>
      <c r="D308" s="19">
        <v>450632.53027013002</v>
      </c>
      <c r="E308" s="19">
        <v>500418.24691232928</v>
      </c>
      <c r="F308" s="19">
        <v>335746.26669051999</v>
      </c>
      <c r="G308" s="19">
        <v>332190.33594144764</v>
      </c>
      <c r="H308" s="20">
        <v>9.6601945423859137E-2</v>
      </c>
      <c r="I308" s="20">
        <v>-1.0591125209294061E-2</v>
      </c>
      <c r="J308" s="20">
        <v>5.4904153538696487E-2</v>
      </c>
    </row>
    <row r="309" spans="1:10" ht="11.25" customHeight="1" x14ac:dyDescent="0.2">
      <c r="A309" s="25" t="s">
        <v>49</v>
      </c>
      <c r="B309" s="19">
        <v>76728.616000000009</v>
      </c>
      <c r="C309" s="19">
        <v>77887.012028451718</v>
      </c>
      <c r="D309" s="19">
        <v>450632.53027013002</v>
      </c>
      <c r="E309" s="19">
        <v>500418.24691232928</v>
      </c>
      <c r="F309" s="19">
        <v>335746.26669051999</v>
      </c>
      <c r="G309" s="19">
        <v>332190.33594144764</v>
      </c>
      <c r="H309" s="20">
        <v>9.6601945423859137E-2</v>
      </c>
      <c r="I309" s="20">
        <v>-1.0591125209294061E-2</v>
      </c>
      <c r="J309" s="20">
        <v>5.4904153538696487E-2</v>
      </c>
    </row>
    <row r="310" spans="1:10" ht="11.25" customHeight="1" x14ac:dyDescent="0.2">
      <c r="A310" s="26" t="s">
        <v>25</v>
      </c>
      <c r="B310" s="19">
        <v>76728.616000000009</v>
      </c>
      <c r="C310" s="19">
        <v>77887.012028451718</v>
      </c>
      <c r="D310" s="19">
        <v>450632.53027013002</v>
      </c>
      <c r="E310" s="19">
        <v>500418.24691232928</v>
      </c>
      <c r="F310" s="19">
        <v>335746.26669051999</v>
      </c>
      <c r="G310" s="19">
        <v>332190.33594144764</v>
      </c>
      <c r="H310" s="20">
        <v>9.6601945423859137E-2</v>
      </c>
      <c r="I310" s="20">
        <v>-1.0591125209294061E-2</v>
      </c>
      <c r="J310" s="20">
        <v>5.4904153538696487E-2</v>
      </c>
    </row>
    <row r="311" spans="1:10" ht="11.25" customHeight="1" x14ac:dyDescent="0.2">
      <c r="A311" s="27" t="s">
        <v>25</v>
      </c>
      <c r="B311" s="19">
        <v>76728.616000000009</v>
      </c>
      <c r="C311" s="19">
        <v>77887.012028451718</v>
      </c>
      <c r="D311" s="19">
        <v>450632.53027013002</v>
      </c>
      <c r="E311" s="19">
        <v>500418.24691232928</v>
      </c>
      <c r="F311" s="19">
        <v>335746.26669051999</v>
      </c>
      <c r="G311" s="19">
        <v>332190.33594144764</v>
      </c>
      <c r="H311" s="20">
        <v>9.6601945423859137E-2</v>
      </c>
      <c r="I311" s="20">
        <v>-1.0591125209294061E-2</v>
      </c>
      <c r="J311" s="20">
        <v>5.4904153538696487E-2</v>
      </c>
    </row>
    <row r="312" spans="1:10" ht="11.25" customHeight="1" x14ac:dyDescent="0.2">
      <c r="A312" s="28" t="s">
        <v>36</v>
      </c>
      <c r="B312" s="19">
        <v>0</v>
      </c>
      <c r="C312" s="19">
        <v>0</v>
      </c>
      <c r="D312" s="19">
        <v>97118.168236769998</v>
      </c>
      <c r="E312" s="19">
        <v>137165.5193296138</v>
      </c>
      <c r="F312" s="19">
        <v>300806.81985227996</v>
      </c>
      <c r="G312" s="19">
        <v>297620.93715941493</v>
      </c>
      <c r="H312" s="20">
        <v>0.41235694432796599</v>
      </c>
      <c r="I312" s="20">
        <v>-1.059112520929395E-2</v>
      </c>
      <c r="J312" s="20">
        <v>9.2634213742138094E-2</v>
      </c>
    </row>
    <row r="313" spans="1:10" ht="11.25" customHeight="1" x14ac:dyDescent="0.2">
      <c r="A313" s="29">
        <v>44287</v>
      </c>
      <c r="B313" s="19">
        <v>0</v>
      </c>
      <c r="C313" s="19">
        <v>0</v>
      </c>
      <c r="D313" s="19">
        <v>8875.5949526000004</v>
      </c>
      <c r="E313" s="19">
        <v>12535.508166346854</v>
      </c>
      <c r="F313" s="19">
        <v>27490.628586400002</v>
      </c>
      <c r="G313" s="19">
        <v>27199.471896959236</v>
      </c>
      <c r="H313" s="20">
        <v>0.41235694432796577</v>
      </c>
      <c r="I313" s="20">
        <v>-1.0591125209294283E-2</v>
      </c>
      <c r="J313" s="20">
        <v>9.2634213742137872E-2</v>
      </c>
    </row>
    <row r="314" spans="1:10" ht="11.25" customHeight="1" x14ac:dyDescent="0.2">
      <c r="A314" s="29">
        <v>44317</v>
      </c>
      <c r="B314" s="19">
        <v>0</v>
      </c>
      <c r="C314" s="19">
        <v>0</v>
      </c>
      <c r="D314" s="19">
        <v>8126.0757271700004</v>
      </c>
      <c r="E314" s="19">
        <v>11476.919483403475</v>
      </c>
      <c r="F314" s="19">
        <v>25169.12171788</v>
      </c>
      <c r="G314" s="19">
        <v>24902.55239835797</v>
      </c>
      <c r="H314" s="20">
        <v>0.41235694432796599</v>
      </c>
      <c r="I314" s="20">
        <v>-1.0591125209294061E-2</v>
      </c>
      <c r="J314" s="20">
        <v>9.2634213742138094E-2</v>
      </c>
    </row>
    <row r="315" spans="1:10" ht="11.25" customHeight="1" x14ac:dyDescent="0.2">
      <c r="A315" s="29">
        <v>44348</v>
      </c>
      <c r="B315" s="19">
        <v>0</v>
      </c>
      <c r="C315" s="19">
        <v>0</v>
      </c>
      <c r="D315" s="19">
        <v>7915.8821656</v>
      </c>
      <c r="E315" s="19">
        <v>11180.051147067057</v>
      </c>
      <c r="F315" s="19">
        <v>24518.0833184</v>
      </c>
      <c r="G315" s="19">
        <v>24258.409228082921</v>
      </c>
      <c r="H315" s="20">
        <v>0.41235694432796577</v>
      </c>
      <c r="I315" s="20">
        <v>-1.0591125209294061E-2</v>
      </c>
      <c r="J315" s="20">
        <v>9.2634213742137872E-2</v>
      </c>
    </row>
    <row r="316" spans="1:10" ht="11.25" customHeight="1" x14ac:dyDescent="0.2">
      <c r="A316" s="29">
        <v>44378</v>
      </c>
      <c r="B316" s="19">
        <v>0</v>
      </c>
      <c r="C316" s="19">
        <v>0</v>
      </c>
      <c r="D316" s="19">
        <v>7638.7977734000006</v>
      </c>
      <c r="E316" s="19">
        <v>10788.709081578494</v>
      </c>
      <c r="F316" s="19">
        <v>23659.862077599999</v>
      </c>
      <c r="G316" s="19">
        <v>23409.277515901507</v>
      </c>
      <c r="H316" s="20">
        <v>0.41235694432796577</v>
      </c>
      <c r="I316" s="20">
        <v>-1.0591125209294172E-2</v>
      </c>
      <c r="J316" s="20">
        <v>9.2634213742137872E-2</v>
      </c>
    </row>
    <row r="317" spans="1:10" ht="11.25" customHeight="1" x14ac:dyDescent="0.2">
      <c r="A317" s="29">
        <v>44409</v>
      </c>
      <c r="B317" s="19">
        <v>0</v>
      </c>
      <c r="C317" s="19">
        <v>0</v>
      </c>
      <c r="D317" s="19">
        <v>7625.6938067999999</v>
      </c>
      <c r="E317" s="19">
        <v>10770.201603352742</v>
      </c>
      <c r="F317" s="19">
        <v>23619.274795199999</v>
      </c>
      <c r="G317" s="19">
        <v>23369.120098491312</v>
      </c>
      <c r="H317" s="20">
        <v>0.41235694432796577</v>
      </c>
      <c r="I317" s="20">
        <v>-1.0591125209294061E-2</v>
      </c>
      <c r="J317" s="20">
        <v>9.2634213742137872E-2</v>
      </c>
    </row>
    <row r="318" spans="1:10" ht="11.25" customHeight="1" x14ac:dyDescent="0.2">
      <c r="A318" s="29">
        <v>44440</v>
      </c>
      <c r="B318" s="19">
        <v>0</v>
      </c>
      <c r="C318" s="19">
        <v>0</v>
      </c>
      <c r="D318" s="19">
        <v>7891.8469108000008</v>
      </c>
      <c r="E318" s="19">
        <v>11146.104788041586</v>
      </c>
      <c r="F318" s="19">
        <v>24443.638251200002</v>
      </c>
      <c r="G318" s="19">
        <v>24184.75261791085</v>
      </c>
      <c r="H318" s="20">
        <v>0.41235694432796577</v>
      </c>
      <c r="I318" s="20">
        <v>-1.0591125209294172E-2</v>
      </c>
      <c r="J318" s="20">
        <v>9.2634213742137872E-2</v>
      </c>
    </row>
    <row r="319" spans="1:10" ht="11.25" customHeight="1" x14ac:dyDescent="0.2">
      <c r="A319" s="29">
        <v>44470</v>
      </c>
      <c r="B319" s="19">
        <v>0</v>
      </c>
      <c r="C319" s="19">
        <v>0</v>
      </c>
      <c r="D319" s="19">
        <v>7720.6126944000007</v>
      </c>
      <c r="E319" s="19">
        <v>10904.260953402489</v>
      </c>
      <c r="F319" s="19">
        <v>23913.269721600002</v>
      </c>
      <c r="G319" s="19">
        <v>23660.00128781491</v>
      </c>
      <c r="H319" s="20">
        <v>0.41235694432796599</v>
      </c>
      <c r="I319" s="20">
        <v>-1.0591125209294283E-2</v>
      </c>
      <c r="J319" s="20">
        <v>9.263421374213765E-2</v>
      </c>
    </row>
    <row r="320" spans="1:10" ht="11.25" customHeight="1" x14ac:dyDescent="0.2">
      <c r="A320" s="29">
        <v>44501</v>
      </c>
      <c r="B320" s="19">
        <v>0</v>
      </c>
      <c r="C320" s="19">
        <v>0</v>
      </c>
      <c r="D320" s="19">
        <v>7754.2892096000005</v>
      </c>
      <c r="E320" s="19">
        <v>10951.824213505974</v>
      </c>
      <c r="F320" s="19">
        <v>24017.5769344</v>
      </c>
      <c r="G320" s="19">
        <v>23763.203769863914</v>
      </c>
      <c r="H320" s="20">
        <v>0.41235694432796577</v>
      </c>
      <c r="I320" s="20">
        <v>-1.0591125209294172E-2</v>
      </c>
      <c r="J320" s="20">
        <v>9.2634213742137872E-2</v>
      </c>
    </row>
    <row r="321" spans="1:10" ht="11.25" customHeight="1" x14ac:dyDescent="0.2">
      <c r="A321" s="29">
        <v>44531</v>
      </c>
      <c r="B321" s="19">
        <v>0</v>
      </c>
      <c r="C321" s="19">
        <v>0</v>
      </c>
      <c r="D321" s="19">
        <v>7561.8713788000005</v>
      </c>
      <c r="E321" s="19">
        <v>10680.061553963071</v>
      </c>
      <c r="F321" s="19">
        <v>23421.595803199998</v>
      </c>
      <c r="G321" s="19">
        <v>23173.53474944683</v>
      </c>
      <c r="H321" s="20">
        <v>0.41235694432796577</v>
      </c>
      <c r="I321" s="20">
        <v>-1.0591125209294061E-2</v>
      </c>
      <c r="J321" s="20">
        <v>9.263421374213765E-2</v>
      </c>
    </row>
    <row r="322" spans="1:10" ht="11.25" customHeight="1" x14ac:dyDescent="0.2">
      <c r="A322" s="29">
        <v>44562</v>
      </c>
      <c r="B322" s="19">
        <v>0</v>
      </c>
      <c r="C322" s="19">
        <v>0</v>
      </c>
      <c r="D322" s="19">
        <v>7991.9259096000005</v>
      </c>
      <c r="E322" s="19">
        <v>11287.452056978156</v>
      </c>
      <c r="F322" s="19">
        <v>24753.615734400002</v>
      </c>
      <c r="G322" s="19">
        <v>24491.447090774218</v>
      </c>
      <c r="H322" s="20">
        <v>0.41235694432796599</v>
      </c>
      <c r="I322" s="20">
        <v>-1.0591125209294172E-2</v>
      </c>
      <c r="J322" s="20">
        <v>9.2634213742137872E-2</v>
      </c>
    </row>
    <row r="323" spans="1:10" ht="11.25" customHeight="1" x14ac:dyDescent="0.2">
      <c r="A323" s="29">
        <v>44593</v>
      </c>
      <c r="B323" s="19">
        <v>0</v>
      </c>
      <c r="C323" s="19">
        <v>0</v>
      </c>
      <c r="D323" s="19">
        <v>9007.7888540000004</v>
      </c>
      <c r="E323" s="19">
        <v>12722.213140986951</v>
      </c>
      <c r="F323" s="19">
        <v>27900.076455999999</v>
      </c>
      <c r="G323" s="19">
        <v>27604.583252905624</v>
      </c>
      <c r="H323" s="20">
        <v>0.41235694432796599</v>
      </c>
      <c r="I323" s="20">
        <v>-1.0591125209294061E-2</v>
      </c>
      <c r="J323" s="20">
        <v>9.2634213742137872E-2</v>
      </c>
    </row>
    <row r="324" spans="1:10" ht="11.25" customHeight="1" x14ac:dyDescent="0.2">
      <c r="A324" s="29">
        <v>44621</v>
      </c>
      <c r="B324" s="19">
        <v>0</v>
      </c>
      <c r="C324" s="19">
        <v>0</v>
      </c>
      <c r="D324" s="19">
        <v>9007.7888540000004</v>
      </c>
      <c r="E324" s="19">
        <v>12722.213140986951</v>
      </c>
      <c r="F324" s="19">
        <v>27900.076455999999</v>
      </c>
      <c r="G324" s="19">
        <v>27604.583252905624</v>
      </c>
      <c r="H324" s="20">
        <v>0.41235694432796599</v>
      </c>
      <c r="I324" s="20">
        <v>-1.0591125209294061E-2</v>
      </c>
      <c r="J324" s="20">
        <v>9.2634213742137872E-2</v>
      </c>
    </row>
    <row r="325" spans="1:10" ht="11.25" customHeight="1" x14ac:dyDescent="0.2">
      <c r="A325" s="28" t="s">
        <v>25</v>
      </c>
      <c r="B325" s="19">
        <v>76728.616000000009</v>
      </c>
      <c r="C325" s="19">
        <v>77887.012028451718</v>
      </c>
      <c r="D325" s="19">
        <v>0</v>
      </c>
      <c r="E325" s="19">
        <v>0</v>
      </c>
      <c r="F325" s="19">
        <v>0</v>
      </c>
      <c r="G325" s="19">
        <v>0</v>
      </c>
      <c r="H325" s="20">
        <v>1.5097314259541861E-2</v>
      </c>
      <c r="I325" s="20">
        <v>0</v>
      </c>
      <c r="J325" s="20">
        <v>1.5097314259541861E-2</v>
      </c>
    </row>
    <row r="326" spans="1:10" ht="11.25" customHeight="1" x14ac:dyDescent="0.2">
      <c r="A326" s="29">
        <v>44287</v>
      </c>
      <c r="B326" s="19">
        <v>6467.0124999999998</v>
      </c>
      <c r="C326" s="19">
        <v>6564.6470200328858</v>
      </c>
      <c r="D326" s="19">
        <v>0</v>
      </c>
      <c r="E326" s="19">
        <v>0</v>
      </c>
      <c r="F326" s="19">
        <v>0</v>
      </c>
      <c r="G326" s="19">
        <v>0</v>
      </c>
      <c r="H326" s="20">
        <v>1.5097314259541861E-2</v>
      </c>
      <c r="I326" s="20">
        <v>0</v>
      </c>
      <c r="J326" s="20">
        <v>1.5097314259541861E-2</v>
      </c>
    </row>
    <row r="327" spans="1:10" ht="11.25" customHeight="1" x14ac:dyDescent="0.2">
      <c r="A327" s="29">
        <v>44317</v>
      </c>
      <c r="B327" s="19">
        <v>6447.1139999999996</v>
      </c>
      <c r="C327" s="19">
        <v>6544.4481061250926</v>
      </c>
      <c r="D327" s="19">
        <v>0</v>
      </c>
      <c r="E327" s="19">
        <v>0</v>
      </c>
      <c r="F327" s="19">
        <v>0</v>
      </c>
      <c r="G327" s="19">
        <v>0</v>
      </c>
      <c r="H327" s="20">
        <v>1.5097314259542083E-2</v>
      </c>
      <c r="I327" s="20">
        <v>0</v>
      </c>
      <c r="J327" s="20">
        <v>1.5097314259542083E-2</v>
      </c>
    </row>
    <row r="328" spans="1:10" ht="11.25" customHeight="1" x14ac:dyDescent="0.2">
      <c r="A328" s="29">
        <v>44348</v>
      </c>
      <c r="B328" s="19">
        <v>6447.1139999999996</v>
      </c>
      <c r="C328" s="19">
        <v>6544.4481061250926</v>
      </c>
      <c r="D328" s="19">
        <v>0</v>
      </c>
      <c r="E328" s="19">
        <v>0</v>
      </c>
      <c r="F328" s="19">
        <v>0</v>
      </c>
      <c r="G328" s="19">
        <v>0</v>
      </c>
      <c r="H328" s="20">
        <v>1.5097314259542083E-2</v>
      </c>
      <c r="I328" s="20">
        <v>0</v>
      </c>
      <c r="J328" s="20">
        <v>1.5097314259542083E-2</v>
      </c>
    </row>
    <row r="329" spans="1:10" ht="11.25" customHeight="1" x14ac:dyDescent="0.2">
      <c r="A329" s="29">
        <v>44378</v>
      </c>
      <c r="B329" s="19">
        <v>6685.8959999999988</v>
      </c>
      <c r="C329" s="19">
        <v>6786.8350730186139</v>
      </c>
      <c r="D329" s="19">
        <v>0</v>
      </c>
      <c r="E329" s="19">
        <v>0</v>
      </c>
      <c r="F329" s="19">
        <v>0</v>
      </c>
      <c r="G329" s="19">
        <v>0</v>
      </c>
      <c r="H329" s="20">
        <v>1.5097314259542083E-2</v>
      </c>
      <c r="I329" s="20">
        <v>0</v>
      </c>
      <c r="J329" s="20">
        <v>1.5097314259542083E-2</v>
      </c>
    </row>
    <row r="330" spans="1:10" ht="11.25" customHeight="1" x14ac:dyDescent="0.2">
      <c r="A330" s="29">
        <v>44409</v>
      </c>
      <c r="B330" s="19">
        <v>6546.6064999999999</v>
      </c>
      <c r="C330" s="19">
        <v>6645.4426756640596</v>
      </c>
      <c r="D330" s="19">
        <v>0</v>
      </c>
      <c r="E330" s="19">
        <v>0</v>
      </c>
      <c r="F330" s="19">
        <v>0</v>
      </c>
      <c r="G330" s="19">
        <v>0</v>
      </c>
      <c r="H330" s="20">
        <v>1.5097314259541861E-2</v>
      </c>
      <c r="I330" s="20">
        <v>0</v>
      </c>
      <c r="J330" s="20">
        <v>1.5097314259541861E-2</v>
      </c>
    </row>
    <row r="331" spans="1:10" ht="11.25" customHeight="1" x14ac:dyDescent="0.2">
      <c r="A331" s="29">
        <v>44440</v>
      </c>
      <c r="B331" s="19">
        <v>6228.2305000000006</v>
      </c>
      <c r="C331" s="19">
        <v>6322.2600531393646</v>
      </c>
      <c r="D331" s="19">
        <v>0</v>
      </c>
      <c r="E331" s="19">
        <v>0</v>
      </c>
      <c r="F331" s="19">
        <v>0</v>
      </c>
      <c r="G331" s="19">
        <v>0</v>
      </c>
      <c r="H331" s="20">
        <v>1.5097314259541861E-2</v>
      </c>
      <c r="I331" s="20">
        <v>0</v>
      </c>
      <c r="J331" s="20">
        <v>1.5097314259541861E-2</v>
      </c>
    </row>
    <row r="332" spans="1:10" ht="11.25" customHeight="1" x14ac:dyDescent="0.2">
      <c r="A332" s="29">
        <v>44470</v>
      </c>
      <c r="B332" s="19">
        <v>6228.2305000000006</v>
      </c>
      <c r="C332" s="19">
        <v>6322.2600531393646</v>
      </c>
      <c r="D332" s="19">
        <v>0</v>
      </c>
      <c r="E332" s="19">
        <v>0</v>
      </c>
      <c r="F332" s="19">
        <v>0</v>
      </c>
      <c r="G332" s="19">
        <v>0</v>
      </c>
      <c r="H332" s="20">
        <v>1.5097314259541861E-2</v>
      </c>
      <c r="I332" s="20">
        <v>0</v>
      </c>
      <c r="J332" s="20">
        <v>1.5097314259541861E-2</v>
      </c>
    </row>
    <row r="333" spans="1:10" ht="11.25" customHeight="1" x14ac:dyDescent="0.2">
      <c r="A333" s="29">
        <v>44501</v>
      </c>
      <c r="B333" s="19">
        <v>6387.4184999999989</v>
      </c>
      <c r="C333" s="19">
        <v>6483.8513644017112</v>
      </c>
      <c r="D333" s="19">
        <v>0</v>
      </c>
      <c r="E333" s="19">
        <v>0</v>
      </c>
      <c r="F333" s="19">
        <v>0</v>
      </c>
      <c r="G333" s="19">
        <v>0</v>
      </c>
      <c r="H333" s="20">
        <v>1.5097314259542083E-2</v>
      </c>
      <c r="I333" s="20">
        <v>0</v>
      </c>
      <c r="J333" s="20">
        <v>1.5097314259542083E-2</v>
      </c>
    </row>
    <row r="334" spans="1:10" ht="11.25" customHeight="1" x14ac:dyDescent="0.2">
      <c r="A334" s="29">
        <v>44531</v>
      </c>
      <c r="B334" s="19">
        <v>6427.2155000000002</v>
      </c>
      <c r="C334" s="19">
        <v>6524.2491922172994</v>
      </c>
      <c r="D334" s="19">
        <v>0</v>
      </c>
      <c r="E334" s="19">
        <v>0</v>
      </c>
      <c r="F334" s="19">
        <v>0</v>
      </c>
      <c r="G334" s="19">
        <v>0</v>
      </c>
      <c r="H334" s="20">
        <v>1.5097314259541861E-2</v>
      </c>
      <c r="I334" s="20">
        <v>0</v>
      </c>
      <c r="J334" s="20">
        <v>1.5097314259541861E-2</v>
      </c>
    </row>
    <row r="335" spans="1:10" ht="11.25" customHeight="1" x14ac:dyDescent="0.2">
      <c r="A335" s="29">
        <v>44562</v>
      </c>
      <c r="B335" s="19">
        <v>6407.317</v>
      </c>
      <c r="C335" s="19">
        <v>6504.0502783095053</v>
      </c>
      <c r="D335" s="19">
        <v>0</v>
      </c>
      <c r="E335" s="19">
        <v>0</v>
      </c>
      <c r="F335" s="19">
        <v>0</v>
      </c>
      <c r="G335" s="19">
        <v>0</v>
      </c>
      <c r="H335" s="20">
        <v>1.5097314259541861E-2</v>
      </c>
      <c r="I335" s="20">
        <v>0</v>
      </c>
      <c r="J335" s="20">
        <v>1.5097314259541861E-2</v>
      </c>
    </row>
    <row r="336" spans="1:10" ht="11.25" customHeight="1" x14ac:dyDescent="0.2">
      <c r="A336" s="29">
        <v>44593</v>
      </c>
      <c r="B336" s="19">
        <v>6228.2305000000006</v>
      </c>
      <c r="C336" s="19">
        <v>6322.2600531393646</v>
      </c>
      <c r="D336" s="19">
        <v>0</v>
      </c>
      <c r="E336" s="19">
        <v>0</v>
      </c>
      <c r="F336" s="19">
        <v>0</v>
      </c>
      <c r="G336" s="19">
        <v>0</v>
      </c>
      <c r="H336" s="20">
        <v>1.5097314259541861E-2</v>
      </c>
      <c r="I336" s="20">
        <v>0</v>
      </c>
      <c r="J336" s="20">
        <v>1.5097314259541861E-2</v>
      </c>
    </row>
    <row r="337" spans="1:10" ht="11.25" customHeight="1" x14ac:dyDescent="0.2">
      <c r="A337" s="29">
        <v>44621</v>
      </c>
      <c r="B337" s="19">
        <v>6228.2305000000006</v>
      </c>
      <c r="C337" s="19">
        <v>6322.2600531393646</v>
      </c>
      <c r="D337" s="19">
        <v>0</v>
      </c>
      <c r="E337" s="19">
        <v>0</v>
      </c>
      <c r="F337" s="19">
        <v>0</v>
      </c>
      <c r="G337" s="19">
        <v>0</v>
      </c>
      <c r="H337" s="20">
        <v>1.5097314259541861E-2</v>
      </c>
      <c r="I337" s="20">
        <v>0</v>
      </c>
      <c r="J337" s="20">
        <v>1.5097314259541861E-2</v>
      </c>
    </row>
    <row r="338" spans="1:10" ht="11.25" customHeight="1" x14ac:dyDescent="0.2">
      <c r="A338" s="28" t="s">
        <v>35</v>
      </c>
      <c r="B338" s="19">
        <v>0</v>
      </c>
      <c r="C338" s="19">
        <v>0</v>
      </c>
      <c r="D338" s="19">
        <v>353514.36203336</v>
      </c>
      <c r="E338" s="19">
        <v>363252.72758271551</v>
      </c>
      <c r="F338" s="19">
        <v>34939.446838240001</v>
      </c>
      <c r="G338" s="19">
        <v>34569.398782032724</v>
      </c>
      <c r="H338" s="20">
        <v>2.754729820124413E-2</v>
      </c>
      <c r="I338" s="20">
        <v>-1.0591125209294172E-2</v>
      </c>
      <c r="J338" s="20">
        <v>2.4116940751235605E-2</v>
      </c>
    </row>
    <row r="339" spans="1:10" ht="11.25" customHeight="1" x14ac:dyDescent="0.2">
      <c r="A339" s="29">
        <v>44287</v>
      </c>
      <c r="B339" s="19">
        <v>0</v>
      </c>
      <c r="C339" s="19">
        <v>0</v>
      </c>
      <c r="D339" s="19">
        <v>29905.739885999996</v>
      </c>
      <c r="E339" s="19">
        <v>30729.562220568474</v>
      </c>
      <c r="F339" s="19">
        <v>2955.7215239999996</v>
      </c>
      <c r="G339" s="19">
        <v>2924.41710725551</v>
      </c>
      <c r="H339" s="20">
        <v>2.7547298201243908E-2</v>
      </c>
      <c r="I339" s="20">
        <v>-1.0591125209294061E-2</v>
      </c>
      <c r="J339" s="20">
        <v>2.4116940751235605E-2</v>
      </c>
    </row>
    <row r="340" spans="1:10" ht="11.25" customHeight="1" x14ac:dyDescent="0.2">
      <c r="A340" s="29">
        <v>44317</v>
      </c>
      <c r="B340" s="19">
        <v>0</v>
      </c>
      <c r="C340" s="19">
        <v>0</v>
      </c>
      <c r="D340" s="19">
        <v>30236.611901759999</v>
      </c>
      <c r="E340" s="19">
        <v>31069.548866413068</v>
      </c>
      <c r="F340" s="19">
        <v>2988.4231238400002</v>
      </c>
      <c r="G340" s="19">
        <v>2956.7723603570607</v>
      </c>
      <c r="H340" s="20">
        <v>2.754729820124413E-2</v>
      </c>
      <c r="I340" s="20">
        <v>-1.0591125209294172E-2</v>
      </c>
      <c r="J340" s="20">
        <v>2.4116940751235827E-2</v>
      </c>
    </row>
    <row r="341" spans="1:10" ht="11.25" customHeight="1" x14ac:dyDescent="0.2">
      <c r="A341" s="29">
        <v>44348</v>
      </c>
      <c r="B341" s="19">
        <v>0</v>
      </c>
      <c r="C341" s="19">
        <v>0</v>
      </c>
      <c r="D341" s="19">
        <v>27354.549411200001</v>
      </c>
      <c r="E341" s="19">
        <v>28108.093340990989</v>
      </c>
      <c r="F341" s="19">
        <v>2703.5756608000002</v>
      </c>
      <c r="G341" s="19">
        <v>2674.9417524636669</v>
      </c>
      <c r="H341" s="20">
        <v>2.7547298201243908E-2</v>
      </c>
      <c r="I341" s="20">
        <v>-1.0591125209294283E-2</v>
      </c>
      <c r="J341" s="20">
        <v>2.4116940751235605E-2</v>
      </c>
    </row>
    <row r="342" spans="1:10" ht="11.25" customHeight="1" x14ac:dyDescent="0.2">
      <c r="A342" s="29">
        <v>44378</v>
      </c>
      <c r="B342" s="19">
        <v>0</v>
      </c>
      <c r="C342" s="19">
        <v>0</v>
      </c>
      <c r="D342" s="19">
        <v>26309.816698000002</v>
      </c>
      <c r="E342" s="19">
        <v>27034.581064199876</v>
      </c>
      <c r="F342" s="19">
        <v>2600.3199320000003</v>
      </c>
      <c r="G342" s="19">
        <v>2572.7796180159648</v>
      </c>
      <c r="H342" s="20">
        <v>2.7547298201243908E-2</v>
      </c>
      <c r="I342" s="20">
        <v>-1.0591125209294283E-2</v>
      </c>
      <c r="J342" s="20">
        <v>2.4116940751235605E-2</v>
      </c>
    </row>
    <row r="343" spans="1:10" ht="11.25" customHeight="1" x14ac:dyDescent="0.2">
      <c r="A343" s="29">
        <v>44409</v>
      </c>
      <c r="B343" s="19">
        <v>0</v>
      </c>
      <c r="C343" s="19">
        <v>0</v>
      </c>
      <c r="D343" s="19">
        <v>28741.852321599999</v>
      </c>
      <c r="E343" s="19">
        <v>29533.612698359233</v>
      </c>
      <c r="F343" s="19">
        <v>2840.6891744</v>
      </c>
      <c r="G343" s="19">
        <v>2810.6030796732434</v>
      </c>
      <c r="H343" s="20">
        <v>2.754729820124413E-2</v>
      </c>
      <c r="I343" s="20">
        <v>-1.0591125209294061E-2</v>
      </c>
      <c r="J343" s="20">
        <v>2.4116940751235827E-2</v>
      </c>
    </row>
    <row r="344" spans="1:10" ht="11.25" customHeight="1" x14ac:dyDescent="0.2">
      <c r="A344" s="29">
        <v>44440</v>
      </c>
      <c r="B344" s="19">
        <v>0</v>
      </c>
      <c r="C344" s="19">
        <v>0</v>
      </c>
      <c r="D344" s="19">
        <v>28084.372874799999</v>
      </c>
      <c r="E344" s="19">
        <v>28858.021469177042</v>
      </c>
      <c r="F344" s="19">
        <v>2775.7074631999999</v>
      </c>
      <c r="G344" s="19">
        <v>2746.3095979128766</v>
      </c>
      <c r="H344" s="20">
        <v>2.7547298201243908E-2</v>
      </c>
      <c r="I344" s="20">
        <v>-1.0591125209294061E-2</v>
      </c>
      <c r="J344" s="20">
        <v>2.4116940751235605E-2</v>
      </c>
    </row>
    <row r="345" spans="1:10" ht="11.25" customHeight="1" x14ac:dyDescent="0.2">
      <c r="A345" s="29">
        <v>44470</v>
      </c>
      <c r="B345" s="19">
        <v>0</v>
      </c>
      <c r="C345" s="19">
        <v>0</v>
      </c>
      <c r="D345" s="19">
        <v>25794.897519599996</v>
      </c>
      <c r="E345" s="19">
        <v>26505.477253642948</v>
      </c>
      <c r="F345" s="19">
        <v>2549.4281063999997</v>
      </c>
      <c r="G345" s="19">
        <v>2522.4267941130238</v>
      </c>
      <c r="H345" s="20">
        <v>2.754729820124413E-2</v>
      </c>
      <c r="I345" s="20">
        <v>-1.0591125209294061E-2</v>
      </c>
      <c r="J345" s="20">
        <v>2.4116940751235827E-2</v>
      </c>
    </row>
    <row r="346" spans="1:10" ht="11.25" customHeight="1" x14ac:dyDescent="0.2">
      <c r="A346" s="29">
        <v>44501</v>
      </c>
      <c r="B346" s="19">
        <v>0</v>
      </c>
      <c r="C346" s="19">
        <v>0</v>
      </c>
      <c r="D346" s="19">
        <v>29150.383239999999</v>
      </c>
      <c r="E346" s="19">
        <v>29953.397539792826</v>
      </c>
      <c r="F346" s="19">
        <v>2881.0661599999999</v>
      </c>
      <c r="G346" s="19">
        <v>2850.5524275631797</v>
      </c>
      <c r="H346" s="20">
        <v>2.754729820124413E-2</v>
      </c>
      <c r="I346" s="20">
        <v>-1.0591125209294061E-2</v>
      </c>
      <c r="J346" s="20">
        <v>2.4116940751235827E-2</v>
      </c>
    </row>
    <row r="347" spans="1:10" ht="11.25" customHeight="1" x14ac:dyDescent="0.2">
      <c r="A347" s="29">
        <v>44531</v>
      </c>
      <c r="B347" s="19">
        <v>0</v>
      </c>
      <c r="C347" s="19">
        <v>0</v>
      </c>
      <c r="D347" s="19">
        <v>30082.344397600002</v>
      </c>
      <c r="E347" s="19">
        <v>30911.031709313211</v>
      </c>
      <c r="F347" s="19">
        <v>2973.1761584000001</v>
      </c>
      <c r="G347" s="19">
        <v>2941.6868774370978</v>
      </c>
      <c r="H347" s="20">
        <v>2.7547298201243908E-2</v>
      </c>
      <c r="I347" s="20">
        <v>-1.0591125209294061E-2</v>
      </c>
      <c r="J347" s="20">
        <v>2.4116940751235605E-2</v>
      </c>
    </row>
    <row r="348" spans="1:10" ht="11.25" customHeight="1" x14ac:dyDescent="0.2">
      <c r="A348" s="29">
        <v>44562</v>
      </c>
      <c r="B348" s="19">
        <v>0</v>
      </c>
      <c r="C348" s="19">
        <v>0</v>
      </c>
      <c r="D348" s="19">
        <v>28820.579634000002</v>
      </c>
      <c r="E348" s="19">
        <v>29614.508735510499</v>
      </c>
      <c r="F348" s="19">
        <v>2848.4701559999999</v>
      </c>
      <c r="G348" s="19">
        <v>2818.3016519228663</v>
      </c>
      <c r="H348" s="20">
        <v>2.7547298201243908E-2</v>
      </c>
      <c r="I348" s="20">
        <v>-1.0591125209294172E-2</v>
      </c>
      <c r="J348" s="20">
        <v>2.4116940751235605E-2</v>
      </c>
    </row>
    <row r="349" spans="1:10" ht="11.25" customHeight="1" x14ac:dyDescent="0.2">
      <c r="A349" s="29">
        <v>44593</v>
      </c>
      <c r="B349" s="19">
        <v>0</v>
      </c>
      <c r="C349" s="19">
        <v>0</v>
      </c>
      <c r="D349" s="19">
        <v>34516.607074400003</v>
      </c>
      <c r="E349" s="19">
        <v>35467.446342373667</v>
      </c>
      <c r="F349" s="19">
        <v>3411.4346896000002</v>
      </c>
      <c r="G349" s="19">
        <v>3375.3037576591169</v>
      </c>
      <c r="H349" s="20">
        <v>2.7547298201243908E-2</v>
      </c>
      <c r="I349" s="20">
        <v>-1.0591125209294172E-2</v>
      </c>
      <c r="J349" s="20">
        <v>2.4116940751235605E-2</v>
      </c>
    </row>
    <row r="350" spans="1:10" ht="11.25" customHeight="1" x14ac:dyDescent="0.2">
      <c r="A350" s="29">
        <v>44621</v>
      </c>
      <c r="B350" s="19">
        <v>0</v>
      </c>
      <c r="C350" s="19">
        <v>0</v>
      </c>
      <c r="D350" s="19">
        <v>34516.607074400003</v>
      </c>
      <c r="E350" s="19">
        <v>35467.446342373667</v>
      </c>
      <c r="F350" s="19">
        <v>3411.4346896000002</v>
      </c>
      <c r="G350" s="19">
        <v>3375.3037576591169</v>
      </c>
      <c r="H350" s="20">
        <v>2.7547298201243908E-2</v>
      </c>
      <c r="I350" s="20">
        <v>-1.0591125209294172E-2</v>
      </c>
      <c r="J350" s="20">
        <v>2.4116940751235605E-2</v>
      </c>
    </row>
    <row r="351" spans="1:10" ht="11.25" customHeight="1" x14ac:dyDescent="0.2">
      <c r="A351" s="22" t="s">
        <v>22</v>
      </c>
      <c r="B351" s="19">
        <v>0</v>
      </c>
      <c r="C351" s="19">
        <v>0</v>
      </c>
      <c r="D351" s="19">
        <v>10545608.042790005</v>
      </c>
      <c r="E351" s="19">
        <v>11624460.087504528</v>
      </c>
      <c r="F351" s="19">
        <v>5362936.3565200008</v>
      </c>
      <c r="G351" s="19">
        <v>5306136.866157596</v>
      </c>
      <c r="H351" s="20">
        <v>0.10230344616801235</v>
      </c>
      <c r="I351" s="20">
        <v>-1.0591117735967548E-2</v>
      </c>
      <c r="J351" s="20">
        <v>6.4245510380978033E-2</v>
      </c>
    </row>
    <row r="352" spans="1:10" ht="11.25" customHeight="1" x14ac:dyDescent="0.2">
      <c r="A352" s="23" t="s">
        <v>23</v>
      </c>
      <c r="B352" s="19">
        <v>0</v>
      </c>
      <c r="C352" s="19">
        <v>0</v>
      </c>
      <c r="D352" s="19">
        <v>10545608.042790005</v>
      </c>
      <c r="E352" s="19">
        <v>11624460.087504528</v>
      </c>
      <c r="F352" s="19">
        <v>5362936.3565200008</v>
      </c>
      <c r="G352" s="19">
        <v>5306136.866157596</v>
      </c>
      <c r="H352" s="20">
        <v>0.10230344616801235</v>
      </c>
      <c r="I352" s="20">
        <v>-1.0591117735967548E-2</v>
      </c>
      <c r="J352" s="20">
        <v>6.4245510380978033E-2</v>
      </c>
    </row>
    <row r="353" spans="1:10" ht="11.25" customHeight="1" x14ac:dyDescent="0.2">
      <c r="A353" s="24" t="s">
        <v>24</v>
      </c>
      <c r="B353" s="19">
        <v>0</v>
      </c>
      <c r="C353" s="19">
        <v>0</v>
      </c>
      <c r="D353" s="19">
        <v>10545608.042790005</v>
      </c>
      <c r="E353" s="19">
        <v>11624460.087504528</v>
      </c>
      <c r="F353" s="19">
        <v>5362936.3565200008</v>
      </c>
      <c r="G353" s="19">
        <v>5306136.866157596</v>
      </c>
      <c r="H353" s="20">
        <v>0.10230344616801235</v>
      </c>
      <c r="I353" s="20">
        <v>-1.0591117735967548E-2</v>
      </c>
      <c r="J353" s="20">
        <v>6.4245510380978033E-2</v>
      </c>
    </row>
    <row r="354" spans="1:10" ht="11.25" customHeight="1" x14ac:dyDescent="0.2">
      <c r="A354" s="25" t="s">
        <v>24</v>
      </c>
      <c r="B354" s="19">
        <v>0</v>
      </c>
      <c r="C354" s="19">
        <v>0</v>
      </c>
      <c r="D354" s="19">
        <v>10520120.473200001</v>
      </c>
      <c r="E354" s="19">
        <v>11598117.700281203</v>
      </c>
      <c r="F354" s="19">
        <v>5347787.6670399997</v>
      </c>
      <c r="G354" s="19">
        <v>5291148.5782656614</v>
      </c>
      <c r="H354" s="20">
        <v>0.10247004583525454</v>
      </c>
      <c r="I354" s="20">
        <v>-1.0591125209293728E-2</v>
      </c>
      <c r="J354" s="20">
        <v>6.4366274954464009E-2</v>
      </c>
    </row>
    <row r="355" spans="1:10" ht="11.25" customHeight="1" x14ac:dyDescent="0.2">
      <c r="A355" s="26" t="s">
        <v>25</v>
      </c>
      <c r="B355" s="19">
        <v>0</v>
      </c>
      <c r="C355" s="19">
        <v>0</v>
      </c>
      <c r="D355" s="19">
        <v>10520120.473200001</v>
      </c>
      <c r="E355" s="19">
        <v>11598117.700281203</v>
      </c>
      <c r="F355" s="19">
        <v>5347787.6670399997</v>
      </c>
      <c r="G355" s="19">
        <v>5291148.5782656614</v>
      </c>
      <c r="H355" s="20">
        <v>0.10247004583525454</v>
      </c>
      <c r="I355" s="20">
        <v>-1.0591125209293728E-2</v>
      </c>
      <c r="J355" s="20">
        <v>6.4366274954464009E-2</v>
      </c>
    </row>
    <row r="356" spans="1:10" ht="11.25" customHeight="1" x14ac:dyDescent="0.2">
      <c r="A356" s="27" t="s">
        <v>25</v>
      </c>
      <c r="B356" s="19">
        <v>0</v>
      </c>
      <c r="C356" s="19">
        <v>0</v>
      </c>
      <c r="D356" s="19">
        <v>10520120.473200001</v>
      </c>
      <c r="E356" s="19">
        <v>11598117.700281203</v>
      </c>
      <c r="F356" s="19">
        <v>5347787.6670399997</v>
      </c>
      <c r="G356" s="19">
        <v>5291148.5782656614</v>
      </c>
      <c r="H356" s="20">
        <v>0.10247004583525454</v>
      </c>
      <c r="I356" s="20">
        <v>-1.0591125209293728E-2</v>
      </c>
      <c r="J356" s="20">
        <v>6.4366274954464009E-2</v>
      </c>
    </row>
    <row r="357" spans="1:10" ht="11.25" customHeight="1" x14ac:dyDescent="0.2">
      <c r="A357" s="28" t="s">
        <v>25</v>
      </c>
      <c r="B357" s="19">
        <v>0</v>
      </c>
      <c r="C357" s="19">
        <v>0</v>
      </c>
      <c r="D357" s="19">
        <v>10520120.473200001</v>
      </c>
      <c r="E357" s="19">
        <v>11598117.700281203</v>
      </c>
      <c r="F357" s="19">
        <v>5347787.6670399997</v>
      </c>
      <c r="G357" s="19">
        <v>5291148.5782656614</v>
      </c>
      <c r="H357" s="20">
        <v>0.10247004583525454</v>
      </c>
      <c r="I357" s="20">
        <v>-1.0591125209293728E-2</v>
      </c>
      <c r="J357" s="20">
        <v>6.4366274954464009E-2</v>
      </c>
    </row>
    <row r="358" spans="1:10" ht="11.25" customHeight="1" x14ac:dyDescent="0.2">
      <c r="A358" s="29">
        <v>44287</v>
      </c>
      <c r="B358" s="19">
        <v>0</v>
      </c>
      <c r="C358" s="19">
        <v>0</v>
      </c>
      <c r="D358" s="19">
        <v>973205.89290000009</v>
      </c>
      <c r="E358" s="19">
        <v>1072930.3453526029</v>
      </c>
      <c r="F358" s="19">
        <v>494718.52387999999</v>
      </c>
      <c r="G358" s="19">
        <v>489478.89805022976</v>
      </c>
      <c r="H358" s="20">
        <v>0.10247004583525454</v>
      </c>
      <c r="I358" s="20">
        <v>-1.0591125209294061E-2</v>
      </c>
      <c r="J358" s="20">
        <v>6.4366274954464009E-2</v>
      </c>
    </row>
    <row r="359" spans="1:10" ht="11.25" customHeight="1" x14ac:dyDescent="0.2">
      <c r="A359" s="29">
        <v>44317</v>
      </c>
      <c r="B359" s="19">
        <v>0</v>
      </c>
      <c r="C359" s="19">
        <v>0</v>
      </c>
      <c r="D359" s="19">
        <v>846241.88400000008</v>
      </c>
      <c r="E359" s="19">
        <v>932956.32864119229</v>
      </c>
      <c r="F359" s="19">
        <v>430177.7648</v>
      </c>
      <c r="G359" s="19">
        <v>425621.69823074894</v>
      </c>
      <c r="H359" s="20">
        <v>0.10247004583525454</v>
      </c>
      <c r="I359" s="20">
        <v>-1.0591125209294061E-2</v>
      </c>
      <c r="J359" s="20">
        <v>6.4366274954464009E-2</v>
      </c>
    </row>
    <row r="360" spans="1:10" ht="11.25" customHeight="1" x14ac:dyDescent="0.2">
      <c r="A360" s="29">
        <v>44348</v>
      </c>
      <c r="B360" s="19">
        <v>0</v>
      </c>
      <c r="C360" s="19">
        <v>0</v>
      </c>
      <c r="D360" s="19">
        <v>790207.91190000006</v>
      </c>
      <c r="E360" s="19">
        <v>871180.5528517738</v>
      </c>
      <c r="F360" s="19">
        <v>401693.51068000001</v>
      </c>
      <c r="G360" s="19">
        <v>397439.12441262719</v>
      </c>
      <c r="H360" s="20">
        <v>0.10247004583525454</v>
      </c>
      <c r="I360" s="20">
        <v>-1.0591125209294172E-2</v>
      </c>
      <c r="J360" s="20">
        <v>6.4366274954464009E-2</v>
      </c>
    </row>
    <row r="361" spans="1:10" ht="11.25" customHeight="1" x14ac:dyDescent="0.2">
      <c r="A361" s="29">
        <v>44378</v>
      </c>
      <c r="B361" s="19">
        <v>0</v>
      </c>
      <c r="C361" s="19">
        <v>0</v>
      </c>
      <c r="D361" s="19">
        <v>798284.62710000004</v>
      </c>
      <c r="E361" s="19">
        <v>880084.88942851615</v>
      </c>
      <c r="F361" s="19">
        <v>405799.22012000001</v>
      </c>
      <c r="G361" s="19">
        <v>401501.34976987517</v>
      </c>
      <c r="H361" s="20">
        <v>0.10247004583525454</v>
      </c>
      <c r="I361" s="20">
        <v>-1.0591125209294172E-2</v>
      </c>
      <c r="J361" s="20">
        <v>6.4366274954463787E-2</v>
      </c>
    </row>
    <row r="362" spans="1:10" ht="11.25" customHeight="1" x14ac:dyDescent="0.2">
      <c r="A362" s="29">
        <v>44409</v>
      </c>
      <c r="B362" s="19">
        <v>0</v>
      </c>
      <c r="C362" s="19">
        <v>0</v>
      </c>
      <c r="D362" s="19">
        <v>816577.38359999994</v>
      </c>
      <c r="E362" s="19">
        <v>900252.10552552424</v>
      </c>
      <c r="F362" s="19">
        <v>415098.14192000002</v>
      </c>
      <c r="G362" s="19">
        <v>410701.78552477993</v>
      </c>
      <c r="H362" s="20">
        <v>0.10247004583525454</v>
      </c>
      <c r="I362" s="20">
        <v>-1.0591125209294172E-2</v>
      </c>
      <c r="J362" s="20">
        <v>6.4366274954464009E-2</v>
      </c>
    </row>
    <row r="363" spans="1:10" ht="11.25" customHeight="1" x14ac:dyDescent="0.2">
      <c r="A363" s="29">
        <v>44440</v>
      </c>
      <c r="B363" s="19">
        <v>0</v>
      </c>
      <c r="C363" s="19">
        <v>0</v>
      </c>
      <c r="D363" s="19">
        <v>865649.41379999998</v>
      </c>
      <c r="E363" s="19">
        <v>954352.54890934727</v>
      </c>
      <c r="F363" s="19">
        <v>440043.36936000001</v>
      </c>
      <c r="G363" s="19">
        <v>435382.81493758853</v>
      </c>
      <c r="H363" s="20">
        <v>0.10247004583525454</v>
      </c>
      <c r="I363" s="20">
        <v>-1.0591125209294283E-2</v>
      </c>
      <c r="J363" s="20">
        <v>6.4366274954463787E-2</v>
      </c>
    </row>
    <row r="364" spans="1:10" ht="11.25" customHeight="1" x14ac:dyDescent="0.2">
      <c r="A364" s="29">
        <v>44470</v>
      </c>
      <c r="B364" s="19">
        <v>0</v>
      </c>
      <c r="C364" s="19">
        <v>0</v>
      </c>
      <c r="D364" s="19">
        <v>783931.64580000006</v>
      </c>
      <c r="E364" s="19">
        <v>864261.15747683251</v>
      </c>
      <c r="F364" s="19">
        <v>398503.03976000007</v>
      </c>
      <c r="G364" s="19">
        <v>394282.44416961755</v>
      </c>
      <c r="H364" s="20">
        <v>0.10247004583525454</v>
      </c>
      <c r="I364" s="20">
        <v>-1.0591125209294283E-2</v>
      </c>
      <c r="J364" s="20">
        <v>6.4366274954463787E-2</v>
      </c>
    </row>
    <row r="365" spans="1:10" ht="11.25" customHeight="1" x14ac:dyDescent="0.2">
      <c r="A365" s="29">
        <v>44501</v>
      </c>
      <c r="B365" s="19">
        <v>0</v>
      </c>
      <c r="C365" s="19">
        <v>0</v>
      </c>
      <c r="D365" s="19">
        <v>876541.00860000018</v>
      </c>
      <c r="E365" s="19">
        <v>966360.20592772227</v>
      </c>
      <c r="F365" s="19">
        <v>445579.99192</v>
      </c>
      <c r="G365" s="19">
        <v>440860.79843481898</v>
      </c>
      <c r="H365" s="20">
        <v>0.10247004583525432</v>
      </c>
      <c r="I365" s="20">
        <v>-1.0591125209294172E-2</v>
      </c>
      <c r="J365" s="20">
        <v>6.4366274954463787E-2</v>
      </c>
    </row>
    <row r="366" spans="1:10" ht="11.25" customHeight="1" x14ac:dyDescent="0.2">
      <c r="A366" s="29">
        <v>44531</v>
      </c>
      <c r="B366" s="19">
        <v>0</v>
      </c>
      <c r="C366" s="19">
        <v>0</v>
      </c>
      <c r="D366" s="19">
        <v>820269.38250000007</v>
      </c>
      <c r="E366" s="19">
        <v>904322.42372203083</v>
      </c>
      <c r="F366" s="19">
        <v>416974.92899999995</v>
      </c>
      <c r="G366" s="19">
        <v>412558.69531782449</v>
      </c>
      <c r="H366" s="20">
        <v>0.10247004583525432</v>
      </c>
      <c r="I366" s="20">
        <v>-1.059112520929395E-2</v>
      </c>
      <c r="J366" s="20">
        <v>6.4366274954463787E-2</v>
      </c>
    </row>
    <row r="367" spans="1:10" ht="11.25" customHeight="1" x14ac:dyDescent="0.2">
      <c r="A367" s="29">
        <v>44562</v>
      </c>
      <c r="B367" s="19">
        <v>0</v>
      </c>
      <c r="C367" s="19">
        <v>0</v>
      </c>
      <c r="D367" s="19">
        <v>1064231.3358</v>
      </c>
      <c r="E367" s="19">
        <v>1173283.16955874</v>
      </c>
      <c r="F367" s="19">
        <v>540990.30776</v>
      </c>
      <c r="G367" s="19">
        <v>535260.61167349922</v>
      </c>
      <c r="H367" s="20">
        <v>0.10247004583525432</v>
      </c>
      <c r="I367" s="20">
        <v>-1.0591125209294172E-2</v>
      </c>
      <c r="J367" s="20">
        <v>6.4366274954463787E-2</v>
      </c>
    </row>
    <row r="368" spans="1:10" ht="11.25" customHeight="1" x14ac:dyDescent="0.2">
      <c r="A368" s="29">
        <v>44593</v>
      </c>
      <c r="B368" s="19">
        <v>0</v>
      </c>
      <c r="C368" s="19">
        <v>0</v>
      </c>
      <c r="D368" s="19">
        <v>942489.99360000016</v>
      </c>
      <c r="E368" s="19">
        <v>1039066.9864434609</v>
      </c>
      <c r="F368" s="19">
        <v>479104.43391999998</v>
      </c>
      <c r="G368" s="19">
        <v>474030.17887202534</v>
      </c>
      <c r="H368" s="20">
        <v>0.10247004583525454</v>
      </c>
      <c r="I368" s="20">
        <v>-1.059112520929395E-2</v>
      </c>
      <c r="J368" s="20">
        <v>6.4366274954464009E-2</v>
      </c>
    </row>
    <row r="369" spans="1:10" ht="11.25" customHeight="1" x14ac:dyDescent="0.2">
      <c r="A369" s="29">
        <v>44621</v>
      </c>
      <c r="B369" s="19">
        <v>0</v>
      </c>
      <c r="C369" s="19">
        <v>0</v>
      </c>
      <c r="D369" s="19">
        <v>942489.99360000016</v>
      </c>
      <c r="E369" s="19">
        <v>1039066.9864434609</v>
      </c>
      <c r="F369" s="19">
        <v>479104.43391999998</v>
      </c>
      <c r="G369" s="19">
        <v>474030.17887202534</v>
      </c>
      <c r="H369" s="20">
        <v>0.10247004583525454</v>
      </c>
      <c r="I369" s="20">
        <v>-1.059112520929395E-2</v>
      </c>
      <c r="J369" s="20">
        <v>6.4366274954464009E-2</v>
      </c>
    </row>
    <row r="370" spans="1:10" ht="11.25" customHeight="1" x14ac:dyDescent="0.2">
      <c r="A370" s="25" t="s">
        <v>29</v>
      </c>
      <c r="B370" s="19">
        <v>0</v>
      </c>
      <c r="C370" s="19">
        <v>0</v>
      </c>
      <c r="D370" s="19">
        <v>2244.8496000000005</v>
      </c>
      <c r="E370" s="19">
        <v>2320.1782437306392</v>
      </c>
      <c r="F370" s="19">
        <v>1334.2319999999997</v>
      </c>
      <c r="G370" s="19">
        <v>1320.134700884206</v>
      </c>
      <c r="H370" s="20">
        <v>3.355620961450545E-2</v>
      </c>
      <c r="I370" s="20">
        <v>-1.0565852951955668E-2</v>
      </c>
      <c r="J370" s="20">
        <v>1.7108116399146889E-2</v>
      </c>
    </row>
    <row r="371" spans="1:10" ht="11.25" customHeight="1" x14ac:dyDescent="0.2">
      <c r="A371" s="26" t="s">
        <v>25</v>
      </c>
      <c r="B371" s="19">
        <v>0</v>
      </c>
      <c r="C371" s="19">
        <v>0</v>
      </c>
      <c r="D371" s="19">
        <v>2244.8496000000005</v>
      </c>
      <c r="E371" s="19">
        <v>2320.1782437306392</v>
      </c>
      <c r="F371" s="19">
        <v>1334.2319999999997</v>
      </c>
      <c r="G371" s="19">
        <v>1320.134700884206</v>
      </c>
      <c r="H371" s="20">
        <v>3.355620961450545E-2</v>
      </c>
      <c r="I371" s="20">
        <v>-1.0565852951955668E-2</v>
      </c>
      <c r="J371" s="20">
        <v>1.7108116399146889E-2</v>
      </c>
    </row>
    <row r="372" spans="1:10" ht="11.25" customHeight="1" x14ac:dyDescent="0.2">
      <c r="A372" s="27" t="s">
        <v>25</v>
      </c>
      <c r="B372" s="19">
        <v>0</v>
      </c>
      <c r="C372" s="19">
        <v>0</v>
      </c>
      <c r="D372" s="19">
        <v>2244.8496000000005</v>
      </c>
      <c r="E372" s="19">
        <v>2320.1782437306392</v>
      </c>
      <c r="F372" s="19">
        <v>1334.2319999999997</v>
      </c>
      <c r="G372" s="19">
        <v>1320.134700884206</v>
      </c>
      <c r="H372" s="20">
        <v>3.355620961450545E-2</v>
      </c>
      <c r="I372" s="20">
        <v>-1.0565852951955668E-2</v>
      </c>
      <c r="J372" s="20">
        <v>1.7108116399146889E-2</v>
      </c>
    </row>
    <row r="373" spans="1:10" ht="11.25" customHeight="1" x14ac:dyDescent="0.2">
      <c r="A373" s="28" t="s">
        <v>25</v>
      </c>
      <c r="B373" s="19">
        <v>0</v>
      </c>
      <c r="C373" s="19">
        <v>0</v>
      </c>
      <c r="D373" s="19">
        <v>2244.8496000000005</v>
      </c>
      <c r="E373" s="19">
        <v>2320.1782437306392</v>
      </c>
      <c r="F373" s="19">
        <v>1334.2319999999997</v>
      </c>
      <c r="G373" s="19">
        <v>1320.134700884206</v>
      </c>
      <c r="H373" s="20">
        <v>3.355620961450545E-2</v>
      </c>
      <c r="I373" s="20">
        <v>-1.0565852951955668E-2</v>
      </c>
      <c r="J373" s="20">
        <v>1.7108116399146889E-2</v>
      </c>
    </row>
    <row r="374" spans="1:10" ht="11.25" customHeight="1" x14ac:dyDescent="0.2">
      <c r="A374" s="29">
        <v>44287</v>
      </c>
      <c r="B374" s="19">
        <v>0</v>
      </c>
      <c r="C374" s="19">
        <v>0</v>
      </c>
      <c r="D374" s="19">
        <v>173.89680000000001</v>
      </c>
      <c r="E374" s="19">
        <v>179.7321174720918</v>
      </c>
      <c r="F374" s="19">
        <v>103.35599999999999</v>
      </c>
      <c r="G374" s="19">
        <v>102.26395570229764</v>
      </c>
      <c r="H374" s="20">
        <v>3.3556209614505672E-2</v>
      </c>
      <c r="I374" s="20">
        <v>-1.056585295195589E-2</v>
      </c>
      <c r="J374" s="20">
        <v>1.7108116399147111E-2</v>
      </c>
    </row>
    <row r="375" spans="1:10" ht="11.25" customHeight="1" x14ac:dyDescent="0.2">
      <c r="A375" s="29">
        <v>44317</v>
      </c>
      <c r="B375" s="19">
        <v>0</v>
      </c>
      <c r="C375" s="19">
        <v>0</v>
      </c>
      <c r="D375" s="19">
        <v>177.84900000000002</v>
      </c>
      <c r="E375" s="19">
        <v>183.81693832373026</v>
      </c>
      <c r="F375" s="19">
        <v>105.705</v>
      </c>
      <c r="G375" s="19">
        <v>104.58813651371349</v>
      </c>
      <c r="H375" s="20">
        <v>3.3556209614505672E-2</v>
      </c>
      <c r="I375" s="20">
        <v>-1.0565852951956001E-2</v>
      </c>
      <c r="J375" s="20">
        <v>1.7108116399146889E-2</v>
      </c>
    </row>
    <row r="376" spans="1:10" ht="11.25" customHeight="1" x14ac:dyDescent="0.2">
      <c r="A376" s="29">
        <v>44348</v>
      </c>
      <c r="B376" s="19">
        <v>0</v>
      </c>
      <c r="C376" s="19">
        <v>0</v>
      </c>
      <c r="D376" s="19">
        <v>181.80119999999999</v>
      </c>
      <c r="E376" s="19">
        <v>187.90175917536868</v>
      </c>
      <c r="F376" s="19">
        <v>108.05399999999999</v>
      </c>
      <c r="G376" s="19">
        <v>106.91231732512934</v>
      </c>
      <c r="H376" s="20">
        <v>3.3556209614505672E-2</v>
      </c>
      <c r="I376" s="20">
        <v>-1.0565852951956001E-2</v>
      </c>
      <c r="J376" s="20">
        <v>1.7108116399147111E-2</v>
      </c>
    </row>
    <row r="377" spans="1:10" ht="11.25" customHeight="1" x14ac:dyDescent="0.2">
      <c r="A377" s="29">
        <v>44378</v>
      </c>
      <c r="B377" s="19">
        <v>0</v>
      </c>
      <c r="C377" s="19">
        <v>0</v>
      </c>
      <c r="D377" s="19">
        <v>181.80119999999999</v>
      </c>
      <c r="E377" s="19">
        <v>187.90175917536868</v>
      </c>
      <c r="F377" s="19">
        <v>108.05399999999999</v>
      </c>
      <c r="G377" s="19">
        <v>106.91231732512934</v>
      </c>
      <c r="H377" s="20">
        <v>3.3556209614505672E-2</v>
      </c>
      <c r="I377" s="20">
        <v>-1.0565852951956001E-2</v>
      </c>
      <c r="J377" s="20">
        <v>1.7108116399147111E-2</v>
      </c>
    </row>
    <row r="378" spans="1:10" ht="11.25" customHeight="1" x14ac:dyDescent="0.2">
      <c r="A378" s="29">
        <v>44409</v>
      </c>
      <c r="B378" s="19">
        <v>0</v>
      </c>
      <c r="C378" s="19">
        <v>0</v>
      </c>
      <c r="D378" s="19">
        <v>193.65780000000001</v>
      </c>
      <c r="E378" s="19">
        <v>200.15622173028405</v>
      </c>
      <c r="F378" s="19">
        <v>115.101</v>
      </c>
      <c r="G378" s="19">
        <v>113.88485975937691</v>
      </c>
      <c r="H378" s="20">
        <v>3.3556209614505672E-2</v>
      </c>
      <c r="I378" s="20">
        <v>-1.0565852951956001E-2</v>
      </c>
      <c r="J378" s="20">
        <v>1.7108116399146889E-2</v>
      </c>
    </row>
    <row r="379" spans="1:10" ht="11.25" customHeight="1" x14ac:dyDescent="0.2">
      <c r="A379" s="29">
        <v>44440</v>
      </c>
      <c r="B379" s="19">
        <v>0</v>
      </c>
      <c r="C379" s="19">
        <v>0</v>
      </c>
      <c r="D379" s="19">
        <v>189.7056</v>
      </c>
      <c r="E379" s="19">
        <v>196.07140087864559</v>
      </c>
      <c r="F379" s="19">
        <v>112.752</v>
      </c>
      <c r="G379" s="19">
        <v>111.56067894796105</v>
      </c>
      <c r="H379" s="20">
        <v>3.3556209614505672E-2</v>
      </c>
      <c r="I379" s="20">
        <v>-1.0565852951956001E-2</v>
      </c>
      <c r="J379" s="20">
        <v>1.7108116399146889E-2</v>
      </c>
    </row>
    <row r="380" spans="1:10" ht="11.25" customHeight="1" x14ac:dyDescent="0.2">
      <c r="A380" s="29">
        <v>44470</v>
      </c>
      <c r="B380" s="19">
        <v>0</v>
      </c>
      <c r="C380" s="19">
        <v>0</v>
      </c>
      <c r="D380" s="19">
        <v>189.7056</v>
      </c>
      <c r="E380" s="19">
        <v>196.07140087864559</v>
      </c>
      <c r="F380" s="19">
        <v>112.752</v>
      </c>
      <c r="G380" s="19">
        <v>111.56067894796105</v>
      </c>
      <c r="H380" s="20">
        <v>3.3556209614505672E-2</v>
      </c>
      <c r="I380" s="20">
        <v>-1.0565852951956001E-2</v>
      </c>
      <c r="J380" s="20">
        <v>1.7108116399146889E-2</v>
      </c>
    </row>
    <row r="381" spans="1:10" ht="11.25" customHeight="1" x14ac:dyDescent="0.2">
      <c r="A381" s="29">
        <v>44501</v>
      </c>
      <c r="B381" s="19">
        <v>0</v>
      </c>
      <c r="C381" s="19">
        <v>0</v>
      </c>
      <c r="D381" s="19">
        <v>193.65780000000001</v>
      </c>
      <c r="E381" s="19">
        <v>200.15622173028405</v>
      </c>
      <c r="F381" s="19">
        <v>115.101</v>
      </c>
      <c r="G381" s="19">
        <v>113.88485975937691</v>
      </c>
      <c r="H381" s="20">
        <v>3.3556209614505672E-2</v>
      </c>
      <c r="I381" s="20">
        <v>-1.0565852951956001E-2</v>
      </c>
      <c r="J381" s="20">
        <v>1.7108116399146889E-2</v>
      </c>
    </row>
    <row r="382" spans="1:10" ht="11.25" customHeight="1" x14ac:dyDescent="0.2">
      <c r="A382" s="29">
        <v>44531</v>
      </c>
      <c r="B382" s="19">
        <v>0</v>
      </c>
      <c r="C382" s="19">
        <v>0</v>
      </c>
      <c r="D382" s="19">
        <v>193.65780000000001</v>
      </c>
      <c r="E382" s="19">
        <v>200.15622173028405</v>
      </c>
      <c r="F382" s="19">
        <v>115.101</v>
      </c>
      <c r="G382" s="19">
        <v>113.88485975937691</v>
      </c>
      <c r="H382" s="20">
        <v>3.3556209614505672E-2</v>
      </c>
      <c r="I382" s="20">
        <v>-1.0565852951956001E-2</v>
      </c>
      <c r="J382" s="20">
        <v>1.7108116399146889E-2</v>
      </c>
    </row>
    <row r="383" spans="1:10" ht="11.25" customHeight="1" x14ac:dyDescent="0.2">
      <c r="A383" s="29">
        <v>44562</v>
      </c>
      <c r="B383" s="19">
        <v>0</v>
      </c>
      <c r="C383" s="19">
        <v>0</v>
      </c>
      <c r="D383" s="19">
        <v>189.7056</v>
      </c>
      <c r="E383" s="19">
        <v>196.07140087864559</v>
      </c>
      <c r="F383" s="19">
        <v>112.752</v>
      </c>
      <c r="G383" s="19">
        <v>111.56067894796105</v>
      </c>
      <c r="H383" s="20">
        <v>3.3556209614505672E-2</v>
      </c>
      <c r="I383" s="20">
        <v>-1.0565852951956001E-2</v>
      </c>
      <c r="J383" s="20">
        <v>1.7108116399146889E-2</v>
      </c>
    </row>
    <row r="384" spans="1:10" ht="11.25" customHeight="1" x14ac:dyDescent="0.2">
      <c r="A384" s="29">
        <v>44593</v>
      </c>
      <c r="B384" s="19">
        <v>0</v>
      </c>
      <c r="C384" s="19">
        <v>0</v>
      </c>
      <c r="D384" s="19">
        <v>189.7056</v>
      </c>
      <c r="E384" s="19">
        <v>196.07140087864559</v>
      </c>
      <c r="F384" s="19">
        <v>112.752</v>
      </c>
      <c r="G384" s="19">
        <v>111.56067894796105</v>
      </c>
      <c r="H384" s="20">
        <v>3.3556209614505672E-2</v>
      </c>
      <c r="I384" s="20">
        <v>-1.0565852951956001E-2</v>
      </c>
      <c r="J384" s="20">
        <v>1.7108116399146889E-2</v>
      </c>
    </row>
    <row r="385" spans="1:10" ht="11.25" customHeight="1" x14ac:dyDescent="0.2">
      <c r="A385" s="29">
        <v>44621</v>
      </c>
      <c r="B385" s="19">
        <v>0</v>
      </c>
      <c r="C385" s="19">
        <v>0</v>
      </c>
      <c r="D385" s="19">
        <v>189.7056</v>
      </c>
      <c r="E385" s="19">
        <v>196.07140087864559</v>
      </c>
      <c r="F385" s="19">
        <v>112.752</v>
      </c>
      <c r="G385" s="19">
        <v>111.56067894796105</v>
      </c>
      <c r="H385" s="20">
        <v>3.3556209614505672E-2</v>
      </c>
      <c r="I385" s="20">
        <v>-1.0565852951956001E-2</v>
      </c>
      <c r="J385" s="20">
        <v>1.7108116399146889E-2</v>
      </c>
    </row>
    <row r="386" spans="1:10" ht="11.25" customHeight="1" x14ac:dyDescent="0.2">
      <c r="A386" s="25" t="s">
        <v>30</v>
      </c>
      <c r="B386" s="19">
        <v>0</v>
      </c>
      <c r="C386" s="19">
        <v>0</v>
      </c>
      <c r="D386" s="19">
        <v>8141.3061600000001</v>
      </c>
      <c r="E386" s="19">
        <v>8414.4975360408262</v>
      </c>
      <c r="F386" s="19">
        <v>4838.8572699999995</v>
      </c>
      <c r="G386" s="19">
        <v>4787.6796611845812</v>
      </c>
      <c r="H386" s="20">
        <v>3.3556209614505672E-2</v>
      </c>
      <c r="I386" s="20">
        <v>-1.0576383216076679E-2</v>
      </c>
      <c r="J386" s="20">
        <v>1.7104081040480779E-2</v>
      </c>
    </row>
    <row r="387" spans="1:10" ht="11.25" customHeight="1" x14ac:dyDescent="0.2">
      <c r="A387" s="26" t="s">
        <v>25</v>
      </c>
      <c r="B387" s="19">
        <v>0</v>
      </c>
      <c r="C387" s="19">
        <v>0</v>
      </c>
      <c r="D387" s="19">
        <v>8141.3061600000001</v>
      </c>
      <c r="E387" s="19">
        <v>8414.4975360408262</v>
      </c>
      <c r="F387" s="19">
        <v>4838.8572699999995</v>
      </c>
      <c r="G387" s="19">
        <v>4787.6796611845812</v>
      </c>
      <c r="H387" s="20">
        <v>3.3556209614505672E-2</v>
      </c>
      <c r="I387" s="20">
        <v>-1.0576383216076679E-2</v>
      </c>
      <c r="J387" s="20">
        <v>1.7104081040480779E-2</v>
      </c>
    </row>
    <row r="388" spans="1:10" ht="11.25" customHeight="1" x14ac:dyDescent="0.2">
      <c r="A388" s="27" t="s">
        <v>25</v>
      </c>
      <c r="B388" s="19">
        <v>0</v>
      </c>
      <c r="C388" s="19">
        <v>0</v>
      </c>
      <c r="D388" s="19">
        <v>8141.3061600000001</v>
      </c>
      <c r="E388" s="19">
        <v>8414.4975360408262</v>
      </c>
      <c r="F388" s="19">
        <v>4838.8572699999995</v>
      </c>
      <c r="G388" s="19">
        <v>4787.6796611845812</v>
      </c>
      <c r="H388" s="20">
        <v>3.3556209614505672E-2</v>
      </c>
      <c r="I388" s="20">
        <v>-1.0576383216076679E-2</v>
      </c>
      <c r="J388" s="20">
        <v>1.7104081040480779E-2</v>
      </c>
    </row>
    <row r="389" spans="1:10" ht="11.25" customHeight="1" x14ac:dyDescent="0.2">
      <c r="A389" s="28" t="s">
        <v>25</v>
      </c>
      <c r="B389" s="19">
        <v>0</v>
      </c>
      <c r="C389" s="19">
        <v>0</v>
      </c>
      <c r="D389" s="19">
        <v>8141.3061600000001</v>
      </c>
      <c r="E389" s="19">
        <v>8414.4975360408262</v>
      </c>
      <c r="F389" s="19">
        <v>4838.8572699999995</v>
      </c>
      <c r="G389" s="19">
        <v>4787.6796611845812</v>
      </c>
      <c r="H389" s="20">
        <v>3.3556209614505672E-2</v>
      </c>
      <c r="I389" s="20">
        <v>-1.0576383216076679E-2</v>
      </c>
      <c r="J389" s="20">
        <v>1.7104081040480779E-2</v>
      </c>
    </row>
    <row r="390" spans="1:10" ht="11.25" customHeight="1" x14ac:dyDescent="0.2">
      <c r="A390" s="29">
        <v>44287</v>
      </c>
      <c r="B390" s="19">
        <v>0</v>
      </c>
      <c r="C390" s="19">
        <v>0</v>
      </c>
      <c r="D390" s="19">
        <v>623.99591999999996</v>
      </c>
      <c r="E390" s="19">
        <v>644.9348578901164</v>
      </c>
      <c r="F390" s="19">
        <v>370.87748999999997</v>
      </c>
      <c r="G390" s="19">
        <v>366.9549475395433</v>
      </c>
      <c r="H390" s="20">
        <v>3.3556209614505894E-2</v>
      </c>
      <c r="I390" s="20">
        <v>-1.057638321607679E-2</v>
      </c>
      <c r="J390" s="20">
        <v>1.7104081040481001E-2</v>
      </c>
    </row>
    <row r="391" spans="1:10" ht="11.25" customHeight="1" x14ac:dyDescent="0.2">
      <c r="A391" s="29">
        <v>44317</v>
      </c>
      <c r="B391" s="19">
        <v>0</v>
      </c>
      <c r="C391" s="19">
        <v>0</v>
      </c>
      <c r="D391" s="19">
        <v>644.99904000000004</v>
      </c>
      <c r="E391" s="19">
        <v>666.64276298739503</v>
      </c>
      <c r="F391" s="19">
        <v>383.36087999999995</v>
      </c>
      <c r="G391" s="19">
        <v>379.30630842306761</v>
      </c>
      <c r="H391" s="20">
        <v>3.3556209614505672E-2</v>
      </c>
      <c r="I391" s="20">
        <v>-1.0576383216076568E-2</v>
      </c>
      <c r="J391" s="20">
        <v>1.7104081040481223E-2</v>
      </c>
    </row>
    <row r="392" spans="1:10" ht="11.25" customHeight="1" x14ac:dyDescent="0.2">
      <c r="A392" s="29">
        <v>44348</v>
      </c>
      <c r="B392" s="19">
        <v>0</v>
      </c>
      <c r="C392" s="19">
        <v>0</v>
      </c>
      <c r="D392" s="19">
        <v>647.70911999999998</v>
      </c>
      <c r="E392" s="19">
        <v>669.44378299994708</v>
      </c>
      <c r="F392" s="19">
        <v>384.97163999999998</v>
      </c>
      <c r="G392" s="19">
        <v>380.90003240803844</v>
      </c>
      <c r="H392" s="20">
        <v>3.3556209614505894E-2</v>
      </c>
      <c r="I392" s="20">
        <v>-1.057638321607679E-2</v>
      </c>
      <c r="J392" s="20">
        <v>1.7104081040481001E-2</v>
      </c>
    </row>
    <row r="393" spans="1:10" ht="11.25" customHeight="1" x14ac:dyDescent="0.2">
      <c r="A393" s="29">
        <v>44378</v>
      </c>
      <c r="B393" s="19">
        <v>0</v>
      </c>
      <c r="C393" s="19">
        <v>0</v>
      </c>
      <c r="D393" s="19">
        <v>640.25639999999999</v>
      </c>
      <c r="E393" s="19">
        <v>661.7409779654289</v>
      </c>
      <c r="F393" s="19">
        <v>380.54204999999996</v>
      </c>
      <c r="G393" s="19">
        <v>376.51729144936854</v>
      </c>
      <c r="H393" s="20">
        <v>3.3556209614505894E-2</v>
      </c>
      <c r="I393" s="20">
        <v>-1.0576383216076679E-2</v>
      </c>
      <c r="J393" s="20">
        <v>1.7104081040481001E-2</v>
      </c>
    </row>
    <row r="394" spans="1:10" ht="11.25" customHeight="1" x14ac:dyDescent="0.2">
      <c r="A394" s="29">
        <v>44409</v>
      </c>
      <c r="B394" s="19">
        <v>0</v>
      </c>
      <c r="C394" s="19">
        <v>0</v>
      </c>
      <c r="D394" s="19">
        <v>700.10400000000004</v>
      </c>
      <c r="E394" s="19">
        <v>723.59683657595406</v>
      </c>
      <c r="F394" s="19">
        <v>416.113</v>
      </c>
      <c r="G394" s="19">
        <v>411.7120294508087</v>
      </c>
      <c r="H394" s="20">
        <v>3.3556209614505894E-2</v>
      </c>
      <c r="I394" s="20">
        <v>-1.0576383216076679E-2</v>
      </c>
      <c r="J394" s="20">
        <v>1.7104081040481001E-2</v>
      </c>
    </row>
    <row r="395" spans="1:10" ht="11.25" customHeight="1" x14ac:dyDescent="0.2">
      <c r="A395" s="29">
        <v>44440</v>
      </c>
      <c r="B395" s="19">
        <v>0</v>
      </c>
      <c r="C395" s="19">
        <v>0</v>
      </c>
      <c r="D395" s="19">
        <v>694.45800000000008</v>
      </c>
      <c r="E395" s="19">
        <v>717.76137821647058</v>
      </c>
      <c r="F395" s="19">
        <v>412.75725</v>
      </c>
      <c r="G395" s="19">
        <v>408.39177114878606</v>
      </c>
      <c r="H395" s="20">
        <v>3.3556209614505894E-2</v>
      </c>
      <c r="I395" s="20">
        <v>-1.0576383216076568E-2</v>
      </c>
      <c r="J395" s="20">
        <v>1.7104081040481001E-2</v>
      </c>
    </row>
    <row r="396" spans="1:10" ht="11.25" customHeight="1" x14ac:dyDescent="0.2">
      <c r="A396" s="29">
        <v>44470</v>
      </c>
      <c r="B396" s="19">
        <v>0</v>
      </c>
      <c r="C396" s="19">
        <v>0</v>
      </c>
      <c r="D396" s="19">
        <v>685.42439999999999</v>
      </c>
      <c r="E396" s="19">
        <v>708.42464484129687</v>
      </c>
      <c r="F396" s="19">
        <v>407.38804999999996</v>
      </c>
      <c r="G396" s="19">
        <v>403.07935786554981</v>
      </c>
      <c r="H396" s="20">
        <v>3.3556209614505894E-2</v>
      </c>
      <c r="I396" s="20">
        <v>-1.0576383216076568E-2</v>
      </c>
      <c r="J396" s="20">
        <v>1.7104081040481223E-2</v>
      </c>
    </row>
    <row r="397" spans="1:10" ht="11.25" customHeight="1" x14ac:dyDescent="0.2">
      <c r="A397" s="29">
        <v>44501</v>
      </c>
      <c r="B397" s="19">
        <v>0</v>
      </c>
      <c r="C397" s="19">
        <v>0</v>
      </c>
      <c r="D397" s="19">
        <v>707.10503999999992</v>
      </c>
      <c r="E397" s="19">
        <v>730.83280494171345</v>
      </c>
      <c r="F397" s="19">
        <v>420.27412999999996</v>
      </c>
      <c r="G397" s="19">
        <v>415.82914974531673</v>
      </c>
      <c r="H397" s="20">
        <v>3.3556209614505894E-2</v>
      </c>
      <c r="I397" s="20">
        <v>-1.0576383216076679E-2</v>
      </c>
      <c r="J397" s="20">
        <v>1.7104081040481001E-2</v>
      </c>
    </row>
    <row r="398" spans="1:10" ht="11.25" customHeight="1" x14ac:dyDescent="0.2">
      <c r="A398" s="29">
        <v>44531</v>
      </c>
      <c r="B398" s="19">
        <v>0</v>
      </c>
      <c r="C398" s="19">
        <v>0</v>
      </c>
      <c r="D398" s="19">
        <v>696.49056000000007</v>
      </c>
      <c r="E398" s="19">
        <v>719.86214322588455</v>
      </c>
      <c r="F398" s="19">
        <v>413.96531999999996</v>
      </c>
      <c r="G398" s="19">
        <v>409.58706413751418</v>
      </c>
      <c r="H398" s="20">
        <v>3.3556209614505672E-2</v>
      </c>
      <c r="I398" s="20">
        <v>-1.0576383216076568E-2</v>
      </c>
      <c r="J398" s="20">
        <v>1.7104081040481001E-2</v>
      </c>
    </row>
    <row r="399" spans="1:10" ht="11.25" customHeight="1" x14ac:dyDescent="0.2">
      <c r="A399" s="29">
        <v>44562</v>
      </c>
      <c r="B399" s="19">
        <v>0</v>
      </c>
      <c r="C399" s="19">
        <v>0</v>
      </c>
      <c r="D399" s="19">
        <v>682.48847999999998</v>
      </c>
      <c r="E399" s="19">
        <v>705.39020649436543</v>
      </c>
      <c r="F399" s="19">
        <v>405.64305999999993</v>
      </c>
      <c r="G399" s="19">
        <v>401.35282354849795</v>
      </c>
      <c r="H399" s="20">
        <v>3.3556209614505894E-2</v>
      </c>
      <c r="I399" s="20">
        <v>-1.0576383216076679E-2</v>
      </c>
      <c r="J399" s="20">
        <v>1.7104081040481223E-2</v>
      </c>
    </row>
    <row r="400" spans="1:10" ht="11.25" customHeight="1" x14ac:dyDescent="0.2">
      <c r="A400" s="29">
        <v>44593</v>
      </c>
      <c r="B400" s="19">
        <v>0</v>
      </c>
      <c r="C400" s="19">
        <v>0</v>
      </c>
      <c r="D400" s="19">
        <v>709.13760000000002</v>
      </c>
      <c r="E400" s="19">
        <v>732.93356995112765</v>
      </c>
      <c r="F400" s="19">
        <v>421.48219999999998</v>
      </c>
      <c r="G400" s="19">
        <v>417.02444273404495</v>
      </c>
      <c r="H400" s="20">
        <v>3.3556209614505894E-2</v>
      </c>
      <c r="I400" s="20">
        <v>-1.0576383216076568E-2</v>
      </c>
      <c r="J400" s="20">
        <v>1.7104081040481223E-2</v>
      </c>
    </row>
    <row r="401" spans="1:10" ht="11.25" customHeight="1" x14ac:dyDescent="0.2">
      <c r="A401" s="29">
        <v>44621</v>
      </c>
      <c r="B401" s="19">
        <v>0</v>
      </c>
      <c r="C401" s="19">
        <v>0</v>
      </c>
      <c r="D401" s="19">
        <v>709.13760000000002</v>
      </c>
      <c r="E401" s="19">
        <v>732.93356995112765</v>
      </c>
      <c r="F401" s="19">
        <v>421.48219999999998</v>
      </c>
      <c r="G401" s="19">
        <v>417.02444273404495</v>
      </c>
      <c r="H401" s="20">
        <v>3.3556209614505894E-2</v>
      </c>
      <c r="I401" s="20">
        <v>-1.0576383216076568E-2</v>
      </c>
      <c r="J401" s="20">
        <v>1.7104081040481223E-2</v>
      </c>
    </row>
    <row r="402" spans="1:10" ht="11.25" customHeight="1" x14ac:dyDescent="0.2">
      <c r="A402" s="25" t="s">
        <v>31</v>
      </c>
      <c r="B402" s="19">
        <v>0</v>
      </c>
      <c r="C402" s="19">
        <v>0</v>
      </c>
      <c r="D402" s="19">
        <v>11123.51295</v>
      </c>
      <c r="E402" s="19">
        <v>11496.436514018445</v>
      </c>
      <c r="F402" s="19">
        <v>6611.3272499999994</v>
      </c>
      <c r="G402" s="19">
        <v>6541.2408808148248</v>
      </c>
      <c r="H402" s="20">
        <v>3.3525700531363611E-2</v>
      </c>
      <c r="I402" s="20">
        <v>-1.0600952960719723E-2</v>
      </c>
      <c r="J402" s="20">
        <v>1.7075834426366621E-2</v>
      </c>
    </row>
    <row r="403" spans="1:10" ht="11.25" customHeight="1" x14ac:dyDescent="0.2">
      <c r="A403" s="26" t="s">
        <v>25</v>
      </c>
      <c r="B403" s="19">
        <v>0</v>
      </c>
      <c r="C403" s="19">
        <v>0</v>
      </c>
      <c r="D403" s="19">
        <v>11123.51295</v>
      </c>
      <c r="E403" s="19">
        <v>11496.436514018445</v>
      </c>
      <c r="F403" s="19">
        <v>6611.3272499999994</v>
      </c>
      <c r="G403" s="19">
        <v>6541.2408808148248</v>
      </c>
      <c r="H403" s="20">
        <v>3.3525700531363611E-2</v>
      </c>
      <c r="I403" s="20">
        <v>-1.0600952960719723E-2</v>
      </c>
      <c r="J403" s="20">
        <v>1.7075834426366621E-2</v>
      </c>
    </row>
    <row r="404" spans="1:10" ht="11.25" customHeight="1" x14ac:dyDescent="0.2">
      <c r="A404" s="27" t="s">
        <v>25</v>
      </c>
      <c r="B404" s="19">
        <v>0</v>
      </c>
      <c r="C404" s="19">
        <v>0</v>
      </c>
      <c r="D404" s="19">
        <v>11123.51295</v>
      </c>
      <c r="E404" s="19">
        <v>11496.436514018445</v>
      </c>
      <c r="F404" s="19">
        <v>6611.3272499999994</v>
      </c>
      <c r="G404" s="19">
        <v>6541.2408808148248</v>
      </c>
      <c r="H404" s="20">
        <v>3.3525700531363611E-2</v>
      </c>
      <c r="I404" s="20">
        <v>-1.0600952960719723E-2</v>
      </c>
      <c r="J404" s="20">
        <v>1.7075834426366621E-2</v>
      </c>
    </row>
    <row r="405" spans="1:10" ht="11.25" customHeight="1" x14ac:dyDescent="0.2">
      <c r="A405" s="28" t="s">
        <v>25</v>
      </c>
      <c r="B405" s="19">
        <v>0</v>
      </c>
      <c r="C405" s="19">
        <v>0</v>
      </c>
      <c r="D405" s="19">
        <v>11123.51295</v>
      </c>
      <c r="E405" s="19">
        <v>11496.436514018445</v>
      </c>
      <c r="F405" s="19">
        <v>6611.3272499999994</v>
      </c>
      <c r="G405" s="19">
        <v>6541.2408808148248</v>
      </c>
      <c r="H405" s="20">
        <v>3.3525700531363611E-2</v>
      </c>
      <c r="I405" s="20">
        <v>-1.0600952960719723E-2</v>
      </c>
      <c r="J405" s="20">
        <v>1.7075834426366621E-2</v>
      </c>
    </row>
    <row r="406" spans="1:10" ht="11.25" customHeight="1" x14ac:dyDescent="0.2">
      <c r="A406" s="29">
        <v>44287</v>
      </c>
      <c r="B406" s="19">
        <v>0</v>
      </c>
      <c r="C406" s="19">
        <v>0</v>
      </c>
      <c r="D406" s="19">
        <v>792.04426000000001</v>
      </c>
      <c r="E406" s="19">
        <v>818.59809866834541</v>
      </c>
      <c r="F406" s="19">
        <v>470.75630000000001</v>
      </c>
      <c r="G406" s="19">
        <v>465.76583460773747</v>
      </c>
      <c r="H406" s="20">
        <v>3.3525700531363389E-2</v>
      </c>
      <c r="I406" s="20">
        <v>-1.0600952960719834E-2</v>
      </c>
      <c r="J406" s="20">
        <v>1.7075834426366399E-2</v>
      </c>
    </row>
    <row r="407" spans="1:10" ht="11.25" customHeight="1" x14ac:dyDescent="0.2">
      <c r="A407" s="29">
        <v>44317</v>
      </c>
      <c r="B407" s="19">
        <v>0</v>
      </c>
      <c r="C407" s="19">
        <v>0</v>
      </c>
      <c r="D407" s="19">
        <v>830.32526999999993</v>
      </c>
      <c r="E407" s="19">
        <v>858.16250634564358</v>
      </c>
      <c r="F407" s="19">
        <v>493.50885</v>
      </c>
      <c r="G407" s="19">
        <v>488.27718589545105</v>
      </c>
      <c r="H407" s="20">
        <v>3.3525700531363611E-2</v>
      </c>
      <c r="I407" s="20">
        <v>-1.0600952960719834E-2</v>
      </c>
      <c r="J407" s="20">
        <v>1.7075834426366621E-2</v>
      </c>
    </row>
    <row r="408" spans="1:10" ht="11.25" customHeight="1" x14ac:dyDescent="0.2">
      <c r="A408" s="29">
        <v>44348</v>
      </c>
      <c r="B408" s="19">
        <v>0</v>
      </c>
      <c r="C408" s="19">
        <v>0</v>
      </c>
      <c r="D408" s="19">
        <v>876.39799000000005</v>
      </c>
      <c r="E408" s="19">
        <v>905.77984655902901</v>
      </c>
      <c r="F408" s="19">
        <v>520.89245000000005</v>
      </c>
      <c r="G408" s="19">
        <v>515.37049363995584</v>
      </c>
      <c r="H408" s="20">
        <v>3.3525700531363611E-2</v>
      </c>
      <c r="I408" s="20">
        <v>-1.0600952960720056E-2</v>
      </c>
      <c r="J408" s="20">
        <v>1.7075834426366399E-2</v>
      </c>
    </row>
    <row r="409" spans="1:10" ht="11.25" customHeight="1" x14ac:dyDescent="0.2">
      <c r="A409" s="29">
        <v>44378</v>
      </c>
      <c r="B409" s="19">
        <v>0</v>
      </c>
      <c r="C409" s="19">
        <v>0</v>
      </c>
      <c r="D409" s="19">
        <v>846.58622999999989</v>
      </c>
      <c r="E409" s="19">
        <v>874.96862642095596</v>
      </c>
      <c r="F409" s="19">
        <v>503.17364999999995</v>
      </c>
      <c r="G409" s="19">
        <v>497.83952980527624</v>
      </c>
      <c r="H409" s="20">
        <v>3.3525700531363611E-2</v>
      </c>
      <c r="I409" s="20">
        <v>-1.0600952960719834E-2</v>
      </c>
      <c r="J409" s="20">
        <v>1.7075834426366621E-2</v>
      </c>
    </row>
    <row r="410" spans="1:10" ht="11.25" customHeight="1" x14ac:dyDescent="0.2">
      <c r="A410" s="29">
        <v>44409</v>
      </c>
      <c r="B410" s="19">
        <v>0</v>
      </c>
      <c r="C410" s="19">
        <v>0</v>
      </c>
      <c r="D410" s="19">
        <v>1005.13059</v>
      </c>
      <c r="E410" s="19">
        <v>1038.8282971552528</v>
      </c>
      <c r="F410" s="19">
        <v>597.40544999999997</v>
      </c>
      <c r="G410" s="19">
        <v>591.07238292607235</v>
      </c>
      <c r="H410" s="20">
        <v>3.3525700531363611E-2</v>
      </c>
      <c r="I410" s="20">
        <v>-1.0600952960719723E-2</v>
      </c>
      <c r="J410" s="20">
        <v>1.7075834426366621E-2</v>
      </c>
    </row>
    <row r="411" spans="1:10" ht="11.25" customHeight="1" x14ac:dyDescent="0.2">
      <c r="A411" s="29">
        <v>44440</v>
      </c>
      <c r="B411" s="19">
        <v>0</v>
      </c>
      <c r="C411" s="19">
        <v>0</v>
      </c>
      <c r="D411" s="19">
        <v>963.80065000000002</v>
      </c>
      <c r="E411" s="19">
        <v>996.11274196383351</v>
      </c>
      <c r="F411" s="19">
        <v>572.84075000000007</v>
      </c>
      <c r="G411" s="19">
        <v>566.76809215526657</v>
      </c>
      <c r="H411" s="20">
        <v>3.3525700531363611E-2</v>
      </c>
      <c r="I411" s="20">
        <v>-1.0600952960719834E-2</v>
      </c>
      <c r="J411" s="20">
        <v>1.7075834426366621E-2</v>
      </c>
    </row>
    <row r="412" spans="1:10" ht="11.25" customHeight="1" x14ac:dyDescent="0.2">
      <c r="A412" s="29">
        <v>44470</v>
      </c>
      <c r="B412" s="19">
        <v>0</v>
      </c>
      <c r="C412" s="19">
        <v>0</v>
      </c>
      <c r="D412" s="19">
        <v>948.89476999999999</v>
      </c>
      <c r="E412" s="19">
        <v>980.70713189479704</v>
      </c>
      <c r="F412" s="19">
        <v>563.98135000000002</v>
      </c>
      <c r="G412" s="19">
        <v>558.00261023792677</v>
      </c>
      <c r="H412" s="20">
        <v>3.3525700531363611E-2</v>
      </c>
      <c r="I412" s="20">
        <v>-1.0600952960719834E-2</v>
      </c>
      <c r="J412" s="20">
        <v>1.7075834426366621E-2</v>
      </c>
    </row>
    <row r="413" spans="1:10" ht="11.25" customHeight="1" x14ac:dyDescent="0.2">
      <c r="A413" s="29">
        <v>44501</v>
      </c>
      <c r="B413" s="19">
        <v>0</v>
      </c>
      <c r="C413" s="19">
        <v>0</v>
      </c>
      <c r="D413" s="19">
        <v>954.99262999999996</v>
      </c>
      <c r="E413" s="19">
        <v>987.0094269230392</v>
      </c>
      <c r="F413" s="19">
        <v>567.60564999999997</v>
      </c>
      <c r="G413" s="19">
        <v>561.58848920411117</v>
      </c>
      <c r="H413" s="20">
        <v>3.3525700531363611E-2</v>
      </c>
      <c r="I413" s="20">
        <v>-1.0600952960719834E-2</v>
      </c>
      <c r="J413" s="20">
        <v>1.7075834426366399E-2</v>
      </c>
    </row>
    <row r="414" spans="1:10" ht="11.25" customHeight="1" x14ac:dyDescent="0.2">
      <c r="A414" s="29">
        <v>44531</v>
      </c>
      <c r="B414" s="19">
        <v>0</v>
      </c>
      <c r="C414" s="19">
        <v>0</v>
      </c>
      <c r="D414" s="19">
        <v>875.72044999999991</v>
      </c>
      <c r="E414" s="19">
        <v>905.07959155589083</v>
      </c>
      <c r="F414" s="19">
        <v>520.48974999999996</v>
      </c>
      <c r="G414" s="19">
        <v>514.97206264371312</v>
      </c>
      <c r="H414" s="20">
        <v>3.3525700531363611E-2</v>
      </c>
      <c r="I414" s="20">
        <v>-1.0600952960719834E-2</v>
      </c>
      <c r="J414" s="20">
        <v>1.7075834426366399E-2</v>
      </c>
    </row>
    <row r="415" spans="1:10" ht="11.25" customHeight="1" x14ac:dyDescent="0.2">
      <c r="A415" s="29">
        <v>44562</v>
      </c>
      <c r="B415" s="19">
        <v>0</v>
      </c>
      <c r="C415" s="19">
        <v>0</v>
      </c>
      <c r="D415" s="19">
        <v>885.88355000000001</v>
      </c>
      <c r="E415" s="19">
        <v>915.58341660296128</v>
      </c>
      <c r="F415" s="19">
        <v>526.53025000000002</v>
      </c>
      <c r="G415" s="19">
        <v>520.94852758735396</v>
      </c>
      <c r="H415" s="20">
        <v>3.3525700531363611E-2</v>
      </c>
      <c r="I415" s="20">
        <v>-1.0600952960719834E-2</v>
      </c>
      <c r="J415" s="20">
        <v>1.7075834426366621E-2</v>
      </c>
    </row>
    <row r="416" spans="1:10" ht="11.25" customHeight="1" x14ac:dyDescent="0.2">
      <c r="A416" s="29">
        <v>44593</v>
      </c>
      <c r="B416" s="19">
        <v>0</v>
      </c>
      <c r="C416" s="19">
        <v>0</v>
      </c>
      <c r="D416" s="19">
        <v>1071.8682799999999</v>
      </c>
      <c r="E416" s="19">
        <v>1107.8034149643477</v>
      </c>
      <c r="F416" s="19">
        <v>637.07140000000004</v>
      </c>
      <c r="G416" s="19">
        <v>630.31783605598002</v>
      </c>
      <c r="H416" s="20">
        <v>3.3525700531363611E-2</v>
      </c>
      <c r="I416" s="20">
        <v>-1.0600952960719945E-2</v>
      </c>
      <c r="J416" s="20">
        <v>1.7075834426366399E-2</v>
      </c>
    </row>
    <row r="417" spans="1:10" ht="11.25" customHeight="1" x14ac:dyDescent="0.2">
      <c r="A417" s="29">
        <v>44621</v>
      </c>
      <c r="B417" s="19">
        <v>0</v>
      </c>
      <c r="C417" s="19">
        <v>0</v>
      </c>
      <c r="D417" s="19">
        <v>1071.8682799999999</v>
      </c>
      <c r="E417" s="19">
        <v>1107.8034149643477</v>
      </c>
      <c r="F417" s="19">
        <v>637.07140000000004</v>
      </c>
      <c r="G417" s="19">
        <v>630.31783605598002</v>
      </c>
      <c r="H417" s="20">
        <v>3.3525700531363611E-2</v>
      </c>
      <c r="I417" s="20">
        <v>-1.0600952960719945E-2</v>
      </c>
      <c r="J417" s="20">
        <v>1.7075834426366399E-2</v>
      </c>
    </row>
    <row r="418" spans="1:10" ht="11.25" customHeight="1" x14ac:dyDescent="0.2">
      <c r="A418" s="25" t="s">
        <v>32</v>
      </c>
      <c r="B418" s="19">
        <v>0</v>
      </c>
      <c r="C418" s="19">
        <v>0</v>
      </c>
      <c r="D418" s="19">
        <v>3977.9008800000011</v>
      </c>
      <c r="E418" s="19">
        <v>4111.2749295347758</v>
      </c>
      <c r="F418" s="19">
        <v>2364.2729600000002</v>
      </c>
      <c r="G418" s="19">
        <v>2339.2326490516916</v>
      </c>
      <c r="H418" s="20">
        <v>3.3528751358624875E-2</v>
      </c>
      <c r="I418" s="20">
        <v>-1.0591125209294172E-2</v>
      </c>
      <c r="J418" s="20">
        <v>1.7081483623675897E-2</v>
      </c>
    </row>
    <row r="419" spans="1:10" ht="11.25" customHeight="1" x14ac:dyDescent="0.2">
      <c r="A419" s="26" t="s">
        <v>25</v>
      </c>
      <c r="B419" s="19">
        <v>0</v>
      </c>
      <c r="C419" s="19">
        <v>0</v>
      </c>
      <c r="D419" s="19">
        <v>3977.9008800000011</v>
      </c>
      <c r="E419" s="19">
        <v>4111.2749295347758</v>
      </c>
      <c r="F419" s="19">
        <v>2364.2729600000002</v>
      </c>
      <c r="G419" s="19">
        <v>2339.2326490516916</v>
      </c>
      <c r="H419" s="20">
        <v>3.3528751358624875E-2</v>
      </c>
      <c r="I419" s="20">
        <v>-1.0591125209294172E-2</v>
      </c>
      <c r="J419" s="20">
        <v>1.7081483623675897E-2</v>
      </c>
    </row>
    <row r="420" spans="1:10" ht="11.25" customHeight="1" x14ac:dyDescent="0.2">
      <c r="A420" s="27" t="s">
        <v>25</v>
      </c>
      <c r="B420" s="19">
        <v>0</v>
      </c>
      <c r="C420" s="19">
        <v>0</v>
      </c>
      <c r="D420" s="19">
        <v>3977.9008800000011</v>
      </c>
      <c r="E420" s="19">
        <v>4111.2749295347758</v>
      </c>
      <c r="F420" s="19">
        <v>2364.2729600000002</v>
      </c>
      <c r="G420" s="19">
        <v>2339.2326490516916</v>
      </c>
      <c r="H420" s="20">
        <v>3.3528751358624875E-2</v>
      </c>
      <c r="I420" s="20">
        <v>-1.0591125209294172E-2</v>
      </c>
      <c r="J420" s="20">
        <v>1.7081483623675897E-2</v>
      </c>
    </row>
    <row r="421" spans="1:10" ht="11.25" customHeight="1" x14ac:dyDescent="0.2">
      <c r="A421" s="28" t="s">
        <v>25</v>
      </c>
      <c r="B421" s="19">
        <v>0</v>
      </c>
      <c r="C421" s="19">
        <v>0</v>
      </c>
      <c r="D421" s="19">
        <v>3977.9008800000011</v>
      </c>
      <c r="E421" s="19">
        <v>4111.2749295347758</v>
      </c>
      <c r="F421" s="19">
        <v>2364.2729600000002</v>
      </c>
      <c r="G421" s="19">
        <v>2339.2326490516916</v>
      </c>
      <c r="H421" s="20">
        <v>3.3528751358624875E-2</v>
      </c>
      <c r="I421" s="20">
        <v>-1.0591125209294172E-2</v>
      </c>
      <c r="J421" s="20">
        <v>1.7081483623675897E-2</v>
      </c>
    </row>
    <row r="422" spans="1:10" ht="11.25" customHeight="1" x14ac:dyDescent="0.2">
      <c r="A422" s="29">
        <v>44287</v>
      </c>
      <c r="B422" s="19">
        <v>0</v>
      </c>
      <c r="C422" s="19">
        <v>0</v>
      </c>
      <c r="D422" s="19">
        <v>254.07675000000003</v>
      </c>
      <c r="E422" s="19">
        <v>262.59562617675755</v>
      </c>
      <c r="F422" s="19">
        <v>151.011</v>
      </c>
      <c r="G422" s="19">
        <v>149.41162359101929</v>
      </c>
      <c r="H422" s="20">
        <v>3.3528751358624875E-2</v>
      </c>
      <c r="I422" s="20">
        <v>-1.0591125209294061E-2</v>
      </c>
      <c r="J422" s="20">
        <v>1.7081483623676119E-2</v>
      </c>
    </row>
    <row r="423" spans="1:10" ht="11.25" customHeight="1" x14ac:dyDescent="0.2">
      <c r="A423" s="29">
        <v>44317</v>
      </c>
      <c r="B423" s="19">
        <v>0</v>
      </c>
      <c r="C423" s="19">
        <v>0</v>
      </c>
      <c r="D423" s="19">
        <v>272.14443</v>
      </c>
      <c r="E423" s="19">
        <v>281.26909292710468</v>
      </c>
      <c r="F423" s="19">
        <v>161.74956</v>
      </c>
      <c r="G423" s="19">
        <v>160.03645015749177</v>
      </c>
      <c r="H423" s="20">
        <v>3.3528751358624875E-2</v>
      </c>
      <c r="I423" s="20">
        <v>-1.0591125209294172E-2</v>
      </c>
      <c r="J423" s="20">
        <v>1.7081483623676119E-2</v>
      </c>
    </row>
    <row r="424" spans="1:10" ht="11.25" customHeight="1" x14ac:dyDescent="0.2">
      <c r="A424" s="29">
        <v>44348</v>
      </c>
      <c r="B424" s="19">
        <v>0</v>
      </c>
      <c r="C424" s="19">
        <v>0</v>
      </c>
      <c r="D424" s="19">
        <v>394.85408999999999</v>
      </c>
      <c r="E424" s="19">
        <v>408.0930546065461</v>
      </c>
      <c r="F424" s="19">
        <v>234.68227999999999</v>
      </c>
      <c r="G424" s="19">
        <v>232.19673058811736</v>
      </c>
      <c r="H424" s="20">
        <v>3.3528751358624875E-2</v>
      </c>
      <c r="I424" s="20">
        <v>-1.0591125209294172E-2</v>
      </c>
      <c r="J424" s="20">
        <v>1.7081483623675897E-2</v>
      </c>
    </row>
    <row r="425" spans="1:10" ht="11.25" customHeight="1" x14ac:dyDescent="0.2">
      <c r="A425" s="29">
        <v>44378</v>
      </c>
      <c r="B425" s="19">
        <v>0</v>
      </c>
      <c r="C425" s="19">
        <v>0</v>
      </c>
      <c r="D425" s="19">
        <v>44.416380000000018</v>
      </c>
      <c r="E425" s="19">
        <v>45.905605761270195</v>
      </c>
      <c r="F425" s="19">
        <v>26.398960000000002</v>
      </c>
      <c r="G425" s="19">
        <v>26.119365309244841</v>
      </c>
      <c r="H425" s="20">
        <v>3.3528751358624431E-2</v>
      </c>
      <c r="I425" s="20">
        <v>-1.0591125209294616E-2</v>
      </c>
      <c r="J425" s="20">
        <v>1.7081483623675453E-2</v>
      </c>
    </row>
    <row r="426" spans="1:10" ht="11.25" customHeight="1" x14ac:dyDescent="0.2">
      <c r="A426" s="29">
        <v>44409</v>
      </c>
      <c r="B426" s="19">
        <v>0</v>
      </c>
      <c r="C426" s="19">
        <v>0</v>
      </c>
      <c r="D426" s="19">
        <v>347.80284000000006</v>
      </c>
      <c r="E426" s="19">
        <v>359.46423494418366</v>
      </c>
      <c r="F426" s="19">
        <v>206.71728000000002</v>
      </c>
      <c r="G426" s="19">
        <v>204.5279114045953</v>
      </c>
      <c r="H426" s="20">
        <v>3.3528751358624875E-2</v>
      </c>
      <c r="I426" s="20">
        <v>-1.0591125209294172E-2</v>
      </c>
      <c r="J426" s="20">
        <v>1.7081483623675897E-2</v>
      </c>
    </row>
    <row r="427" spans="1:10" ht="11.25" customHeight="1" x14ac:dyDescent="0.2">
      <c r="A427" s="29">
        <v>44440</v>
      </c>
      <c r="B427" s="19">
        <v>0</v>
      </c>
      <c r="C427" s="19">
        <v>0</v>
      </c>
      <c r="D427" s="19">
        <v>339.89823000000001</v>
      </c>
      <c r="E427" s="19">
        <v>351.29459324090675</v>
      </c>
      <c r="F427" s="19">
        <v>202.01916</v>
      </c>
      <c r="G427" s="19">
        <v>199.87954978176359</v>
      </c>
      <c r="H427" s="20">
        <v>3.3528751358625097E-2</v>
      </c>
      <c r="I427" s="20">
        <v>-1.0591125209294061E-2</v>
      </c>
      <c r="J427" s="20">
        <v>1.7081483623676119E-2</v>
      </c>
    </row>
    <row r="428" spans="1:10" ht="11.25" customHeight="1" x14ac:dyDescent="0.2">
      <c r="A428" s="29">
        <v>44470</v>
      </c>
      <c r="B428" s="19">
        <v>0</v>
      </c>
      <c r="C428" s="19">
        <v>0</v>
      </c>
      <c r="D428" s="19">
        <v>297.36390000000006</v>
      </c>
      <c r="E428" s="19">
        <v>307.33414026613104</v>
      </c>
      <c r="F428" s="19">
        <v>176.7388</v>
      </c>
      <c r="G428" s="19">
        <v>174.86693723985962</v>
      </c>
      <c r="H428" s="20">
        <v>3.3528751358624875E-2</v>
      </c>
      <c r="I428" s="20">
        <v>-1.0591125209294061E-2</v>
      </c>
      <c r="J428" s="20">
        <v>1.7081483623676119E-2</v>
      </c>
    </row>
    <row r="429" spans="1:10" ht="11.25" customHeight="1" x14ac:dyDescent="0.2">
      <c r="A429" s="29">
        <v>44501</v>
      </c>
      <c r="B429" s="19">
        <v>0</v>
      </c>
      <c r="C429" s="19">
        <v>0</v>
      </c>
      <c r="D429" s="19">
        <v>410.28690000000006</v>
      </c>
      <c r="E429" s="19">
        <v>424.04330745580103</v>
      </c>
      <c r="F429" s="19">
        <v>243.85480000000001</v>
      </c>
      <c r="G429" s="19">
        <v>241.27210328031265</v>
      </c>
      <c r="H429" s="20">
        <v>3.3528751358624875E-2</v>
      </c>
      <c r="I429" s="20">
        <v>-1.0591125209294061E-2</v>
      </c>
      <c r="J429" s="20">
        <v>1.7081483623675897E-2</v>
      </c>
    </row>
    <row r="430" spans="1:10" ht="11.25" customHeight="1" x14ac:dyDescent="0.2">
      <c r="A430" s="29">
        <v>44531</v>
      </c>
      <c r="B430" s="19">
        <v>0</v>
      </c>
      <c r="C430" s="19">
        <v>0</v>
      </c>
      <c r="D430" s="19">
        <v>315.80799000000002</v>
      </c>
      <c r="E430" s="19">
        <v>326.39663757377713</v>
      </c>
      <c r="F430" s="19">
        <v>187.70107999999999</v>
      </c>
      <c r="G430" s="19">
        <v>185.71311435980024</v>
      </c>
      <c r="H430" s="20">
        <v>3.3528751358624875E-2</v>
      </c>
      <c r="I430" s="20">
        <v>-1.0591125209294172E-2</v>
      </c>
      <c r="J430" s="20">
        <v>1.7081483623676119E-2</v>
      </c>
    </row>
    <row r="431" spans="1:10" ht="11.25" customHeight="1" x14ac:dyDescent="0.2">
      <c r="A431" s="29">
        <v>44562</v>
      </c>
      <c r="B431" s="19">
        <v>0</v>
      </c>
      <c r="C431" s="19">
        <v>0</v>
      </c>
      <c r="D431" s="19">
        <v>295.48185000000001</v>
      </c>
      <c r="E431" s="19">
        <v>305.38898747963651</v>
      </c>
      <c r="F431" s="19">
        <v>175.62020000000001</v>
      </c>
      <c r="G431" s="19">
        <v>173.76018447251872</v>
      </c>
      <c r="H431" s="20">
        <v>3.3528751358624875E-2</v>
      </c>
      <c r="I431" s="20">
        <v>-1.0591125209294283E-2</v>
      </c>
      <c r="J431" s="20">
        <v>1.7081483623676119E-2</v>
      </c>
    </row>
    <row r="432" spans="1:10" ht="11.25" customHeight="1" x14ac:dyDescent="0.2">
      <c r="A432" s="29">
        <v>44593</v>
      </c>
      <c r="B432" s="19">
        <v>0</v>
      </c>
      <c r="C432" s="19">
        <v>0</v>
      </c>
      <c r="D432" s="19">
        <v>502.88376000000005</v>
      </c>
      <c r="E432" s="19">
        <v>519.74482455133045</v>
      </c>
      <c r="F432" s="19">
        <v>298.88992000000002</v>
      </c>
      <c r="G432" s="19">
        <v>295.72433943348409</v>
      </c>
      <c r="H432" s="20">
        <v>3.3528751358624875E-2</v>
      </c>
      <c r="I432" s="20">
        <v>-1.0591125209294172E-2</v>
      </c>
      <c r="J432" s="20">
        <v>1.7081483623676119E-2</v>
      </c>
    </row>
    <row r="433" spans="1:10" ht="11.25" customHeight="1" x14ac:dyDescent="0.2">
      <c r="A433" s="29">
        <v>44621</v>
      </c>
      <c r="B433" s="19">
        <v>0</v>
      </c>
      <c r="C433" s="19">
        <v>0</v>
      </c>
      <c r="D433" s="19">
        <v>502.88376000000005</v>
      </c>
      <c r="E433" s="19">
        <v>519.74482455133045</v>
      </c>
      <c r="F433" s="19">
        <v>298.88992000000002</v>
      </c>
      <c r="G433" s="19">
        <v>295.72433943348409</v>
      </c>
      <c r="H433" s="20">
        <v>3.3528751358624875E-2</v>
      </c>
      <c r="I433" s="20">
        <v>-1.0591125209294172E-2</v>
      </c>
      <c r="J433" s="20">
        <v>1.7081483623676119E-2</v>
      </c>
    </row>
    <row r="434" spans="1:10" ht="11.25" customHeight="1" x14ac:dyDescent="0.2">
      <c r="A434" s="22" t="s">
        <v>40</v>
      </c>
      <c r="B434" s="19">
        <v>0</v>
      </c>
      <c r="C434" s="19">
        <v>0</v>
      </c>
      <c r="D434" s="19">
        <v>19392864.499936003</v>
      </c>
      <c r="E434" s="19">
        <v>22837665.11055981</v>
      </c>
      <c r="F434" s="19">
        <v>9857918.4438080005</v>
      </c>
      <c r="G434" s="19">
        <v>10418714.691756921</v>
      </c>
      <c r="H434" s="20">
        <v>0.17763237662157594</v>
      </c>
      <c r="I434" s="20">
        <v>5.6887896886706812E-2</v>
      </c>
      <c r="J434" s="20">
        <v>0.13693981683418266</v>
      </c>
    </row>
    <row r="435" spans="1:10" ht="11.25" customHeight="1" x14ac:dyDescent="0.2">
      <c r="A435" s="23" t="s">
        <v>23</v>
      </c>
      <c r="B435" s="19">
        <v>0</v>
      </c>
      <c r="C435" s="19">
        <v>0</v>
      </c>
      <c r="D435" s="19">
        <v>19392864.499936003</v>
      </c>
      <c r="E435" s="19">
        <v>22837665.11055981</v>
      </c>
      <c r="F435" s="19">
        <v>9857918.4438080005</v>
      </c>
      <c r="G435" s="19">
        <v>10418714.691756921</v>
      </c>
      <c r="H435" s="20">
        <v>0.17763237662157594</v>
      </c>
      <c r="I435" s="20">
        <v>5.6887896886706812E-2</v>
      </c>
      <c r="J435" s="20">
        <v>0.13693981683418266</v>
      </c>
    </row>
    <row r="436" spans="1:10" ht="11.25" customHeight="1" x14ac:dyDescent="0.2">
      <c r="A436" s="24" t="s">
        <v>41</v>
      </c>
      <c r="B436" s="19">
        <v>0</v>
      </c>
      <c r="C436" s="19">
        <v>0</v>
      </c>
      <c r="D436" s="19">
        <v>19392864.499936003</v>
      </c>
      <c r="E436" s="19">
        <v>22837665.11055981</v>
      </c>
      <c r="F436" s="19">
        <v>9857918.4438080005</v>
      </c>
      <c r="G436" s="19">
        <v>10418714.691756921</v>
      </c>
      <c r="H436" s="20">
        <v>0.17763237662157594</v>
      </c>
      <c r="I436" s="20">
        <v>5.6887896886706812E-2</v>
      </c>
      <c r="J436" s="20">
        <v>0.13693981683418266</v>
      </c>
    </row>
    <row r="437" spans="1:10" ht="11.25" customHeight="1" x14ac:dyDescent="0.2">
      <c r="A437" s="25" t="s">
        <v>50</v>
      </c>
      <c r="B437" s="19">
        <v>0</v>
      </c>
      <c r="C437" s="19">
        <v>0</v>
      </c>
      <c r="D437" s="19">
        <v>8520998.6570460033</v>
      </c>
      <c r="E437" s="19">
        <v>10034603.899686333</v>
      </c>
      <c r="F437" s="19">
        <v>4331454.4801379992</v>
      </c>
      <c r="G437" s="19">
        <v>4577861.8159735566</v>
      </c>
      <c r="H437" s="20">
        <v>0.17763237662157549</v>
      </c>
      <c r="I437" s="20">
        <v>5.688789688670659E-2</v>
      </c>
      <c r="J437" s="20">
        <v>0.13693981683418222</v>
      </c>
    </row>
    <row r="438" spans="1:10" ht="11.25" customHeight="1" x14ac:dyDescent="0.2">
      <c r="A438" s="26" t="s">
        <v>51</v>
      </c>
      <c r="B438" s="19">
        <v>0</v>
      </c>
      <c r="C438" s="19">
        <v>0</v>
      </c>
      <c r="D438" s="19">
        <v>6974778.0332300002</v>
      </c>
      <c r="E438" s="19">
        <v>8213724.4316806011</v>
      </c>
      <c r="F438" s="19">
        <v>3545468.6446899995</v>
      </c>
      <c r="G438" s="19">
        <v>3747162.899364179</v>
      </c>
      <c r="H438" s="20">
        <v>0.17763237662157527</v>
      </c>
      <c r="I438" s="20">
        <v>5.6887896886707257E-2</v>
      </c>
      <c r="J438" s="20">
        <v>0.13693981683418222</v>
      </c>
    </row>
    <row r="439" spans="1:10" ht="11.25" customHeight="1" x14ac:dyDescent="0.2">
      <c r="A439" s="27" t="s">
        <v>25</v>
      </c>
      <c r="B439" s="19">
        <v>0</v>
      </c>
      <c r="C439" s="19">
        <v>0</v>
      </c>
      <c r="D439" s="19">
        <v>6974778.0332300002</v>
      </c>
      <c r="E439" s="19">
        <v>8213724.4316806011</v>
      </c>
      <c r="F439" s="19">
        <v>3545468.6446899995</v>
      </c>
      <c r="G439" s="19">
        <v>3747162.899364179</v>
      </c>
      <c r="H439" s="20">
        <v>0.17763237662157527</v>
      </c>
      <c r="I439" s="20">
        <v>5.6887896886707257E-2</v>
      </c>
      <c r="J439" s="20">
        <v>0.13693981683418222</v>
      </c>
    </row>
    <row r="440" spans="1:10" ht="11.25" customHeight="1" x14ac:dyDescent="0.2">
      <c r="A440" s="28" t="s">
        <v>25</v>
      </c>
      <c r="B440" s="19">
        <v>0</v>
      </c>
      <c r="C440" s="19">
        <v>0</v>
      </c>
      <c r="D440" s="19">
        <v>6974778.0332300002</v>
      </c>
      <c r="E440" s="19">
        <v>8213724.4316806011</v>
      </c>
      <c r="F440" s="19">
        <v>3545468.6446899995</v>
      </c>
      <c r="G440" s="19">
        <v>3747162.899364179</v>
      </c>
      <c r="H440" s="20">
        <v>0.17763237662157527</v>
      </c>
      <c r="I440" s="20">
        <v>5.6887896886707257E-2</v>
      </c>
      <c r="J440" s="20">
        <v>0.13693981683418222</v>
      </c>
    </row>
    <row r="441" spans="1:10" ht="11.25" customHeight="1" x14ac:dyDescent="0.2">
      <c r="A441" s="29">
        <v>44287</v>
      </c>
      <c r="B441" s="19">
        <v>0</v>
      </c>
      <c r="C441" s="19">
        <v>0</v>
      </c>
      <c r="D441" s="19">
        <v>745777.24270000006</v>
      </c>
      <c r="E441" s="19">
        <v>878251.42675108614</v>
      </c>
      <c r="F441" s="19">
        <v>379098.7781</v>
      </c>
      <c r="G441" s="19">
        <v>400664.9102984296</v>
      </c>
      <c r="H441" s="20">
        <v>0.17763237662157483</v>
      </c>
      <c r="I441" s="20">
        <v>5.6887896886707479E-2</v>
      </c>
      <c r="J441" s="20">
        <v>0.13693981683418222</v>
      </c>
    </row>
    <row r="442" spans="1:10" ht="11.25" customHeight="1" x14ac:dyDescent="0.2">
      <c r="A442" s="29">
        <v>44317</v>
      </c>
      <c r="B442" s="19">
        <v>0</v>
      </c>
      <c r="C442" s="19">
        <v>0</v>
      </c>
      <c r="D442" s="19">
        <v>821875.85480000009</v>
      </c>
      <c r="E442" s="19">
        <v>967867.61617601267</v>
      </c>
      <c r="F442" s="19">
        <v>417781.76440000004</v>
      </c>
      <c r="G442" s="19">
        <v>441548.49033433397</v>
      </c>
      <c r="H442" s="20">
        <v>0.17763237662157505</v>
      </c>
      <c r="I442" s="20">
        <v>5.6887896886707479E-2</v>
      </c>
      <c r="J442" s="20">
        <v>0.13693981683418244</v>
      </c>
    </row>
    <row r="443" spans="1:10" ht="11.25" customHeight="1" x14ac:dyDescent="0.2">
      <c r="A443" s="29">
        <v>44348</v>
      </c>
      <c r="B443" s="19">
        <v>0</v>
      </c>
      <c r="C443" s="19">
        <v>0</v>
      </c>
      <c r="D443" s="19">
        <v>275821.35407</v>
      </c>
      <c r="E443" s="19">
        <v>324816.15671643504</v>
      </c>
      <c r="F443" s="19">
        <v>140207.46721</v>
      </c>
      <c r="G443" s="19">
        <v>148183.57514738888</v>
      </c>
      <c r="H443" s="20">
        <v>0.17763237662157505</v>
      </c>
      <c r="I443" s="20">
        <v>5.6887896886707257E-2</v>
      </c>
      <c r="J443" s="20">
        <v>0.13693981683418222</v>
      </c>
    </row>
    <row r="444" spans="1:10" ht="11.25" customHeight="1" x14ac:dyDescent="0.2">
      <c r="A444" s="29">
        <v>44378</v>
      </c>
      <c r="B444" s="19">
        <v>0</v>
      </c>
      <c r="C444" s="19">
        <v>0</v>
      </c>
      <c r="D444" s="19">
        <v>1995664.3172599999</v>
      </c>
      <c r="E444" s="19">
        <v>2350158.9128737664</v>
      </c>
      <c r="F444" s="19">
        <v>1014450.2417799999</v>
      </c>
      <c r="G444" s="19">
        <v>1072160.182531076</v>
      </c>
      <c r="H444" s="20">
        <v>0.17763237662157483</v>
      </c>
      <c r="I444" s="20">
        <v>5.6887896886707479E-2</v>
      </c>
      <c r="J444" s="20">
        <v>0.13693981683418222</v>
      </c>
    </row>
    <row r="445" spans="1:10" ht="11.25" customHeight="1" x14ac:dyDescent="0.2">
      <c r="A445" s="29">
        <v>44409</v>
      </c>
      <c r="B445" s="19">
        <v>0</v>
      </c>
      <c r="C445" s="19">
        <v>0</v>
      </c>
      <c r="D445" s="19">
        <v>-1031681.3046300001</v>
      </c>
      <c r="E445" s="19">
        <v>-1214941.306687474</v>
      </c>
      <c r="F445" s="19">
        <v>-524431.5588900001</v>
      </c>
      <c r="G445" s="19">
        <v>-554265.36733626947</v>
      </c>
      <c r="H445" s="20">
        <v>0.17763237662157483</v>
      </c>
      <c r="I445" s="20">
        <v>5.6887896886707034E-2</v>
      </c>
      <c r="J445" s="20">
        <v>0.13693981683418199</v>
      </c>
    </row>
    <row r="446" spans="1:10" ht="11.25" customHeight="1" x14ac:dyDescent="0.2">
      <c r="A446" s="29">
        <v>44440</v>
      </c>
      <c r="B446" s="19">
        <v>0</v>
      </c>
      <c r="C446" s="19">
        <v>0</v>
      </c>
      <c r="D446" s="19">
        <v>589473.58263000008</v>
      </c>
      <c r="E446" s="19">
        <v>694183.1760682012</v>
      </c>
      <c r="F446" s="19">
        <v>299645.39288999996</v>
      </c>
      <c r="G446" s="19">
        <v>316691.58910330327</v>
      </c>
      <c r="H446" s="20">
        <v>0.17763237662157483</v>
      </c>
      <c r="I446" s="20">
        <v>5.6887896886707701E-2</v>
      </c>
      <c r="J446" s="20">
        <v>0.13693981683418199</v>
      </c>
    </row>
    <row r="447" spans="1:10" ht="11.25" customHeight="1" x14ac:dyDescent="0.2">
      <c r="A447" s="29">
        <v>44470</v>
      </c>
      <c r="B447" s="19">
        <v>0</v>
      </c>
      <c r="C447" s="19">
        <v>0</v>
      </c>
      <c r="D447" s="19">
        <v>562012.39788999991</v>
      </c>
      <c r="E447" s="19">
        <v>661843.99581799097</v>
      </c>
      <c r="F447" s="19">
        <v>285686.12867000001</v>
      </c>
      <c r="G447" s="19">
        <v>301938.2116997416</v>
      </c>
      <c r="H447" s="20">
        <v>0.17763237662157527</v>
      </c>
      <c r="I447" s="20">
        <v>5.6887896886707479E-2</v>
      </c>
      <c r="J447" s="20">
        <v>0.13693981683418244</v>
      </c>
    </row>
    <row r="448" spans="1:10" ht="11.25" customHeight="1" x14ac:dyDescent="0.2">
      <c r="A448" s="29">
        <v>44501</v>
      </c>
      <c r="B448" s="19">
        <v>0</v>
      </c>
      <c r="C448" s="19">
        <v>0</v>
      </c>
      <c r="D448" s="19">
        <v>748596.32661000011</v>
      </c>
      <c r="E448" s="19">
        <v>881571.27123591513</v>
      </c>
      <c r="F448" s="19">
        <v>380531.79482999997</v>
      </c>
      <c r="G448" s="19">
        <v>402179.44833640277</v>
      </c>
      <c r="H448" s="20">
        <v>0.17763237662157483</v>
      </c>
      <c r="I448" s="20">
        <v>5.6887896886707479E-2</v>
      </c>
      <c r="J448" s="20">
        <v>0.13693981683418199</v>
      </c>
    </row>
    <row r="449" spans="1:10" ht="11.25" customHeight="1" x14ac:dyDescent="0.2">
      <c r="A449" s="29">
        <v>44531</v>
      </c>
      <c r="B449" s="19">
        <v>0</v>
      </c>
      <c r="C449" s="19">
        <v>0</v>
      </c>
      <c r="D449" s="19">
        <v>695936.50531000004</v>
      </c>
      <c r="E449" s="19">
        <v>819557.36072592868</v>
      </c>
      <c r="F449" s="19">
        <v>353763.38093000004</v>
      </c>
      <c r="G449" s="19">
        <v>373888.23566663888</v>
      </c>
      <c r="H449" s="20">
        <v>0.17763237662157505</v>
      </c>
      <c r="I449" s="20">
        <v>5.6887896886707479E-2</v>
      </c>
      <c r="J449" s="20">
        <v>0.13693981683418199</v>
      </c>
    </row>
    <row r="450" spans="1:10" ht="11.25" customHeight="1" x14ac:dyDescent="0.2">
      <c r="A450" s="29">
        <v>44562</v>
      </c>
      <c r="B450" s="19">
        <v>0</v>
      </c>
      <c r="C450" s="19">
        <v>0</v>
      </c>
      <c r="D450" s="19">
        <v>552202.34219</v>
      </c>
      <c r="E450" s="19">
        <v>650291.35660920991</v>
      </c>
      <c r="F450" s="19">
        <v>280699.41157</v>
      </c>
      <c r="G450" s="19">
        <v>296667.81075155362</v>
      </c>
      <c r="H450" s="20">
        <v>0.17763237662157505</v>
      </c>
      <c r="I450" s="20">
        <v>5.6887896886707479E-2</v>
      </c>
      <c r="J450" s="20">
        <v>0.13693981683418222</v>
      </c>
    </row>
    <row r="451" spans="1:10" ht="11.25" customHeight="1" x14ac:dyDescent="0.2">
      <c r="A451" s="29">
        <v>44593</v>
      </c>
      <c r="B451" s="19">
        <v>0</v>
      </c>
      <c r="C451" s="19">
        <v>0</v>
      </c>
      <c r="D451" s="19">
        <v>509549.7072</v>
      </c>
      <c r="E451" s="19">
        <v>600062.23269676371</v>
      </c>
      <c r="F451" s="19">
        <v>259017.92159999997</v>
      </c>
      <c r="G451" s="19">
        <v>273752.90641579009</v>
      </c>
      <c r="H451" s="20">
        <v>0.17763237662157505</v>
      </c>
      <c r="I451" s="20">
        <v>5.6887896886707701E-2</v>
      </c>
      <c r="J451" s="20">
        <v>0.13693981683418244</v>
      </c>
    </row>
    <row r="452" spans="1:10" ht="11.25" customHeight="1" x14ac:dyDescent="0.2">
      <c r="A452" s="29">
        <v>44621</v>
      </c>
      <c r="B452" s="19">
        <v>0</v>
      </c>
      <c r="C452" s="19">
        <v>0</v>
      </c>
      <c r="D452" s="19">
        <v>509549.7072</v>
      </c>
      <c r="E452" s="19">
        <v>600062.23269676371</v>
      </c>
      <c r="F452" s="19">
        <v>259017.92159999997</v>
      </c>
      <c r="G452" s="19">
        <v>273752.90641579009</v>
      </c>
      <c r="H452" s="20">
        <v>0.17763237662157505</v>
      </c>
      <c r="I452" s="20">
        <v>5.6887896886707701E-2</v>
      </c>
      <c r="J452" s="20">
        <v>0.13693981683418244</v>
      </c>
    </row>
    <row r="453" spans="1:10" ht="11.25" customHeight="1" x14ac:dyDescent="0.2">
      <c r="A453" s="26" t="s">
        <v>52</v>
      </c>
      <c r="B453" s="19">
        <v>0</v>
      </c>
      <c r="C453" s="19">
        <v>0</v>
      </c>
      <c r="D453" s="19">
        <v>1546220.6238159998</v>
      </c>
      <c r="E453" s="19">
        <v>1820879.4680057303</v>
      </c>
      <c r="F453" s="19">
        <v>785985.83544800011</v>
      </c>
      <c r="G453" s="19">
        <v>830698.91660937853</v>
      </c>
      <c r="H453" s="20">
        <v>0.17763237662157483</v>
      </c>
      <c r="I453" s="20">
        <v>5.6887896886707479E-2</v>
      </c>
      <c r="J453" s="20">
        <v>0.13693981683418199</v>
      </c>
    </row>
    <row r="454" spans="1:10" ht="11.25" customHeight="1" x14ac:dyDescent="0.2">
      <c r="A454" s="27" t="s">
        <v>25</v>
      </c>
      <c r="B454" s="19">
        <v>0</v>
      </c>
      <c r="C454" s="19">
        <v>0</v>
      </c>
      <c r="D454" s="19">
        <v>1546220.6238159998</v>
      </c>
      <c r="E454" s="19">
        <v>1820879.4680057303</v>
      </c>
      <c r="F454" s="19">
        <v>785985.83544800011</v>
      </c>
      <c r="G454" s="19">
        <v>830698.91660937853</v>
      </c>
      <c r="H454" s="20">
        <v>0.17763237662157483</v>
      </c>
      <c r="I454" s="20">
        <v>5.6887896886707479E-2</v>
      </c>
      <c r="J454" s="20">
        <v>0.13693981683418199</v>
      </c>
    </row>
    <row r="455" spans="1:10" ht="11.25" customHeight="1" x14ac:dyDescent="0.2">
      <c r="A455" s="28" t="s">
        <v>25</v>
      </c>
      <c r="B455" s="19">
        <v>0</v>
      </c>
      <c r="C455" s="19">
        <v>0</v>
      </c>
      <c r="D455" s="19">
        <v>1546220.6238159998</v>
      </c>
      <c r="E455" s="19">
        <v>1820879.4680057303</v>
      </c>
      <c r="F455" s="19">
        <v>785985.83544800011</v>
      </c>
      <c r="G455" s="19">
        <v>830698.91660937853</v>
      </c>
      <c r="H455" s="20">
        <v>0.17763237662157483</v>
      </c>
      <c r="I455" s="20">
        <v>5.6887896886707479E-2</v>
      </c>
      <c r="J455" s="20">
        <v>0.13693981683418199</v>
      </c>
    </row>
    <row r="456" spans="1:10" ht="11.25" customHeight="1" x14ac:dyDescent="0.2">
      <c r="A456" s="29">
        <v>44287</v>
      </c>
      <c r="B456" s="19">
        <v>0</v>
      </c>
      <c r="C456" s="19">
        <v>0</v>
      </c>
      <c r="D456" s="19">
        <v>164847.35492799999</v>
      </c>
      <c r="E456" s="19">
        <v>194129.58236364095</v>
      </c>
      <c r="F456" s="19">
        <v>83796.376783999993</v>
      </c>
      <c r="G456" s="19">
        <v>88563.376425967872</v>
      </c>
      <c r="H456" s="20">
        <v>0.17763237662157505</v>
      </c>
      <c r="I456" s="20">
        <v>5.6887896886707479E-2</v>
      </c>
      <c r="J456" s="20">
        <v>0.13693981683418222</v>
      </c>
    </row>
    <row r="457" spans="1:10" ht="11.25" customHeight="1" x14ac:dyDescent="0.2">
      <c r="A457" s="29">
        <v>44317</v>
      </c>
      <c r="B457" s="19">
        <v>0</v>
      </c>
      <c r="C457" s="19">
        <v>0</v>
      </c>
      <c r="D457" s="19">
        <v>171963.73122000002</v>
      </c>
      <c r="E457" s="19">
        <v>202510.05748932238</v>
      </c>
      <c r="F457" s="19">
        <v>87413.823660000009</v>
      </c>
      <c r="G457" s="19">
        <v>92386.612246842924</v>
      </c>
      <c r="H457" s="20">
        <v>0.17763237662157527</v>
      </c>
      <c r="I457" s="20">
        <v>5.6887896886707479E-2</v>
      </c>
      <c r="J457" s="20">
        <v>0.13693981683418244</v>
      </c>
    </row>
    <row r="458" spans="1:10" ht="11.25" customHeight="1" x14ac:dyDescent="0.2">
      <c r="A458" s="29">
        <v>44348</v>
      </c>
      <c r="B458" s="19">
        <v>0</v>
      </c>
      <c r="C458" s="19">
        <v>0</v>
      </c>
      <c r="D458" s="19">
        <v>61739.138227999996</v>
      </c>
      <c r="E458" s="19">
        <v>72706.008082007567</v>
      </c>
      <c r="F458" s="19">
        <v>31383.676683999998</v>
      </c>
      <c r="G458" s="19">
        <v>33169.028047125154</v>
      </c>
      <c r="H458" s="20">
        <v>0.17763237662157505</v>
      </c>
      <c r="I458" s="20">
        <v>5.6887896886707479E-2</v>
      </c>
      <c r="J458" s="20">
        <v>0.13693981683418222</v>
      </c>
    </row>
    <row r="459" spans="1:10" ht="11.25" customHeight="1" x14ac:dyDescent="0.2">
      <c r="A459" s="29">
        <v>44378</v>
      </c>
      <c r="B459" s="19">
        <v>0</v>
      </c>
      <c r="C459" s="19">
        <v>0</v>
      </c>
      <c r="D459" s="19">
        <v>109763.872808</v>
      </c>
      <c r="E459" s="19">
        <v>129261.49040207332</v>
      </c>
      <c r="F459" s="19">
        <v>55795.950423999995</v>
      </c>
      <c r="G459" s="19">
        <v>58970.064698416361</v>
      </c>
      <c r="H459" s="20">
        <v>0.17763237662157505</v>
      </c>
      <c r="I459" s="20">
        <v>5.6887896886707701E-2</v>
      </c>
      <c r="J459" s="20">
        <v>0.13693981683418244</v>
      </c>
    </row>
    <row r="460" spans="1:10" ht="11.25" customHeight="1" x14ac:dyDescent="0.2">
      <c r="A460" s="29">
        <v>44409</v>
      </c>
      <c r="B460" s="19">
        <v>0</v>
      </c>
      <c r="C460" s="19">
        <v>0</v>
      </c>
      <c r="D460" s="19">
        <v>123987.79517999999</v>
      </c>
      <c r="E460" s="19">
        <v>146012.04190989246</v>
      </c>
      <c r="F460" s="19">
        <v>63026.355540000004</v>
      </c>
      <c r="G460" s="19">
        <v>66611.792355104481</v>
      </c>
      <c r="H460" s="20">
        <v>0.17763237662157505</v>
      </c>
      <c r="I460" s="20">
        <v>5.6887896886707257E-2</v>
      </c>
      <c r="J460" s="20">
        <v>0.13693981683418222</v>
      </c>
    </row>
    <row r="461" spans="1:10" ht="11.25" customHeight="1" x14ac:dyDescent="0.2">
      <c r="A461" s="29">
        <v>44440</v>
      </c>
      <c r="B461" s="19">
        <v>0</v>
      </c>
      <c r="C461" s="19">
        <v>0</v>
      </c>
      <c r="D461" s="19">
        <v>123297.876774</v>
      </c>
      <c r="E461" s="19">
        <v>145199.57165775972</v>
      </c>
      <c r="F461" s="19">
        <v>62675.651322000005</v>
      </c>
      <c r="G461" s="19">
        <v>66241.137311713173</v>
      </c>
      <c r="H461" s="20">
        <v>0.17763237662157505</v>
      </c>
      <c r="I461" s="20">
        <v>5.6887896886707479E-2</v>
      </c>
      <c r="J461" s="20">
        <v>0.13693981683418222</v>
      </c>
    </row>
    <row r="462" spans="1:10" ht="11.25" customHeight="1" x14ac:dyDescent="0.2">
      <c r="A462" s="29">
        <v>44470</v>
      </c>
      <c r="B462" s="19">
        <v>0</v>
      </c>
      <c r="C462" s="19">
        <v>0</v>
      </c>
      <c r="D462" s="19">
        <v>119260.688356</v>
      </c>
      <c r="E462" s="19">
        <v>140445.24786620127</v>
      </c>
      <c r="F462" s="19">
        <v>60623.439068</v>
      </c>
      <c r="G462" s="19">
        <v>64072.179018617979</v>
      </c>
      <c r="H462" s="20">
        <v>0.17763237662157505</v>
      </c>
      <c r="I462" s="20">
        <v>5.6887896886707479E-2</v>
      </c>
      <c r="J462" s="20">
        <v>0.13693981683418222</v>
      </c>
    </row>
    <row r="463" spans="1:10" ht="11.25" customHeight="1" x14ac:dyDescent="0.2">
      <c r="A463" s="29">
        <v>44501</v>
      </c>
      <c r="B463" s="19">
        <v>0</v>
      </c>
      <c r="C463" s="19">
        <v>0</v>
      </c>
      <c r="D463" s="19">
        <v>195317.93788399998</v>
      </c>
      <c r="E463" s="19">
        <v>230012.72738716006</v>
      </c>
      <c r="F463" s="19">
        <v>99285.399652000007</v>
      </c>
      <c r="G463" s="19">
        <v>104933.53722975851</v>
      </c>
      <c r="H463" s="20">
        <v>0.17763237662157505</v>
      </c>
      <c r="I463" s="20">
        <v>5.6887896886707257E-2</v>
      </c>
      <c r="J463" s="20">
        <v>0.13693981683418222</v>
      </c>
    </row>
    <row r="464" spans="1:10" ht="11.25" customHeight="1" x14ac:dyDescent="0.2">
      <c r="A464" s="29">
        <v>44531</v>
      </c>
      <c r="B464" s="19">
        <v>0</v>
      </c>
      <c r="C464" s="19">
        <v>0</v>
      </c>
      <c r="D464" s="19">
        <v>124570.89900400001</v>
      </c>
      <c r="E464" s="19">
        <v>146698.72385196673</v>
      </c>
      <c r="F464" s="19">
        <v>63322.763012000018</v>
      </c>
      <c r="G464" s="19">
        <v>66925.061824808086</v>
      </c>
      <c r="H464" s="20">
        <v>0.17763237662157505</v>
      </c>
      <c r="I464" s="20">
        <v>5.6887896886707479E-2</v>
      </c>
      <c r="J464" s="20">
        <v>0.13693981683418222</v>
      </c>
    </row>
    <row r="465" spans="1:10" ht="11.25" customHeight="1" x14ac:dyDescent="0.2">
      <c r="A465" s="29">
        <v>44562</v>
      </c>
      <c r="B465" s="19">
        <v>0</v>
      </c>
      <c r="C465" s="19">
        <v>0</v>
      </c>
      <c r="D465" s="19">
        <v>117462.036138</v>
      </c>
      <c r="E465" s="19">
        <v>138327.09678000226</v>
      </c>
      <c r="F465" s="19">
        <v>59709.135413999997</v>
      </c>
      <c r="G465" s="19">
        <v>63105.862552626088</v>
      </c>
      <c r="H465" s="20">
        <v>0.17763237662157505</v>
      </c>
      <c r="I465" s="20">
        <v>5.6887896886707479E-2</v>
      </c>
      <c r="J465" s="20">
        <v>0.13693981683418222</v>
      </c>
    </row>
    <row r="466" spans="1:10" ht="11.25" customHeight="1" x14ac:dyDescent="0.2">
      <c r="A466" s="29">
        <v>44593</v>
      </c>
      <c r="B466" s="19">
        <v>0</v>
      </c>
      <c r="C466" s="19">
        <v>0</v>
      </c>
      <c r="D466" s="19">
        <v>117004.64664800001</v>
      </c>
      <c r="E466" s="19">
        <v>137788.46010785186</v>
      </c>
      <c r="F466" s="19">
        <v>59476.631944000008</v>
      </c>
      <c r="G466" s="19">
        <v>62860.132449198936</v>
      </c>
      <c r="H466" s="20">
        <v>0.17763237662157505</v>
      </c>
      <c r="I466" s="20">
        <v>5.6887896886707479E-2</v>
      </c>
      <c r="J466" s="20">
        <v>0.13693981683418244</v>
      </c>
    </row>
    <row r="467" spans="1:10" ht="11.25" customHeight="1" x14ac:dyDescent="0.2">
      <c r="A467" s="29">
        <v>44621</v>
      </c>
      <c r="B467" s="19">
        <v>0</v>
      </c>
      <c r="C467" s="19">
        <v>0</v>
      </c>
      <c r="D467" s="19">
        <v>117004.64664800001</v>
      </c>
      <c r="E467" s="19">
        <v>137788.46010785186</v>
      </c>
      <c r="F467" s="19">
        <v>59476.631944000008</v>
      </c>
      <c r="G467" s="19">
        <v>62860.132449198936</v>
      </c>
      <c r="H467" s="20">
        <v>0.17763237662157505</v>
      </c>
      <c r="I467" s="20">
        <v>5.6887896886707479E-2</v>
      </c>
      <c r="J467" s="20">
        <v>0.13693981683418244</v>
      </c>
    </row>
    <row r="468" spans="1:10" ht="11.25" customHeight="1" x14ac:dyDescent="0.2">
      <c r="A468" s="25" t="s">
        <v>53</v>
      </c>
      <c r="B468" s="19">
        <v>0</v>
      </c>
      <c r="C468" s="19">
        <v>0</v>
      </c>
      <c r="D468" s="19">
        <v>5205.1776000000009</v>
      </c>
      <c r="E468" s="19">
        <v>6129.7856678253856</v>
      </c>
      <c r="F468" s="19">
        <v>2645.9328</v>
      </c>
      <c r="G468" s="19">
        <v>2796.4543522955578</v>
      </c>
      <c r="H468" s="20">
        <v>0.17763237662157483</v>
      </c>
      <c r="I468" s="20">
        <v>5.6887896886707701E-2</v>
      </c>
      <c r="J468" s="20">
        <v>0.13693981683418222</v>
      </c>
    </row>
    <row r="469" spans="1:10" ht="11.25" customHeight="1" x14ac:dyDescent="0.2">
      <c r="A469" s="26" t="s">
        <v>51</v>
      </c>
      <c r="B469" s="19">
        <v>0</v>
      </c>
      <c r="C469" s="19">
        <v>0</v>
      </c>
      <c r="D469" s="19">
        <v>4275.6815999999999</v>
      </c>
      <c r="E469" s="19">
        <v>5035.1810842851382</v>
      </c>
      <c r="F469" s="19">
        <v>2173.4447999999998</v>
      </c>
      <c r="G469" s="19">
        <v>2297.087503671351</v>
      </c>
      <c r="H469" s="20">
        <v>0.17763237662157505</v>
      </c>
      <c r="I469" s="20">
        <v>5.6887896886707701E-2</v>
      </c>
      <c r="J469" s="20">
        <v>0.13693981683418244</v>
      </c>
    </row>
    <row r="470" spans="1:10" ht="11.25" customHeight="1" x14ac:dyDescent="0.2">
      <c r="A470" s="27" t="s">
        <v>25</v>
      </c>
      <c r="B470" s="19">
        <v>0</v>
      </c>
      <c r="C470" s="19">
        <v>0</v>
      </c>
      <c r="D470" s="19">
        <v>4275.6815999999999</v>
      </c>
      <c r="E470" s="19">
        <v>5035.1810842851382</v>
      </c>
      <c r="F470" s="19">
        <v>2173.4447999999998</v>
      </c>
      <c r="G470" s="19">
        <v>2297.087503671351</v>
      </c>
      <c r="H470" s="20">
        <v>0.17763237662157505</v>
      </c>
      <c r="I470" s="20">
        <v>5.6887896886707701E-2</v>
      </c>
      <c r="J470" s="20">
        <v>0.13693981683418244</v>
      </c>
    </row>
    <row r="471" spans="1:10" ht="11.25" customHeight="1" x14ac:dyDescent="0.2">
      <c r="A471" s="28" t="s">
        <v>25</v>
      </c>
      <c r="B471" s="19">
        <v>0</v>
      </c>
      <c r="C471" s="19">
        <v>0</v>
      </c>
      <c r="D471" s="19">
        <v>4275.6815999999999</v>
      </c>
      <c r="E471" s="19">
        <v>5035.1810842851382</v>
      </c>
      <c r="F471" s="19">
        <v>2173.4447999999998</v>
      </c>
      <c r="G471" s="19">
        <v>2297.087503671351</v>
      </c>
      <c r="H471" s="20">
        <v>0.17763237662157505</v>
      </c>
      <c r="I471" s="20">
        <v>5.6887896886707701E-2</v>
      </c>
      <c r="J471" s="20">
        <v>0.13693981683418244</v>
      </c>
    </row>
    <row r="472" spans="1:10" ht="11.25" customHeight="1" x14ac:dyDescent="0.2">
      <c r="A472" s="29">
        <v>44287</v>
      </c>
      <c r="B472" s="19">
        <v>0</v>
      </c>
      <c r="C472" s="19">
        <v>0</v>
      </c>
      <c r="D472" s="19">
        <v>743.59680000000003</v>
      </c>
      <c r="E472" s="19">
        <v>875.68366683219801</v>
      </c>
      <c r="F472" s="19">
        <v>377.99040000000002</v>
      </c>
      <c r="G472" s="19">
        <v>399.4934788993653</v>
      </c>
      <c r="H472" s="20">
        <v>0.17763237662157505</v>
      </c>
      <c r="I472" s="20">
        <v>5.6887896886707479E-2</v>
      </c>
      <c r="J472" s="20">
        <v>0.13693981683418222</v>
      </c>
    </row>
    <row r="473" spans="1:10" ht="11.25" customHeight="1" x14ac:dyDescent="0.2">
      <c r="A473" s="29">
        <v>44317</v>
      </c>
      <c r="B473" s="19">
        <v>0</v>
      </c>
      <c r="C473" s="19">
        <v>0</v>
      </c>
      <c r="D473" s="19">
        <v>720.35940000000005</v>
      </c>
      <c r="E473" s="19">
        <v>848.3185522436919</v>
      </c>
      <c r="F473" s="19">
        <v>366.1782</v>
      </c>
      <c r="G473" s="19">
        <v>387.0093076837602</v>
      </c>
      <c r="H473" s="20">
        <v>0.17763237662157505</v>
      </c>
      <c r="I473" s="20">
        <v>5.6887896886707701E-2</v>
      </c>
      <c r="J473" s="20">
        <v>0.13693981683418244</v>
      </c>
    </row>
    <row r="474" spans="1:10" ht="11.25" customHeight="1" x14ac:dyDescent="0.2">
      <c r="A474" s="29">
        <v>44348</v>
      </c>
      <c r="B474" s="19">
        <v>0</v>
      </c>
      <c r="C474" s="19">
        <v>0</v>
      </c>
      <c r="D474" s="19">
        <v>565.4434</v>
      </c>
      <c r="E474" s="19">
        <v>665.88445498698388</v>
      </c>
      <c r="F474" s="19">
        <v>287.43020000000001</v>
      </c>
      <c r="G474" s="19">
        <v>303.78149957972573</v>
      </c>
      <c r="H474" s="20">
        <v>0.17763237662157505</v>
      </c>
      <c r="I474" s="20">
        <v>5.6887896886707479E-2</v>
      </c>
      <c r="J474" s="20">
        <v>0.13693981683418222</v>
      </c>
    </row>
    <row r="475" spans="1:10" ht="11.25" customHeight="1" x14ac:dyDescent="0.2">
      <c r="A475" s="29">
        <v>44378</v>
      </c>
      <c r="B475" s="19">
        <v>0</v>
      </c>
      <c r="C475" s="19">
        <v>0</v>
      </c>
      <c r="D475" s="19">
        <v>611.91820000000007</v>
      </c>
      <c r="E475" s="19">
        <v>720.61468416399634</v>
      </c>
      <c r="F475" s="19">
        <v>311.05459999999999</v>
      </c>
      <c r="G475" s="19">
        <v>328.74984201093605</v>
      </c>
      <c r="H475" s="20">
        <v>0.17763237662157505</v>
      </c>
      <c r="I475" s="20">
        <v>5.6887896886707479E-2</v>
      </c>
      <c r="J475" s="20">
        <v>0.13693981683418244</v>
      </c>
    </row>
    <row r="476" spans="1:10" ht="11.25" customHeight="1" x14ac:dyDescent="0.2">
      <c r="A476" s="29">
        <v>44409</v>
      </c>
      <c r="B476" s="19">
        <v>0</v>
      </c>
      <c r="C476" s="19">
        <v>0</v>
      </c>
      <c r="D476" s="19">
        <v>704.8678000000001</v>
      </c>
      <c r="E476" s="19">
        <v>830.07514251802104</v>
      </c>
      <c r="F476" s="19">
        <v>358.30340000000001</v>
      </c>
      <c r="G476" s="19">
        <v>378.68652687335674</v>
      </c>
      <c r="H476" s="20">
        <v>0.17763237662157483</v>
      </c>
      <c r="I476" s="20">
        <v>5.6887896886707479E-2</v>
      </c>
      <c r="J476" s="20">
        <v>0.13693981683418199</v>
      </c>
    </row>
    <row r="477" spans="1:10" ht="11.25" customHeight="1" x14ac:dyDescent="0.2">
      <c r="A477" s="29">
        <v>44440</v>
      </c>
      <c r="B477" s="19">
        <v>0</v>
      </c>
      <c r="C477" s="19">
        <v>0</v>
      </c>
      <c r="D477" s="19">
        <v>666.13880000000006</v>
      </c>
      <c r="E477" s="19">
        <v>784.46661820384406</v>
      </c>
      <c r="F477" s="19">
        <v>338.6164</v>
      </c>
      <c r="G477" s="19">
        <v>357.87957484734812</v>
      </c>
      <c r="H477" s="20">
        <v>0.17763237662157505</v>
      </c>
      <c r="I477" s="20">
        <v>5.6887896886707479E-2</v>
      </c>
      <c r="J477" s="20">
        <v>0.13693981683418222</v>
      </c>
    </row>
    <row r="478" spans="1:10" ht="11.25" customHeight="1" x14ac:dyDescent="0.2">
      <c r="A478" s="29">
        <v>44470</v>
      </c>
      <c r="B478" s="19">
        <v>0</v>
      </c>
      <c r="C478" s="19">
        <v>0</v>
      </c>
      <c r="D478" s="19">
        <v>23.237400000000001</v>
      </c>
      <c r="E478" s="19">
        <v>27.365114588506188</v>
      </c>
      <c r="F478" s="19">
        <v>11.812200000000001</v>
      </c>
      <c r="G478" s="19">
        <v>12.484171215605166</v>
      </c>
      <c r="H478" s="20">
        <v>0.17763237662157505</v>
      </c>
      <c r="I478" s="20">
        <v>5.6887896886707479E-2</v>
      </c>
      <c r="J478" s="20">
        <v>0.13693981683418222</v>
      </c>
    </row>
    <row r="479" spans="1:10" ht="11.25" customHeight="1" x14ac:dyDescent="0.2">
      <c r="A479" s="29">
        <v>44501</v>
      </c>
      <c r="B479" s="19">
        <v>0</v>
      </c>
      <c r="C479" s="19">
        <v>0</v>
      </c>
      <c r="D479" s="19">
        <v>23.237400000000001</v>
      </c>
      <c r="E479" s="19">
        <v>27.365114588506188</v>
      </c>
      <c r="F479" s="19">
        <v>11.812200000000001</v>
      </c>
      <c r="G479" s="19">
        <v>12.484171215605166</v>
      </c>
      <c r="H479" s="20">
        <v>0.17763237662157505</v>
      </c>
      <c r="I479" s="20">
        <v>5.6887896886707479E-2</v>
      </c>
      <c r="J479" s="20">
        <v>0.13693981683418222</v>
      </c>
    </row>
    <row r="480" spans="1:10" ht="11.25" customHeight="1" x14ac:dyDescent="0.2">
      <c r="A480" s="29">
        <v>44531</v>
      </c>
      <c r="B480" s="19">
        <v>0</v>
      </c>
      <c r="C480" s="19">
        <v>0</v>
      </c>
      <c r="D480" s="19">
        <v>46.474800000000002</v>
      </c>
      <c r="E480" s="19">
        <v>54.730229177012376</v>
      </c>
      <c r="F480" s="19">
        <v>23.624400000000001</v>
      </c>
      <c r="G480" s="19">
        <v>24.968342431210331</v>
      </c>
      <c r="H480" s="20">
        <v>0.17763237662157505</v>
      </c>
      <c r="I480" s="20">
        <v>5.6887896886707479E-2</v>
      </c>
      <c r="J480" s="20">
        <v>0.13693981683418222</v>
      </c>
    </row>
    <row r="481" spans="1:10" ht="11.25" customHeight="1" x14ac:dyDescent="0.2">
      <c r="A481" s="29">
        <v>44562</v>
      </c>
      <c r="B481" s="19">
        <v>0</v>
      </c>
      <c r="C481" s="19">
        <v>0</v>
      </c>
      <c r="D481" s="19">
        <v>61.966400000000007</v>
      </c>
      <c r="E481" s="19">
        <v>72.973638902683177</v>
      </c>
      <c r="F481" s="19">
        <v>31.499200000000002</v>
      </c>
      <c r="G481" s="19">
        <v>33.291123241613775</v>
      </c>
      <c r="H481" s="20">
        <v>0.17763237662157505</v>
      </c>
      <c r="I481" s="20">
        <v>5.6887896886707479E-2</v>
      </c>
      <c r="J481" s="20">
        <v>0.13693981683418222</v>
      </c>
    </row>
    <row r="482" spans="1:10" ht="11.25" customHeight="1" x14ac:dyDescent="0.2">
      <c r="A482" s="29">
        <v>44593</v>
      </c>
      <c r="B482" s="19">
        <v>0</v>
      </c>
      <c r="C482" s="19">
        <v>0</v>
      </c>
      <c r="D482" s="19">
        <v>54.220600000000005</v>
      </c>
      <c r="E482" s="19">
        <v>63.851934039847777</v>
      </c>
      <c r="F482" s="19">
        <v>27.561800000000002</v>
      </c>
      <c r="G482" s="19">
        <v>29.129732836412057</v>
      </c>
      <c r="H482" s="20">
        <v>0.17763237662157505</v>
      </c>
      <c r="I482" s="20">
        <v>5.6887896886707479E-2</v>
      </c>
      <c r="J482" s="20">
        <v>0.13693981683418222</v>
      </c>
    </row>
    <row r="483" spans="1:10" ht="11.25" customHeight="1" x14ac:dyDescent="0.2">
      <c r="A483" s="29">
        <v>44621</v>
      </c>
      <c r="B483" s="19">
        <v>0</v>
      </c>
      <c r="C483" s="19">
        <v>0</v>
      </c>
      <c r="D483" s="19">
        <v>54.220600000000005</v>
      </c>
      <c r="E483" s="19">
        <v>63.851934039847777</v>
      </c>
      <c r="F483" s="19">
        <v>27.561800000000002</v>
      </c>
      <c r="G483" s="19">
        <v>29.129732836412057</v>
      </c>
      <c r="H483" s="20">
        <v>0.17763237662157505</v>
      </c>
      <c r="I483" s="20">
        <v>5.6887896886707479E-2</v>
      </c>
      <c r="J483" s="20">
        <v>0.13693981683418222</v>
      </c>
    </row>
    <row r="484" spans="1:10" ht="11.25" customHeight="1" x14ac:dyDescent="0.2">
      <c r="A484" s="26" t="s">
        <v>52</v>
      </c>
      <c r="B484" s="19">
        <v>0</v>
      </c>
      <c r="C484" s="19">
        <v>0</v>
      </c>
      <c r="D484" s="19">
        <v>929.49599999999987</v>
      </c>
      <c r="E484" s="19">
        <v>1094.6045835402474</v>
      </c>
      <c r="F484" s="19">
        <v>472.48800000000006</v>
      </c>
      <c r="G484" s="19">
        <v>499.36684862420668</v>
      </c>
      <c r="H484" s="20">
        <v>0.17763237662157505</v>
      </c>
      <c r="I484" s="20">
        <v>5.6887896886707479E-2</v>
      </c>
      <c r="J484" s="20">
        <v>0.13693981683418244</v>
      </c>
    </row>
    <row r="485" spans="1:10" ht="11.25" customHeight="1" x14ac:dyDescent="0.2">
      <c r="A485" s="27" t="s">
        <v>25</v>
      </c>
      <c r="B485" s="19">
        <v>0</v>
      </c>
      <c r="C485" s="19">
        <v>0</v>
      </c>
      <c r="D485" s="19">
        <v>929.49599999999987</v>
      </c>
      <c r="E485" s="19">
        <v>1094.6045835402474</v>
      </c>
      <c r="F485" s="19">
        <v>472.48800000000006</v>
      </c>
      <c r="G485" s="19">
        <v>499.36684862420668</v>
      </c>
      <c r="H485" s="20">
        <v>0.17763237662157505</v>
      </c>
      <c r="I485" s="20">
        <v>5.6887896886707479E-2</v>
      </c>
      <c r="J485" s="20">
        <v>0.13693981683418244</v>
      </c>
    </row>
    <row r="486" spans="1:10" ht="11.25" customHeight="1" x14ac:dyDescent="0.2">
      <c r="A486" s="28" t="s">
        <v>25</v>
      </c>
      <c r="B486" s="19">
        <v>0</v>
      </c>
      <c r="C486" s="19">
        <v>0</v>
      </c>
      <c r="D486" s="19">
        <v>929.49599999999987</v>
      </c>
      <c r="E486" s="19">
        <v>1094.6045835402474</v>
      </c>
      <c r="F486" s="19">
        <v>472.48800000000006</v>
      </c>
      <c r="G486" s="19">
        <v>499.36684862420668</v>
      </c>
      <c r="H486" s="20">
        <v>0.17763237662157505</v>
      </c>
      <c r="I486" s="20">
        <v>5.6887896886707479E-2</v>
      </c>
      <c r="J486" s="20">
        <v>0.13693981683418244</v>
      </c>
    </row>
    <row r="487" spans="1:10" ht="11.25" customHeight="1" x14ac:dyDescent="0.2">
      <c r="A487" s="29">
        <v>44287</v>
      </c>
      <c r="B487" s="19">
        <v>0</v>
      </c>
      <c r="C487" s="19">
        <v>0</v>
      </c>
      <c r="D487" s="19">
        <v>167.30928</v>
      </c>
      <c r="E487" s="19">
        <v>197.02882503724456</v>
      </c>
      <c r="F487" s="19">
        <v>85.047840000000008</v>
      </c>
      <c r="G487" s="19">
        <v>89.886032752357195</v>
      </c>
      <c r="H487" s="20">
        <v>0.17763237662157505</v>
      </c>
      <c r="I487" s="20">
        <v>5.6887896886707479E-2</v>
      </c>
      <c r="J487" s="20">
        <v>0.13693981683418222</v>
      </c>
    </row>
    <row r="488" spans="1:10" ht="11.25" customHeight="1" x14ac:dyDescent="0.2">
      <c r="A488" s="29">
        <v>44317</v>
      </c>
      <c r="B488" s="19">
        <v>0</v>
      </c>
      <c r="C488" s="19">
        <v>0</v>
      </c>
      <c r="D488" s="19">
        <v>158.01432</v>
      </c>
      <c r="E488" s="19">
        <v>186.08277920184207</v>
      </c>
      <c r="F488" s="19">
        <v>80.322959999999995</v>
      </c>
      <c r="G488" s="19">
        <v>84.892364266115123</v>
      </c>
      <c r="H488" s="20">
        <v>0.17763237662157505</v>
      </c>
      <c r="I488" s="20">
        <v>5.6887896886707479E-2</v>
      </c>
      <c r="J488" s="20">
        <v>0.13693981683418222</v>
      </c>
    </row>
    <row r="489" spans="1:10" ht="11.25" customHeight="1" x14ac:dyDescent="0.2">
      <c r="A489" s="29">
        <v>44348</v>
      </c>
      <c r="B489" s="19">
        <v>0</v>
      </c>
      <c r="C489" s="19">
        <v>0</v>
      </c>
      <c r="D489" s="19">
        <v>127.03112000000002</v>
      </c>
      <c r="E489" s="19">
        <v>149.5959597505005</v>
      </c>
      <c r="F489" s="19">
        <v>64.573360000000008</v>
      </c>
      <c r="G489" s="19">
        <v>68.24680264530825</v>
      </c>
      <c r="H489" s="20">
        <v>0.17763237662157483</v>
      </c>
      <c r="I489" s="20">
        <v>5.6887896886707479E-2</v>
      </c>
      <c r="J489" s="20">
        <v>0.13693981683418199</v>
      </c>
    </row>
    <row r="490" spans="1:10" ht="11.25" customHeight="1" x14ac:dyDescent="0.2">
      <c r="A490" s="29">
        <v>44378</v>
      </c>
      <c r="B490" s="19">
        <v>0</v>
      </c>
      <c r="C490" s="19">
        <v>0</v>
      </c>
      <c r="D490" s="19">
        <v>133.22775999999999</v>
      </c>
      <c r="E490" s="19">
        <v>156.89332364076881</v>
      </c>
      <c r="F490" s="19">
        <v>67.723280000000003</v>
      </c>
      <c r="G490" s="19">
        <v>71.575914969469622</v>
      </c>
      <c r="H490" s="20">
        <v>0.17763237662157505</v>
      </c>
      <c r="I490" s="20">
        <v>5.6887896886707479E-2</v>
      </c>
      <c r="J490" s="20">
        <v>0.13693981683418244</v>
      </c>
    </row>
    <row r="491" spans="1:10" ht="11.25" customHeight="1" x14ac:dyDescent="0.2">
      <c r="A491" s="29">
        <v>44409</v>
      </c>
      <c r="B491" s="19">
        <v>0</v>
      </c>
      <c r="C491" s="19">
        <v>0</v>
      </c>
      <c r="D491" s="19">
        <v>158.01432</v>
      </c>
      <c r="E491" s="19">
        <v>186.08277920184207</v>
      </c>
      <c r="F491" s="19">
        <v>80.322959999999995</v>
      </c>
      <c r="G491" s="19">
        <v>84.892364266115123</v>
      </c>
      <c r="H491" s="20">
        <v>0.17763237662157505</v>
      </c>
      <c r="I491" s="20">
        <v>5.6887896886707479E-2</v>
      </c>
      <c r="J491" s="20">
        <v>0.13693981683418222</v>
      </c>
    </row>
    <row r="492" spans="1:10" ht="11.25" customHeight="1" x14ac:dyDescent="0.2">
      <c r="A492" s="29">
        <v>44440</v>
      </c>
      <c r="B492" s="19">
        <v>0</v>
      </c>
      <c r="C492" s="19">
        <v>0</v>
      </c>
      <c r="D492" s="19">
        <v>142.52271999999999</v>
      </c>
      <c r="E492" s="19">
        <v>167.8393694761713</v>
      </c>
      <c r="F492" s="19">
        <v>72.448160000000001</v>
      </c>
      <c r="G492" s="19">
        <v>76.56958345571168</v>
      </c>
      <c r="H492" s="20">
        <v>0.17763237662157527</v>
      </c>
      <c r="I492" s="20">
        <v>5.6887896886707479E-2</v>
      </c>
      <c r="J492" s="20">
        <v>0.13693981683418244</v>
      </c>
    </row>
    <row r="493" spans="1:10" ht="11.25" customHeight="1" x14ac:dyDescent="0.2">
      <c r="A493" s="29">
        <v>44470</v>
      </c>
      <c r="B493" s="19">
        <v>0</v>
      </c>
      <c r="C493" s="19">
        <v>0</v>
      </c>
      <c r="D493" s="19">
        <v>6.1966400000000004</v>
      </c>
      <c r="E493" s="19">
        <v>7.2973638902683167</v>
      </c>
      <c r="F493" s="19">
        <v>3.1499200000000003</v>
      </c>
      <c r="G493" s="19">
        <v>3.3291123241613776</v>
      </c>
      <c r="H493" s="20">
        <v>0.17763237662157505</v>
      </c>
      <c r="I493" s="20">
        <v>5.6887896886707479E-2</v>
      </c>
      <c r="J493" s="20">
        <v>0.13693981683418222</v>
      </c>
    </row>
    <row r="494" spans="1:10" ht="11.25" customHeight="1" x14ac:dyDescent="0.2">
      <c r="A494" s="29">
        <v>44501</v>
      </c>
      <c r="B494" s="19">
        <v>0</v>
      </c>
      <c r="C494" s="19">
        <v>0</v>
      </c>
      <c r="D494" s="19">
        <v>6.1966400000000004</v>
      </c>
      <c r="E494" s="19">
        <v>7.2973638902683167</v>
      </c>
      <c r="F494" s="19">
        <v>3.1499200000000003</v>
      </c>
      <c r="G494" s="19">
        <v>3.3291123241613776</v>
      </c>
      <c r="H494" s="20">
        <v>0.17763237662157505</v>
      </c>
      <c r="I494" s="20">
        <v>5.6887896886707479E-2</v>
      </c>
      <c r="J494" s="20">
        <v>0.13693981683418222</v>
      </c>
    </row>
    <row r="495" spans="1:10" ht="11.25" customHeight="1" x14ac:dyDescent="0.2">
      <c r="A495" s="29">
        <v>44562</v>
      </c>
      <c r="B495" s="19">
        <v>0</v>
      </c>
      <c r="C495" s="19">
        <v>0</v>
      </c>
      <c r="D495" s="19">
        <v>12.393280000000001</v>
      </c>
      <c r="E495" s="19">
        <v>14.594727780536633</v>
      </c>
      <c r="F495" s="19">
        <v>6.2998400000000006</v>
      </c>
      <c r="G495" s="19">
        <v>6.6582246483227552</v>
      </c>
      <c r="H495" s="20">
        <v>0.17763237662157505</v>
      </c>
      <c r="I495" s="20">
        <v>5.6887896886707479E-2</v>
      </c>
      <c r="J495" s="20">
        <v>0.13693981683418222</v>
      </c>
    </row>
    <row r="496" spans="1:10" ht="11.25" customHeight="1" x14ac:dyDescent="0.2">
      <c r="A496" s="29">
        <v>44593</v>
      </c>
      <c r="B496" s="19">
        <v>0</v>
      </c>
      <c r="C496" s="19">
        <v>0</v>
      </c>
      <c r="D496" s="19">
        <v>9.2949600000000014</v>
      </c>
      <c r="E496" s="19">
        <v>10.946045835402476</v>
      </c>
      <c r="F496" s="19">
        <v>4.7248800000000006</v>
      </c>
      <c r="G496" s="19">
        <v>4.9936684862420666</v>
      </c>
      <c r="H496" s="20">
        <v>0.17763237662157483</v>
      </c>
      <c r="I496" s="20">
        <v>5.6887896886707479E-2</v>
      </c>
      <c r="J496" s="20">
        <v>0.13693981683418222</v>
      </c>
    </row>
    <row r="497" spans="1:10" ht="11.25" customHeight="1" x14ac:dyDescent="0.2">
      <c r="A497" s="29">
        <v>44621</v>
      </c>
      <c r="B497" s="19">
        <v>0</v>
      </c>
      <c r="C497" s="19">
        <v>0</v>
      </c>
      <c r="D497" s="19">
        <v>9.2949600000000014</v>
      </c>
      <c r="E497" s="19">
        <v>10.946045835402476</v>
      </c>
      <c r="F497" s="19">
        <v>4.7248800000000006</v>
      </c>
      <c r="G497" s="19">
        <v>4.9936684862420666</v>
      </c>
      <c r="H497" s="20">
        <v>0.17763237662157483</v>
      </c>
      <c r="I497" s="20">
        <v>5.6887896886707479E-2</v>
      </c>
      <c r="J497" s="20">
        <v>0.13693981683418222</v>
      </c>
    </row>
    <row r="498" spans="1:10" ht="11.25" customHeight="1" x14ac:dyDescent="0.2">
      <c r="A498" s="25" t="s">
        <v>25</v>
      </c>
      <c r="B498" s="19">
        <v>0</v>
      </c>
      <c r="C498" s="19">
        <v>0</v>
      </c>
      <c r="D498" s="19">
        <v>10866660.66529</v>
      </c>
      <c r="E498" s="19">
        <v>12796931.425205648</v>
      </c>
      <c r="F498" s="19">
        <v>5523818.0308699999</v>
      </c>
      <c r="G498" s="19">
        <v>5838056.4214310683</v>
      </c>
      <c r="H498" s="20">
        <v>0.17763237662157505</v>
      </c>
      <c r="I498" s="20">
        <v>5.6887896886707257E-2</v>
      </c>
      <c r="J498" s="20">
        <v>0.13693981683418222</v>
      </c>
    </row>
    <row r="499" spans="1:10" ht="11.25" customHeight="1" x14ac:dyDescent="0.2">
      <c r="A499" s="26" t="s">
        <v>25</v>
      </c>
      <c r="B499" s="19">
        <v>0</v>
      </c>
      <c r="C499" s="19">
        <v>0</v>
      </c>
      <c r="D499" s="19">
        <v>10866660.66529</v>
      </c>
      <c r="E499" s="19">
        <v>12796931.425205648</v>
      </c>
      <c r="F499" s="19">
        <v>5523818.0308699999</v>
      </c>
      <c r="G499" s="19">
        <v>5838056.4214310683</v>
      </c>
      <c r="H499" s="20">
        <v>0.17763237662157505</v>
      </c>
      <c r="I499" s="20">
        <v>5.6887896886707257E-2</v>
      </c>
      <c r="J499" s="20">
        <v>0.13693981683418222</v>
      </c>
    </row>
    <row r="500" spans="1:10" ht="11.25" customHeight="1" x14ac:dyDescent="0.2">
      <c r="A500" s="27" t="s">
        <v>25</v>
      </c>
      <c r="B500" s="19">
        <v>0</v>
      </c>
      <c r="C500" s="19">
        <v>0</v>
      </c>
      <c r="D500" s="19">
        <v>10866660.66529</v>
      </c>
      <c r="E500" s="19">
        <v>12796931.425205648</v>
      </c>
      <c r="F500" s="19">
        <v>5523818.0308699999</v>
      </c>
      <c r="G500" s="19">
        <v>5838056.4214310683</v>
      </c>
      <c r="H500" s="20">
        <v>0.17763237662157505</v>
      </c>
      <c r="I500" s="20">
        <v>5.6887896886707257E-2</v>
      </c>
      <c r="J500" s="20">
        <v>0.13693981683418222</v>
      </c>
    </row>
    <row r="501" spans="1:10" ht="11.25" customHeight="1" x14ac:dyDescent="0.2">
      <c r="A501" s="28" t="s">
        <v>25</v>
      </c>
      <c r="B501" s="19">
        <v>0</v>
      </c>
      <c r="C501" s="19">
        <v>0</v>
      </c>
      <c r="D501" s="19">
        <v>10866660.66529</v>
      </c>
      <c r="E501" s="19">
        <v>12796931.425205648</v>
      </c>
      <c r="F501" s="19">
        <v>5523818.0308699999</v>
      </c>
      <c r="G501" s="19">
        <v>5838056.4214310683</v>
      </c>
      <c r="H501" s="20">
        <v>0.17763237662157505</v>
      </c>
      <c r="I501" s="20">
        <v>5.6887896886707257E-2</v>
      </c>
      <c r="J501" s="20">
        <v>0.13693981683418222</v>
      </c>
    </row>
    <row r="502" spans="1:10" ht="11.25" customHeight="1" x14ac:dyDescent="0.2">
      <c r="A502" s="29">
        <v>44287</v>
      </c>
      <c r="B502" s="19">
        <v>0</v>
      </c>
      <c r="C502" s="19">
        <v>0</v>
      </c>
      <c r="D502" s="19">
        <v>990565.43636000017</v>
      </c>
      <c r="E502" s="19">
        <v>1166521.9290198144</v>
      </c>
      <c r="F502" s="19">
        <v>503531.24908000004</v>
      </c>
      <c r="G502" s="19">
        <v>532176.08285689808</v>
      </c>
      <c r="H502" s="20">
        <v>0.17763237662157483</v>
      </c>
      <c r="I502" s="20">
        <v>5.6887896886707479E-2</v>
      </c>
      <c r="J502" s="20">
        <v>0.13693981683418222</v>
      </c>
    </row>
    <row r="503" spans="1:10" ht="11.25" customHeight="1" x14ac:dyDescent="0.2">
      <c r="A503" s="29">
        <v>44317</v>
      </c>
      <c r="B503" s="19">
        <v>0</v>
      </c>
      <c r="C503" s="19">
        <v>0</v>
      </c>
      <c r="D503" s="19">
        <v>957327.04668999999</v>
      </c>
      <c r="E503" s="19">
        <v>1127379.3251976583</v>
      </c>
      <c r="F503" s="19">
        <v>486635.27507000003</v>
      </c>
      <c r="G503" s="19">
        <v>514318.93241961667</v>
      </c>
      <c r="H503" s="20">
        <v>0.17763237662157505</v>
      </c>
      <c r="I503" s="20">
        <v>5.6887896886707479E-2</v>
      </c>
      <c r="J503" s="20">
        <v>0.13693981683418222</v>
      </c>
    </row>
    <row r="504" spans="1:10" ht="11.25" customHeight="1" x14ac:dyDescent="0.2">
      <c r="A504" s="29">
        <v>44348</v>
      </c>
      <c r="B504" s="19">
        <v>0</v>
      </c>
      <c r="C504" s="19">
        <v>0</v>
      </c>
      <c r="D504" s="19">
        <v>764694.81004000013</v>
      </c>
      <c r="E504" s="19">
        <v>900529.36653758911</v>
      </c>
      <c r="F504" s="19">
        <v>388715.09012000001</v>
      </c>
      <c r="G504" s="19">
        <v>410828.27408505382</v>
      </c>
      <c r="H504" s="20">
        <v>0.17763237662157483</v>
      </c>
      <c r="I504" s="20">
        <v>5.6887896886707701E-2</v>
      </c>
      <c r="J504" s="20">
        <v>0.13693981683418199</v>
      </c>
    </row>
    <row r="505" spans="1:10" ht="11.25" customHeight="1" x14ac:dyDescent="0.2">
      <c r="A505" s="29">
        <v>44378</v>
      </c>
      <c r="B505" s="19">
        <v>0</v>
      </c>
      <c r="C505" s="19">
        <v>0</v>
      </c>
      <c r="D505" s="19">
        <v>780987.32576000015</v>
      </c>
      <c r="E505" s="19">
        <v>919715.960546077</v>
      </c>
      <c r="F505" s="19">
        <v>396997.01728000003</v>
      </c>
      <c r="G505" s="19">
        <v>419581.34266335506</v>
      </c>
      <c r="H505" s="20">
        <v>0.17763237662157483</v>
      </c>
      <c r="I505" s="20">
        <v>5.6887896886707479E-2</v>
      </c>
      <c r="J505" s="20">
        <v>0.13693981683418199</v>
      </c>
    </row>
    <row r="506" spans="1:10" ht="11.25" customHeight="1" x14ac:dyDescent="0.2">
      <c r="A506" s="29">
        <v>44409</v>
      </c>
      <c r="B506" s="19">
        <v>0</v>
      </c>
      <c r="C506" s="19">
        <v>0</v>
      </c>
      <c r="D506" s="19">
        <v>914200.36874000006</v>
      </c>
      <c r="E506" s="19">
        <v>1076591.9529476066</v>
      </c>
      <c r="F506" s="19">
        <v>464712.81622000004</v>
      </c>
      <c r="G506" s="19">
        <v>491149.35099105485</v>
      </c>
      <c r="H506" s="20">
        <v>0.17763237662157505</v>
      </c>
      <c r="I506" s="20">
        <v>5.6887896886707479E-2</v>
      </c>
      <c r="J506" s="20">
        <v>0.13693981683418222</v>
      </c>
    </row>
    <row r="507" spans="1:10" ht="11.25" customHeight="1" x14ac:dyDescent="0.2">
      <c r="A507" s="29">
        <v>44440</v>
      </c>
      <c r="B507" s="19">
        <v>0</v>
      </c>
      <c r="C507" s="19">
        <v>0</v>
      </c>
      <c r="D507" s="19">
        <v>993130.84531999996</v>
      </c>
      <c r="E507" s="19">
        <v>1169543.0376703853</v>
      </c>
      <c r="F507" s="19">
        <v>504835.31595999998</v>
      </c>
      <c r="G507" s="19">
        <v>533554.33535910083</v>
      </c>
      <c r="H507" s="20">
        <v>0.17763237662157505</v>
      </c>
      <c r="I507" s="20">
        <v>5.6887896886707479E-2</v>
      </c>
      <c r="J507" s="20">
        <v>0.13693981683418222</v>
      </c>
    </row>
    <row r="508" spans="1:10" ht="11.25" customHeight="1" x14ac:dyDescent="0.2">
      <c r="A508" s="29">
        <v>44470</v>
      </c>
      <c r="B508" s="19">
        <v>0</v>
      </c>
      <c r="C508" s="19">
        <v>0</v>
      </c>
      <c r="D508" s="19">
        <v>865237.61778000009</v>
      </c>
      <c r="E508" s="19">
        <v>1018931.8321686513</v>
      </c>
      <c r="F508" s="19">
        <v>439823.72333999997</v>
      </c>
      <c r="G508" s="19">
        <v>464844.36996169365</v>
      </c>
      <c r="H508" s="20">
        <v>0.17763237662157483</v>
      </c>
      <c r="I508" s="20">
        <v>5.6887896886707479E-2</v>
      </c>
      <c r="J508" s="20">
        <v>0.13693981683418222</v>
      </c>
    </row>
    <row r="509" spans="1:10" ht="11.25" customHeight="1" x14ac:dyDescent="0.2">
      <c r="A509" s="29">
        <v>44501</v>
      </c>
      <c r="B509" s="19">
        <v>0</v>
      </c>
      <c r="C509" s="19">
        <v>0</v>
      </c>
      <c r="D509" s="19">
        <v>989784.27243000001</v>
      </c>
      <c r="E509" s="19">
        <v>1165602.0050843973</v>
      </c>
      <c r="F509" s="19">
        <v>503134.16228999995</v>
      </c>
      <c r="G509" s="19">
        <v>531756.40663453355</v>
      </c>
      <c r="H509" s="20">
        <v>0.17763237662157483</v>
      </c>
      <c r="I509" s="20">
        <v>5.6887896886707701E-2</v>
      </c>
      <c r="J509" s="20">
        <v>0.13693981683418222</v>
      </c>
    </row>
    <row r="510" spans="1:10" ht="11.25" customHeight="1" x14ac:dyDescent="0.2">
      <c r="A510" s="29">
        <v>44531</v>
      </c>
      <c r="B510" s="19">
        <v>0</v>
      </c>
      <c r="C510" s="19">
        <v>0</v>
      </c>
      <c r="D510" s="19">
        <v>891091.54902000015</v>
      </c>
      <c r="E510" s="19">
        <v>1049378.2586598233</v>
      </c>
      <c r="F510" s="19">
        <v>452965.97706000006</v>
      </c>
      <c r="G510" s="19">
        <v>478734.25885617605</v>
      </c>
      <c r="H510" s="20">
        <v>0.17763237662157483</v>
      </c>
      <c r="I510" s="20">
        <v>5.6887896886707479E-2</v>
      </c>
      <c r="J510" s="20">
        <v>0.13693981683418199</v>
      </c>
    </row>
    <row r="511" spans="1:10" ht="11.25" customHeight="1" x14ac:dyDescent="0.2">
      <c r="A511" s="29">
        <v>44562</v>
      </c>
      <c r="B511" s="19">
        <v>0</v>
      </c>
      <c r="C511" s="19">
        <v>0</v>
      </c>
      <c r="D511" s="19">
        <v>870966.79875000007</v>
      </c>
      <c r="E511" s="19">
        <v>1025678.7011704476</v>
      </c>
      <c r="F511" s="19">
        <v>442736.02124999999</v>
      </c>
      <c r="G511" s="19">
        <v>467922.34237490111</v>
      </c>
      <c r="H511" s="20">
        <v>0.17763237662157505</v>
      </c>
      <c r="I511" s="20">
        <v>5.6887896886707479E-2</v>
      </c>
      <c r="J511" s="20">
        <v>0.13693981683418222</v>
      </c>
    </row>
    <row r="512" spans="1:10" ht="11.25" customHeight="1" x14ac:dyDescent="0.2">
      <c r="A512" s="29">
        <v>44593</v>
      </c>
      <c r="B512" s="19">
        <v>0</v>
      </c>
      <c r="C512" s="19">
        <v>0</v>
      </c>
      <c r="D512" s="19">
        <v>924337.29720000003</v>
      </c>
      <c r="E512" s="19">
        <v>1088529.5281015991</v>
      </c>
      <c r="F512" s="19">
        <v>469865.69160000002</v>
      </c>
      <c r="G512" s="19">
        <v>496595.3626143423</v>
      </c>
      <c r="H512" s="20">
        <v>0.17763237662157483</v>
      </c>
      <c r="I512" s="20">
        <v>5.6887896886707479E-2</v>
      </c>
      <c r="J512" s="20">
        <v>0.13693981683418222</v>
      </c>
    </row>
    <row r="513" spans="1:10" ht="11.25" customHeight="1" x14ac:dyDescent="0.2">
      <c r="A513" s="29">
        <v>44621</v>
      </c>
      <c r="B513" s="19">
        <v>0</v>
      </c>
      <c r="C513" s="19">
        <v>0</v>
      </c>
      <c r="D513" s="19">
        <v>924337.29720000003</v>
      </c>
      <c r="E513" s="19">
        <v>1088529.5281015991</v>
      </c>
      <c r="F513" s="19">
        <v>469865.69160000002</v>
      </c>
      <c r="G513" s="19">
        <v>496595.3626143423</v>
      </c>
      <c r="H513" s="20">
        <v>0.17763237662157483</v>
      </c>
      <c r="I513" s="20">
        <v>5.6887896886707479E-2</v>
      </c>
      <c r="J513" s="20">
        <v>0.13693981683418222</v>
      </c>
    </row>
    <row r="514" spans="1:10" ht="11.25" customHeight="1" x14ac:dyDescent="0.2">
      <c r="A514" s="22" t="s">
        <v>37</v>
      </c>
      <c r="B514" s="19">
        <v>0</v>
      </c>
      <c r="C514" s="19">
        <v>0</v>
      </c>
      <c r="D514" s="19">
        <v>4099742.5191479991</v>
      </c>
      <c r="E514" s="19">
        <v>4519843.3229978373</v>
      </c>
      <c r="F514" s="19">
        <v>2084059.069265601</v>
      </c>
      <c r="G514" s="19">
        <v>2061986.5387194431</v>
      </c>
      <c r="H514" s="20">
        <v>0.10247004583525454</v>
      </c>
      <c r="I514" s="20">
        <v>-1.0591125209294283E-2</v>
      </c>
      <c r="J514" s="20">
        <v>6.4366274954464009E-2</v>
      </c>
    </row>
    <row r="515" spans="1:10" ht="11.25" customHeight="1" x14ac:dyDescent="0.2">
      <c r="A515" s="23" t="s">
        <v>23</v>
      </c>
      <c r="B515" s="19">
        <v>0</v>
      </c>
      <c r="C515" s="19">
        <v>0</v>
      </c>
      <c r="D515" s="19">
        <v>4099742.5191479991</v>
      </c>
      <c r="E515" s="19">
        <v>4519843.3229978373</v>
      </c>
      <c r="F515" s="19">
        <v>2084059.069265601</v>
      </c>
      <c r="G515" s="19">
        <v>2061986.5387194431</v>
      </c>
      <c r="H515" s="20">
        <v>0.10247004583525454</v>
      </c>
      <c r="I515" s="20">
        <v>-1.0591125209294283E-2</v>
      </c>
      <c r="J515" s="20">
        <v>6.4366274954464009E-2</v>
      </c>
    </row>
    <row r="516" spans="1:10" ht="11.25" customHeight="1" x14ac:dyDescent="0.2">
      <c r="A516" s="24" t="s">
        <v>39</v>
      </c>
      <c r="B516" s="19">
        <v>0</v>
      </c>
      <c r="C516" s="19">
        <v>0</v>
      </c>
      <c r="D516" s="19">
        <v>3385764.9972000006</v>
      </c>
      <c r="E516" s="19">
        <v>3732704.4916504845</v>
      </c>
      <c r="F516" s="19">
        <v>1721116.4398400001</v>
      </c>
      <c r="G516" s="19">
        <v>1702887.8801258798</v>
      </c>
      <c r="H516" s="20">
        <v>0.10247004583525454</v>
      </c>
      <c r="I516" s="20">
        <v>-1.0591125209294061E-2</v>
      </c>
      <c r="J516" s="20">
        <v>6.4366274954463787E-2</v>
      </c>
    </row>
    <row r="517" spans="1:10" ht="11.25" customHeight="1" x14ac:dyDescent="0.2">
      <c r="A517" s="25" t="s">
        <v>25</v>
      </c>
      <c r="B517" s="19">
        <v>0</v>
      </c>
      <c r="C517" s="19">
        <v>0</v>
      </c>
      <c r="D517" s="19">
        <v>3385764.9972000006</v>
      </c>
      <c r="E517" s="19">
        <v>3732704.4916504845</v>
      </c>
      <c r="F517" s="19">
        <v>1721116.4398400001</v>
      </c>
      <c r="G517" s="19">
        <v>1702887.8801258798</v>
      </c>
      <c r="H517" s="20">
        <v>0.10247004583525454</v>
      </c>
      <c r="I517" s="20">
        <v>-1.0591125209294061E-2</v>
      </c>
      <c r="J517" s="20">
        <v>6.4366274954463787E-2</v>
      </c>
    </row>
    <row r="518" spans="1:10" ht="11.25" customHeight="1" x14ac:dyDescent="0.2">
      <c r="A518" s="26" t="s">
        <v>25</v>
      </c>
      <c r="B518" s="19">
        <v>0</v>
      </c>
      <c r="C518" s="19">
        <v>0</v>
      </c>
      <c r="D518" s="19">
        <v>3385764.9972000006</v>
      </c>
      <c r="E518" s="19">
        <v>3732704.4916504845</v>
      </c>
      <c r="F518" s="19">
        <v>1721116.4398400001</v>
      </c>
      <c r="G518" s="19">
        <v>1702887.8801258798</v>
      </c>
      <c r="H518" s="20">
        <v>0.10247004583525454</v>
      </c>
      <c r="I518" s="20">
        <v>-1.0591125209294061E-2</v>
      </c>
      <c r="J518" s="20">
        <v>6.4366274954463787E-2</v>
      </c>
    </row>
    <row r="519" spans="1:10" ht="11.25" customHeight="1" x14ac:dyDescent="0.2">
      <c r="A519" s="27" t="s">
        <v>25</v>
      </c>
      <c r="B519" s="19">
        <v>0</v>
      </c>
      <c r="C519" s="19">
        <v>0</v>
      </c>
      <c r="D519" s="19">
        <v>3385764.9972000006</v>
      </c>
      <c r="E519" s="19">
        <v>3732704.4916504845</v>
      </c>
      <c r="F519" s="19">
        <v>1721116.4398400001</v>
      </c>
      <c r="G519" s="19">
        <v>1702887.8801258798</v>
      </c>
      <c r="H519" s="20">
        <v>0.10247004583525454</v>
      </c>
      <c r="I519" s="20">
        <v>-1.0591125209294061E-2</v>
      </c>
      <c r="J519" s="20">
        <v>6.4366274954463787E-2</v>
      </c>
    </row>
    <row r="520" spans="1:10" ht="11.25" customHeight="1" x14ac:dyDescent="0.2">
      <c r="A520" s="28" t="s">
        <v>25</v>
      </c>
      <c r="B520" s="19">
        <v>0</v>
      </c>
      <c r="C520" s="19">
        <v>0</v>
      </c>
      <c r="D520" s="19">
        <v>3385764.9972000006</v>
      </c>
      <c r="E520" s="19">
        <v>3732704.4916504845</v>
      </c>
      <c r="F520" s="19">
        <v>1721116.4398400001</v>
      </c>
      <c r="G520" s="19">
        <v>1702887.8801258798</v>
      </c>
      <c r="H520" s="20">
        <v>0.10247004583525454</v>
      </c>
      <c r="I520" s="20">
        <v>-1.0591125209294061E-2</v>
      </c>
      <c r="J520" s="20">
        <v>6.4366274954463787E-2</v>
      </c>
    </row>
    <row r="521" spans="1:10" ht="11.25" customHeight="1" x14ac:dyDescent="0.2">
      <c r="A521" s="29">
        <v>44287</v>
      </c>
      <c r="B521" s="19">
        <v>0</v>
      </c>
      <c r="C521" s="19">
        <v>0</v>
      </c>
      <c r="D521" s="19">
        <v>279479.34359999996</v>
      </c>
      <c r="E521" s="19">
        <v>308117.60474869882</v>
      </c>
      <c r="F521" s="19">
        <v>142070.25392000002</v>
      </c>
      <c r="G521" s="19">
        <v>140565.57007221706</v>
      </c>
      <c r="H521" s="20">
        <v>0.10247004583525454</v>
      </c>
      <c r="I521" s="20">
        <v>-1.0591125209294283E-2</v>
      </c>
      <c r="J521" s="20">
        <v>6.4366274954464009E-2</v>
      </c>
    </row>
    <row r="522" spans="1:10" ht="11.25" customHeight="1" x14ac:dyDescent="0.2">
      <c r="A522" s="29">
        <v>44317</v>
      </c>
      <c r="B522" s="19">
        <v>0</v>
      </c>
      <c r="C522" s="19">
        <v>0</v>
      </c>
      <c r="D522" s="19">
        <v>270217.43910000002</v>
      </c>
      <c r="E522" s="19">
        <v>297906.63247006212</v>
      </c>
      <c r="F522" s="19">
        <v>137362.06651999999</v>
      </c>
      <c r="G522" s="19">
        <v>135907.24767447927</v>
      </c>
      <c r="H522" s="20">
        <v>0.10247004583525454</v>
      </c>
      <c r="I522" s="20">
        <v>-1.0591125209294283E-2</v>
      </c>
      <c r="J522" s="20">
        <v>6.4366274954463787E-2</v>
      </c>
    </row>
    <row r="523" spans="1:10" ht="11.25" customHeight="1" x14ac:dyDescent="0.2">
      <c r="A523" s="29">
        <v>44348</v>
      </c>
      <c r="B523" s="19">
        <v>0</v>
      </c>
      <c r="C523" s="19">
        <v>0</v>
      </c>
      <c r="D523" s="19">
        <v>247102.50690000001</v>
      </c>
      <c r="E523" s="19">
        <v>272423.11210804927</v>
      </c>
      <c r="F523" s="19">
        <v>125611.84468000001</v>
      </c>
      <c r="G523" s="19">
        <v>124281.47390522373</v>
      </c>
      <c r="H523" s="20">
        <v>0.10247004583525432</v>
      </c>
      <c r="I523" s="20">
        <v>-1.0591125209294061E-2</v>
      </c>
      <c r="J523" s="20">
        <v>6.4366274954463787E-2</v>
      </c>
    </row>
    <row r="524" spans="1:10" ht="11.25" customHeight="1" x14ac:dyDescent="0.2">
      <c r="A524" s="29">
        <v>44378</v>
      </c>
      <c r="B524" s="19">
        <v>0</v>
      </c>
      <c r="C524" s="19">
        <v>0</v>
      </c>
      <c r="D524" s="19">
        <v>243631.87830000001</v>
      </c>
      <c r="E524" s="19">
        <v>268596.84803633019</v>
      </c>
      <c r="F524" s="19">
        <v>123847.58876</v>
      </c>
      <c r="G524" s="19">
        <v>122535.90344057367</v>
      </c>
      <c r="H524" s="20">
        <v>0.10247004583525454</v>
      </c>
      <c r="I524" s="20">
        <v>-1.0591125209294061E-2</v>
      </c>
      <c r="J524" s="20">
        <v>6.4366274954464009E-2</v>
      </c>
    </row>
    <row r="525" spans="1:10" ht="11.25" customHeight="1" x14ac:dyDescent="0.2">
      <c r="A525" s="29">
        <v>44409</v>
      </c>
      <c r="B525" s="19">
        <v>0</v>
      </c>
      <c r="C525" s="19">
        <v>0</v>
      </c>
      <c r="D525" s="19">
        <v>266449.30290000001</v>
      </c>
      <c r="E525" s="19">
        <v>293752.37518093467</v>
      </c>
      <c r="F525" s="19">
        <v>135446.57587999999</v>
      </c>
      <c r="G525" s="19">
        <v>134012.04423568476</v>
      </c>
      <c r="H525" s="20">
        <v>0.10247004583525476</v>
      </c>
      <c r="I525" s="20">
        <v>-1.0591125209294061E-2</v>
      </c>
      <c r="J525" s="20">
        <v>6.4366274954464009E-2</v>
      </c>
    </row>
    <row r="526" spans="1:10" ht="11.25" customHeight="1" x14ac:dyDescent="0.2">
      <c r="A526" s="29">
        <v>44440</v>
      </c>
      <c r="B526" s="19">
        <v>0</v>
      </c>
      <c r="C526" s="19">
        <v>0</v>
      </c>
      <c r="D526" s="19">
        <v>290061.54810000001</v>
      </c>
      <c r="E526" s="19">
        <v>319784.16822885186</v>
      </c>
      <c r="F526" s="19">
        <v>147449.60132000002</v>
      </c>
      <c r="G526" s="19">
        <v>145887.94413035939</v>
      </c>
      <c r="H526" s="20">
        <v>0.10247004583525432</v>
      </c>
      <c r="I526" s="20">
        <v>-1.0591125209294172E-2</v>
      </c>
      <c r="J526" s="20">
        <v>6.4366274954463787E-2</v>
      </c>
    </row>
    <row r="527" spans="1:10" ht="11.25" customHeight="1" x14ac:dyDescent="0.2">
      <c r="A527" s="29">
        <v>44470</v>
      </c>
      <c r="B527" s="19">
        <v>0</v>
      </c>
      <c r="C527" s="19">
        <v>0</v>
      </c>
      <c r="D527" s="19">
        <v>275074.38270000002</v>
      </c>
      <c r="E527" s="19">
        <v>303261.26730337337</v>
      </c>
      <c r="F527" s="19">
        <v>139831.04044000001</v>
      </c>
      <c r="G527" s="19">
        <v>138350.07238255409</v>
      </c>
      <c r="H527" s="20">
        <v>0.10247004583525454</v>
      </c>
      <c r="I527" s="20">
        <v>-1.0591125209294172E-2</v>
      </c>
      <c r="J527" s="20">
        <v>6.4366274954464009E-2</v>
      </c>
    </row>
    <row r="528" spans="1:10" ht="11.25" customHeight="1" x14ac:dyDescent="0.2">
      <c r="A528" s="29">
        <v>44501</v>
      </c>
      <c r="B528" s="19">
        <v>0</v>
      </c>
      <c r="C528" s="19">
        <v>0</v>
      </c>
      <c r="D528" s="19">
        <v>302274.32309999998</v>
      </c>
      <c r="E528" s="19">
        <v>333248.38684287755</v>
      </c>
      <c r="F528" s="19">
        <v>153657.83131999997</v>
      </c>
      <c r="G528" s="19">
        <v>152030.42198910125</v>
      </c>
      <c r="H528" s="20">
        <v>0.10247004583525454</v>
      </c>
      <c r="I528" s="20">
        <v>-1.0591125209294172E-2</v>
      </c>
      <c r="J528" s="20">
        <v>6.4366274954464009E-2</v>
      </c>
    </row>
    <row r="529" spans="1:10" ht="11.25" customHeight="1" x14ac:dyDescent="0.2">
      <c r="A529" s="29">
        <v>44531</v>
      </c>
      <c r="B529" s="19">
        <v>0</v>
      </c>
      <c r="C529" s="19">
        <v>0</v>
      </c>
      <c r="D529" s="19">
        <v>288156.35519999999</v>
      </c>
      <c r="E529" s="19">
        <v>317683.75012506393</v>
      </c>
      <c r="F529" s="19">
        <v>146481.11744</v>
      </c>
      <c r="G529" s="19">
        <v>144929.71758439564</v>
      </c>
      <c r="H529" s="20">
        <v>0.10247004583525476</v>
      </c>
      <c r="I529" s="20">
        <v>-1.0591125209294172E-2</v>
      </c>
      <c r="J529" s="20">
        <v>6.4366274954464009E-2</v>
      </c>
    </row>
    <row r="530" spans="1:10" ht="11.25" customHeight="1" x14ac:dyDescent="0.2">
      <c r="A530" s="29">
        <v>44562</v>
      </c>
      <c r="B530" s="19">
        <v>0</v>
      </c>
      <c r="C530" s="19">
        <v>0</v>
      </c>
      <c r="D530" s="19">
        <v>316399.77270000003</v>
      </c>
      <c r="E530" s="19">
        <v>348821.27191083319</v>
      </c>
      <c r="F530" s="19">
        <v>160838.34844</v>
      </c>
      <c r="G530" s="19">
        <v>159134.88935321587</v>
      </c>
      <c r="H530" s="20">
        <v>0.10247004583525476</v>
      </c>
      <c r="I530" s="20">
        <v>-1.0591125209294172E-2</v>
      </c>
      <c r="J530" s="20">
        <v>6.4366274954464009E-2</v>
      </c>
    </row>
    <row r="531" spans="1:10" ht="11.25" customHeight="1" x14ac:dyDescent="0.2">
      <c r="A531" s="29">
        <v>44593</v>
      </c>
      <c r="B531" s="19">
        <v>0</v>
      </c>
      <c r="C531" s="19">
        <v>0</v>
      </c>
      <c r="D531" s="19">
        <v>303459.0723</v>
      </c>
      <c r="E531" s="19">
        <v>334554.53734770481</v>
      </c>
      <c r="F531" s="19">
        <v>154260.08556000001</v>
      </c>
      <c r="G531" s="19">
        <v>152626.29767903761</v>
      </c>
      <c r="H531" s="20">
        <v>0.10247004583525454</v>
      </c>
      <c r="I531" s="20">
        <v>-1.0591125209294172E-2</v>
      </c>
      <c r="J531" s="20">
        <v>6.4366274954463787E-2</v>
      </c>
    </row>
    <row r="532" spans="1:10" ht="11.25" customHeight="1" x14ac:dyDescent="0.2">
      <c r="A532" s="29">
        <v>44621</v>
      </c>
      <c r="B532" s="19">
        <v>0</v>
      </c>
      <c r="C532" s="19">
        <v>0</v>
      </c>
      <c r="D532" s="19">
        <v>303459.0723</v>
      </c>
      <c r="E532" s="19">
        <v>334554.53734770481</v>
      </c>
      <c r="F532" s="19">
        <v>154260.08556000001</v>
      </c>
      <c r="G532" s="19">
        <v>152626.29767903761</v>
      </c>
      <c r="H532" s="20">
        <v>0.10247004583525454</v>
      </c>
      <c r="I532" s="20">
        <v>-1.0591125209294172E-2</v>
      </c>
      <c r="J532" s="20">
        <v>6.4366274954463787E-2</v>
      </c>
    </row>
    <row r="533" spans="1:10" ht="11.25" customHeight="1" x14ac:dyDescent="0.2">
      <c r="A533" s="24" t="s">
        <v>38</v>
      </c>
      <c r="B533" s="19">
        <v>0</v>
      </c>
      <c r="C533" s="19">
        <v>0</v>
      </c>
      <c r="D533" s="19">
        <v>289612.20600000001</v>
      </c>
      <c r="E533" s="19">
        <v>319288.78202326916</v>
      </c>
      <c r="F533" s="19">
        <v>147221.1832</v>
      </c>
      <c r="G533" s="19">
        <v>145661.94521526838</v>
      </c>
      <c r="H533" s="20">
        <v>0.10247004583525454</v>
      </c>
      <c r="I533" s="20">
        <v>-1.0591125209294061E-2</v>
      </c>
      <c r="J533" s="20">
        <v>6.4366274954464231E-2</v>
      </c>
    </row>
    <row r="534" spans="1:10" ht="11.25" customHeight="1" x14ac:dyDescent="0.2">
      <c r="A534" s="25" t="s">
        <v>25</v>
      </c>
      <c r="B534" s="19">
        <v>0</v>
      </c>
      <c r="C534" s="19">
        <v>0</v>
      </c>
      <c r="D534" s="19">
        <v>289612.20600000001</v>
      </c>
      <c r="E534" s="19">
        <v>319288.78202326916</v>
      </c>
      <c r="F534" s="19">
        <v>147221.1832</v>
      </c>
      <c r="G534" s="19">
        <v>145661.94521526838</v>
      </c>
      <c r="H534" s="20">
        <v>0.10247004583525454</v>
      </c>
      <c r="I534" s="20">
        <v>-1.0591125209294061E-2</v>
      </c>
      <c r="J534" s="20">
        <v>6.4366274954464231E-2</v>
      </c>
    </row>
    <row r="535" spans="1:10" ht="11.25" customHeight="1" x14ac:dyDescent="0.2">
      <c r="A535" s="26" t="s">
        <v>25</v>
      </c>
      <c r="B535" s="19">
        <v>0</v>
      </c>
      <c r="C535" s="19">
        <v>0</v>
      </c>
      <c r="D535" s="19">
        <v>289612.20600000001</v>
      </c>
      <c r="E535" s="19">
        <v>319288.78202326916</v>
      </c>
      <c r="F535" s="19">
        <v>147221.1832</v>
      </c>
      <c r="G535" s="19">
        <v>145661.94521526838</v>
      </c>
      <c r="H535" s="20">
        <v>0.10247004583525454</v>
      </c>
      <c r="I535" s="20">
        <v>-1.0591125209294061E-2</v>
      </c>
      <c r="J535" s="20">
        <v>6.4366274954464231E-2</v>
      </c>
    </row>
    <row r="536" spans="1:10" ht="11.25" customHeight="1" x14ac:dyDescent="0.2">
      <c r="A536" s="27" t="s">
        <v>25</v>
      </c>
      <c r="B536" s="19">
        <v>0</v>
      </c>
      <c r="C536" s="19">
        <v>0</v>
      </c>
      <c r="D536" s="19">
        <v>289612.20600000001</v>
      </c>
      <c r="E536" s="19">
        <v>319288.78202326916</v>
      </c>
      <c r="F536" s="19">
        <v>147221.1832</v>
      </c>
      <c r="G536" s="19">
        <v>145661.94521526838</v>
      </c>
      <c r="H536" s="20">
        <v>0.10247004583525454</v>
      </c>
      <c r="I536" s="20">
        <v>-1.0591125209294061E-2</v>
      </c>
      <c r="J536" s="20">
        <v>6.4366274954464231E-2</v>
      </c>
    </row>
    <row r="537" spans="1:10" ht="11.25" customHeight="1" x14ac:dyDescent="0.2">
      <c r="A537" s="28" t="s">
        <v>25</v>
      </c>
      <c r="B537" s="19">
        <v>0</v>
      </c>
      <c r="C537" s="19">
        <v>0</v>
      </c>
      <c r="D537" s="19">
        <v>289612.20600000001</v>
      </c>
      <c r="E537" s="19">
        <v>319288.78202326916</v>
      </c>
      <c r="F537" s="19">
        <v>147221.1832</v>
      </c>
      <c r="G537" s="19">
        <v>145661.94521526838</v>
      </c>
      <c r="H537" s="20">
        <v>0.10247004583525454</v>
      </c>
      <c r="I537" s="20">
        <v>-1.0591125209294061E-2</v>
      </c>
      <c r="J537" s="20">
        <v>6.4366274954464231E-2</v>
      </c>
    </row>
    <row r="538" spans="1:10" ht="11.25" customHeight="1" x14ac:dyDescent="0.2">
      <c r="A538" s="29">
        <v>44287</v>
      </c>
      <c r="B538" s="19">
        <v>0</v>
      </c>
      <c r="C538" s="19">
        <v>0</v>
      </c>
      <c r="D538" s="19">
        <v>23356.107</v>
      </c>
      <c r="E538" s="19">
        <v>25749.40835482311</v>
      </c>
      <c r="F538" s="19">
        <v>11872.820400000001</v>
      </c>
      <c r="G538" s="19">
        <v>11747.073872556139</v>
      </c>
      <c r="H538" s="20">
        <v>0.10247004583525454</v>
      </c>
      <c r="I538" s="20">
        <v>-1.0591125209294172E-2</v>
      </c>
      <c r="J538" s="20">
        <v>6.4366274954464009E-2</v>
      </c>
    </row>
    <row r="539" spans="1:10" ht="11.25" customHeight="1" x14ac:dyDescent="0.2">
      <c r="A539" s="29">
        <v>44317</v>
      </c>
      <c r="B539" s="19">
        <v>0</v>
      </c>
      <c r="C539" s="19">
        <v>0</v>
      </c>
      <c r="D539" s="19">
        <v>30957.954300000005</v>
      </c>
      <c r="E539" s="19">
        <v>34130.217296086717</v>
      </c>
      <c r="F539" s="19">
        <v>15737.135960000001</v>
      </c>
      <c r="G539" s="19">
        <v>15570.461982611956</v>
      </c>
      <c r="H539" s="20">
        <v>0.10247004583525454</v>
      </c>
      <c r="I539" s="20">
        <v>-1.0591125209294172E-2</v>
      </c>
      <c r="J539" s="20">
        <v>6.4366274954464009E-2</v>
      </c>
    </row>
    <row r="540" spans="1:10" ht="11.25" customHeight="1" x14ac:dyDescent="0.2">
      <c r="A540" s="29">
        <v>44348</v>
      </c>
      <c r="B540" s="19">
        <v>0</v>
      </c>
      <c r="C540" s="19">
        <v>0</v>
      </c>
      <c r="D540" s="19">
        <v>22482.9486</v>
      </c>
      <c r="E540" s="19">
        <v>24786.777373553672</v>
      </c>
      <c r="F540" s="19">
        <v>11428.959919999999</v>
      </c>
      <c r="G540" s="19">
        <v>11307.914374475275</v>
      </c>
      <c r="H540" s="20">
        <v>0.10247004583525454</v>
      </c>
      <c r="I540" s="20">
        <v>-1.0591125209294172E-2</v>
      </c>
      <c r="J540" s="20">
        <v>6.4366274954464009E-2</v>
      </c>
    </row>
    <row r="541" spans="1:10" ht="11.25" customHeight="1" x14ac:dyDescent="0.2">
      <c r="A541" s="29">
        <v>44378</v>
      </c>
      <c r="B541" s="19">
        <v>0</v>
      </c>
      <c r="C541" s="19">
        <v>0</v>
      </c>
      <c r="D541" s="19">
        <v>22082.457600000002</v>
      </c>
      <c r="E541" s="19">
        <v>24345.248042427069</v>
      </c>
      <c r="F541" s="19">
        <v>11225.37472</v>
      </c>
      <c r="G541" s="19">
        <v>11106.485370819235</v>
      </c>
      <c r="H541" s="20">
        <v>0.10247004583525454</v>
      </c>
      <c r="I541" s="20">
        <v>-1.0591125209294061E-2</v>
      </c>
      <c r="J541" s="20">
        <v>6.4366274954463787E-2</v>
      </c>
    </row>
    <row r="542" spans="1:10" ht="11.25" customHeight="1" x14ac:dyDescent="0.2">
      <c r="A542" s="29">
        <v>44409</v>
      </c>
      <c r="B542" s="19">
        <v>0</v>
      </c>
      <c r="C542" s="19">
        <v>0</v>
      </c>
      <c r="D542" s="19">
        <v>24797.874599999999</v>
      </c>
      <c r="E542" s="19">
        <v>27338.913946878896</v>
      </c>
      <c r="F542" s="19">
        <v>12605.72712</v>
      </c>
      <c r="G542" s="19">
        <v>12472.218285717885</v>
      </c>
      <c r="H542" s="20">
        <v>0.10247004583525454</v>
      </c>
      <c r="I542" s="20">
        <v>-1.0591125209294172E-2</v>
      </c>
      <c r="J542" s="20">
        <v>6.4366274954464009E-2</v>
      </c>
    </row>
    <row r="543" spans="1:10" ht="11.25" customHeight="1" x14ac:dyDescent="0.2">
      <c r="A543" s="29">
        <v>44440</v>
      </c>
      <c r="B543" s="19">
        <v>0</v>
      </c>
      <c r="C543" s="19">
        <v>0</v>
      </c>
      <c r="D543" s="19">
        <v>27701.2143</v>
      </c>
      <c r="E543" s="19">
        <v>30539.758999013211</v>
      </c>
      <c r="F543" s="19">
        <v>14081.607959999999</v>
      </c>
      <c r="G543" s="19">
        <v>13932.467886947446</v>
      </c>
      <c r="H543" s="20">
        <v>0.10247004583525454</v>
      </c>
      <c r="I543" s="20">
        <v>-1.0591125209294172E-2</v>
      </c>
      <c r="J543" s="20">
        <v>6.4366274954464009E-2</v>
      </c>
    </row>
    <row r="544" spans="1:10" ht="11.25" customHeight="1" x14ac:dyDescent="0.2">
      <c r="A544" s="29">
        <v>44470</v>
      </c>
      <c r="B544" s="19">
        <v>0</v>
      </c>
      <c r="C544" s="19">
        <v>0</v>
      </c>
      <c r="D544" s="19">
        <v>23903.591400000001</v>
      </c>
      <c r="E544" s="19">
        <v>26352.993506385199</v>
      </c>
      <c r="F544" s="19">
        <v>12151.12808</v>
      </c>
      <c r="G544" s="19">
        <v>12022.43396107055</v>
      </c>
      <c r="H544" s="20">
        <v>0.10247004583525454</v>
      </c>
      <c r="I544" s="20">
        <v>-1.0591125209294172E-2</v>
      </c>
      <c r="J544" s="20">
        <v>6.4366274954464009E-2</v>
      </c>
    </row>
    <row r="545" spans="1:10" ht="11.25" customHeight="1" x14ac:dyDescent="0.2">
      <c r="A545" s="29">
        <v>44501</v>
      </c>
      <c r="B545" s="19">
        <v>0</v>
      </c>
      <c r="C545" s="19">
        <v>0</v>
      </c>
      <c r="D545" s="19">
        <v>24202.859399999998</v>
      </c>
      <c r="E545" s="19">
        <v>26682.927512062222</v>
      </c>
      <c r="F545" s="19">
        <v>12303.257679999999</v>
      </c>
      <c r="G545" s="19">
        <v>12172.952337428911</v>
      </c>
      <c r="H545" s="20">
        <v>0.10247004583525476</v>
      </c>
      <c r="I545" s="20">
        <v>-1.059112520929395E-2</v>
      </c>
      <c r="J545" s="20">
        <v>6.4366274954464009E-2</v>
      </c>
    </row>
    <row r="546" spans="1:10" ht="11.25" customHeight="1" x14ac:dyDescent="0.2">
      <c r="A546" s="29">
        <v>44531</v>
      </c>
      <c r="B546" s="19">
        <v>0</v>
      </c>
      <c r="C546" s="19">
        <v>0</v>
      </c>
      <c r="D546" s="19">
        <v>20123.572499999998</v>
      </c>
      <c r="E546" s="19">
        <v>22185.63589644407</v>
      </c>
      <c r="F546" s="19">
        <v>10229.597</v>
      </c>
      <c r="G546" s="19">
        <v>10121.25405733238</v>
      </c>
      <c r="H546" s="20">
        <v>0.10247004583525476</v>
      </c>
      <c r="I546" s="20">
        <v>-1.0591125209294061E-2</v>
      </c>
      <c r="J546" s="20">
        <v>6.4366274954464231E-2</v>
      </c>
    </row>
    <row r="547" spans="1:10" ht="11.25" customHeight="1" x14ac:dyDescent="0.2">
      <c r="A547" s="29">
        <v>44562</v>
      </c>
      <c r="B547" s="19">
        <v>0</v>
      </c>
      <c r="C547" s="19">
        <v>0</v>
      </c>
      <c r="D547" s="19">
        <v>25025.406299999999</v>
      </c>
      <c r="E547" s="19">
        <v>27589.760830606869</v>
      </c>
      <c r="F547" s="19">
        <v>12721.390359999999</v>
      </c>
      <c r="G547" s="19">
        <v>12586.656521860932</v>
      </c>
      <c r="H547" s="20">
        <v>0.10247004583525454</v>
      </c>
      <c r="I547" s="20">
        <v>-1.0591125209294172E-2</v>
      </c>
      <c r="J547" s="20">
        <v>6.4366274954464009E-2</v>
      </c>
    </row>
    <row r="548" spans="1:10" ht="11.25" customHeight="1" x14ac:dyDescent="0.2">
      <c r="A548" s="29">
        <v>44593</v>
      </c>
      <c r="B548" s="19">
        <v>0</v>
      </c>
      <c r="C548" s="19">
        <v>0</v>
      </c>
      <c r="D548" s="19">
        <v>22489.11</v>
      </c>
      <c r="E548" s="19">
        <v>24793.570132494086</v>
      </c>
      <c r="F548" s="19">
        <v>11432.092000000002</v>
      </c>
      <c r="G548" s="19">
        <v>11311.013282223832</v>
      </c>
      <c r="H548" s="20">
        <v>0.10247004583525476</v>
      </c>
      <c r="I548" s="20">
        <v>-1.0591125209294172E-2</v>
      </c>
      <c r="J548" s="20">
        <v>6.4366274954464009E-2</v>
      </c>
    </row>
    <row r="549" spans="1:10" ht="11.25" customHeight="1" x14ac:dyDescent="0.2">
      <c r="A549" s="29">
        <v>44621</v>
      </c>
      <c r="B549" s="19">
        <v>0</v>
      </c>
      <c r="C549" s="19">
        <v>0</v>
      </c>
      <c r="D549" s="19">
        <v>22489.11</v>
      </c>
      <c r="E549" s="19">
        <v>24793.570132494086</v>
      </c>
      <c r="F549" s="19">
        <v>11432.092000000002</v>
      </c>
      <c r="G549" s="19">
        <v>11311.013282223832</v>
      </c>
      <c r="H549" s="20">
        <v>0.10247004583525476</v>
      </c>
      <c r="I549" s="20">
        <v>-1.0591125209294172E-2</v>
      </c>
      <c r="J549" s="20">
        <v>6.4366274954464009E-2</v>
      </c>
    </row>
    <row r="550" spans="1:10" ht="11.25" customHeight="1" x14ac:dyDescent="0.2">
      <c r="A550" s="24" t="s">
        <v>42</v>
      </c>
      <c r="B550" s="19">
        <v>0</v>
      </c>
      <c r="C550" s="19">
        <v>0</v>
      </c>
      <c r="D550" s="19">
        <v>178572.33540000004</v>
      </c>
      <c r="E550" s="19">
        <v>196870.65079334646</v>
      </c>
      <c r="F550" s="19">
        <v>90775.284879999977</v>
      </c>
      <c r="G550" s="19">
        <v>89813.872471926545</v>
      </c>
      <c r="H550" s="20">
        <v>0.10247004583525432</v>
      </c>
      <c r="I550" s="20">
        <v>-1.0591125209294172E-2</v>
      </c>
      <c r="J550" s="20">
        <v>6.4366274954463787E-2</v>
      </c>
    </row>
    <row r="551" spans="1:10" ht="11.25" customHeight="1" x14ac:dyDescent="0.2">
      <c r="A551" s="25" t="s">
        <v>25</v>
      </c>
      <c r="B551" s="19">
        <v>0</v>
      </c>
      <c r="C551" s="19">
        <v>0</v>
      </c>
      <c r="D551" s="19">
        <v>178572.33540000004</v>
      </c>
      <c r="E551" s="19">
        <v>196870.65079334646</v>
      </c>
      <c r="F551" s="19">
        <v>90775.284879999977</v>
      </c>
      <c r="G551" s="19">
        <v>89813.872471926545</v>
      </c>
      <c r="H551" s="20">
        <v>0.10247004583525432</v>
      </c>
      <c r="I551" s="20">
        <v>-1.0591125209294172E-2</v>
      </c>
      <c r="J551" s="20">
        <v>6.4366274954463787E-2</v>
      </c>
    </row>
    <row r="552" spans="1:10" ht="11.25" customHeight="1" x14ac:dyDescent="0.2">
      <c r="A552" s="26" t="s">
        <v>25</v>
      </c>
      <c r="B552" s="19">
        <v>0</v>
      </c>
      <c r="C552" s="19">
        <v>0</v>
      </c>
      <c r="D552" s="19">
        <v>178572.33540000004</v>
      </c>
      <c r="E552" s="19">
        <v>196870.65079334646</v>
      </c>
      <c r="F552" s="19">
        <v>90775.284879999977</v>
      </c>
      <c r="G552" s="19">
        <v>89813.872471926545</v>
      </c>
      <c r="H552" s="20">
        <v>0.10247004583525432</v>
      </c>
      <c r="I552" s="20">
        <v>-1.0591125209294172E-2</v>
      </c>
      <c r="J552" s="20">
        <v>6.4366274954463787E-2</v>
      </c>
    </row>
    <row r="553" spans="1:10" ht="11.25" customHeight="1" x14ac:dyDescent="0.2">
      <c r="A553" s="27" t="s">
        <v>25</v>
      </c>
      <c r="B553" s="19">
        <v>0</v>
      </c>
      <c r="C553" s="19">
        <v>0</v>
      </c>
      <c r="D553" s="19">
        <v>178572.33540000004</v>
      </c>
      <c r="E553" s="19">
        <v>196870.65079334646</v>
      </c>
      <c r="F553" s="19">
        <v>90775.284879999977</v>
      </c>
      <c r="G553" s="19">
        <v>89813.872471926545</v>
      </c>
      <c r="H553" s="20">
        <v>0.10247004583525432</v>
      </c>
      <c r="I553" s="20">
        <v>-1.0591125209294172E-2</v>
      </c>
      <c r="J553" s="20">
        <v>6.4366274954463787E-2</v>
      </c>
    </row>
    <row r="554" spans="1:10" ht="11.25" customHeight="1" x14ac:dyDescent="0.2">
      <c r="A554" s="28" t="s">
        <v>25</v>
      </c>
      <c r="B554" s="19">
        <v>0</v>
      </c>
      <c r="C554" s="19">
        <v>0</v>
      </c>
      <c r="D554" s="19">
        <v>178572.33540000004</v>
      </c>
      <c r="E554" s="19">
        <v>196870.65079334646</v>
      </c>
      <c r="F554" s="19">
        <v>90775.284879999977</v>
      </c>
      <c r="G554" s="19">
        <v>89813.872471926545</v>
      </c>
      <c r="H554" s="20">
        <v>0.10247004583525432</v>
      </c>
      <c r="I554" s="20">
        <v>-1.0591125209294172E-2</v>
      </c>
      <c r="J554" s="20">
        <v>6.4366274954463787E-2</v>
      </c>
    </row>
    <row r="555" spans="1:10" ht="11.25" customHeight="1" x14ac:dyDescent="0.2">
      <c r="A555" s="29">
        <v>44287</v>
      </c>
      <c r="B555" s="19">
        <v>0</v>
      </c>
      <c r="C555" s="19">
        <v>0</v>
      </c>
      <c r="D555" s="19">
        <v>13802.4162</v>
      </c>
      <c r="E555" s="19">
        <v>15216.75042065126</v>
      </c>
      <c r="F555" s="19">
        <v>7016.3066399999998</v>
      </c>
      <c r="G555" s="19">
        <v>6941.9960578689579</v>
      </c>
      <c r="H555" s="20">
        <v>0.10247004583525454</v>
      </c>
      <c r="I555" s="20">
        <v>-1.0591125209294172E-2</v>
      </c>
      <c r="J555" s="20">
        <v>6.4366274954464009E-2</v>
      </c>
    </row>
    <row r="556" spans="1:10" ht="11.25" customHeight="1" x14ac:dyDescent="0.2">
      <c r="A556" s="29">
        <v>44317</v>
      </c>
      <c r="B556" s="19">
        <v>0</v>
      </c>
      <c r="C556" s="19">
        <v>0</v>
      </c>
      <c r="D556" s="19">
        <v>12843.4383</v>
      </c>
      <c r="E556" s="19">
        <v>14159.506011283265</v>
      </c>
      <c r="F556" s="19">
        <v>6528.8207599999996</v>
      </c>
      <c r="G556" s="19">
        <v>6459.6732018618013</v>
      </c>
      <c r="H556" s="20">
        <v>0.10247004583525476</v>
      </c>
      <c r="I556" s="20">
        <v>-1.0591125209294061E-2</v>
      </c>
      <c r="J556" s="20">
        <v>6.4366274954464009E-2</v>
      </c>
    </row>
    <row r="557" spans="1:10" ht="11.25" customHeight="1" x14ac:dyDescent="0.2">
      <c r="A557" s="29">
        <v>44348</v>
      </c>
      <c r="B557" s="19">
        <v>0</v>
      </c>
      <c r="C557" s="19">
        <v>0</v>
      </c>
      <c r="D557" s="19">
        <v>13299.3819</v>
      </c>
      <c r="E557" s="19">
        <v>14662.170172873557</v>
      </c>
      <c r="F557" s="19">
        <v>6760.5946800000002</v>
      </c>
      <c r="G557" s="19">
        <v>6688.992375254832</v>
      </c>
      <c r="H557" s="20">
        <v>0.10247004583525476</v>
      </c>
      <c r="I557" s="20">
        <v>-1.0591125209294172E-2</v>
      </c>
      <c r="J557" s="20">
        <v>6.4366274954463787E-2</v>
      </c>
    </row>
    <row r="558" spans="1:10" ht="11.25" customHeight="1" x14ac:dyDescent="0.2">
      <c r="A558" s="29">
        <v>44378</v>
      </c>
      <c r="B558" s="19">
        <v>0</v>
      </c>
      <c r="C558" s="19">
        <v>0</v>
      </c>
      <c r="D558" s="19">
        <v>12391.895700000001</v>
      </c>
      <c r="E558" s="19">
        <v>13661.693820364695</v>
      </c>
      <c r="F558" s="19">
        <v>6299.2840399999995</v>
      </c>
      <c r="G558" s="19">
        <v>6232.5675340034513</v>
      </c>
      <c r="H558" s="20">
        <v>0.10247004583525454</v>
      </c>
      <c r="I558" s="20">
        <v>-1.0591125209294172E-2</v>
      </c>
      <c r="J558" s="20">
        <v>6.4366274954464009E-2</v>
      </c>
    </row>
    <row r="559" spans="1:10" ht="11.25" customHeight="1" x14ac:dyDescent="0.2">
      <c r="A559" s="29">
        <v>44409</v>
      </c>
      <c r="B559" s="19">
        <v>0</v>
      </c>
      <c r="C559" s="19">
        <v>0</v>
      </c>
      <c r="D559" s="19">
        <v>14044.4712</v>
      </c>
      <c r="E559" s="19">
        <v>15483.608807595912</v>
      </c>
      <c r="F559" s="19">
        <v>7139.3526400000001</v>
      </c>
      <c r="G559" s="19">
        <v>7063.7388622764547</v>
      </c>
      <c r="H559" s="20">
        <v>0.10247004583525454</v>
      </c>
      <c r="I559" s="20">
        <v>-1.0591125209294283E-2</v>
      </c>
      <c r="J559" s="20">
        <v>6.4366274954463787E-2</v>
      </c>
    </row>
    <row r="560" spans="1:10" ht="11.25" customHeight="1" x14ac:dyDescent="0.2">
      <c r="A560" s="29">
        <v>44440</v>
      </c>
      <c r="B560" s="19">
        <v>0</v>
      </c>
      <c r="C560" s="19">
        <v>0</v>
      </c>
      <c r="D560" s="19">
        <v>16655.144400000001</v>
      </c>
      <c r="E560" s="19">
        <v>18361.797810060783</v>
      </c>
      <c r="F560" s="19">
        <v>8466.4596799999999</v>
      </c>
      <c r="G560" s="19">
        <v>8376.7903454496791</v>
      </c>
      <c r="H560" s="20">
        <v>0.10247004583525454</v>
      </c>
      <c r="I560" s="20">
        <v>-1.0591125209294172E-2</v>
      </c>
      <c r="J560" s="20">
        <v>6.4366274954464009E-2</v>
      </c>
    </row>
    <row r="561" spans="1:10" ht="11.25" customHeight="1" x14ac:dyDescent="0.2">
      <c r="A561" s="29">
        <v>44470</v>
      </c>
      <c r="B561" s="19">
        <v>0</v>
      </c>
      <c r="C561" s="19">
        <v>0</v>
      </c>
      <c r="D561" s="19">
        <v>15803.5509</v>
      </c>
      <c r="E561" s="19">
        <v>17422.941485082778</v>
      </c>
      <c r="F561" s="19">
        <v>8033.5614799999994</v>
      </c>
      <c r="G561" s="19">
        <v>7948.4770244887577</v>
      </c>
      <c r="H561" s="20">
        <v>0.10247004583525454</v>
      </c>
      <c r="I561" s="20">
        <v>-1.0591125209294061E-2</v>
      </c>
      <c r="J561" s="20">
        <v>6.4366274954464009E-2</v>
      </c>
    </row>
    <row r="562" spans="1:10" ht="11.25" customHeight="1" x14ac:dyDescent="0.2">
      <c r="A562" s="29">
        <v>44501</v>
      </c>
      <c r="B562" s="19">
        <v>0</v>
      </c>
      <c r="C562" s="19">
        <v>0</v>
      </c>
      <c r="D562" s="19">
        <v>16166.193299999999</v>
      </c>
      <c r="E562" s="19">
        <v>17822.743868432586</v>
      </c>
      <c r="F562" s="19">
        <v>8217.9067599999998</v>
      </c>
      <c r="G562" s="19">
        <v>8130.8698805465347</v>
      </c>
      <c r="H562" s="20">
        <v>0.10247004583525476</v>
      </c>
      <c r="I562" s="20">
        <v>-1.0591125209294172E-2</v>
      </c>
      <c r="J562" s="20">
        <v>6.4366274954464009E-2</v>
      </c>
    </row>
    <row r="563" spans="1:10" ht="11.25" customHeight="1" x14ac:dyDescent="0.2">
      <c r="A563" s="29">
        <v>44531</v>
      </c>
      <c r="B563" s="19">
        <v>0</v>
      </c>
      <c r="C563" s="19">
        <v>0</v>
      </c>
      <c r="D563" s="19">
        <v>17566.151400000002</v>
      </c>
      <c r="E563" s="19">
        <v>19366.155739107024</v>
      </c>
      <c r="F563" s="19">
        <v>8929.5600800000011</v>
      </c>
      <c r="G563" s="19">
        <v>8834.9859911288058</v>
      </c>
      <c r="H563" s="20">
        <v>0.10247004583525454</v>
      </c>
      <c r="I563" s="20">
        <v>-1.0591125209294172E-2</v>
      </c>
      <c r="J563" s="20">
        <v>6.4366274954464009E-2</v>
      </c>
    </row>
    <row r="564" spans="1:10" ht="11.25" customHeight="1" x14ac:dyDescent="0.2">
      <c r="A564" s="29">
        <v>44562</v>
      </c>
      <c r="B564" s="19">
        <v>0</v>
      </c>
      <c r="C564" s="19">
        <v>0</v>
      </c>
      <c r="D564" s="19">
        <v>14543.104500000001</v>
      </c>
      <c r="E564" s="19">
        <v>16033.337084701898</v>
      </c>
      <c r="F564" s="19">
        <v>7392.8274000000001</v>
      </c>
      <c r="G564" s="19">
        <v>7314.5290393558998</v>
      </c>
      <c r="H564" s="20">
        <v>0.10247004583525454</v>
      </c>
      <c r="I564" s="20">
        <v>-1.0591125209294172E-2</v>
      </c>
      <c r="J564" s="20">
        <v>6.4366274954463787E-2</v>
      </c>
    </row>
    <row r="565" spans="1:10" ht="11.25" customHeight="1" x14ac:dyDescent="0.2">
      <c r="A565" s="29">
        <v>44593</v>
      </c>
      <c r="B565" s="19">
        <v>0</v>
      </c>
      <c r="C565" s="19">
        <v>0</v>
      </c>
      <c r="D565" s="19">
        <v>15728.293800000001</v>
      </c>
      <c r="E565" s="19">
        <v>17339.97278659635</v>
      </c>
      <c r="F565" s="19">
        <v>7995.3053600000003</v>
      </c>
      <c r="G565" s="19">
        <v>7910.6260798456997</v>
      </c>
      <c r="H565" s="20">
        <v>0.10247004583525454</v>
      </c>
      <c r="I565" s="20">
        <v>-1.0591125209294172E-2</v>
      </c>
      <c r="J565" s="20">
        <v>6.4366274954464009E-2</v>
      </c>
    </row>
    <row r="566" spans="1:10" ht="11.25" customHeight="1" x14ac:dyDescent="0.2">
      <c r="A566" s="29">
        <v>44621</v>
      </c>
      <c r="B566" s="19">
        <v>0</v>
      </c>
      <c r="C566" s="19">
        <v>0</v>
      </c>
      <c r="D566" s="19">
        <v>15728.293800000001</v>
      </c>
      <c r="E566" s="19">
        <v>17339.97278659635</v>
      </c>
      <c r="F566" s="19">
        <v>7995.3053600000003</v>
      </c>
      <c r="G566" s="19">
        <v>7910.6260798456997</v>
      </c>
      <c r="H566" s="20">
        <v>0.10247004583525454</v>
      </c>
      <c r="I566" s="20">
        <v>-1.0591125209294172E-2</v>
      </c>
      <c r="J566" s="20">
        <v>6.4366274954464009E-2</v>
      </c>
    </row>
    <row r="567" spans="1:10" ht="11.25" customHeight="1" x14ac:dyDescent="0.2">
      <c r="A567" s="24" t="s">
        <v>48</v>
      </c>
      <c r="B567" s="19">
        <v>0</v>
      </c>
      <c r="C567" s="19">
        <v>0</v>
      </c>
      <c r="D567" s="19">
        <v>245792.98054800002</v>
      </c>
      <c r="E567" s="19">
        <v>270979.39853073744</v>
      </c>
      <c r="F567" s="19">
        <v>124946.16134559999</v>
      </c>
      <c r="G567" s="19">
        <v>123622.8409063681</v>
      </c>
      <c r="H567" s="20">
        <v>0.10247004583525454</v>
      </c>
      <c r="I567" s="20">
        <v>-1.059112520929395E-2</v>
      </c>
      <c r="J567" s="20">
        <v>6.4366274954464009E-2</v>
      </c>
    </row>
    <row r="568" spans="1:10" ht="11.25" customHeight="1" x14ac:dyDescent="0.2">
      <c r="A568" s="25" t="s">
        <v>49</v>
      </c>
      <c r="B568" s="19">
        <v>0</v>
      </c>
      <c r="C568" s="19">
        <v>0</v>
      </c>
      <c r="D568" s="19">
        <v>245792.98054800002</v>
      </c>
      <c r="E568" s="19">
        <v>270979.39853073744</v>
      </c>
      <c r="F568" s="19">
        <v>124946.16134559999</v>
      </c>
      <c r="G568" s="19">
        <v>123622.8409063681</v>
      </c>
      <c r="H568" s="20">
        <v>0.10247004583525454</v>
      </c>
      <c r="I568" s="20">
        <v>-1.059112520929395E-2</v>
      </c>
      <c r="J568" s="20">
        <v>6.4366274954464009E-2</v>
      </c>
    </row>
    <row r="569" spans="1:10" ht="11.25" customHeight="1" x14ac:dyDescent="0.2">
      <c r="A569" s="26" t="s">
        <v>25</v>
      </c>
      <c r="B569" s="19">
        <v>0</v>
      </c>
      <c r="C569" s="19">
        <v>0</v>
      </c>
      <c r="D569" s="19">
        <v>245792.98054800002</v>
      </c>
      <c r="E569" s="19">
        <v>270979.39853073744</v>
      </c>
      <c r="F569" s="19">
        <v>124946.16134559999</v>
      </c>
      <c r="G569" s="19">
        <v>123622.8409063681</v>
      </c>
      <c r="H569" s="20">
        <v>0.10247004583525454</v>
      </c>
      <c r="I569" s="20">
        <v>-1.059112520929395E-2</v>
      </c>
      <c r="J569" s="20">
        <v>6.4366274954464009E-2</v>
      </c>
    </row>
    <row r="570" spans="1:10" ht="11.25" customHeight="1" x14ac:dyDescent="0.2">
      <c r="A570" s="27" t="s">
        <v>25</v>
      </c>
      <c r="B570" s="19">
        <v>0</v>
      </c>
      <c r="C570" s="19">
        <v>0</v>
      </c>
      <c r="D570" s="19">
        <v>245792.98054800002</v>
      </c>
      <c r="E570" s="19">
        <v>270979.39853073744</v>
      </c>
      <c r="F570" s="19">
        <v>124946.16134559999</v>
      </c>
      <c r="G570" s="19">
        <v>123622.8409063681</v>
      </c>
      <c r="H570" s="20">
        <v>0.10247004583525454</v>
      </c>
      <c r="I570" s="20">
        <v>-1.059112520929395E-2</v>
      </c>
      <c r="J570" s="20">
        <v>6.4366274954464009E-2</v>
      </c>
    </row>
    <row r="571" spans="1:10" ht="11.25" customHeight="1" x14ac:dyDescent="0.2">
      <c r="A571" s="28" t="s">
        <v>25</v>
      </c>
      <c r="B571" s="19">
        <v>0</v>
      </c>
      <c r="C571" s="19">
        <v>0</v>
      </c>
      <c r="D571" s="19">
        <v>245792.98054800002</v>
      </c>
      <c r="E571" s="19">
        <v>270979.39853073744</v>
      </c>
      <c r="F571" s="19">
        <v>124946.16134559999</v>
      </c>
      <c r="G571" s="19">
        <v>123622.8409063681</v>
      </c>
      <c r="H571" s="20">
        <v>0.10247004583525454</v>
      </c>
      <c r="I571" s="20">
        <v>-1.059112520929395E-2</v>
      </c>
      <c r="J571" s="20">
        <v>6.4366274954464009E-2</v>
      </c>
    </row>
    <row r="572" spans="1:10" ht="11.25" customHeight="1" x14ac:dyDescent="0.2">
      <c r="A572" s="29">
        <v>44287</v>
      </c>
      <c r="B572" s="19">
        <v>0</v>
      </c>
      <c r="C572" s="19">
        <v>0</v>
      </c>
      <c r="D572" s="19">
        <v>18105.731604000001</v>
      </c>
      <c r="E572" s="19">
        <v>19961.026751342699</v>
      </c>
      <c r="F572" s="19">
        <v>9203.8497487999994</v>
      </c>
      <c r="G572" s="19">
        <v>9106.3706237029292</v>
      </c>
      <c r="H572" s="20">
        <v>0.10247004583525454</v>
      </c>
      <c r="I572" s="20">
        <v>-1.0591125209294061E-2</v>
      </c>
      <c r="J572" s="20">
        <v>6.4366274954464009E-2</v>
      </c>
    </row>
    <row r="573" spans="1:10" ht="11.25" customHeight="1" x14ac:dyDescent="0.2">
      <c r="A573" s="29">
        <v>44317</v>
      </c>
      <c r="B573" s="19">
        <v>0</v>
      </c>
      <c r="C573" s="19">
        <v>0</v>
      </c>
      <c r="D573" s="19">
        <v>18458.612585999999</v>
      </c>
      <c r="E573" s="19">
        <v>20350.067463742627</v>
      </c>
      <c r="F573" s="19">
        <v>9383.2329191999997</v>
      </c>
      <c r="G573" s="19">
        <v>9283.8539244847816</v>
      </c>
      <c r="H573" s="20">
        <v>0.10247004583525454</v>
      </c>
      <c r="I573" s="20">
        <v>-1.0591125209294172E-2</v>
      </c>
      <c r="J573" s="20">
        <v>6.4366274954464009E-2</v>
      </c>
    </row>
    <row r="574" spans="1:10" ht="11.25" customHeight="1" x14ac:dyDescent="0.2">
      <c r="A574" s="29">
        <v>44348</v>
      </c>
      <c r="B574" s="19">
        <v>0</v>
      </c>
      <c r="C574" s="19">
        <v>0</v>
      </c>
      <c r="D574" s="19">
        <v>19845.728568000002</v>
      </c>
      <c r="E574" s="19">
        <v>21879.321283996982</v>
      </c>
      <c r="F574" s="19">
        <v>10088.3580896</v>
      </c>
      <c r="G574" s="19">
        <v>9981.5110259168505</v>
      </c>
      <c r="H574" s="20">
        <v>0.10247004583525454</v>
      </c>
      <c r="I574" s="20">
        <v>-1.0591125209294172E-2</v>
      </c>
      <c r="J574" s="20">
        <v>6.4366274954463787E-2</v>
      </c>
    </row>
    <row r="575" spans="1:10" ht="11.25" customHeight="1" x14ac:dyDescent="0.2">
      <c r="A575" s="29">
        <v>44378</v>
      </c>
      <c r="B575" s="19">
        <v>0</v>
      </c>
      <c r="C575" s="19">
        <v>0</v>
      </c>
      <c r="D575" s="19">
        <v>15099.417306000001</v>
      </c>
      <c r="E575" s="19">
        <v>16646.655289431459</v>
      </c>
      <c r="F575" s="19">
        <v>7675.6229032000001</v>
      </c>
      <c r="G575" s="19">
        <v>7594.3294199728834</v>
      </c>
      <c r="H575" s="20">
        <v>0.10247004583525476</v>
      </c>
      <c r="I575" s="20">
        <v>-1.0591125209294061E-2</v>
      </c>
      <c r="J575" s="20">
        <v>6.4366274954464009E-2</v>
      </c>
    </row>
    <row r="576" spans="1:10" ht="11.25" customHeight="1" x14ac:dyDescent="0.2">
      <c r="A576" s="29">
        <v>44409</v>
      </c>
      <c r="B576" s="19">
        <v>0</v>
      </c>
      <c r="C576" s="19">
        <v>0</v>
      </c>
      <c r="D576" s="19">
        <v>17314.748675999999</v>
      </c>
      <c r="E576" s="19">
        <v>19088.991766455634</v>
      </c>
      <c r="F576" s="19">
        <v>8801.7622671999998</v>
      </c>
      <c r="G576" s="19">
        <v>8708.541700965643</v>
      </c>
      <c r="H576" s="20">
        <v>0.10247004583525476</v>
      </c>
      <c r="I576" s="20">
        <v>-1.0591125209294283E-2</v>
      </c>
      <c r="J576" s="20">
        <v>6.4366274954464009E-2</v>
      </c>
    </row>
    <row r="577" spans="1:10" ht="11.25" customHeight="1" x14ac:dyDescent="0.2">
      <c r="A577" s="29">
        <v>44440</v>
      </c>
      <c r="B577" s="19">
        <v>0</v>
      </c>
      <c r="C577" s="19">
        <v>0</v>
      </c>
      <c r="D577" s="19">
        <v>18250.110810000002</v>
      </c>
      <c r="E577" s="19">
        <v>20120.200501199175</v>
      </c>
      <c r="F577" s="19">
        <v>9277.243332</v>
      </c>
      <c r="G577" s="19">
        <v>9178.9868862736985</v>
      </c>
      <c r="H577" s="20">
        <v>0.10247004583525454</v>
      </c>
      <c r="I577" s="20">
        <v>-1.0591125209294172E-2</v>
      </c>
      <c r="J577" s="20">
        <v>6.4366274954463787E-2</v>
      </c>
    </row>
    <row r="578" spans="1:10" ht="11.25" customHeight="1" x14ac:dyDescent="0.2">
      <c r="A578" s="29">
        <v>44470</v>
      </c>
      <c r="B578" s="19">
        <v>0</v>
      </c>
      <c r="C578" s="19">
        <v>0</v>
      </c>
      <c r="D578" s="19">
        <v>16758.74394</v>
      </c>
      <c r="E578" s="19">
        <v>18476.013199673096</v>
      </c>
      <c r="F578" s="19">
        <v>8519.1233680000005</v>
      </c>
      <c r="G578" s="19">
        <v>8428.896265736088</v>
      </c>
      <c r="H578" s="20">
        <v>0.10247004583525454</v>
      </c>
      <c r="I578" s="20">
        <v>-1.0591125209294283E-2</v>
      </c>
      <c r="J578" s="20">
        <v>6.4366274954463787E-2</v>
      </c>
    </row>
    <row r="579" spans="1:10" ht="11.25" customHeight="1" x14ac:dyDescent="0.2">
      <c r="A579" s="29">
        <v>44501</v>
      </c>
      <c r="B579" s="19">
        <v>0</v>
      </c>
      <c r="C579" s="19">
        <v>0</v>
      </c>
      <c r="D579" s="19">
        <v>27195.002478000002</v>
      </c>
      <c r="E579" s="19">
        <v>29981.675628410525</v>
      </c>
      <c r="F579" s="19">
        <v>13824.2807416</v>
      </c>
      <c r="G579" s="19">
        <v>13677.86605333728</v>
      </c>
      <c r="H579" s="20">
        <v>0.10247004583525454</v>
      </c>
      <c r="I579" s="20">
        <v>-1.0591125209294172E-2</v>
      </c>
      <c r="J579" s="20">
        <v>6.4366274954464009E-2</v>
      </c>
    </row>
    <row r="580" spans="1:10" ht="11.25" customHeight="1" x14ac:dyDescent="0.2">
      <c r="A580" s="29">
        <v>44531</v>
      </c>
      <c r="B580" s="19">
        <v>0</v>
      </c>
      <c r="C580" s="19">
        <v>0</v>
      </c>
      <c r="D580" s="19">
        <v>21100.462469999999</v>
      </c>
      <c r="E580" s="19">
        <v>23262.627826445969</v>
      </c>
      <c r="F580" s="19">
        <v>10726.188284</v>
      </c>
      <c r="G580" s="19">
        <v>10612.585880865692</v>
      </c>
      <c r="H580" s="20">
        <v>0.10247004583525454</v>
      </c>
      <c r="I580" s="20">
        <v>-1.0591125209294172E-2</v>
      </c>
      <c r="J580" s="20">
        <v>6.4366274954464009E-2</v>
      </c>
    </row>
    <row r="581" spans="1:10" ht="11.25" customHeight="1" x14ac:dyDescent="0.2">
      <c r="A581" s="29">
        <v>44562</v>
      </c>
      <c r="B581" s="19">
        <v>0</v>
      </c>
      <c r="C581" s="19">
        <v>0</v>
      </c>
      <c r="D581" s="19">
        <v>22885.138385999999</v>
      </c>
      <c r="E581" s="19">
        <v>25230.179565359565</v>
      </c>
      <c r="F581" s="19">
        <v>11633.4086792</v>
      </c>
      <c r="G581" s="19">
        <v>11510.197791267703</v>
      </c>
      <c r="H581" s="20">
        <v>0.10247004583525476</v>
      </c>
      <c r="I581" s="20">
        <v>-1.0591125209294172E-2</v>
      </c>
      <c r="J581" s="20">
        <v>6.4366274954464009E-2</v>
      </c>
    </row>
    <row r="582" spans="1:10" ht="11.25" customHeight="1" x14ac:dyDescent="0.2">
      <c r="A582" s="29">
        <v>44593</v>
      </c>
      <c r="B582" s="19">
        <v>0</v>
      </c>
      <c r="C582" s="19">
        <v>0</v>
      </c>
      <c r="D582" s="19">
        <v>25389.641862000004</v>
      </c>
      <c r="E582" s="19">
        <v>27991.319627339839</v>
      </c>
      <c r="F582" s="19">
        <v>12906.5455064</v>
      </c>
      <c r="G582" s="19">
        <v>12769.850666922266</v>
      </c>
      <c r="H582" s="20">
        <v>0.10247004583525432</v>
      </c>
      <c r="I582" s="20">
        <v>-1.0591125209294061E-2</v>
      </c>
      <c r="J582" s="20">
        <v>6.4366274954464009E-2</v>
      </c>
    </row>
    <row r="583" spans="1:10" ht="11.25" customHeight="1" x14ac:dyDescent="0.2">
      <c r="A583" s="29">
        <v>44621</v>
      </c>
      <c r="B583" s="19">
        <v>0</v>
      </c>
      <c r="C583" s="19">
        <v>0</v>
      </c>
      <c r="D583" s="19">
        <v>25389.641862000004</v>
      </c>
      <c r="E583" s="19">
        <v>27991.319627339839</v>
      </c>
      <c r="F583" s="19">
        <v>12906.5455064</v>
      </c>
      <c r="G583" s="19">
        <v>12769.850666922266</v>
      </c>
      <c r="H583" s="20">
        <v>0.10247004583525432</v>
      </c>
      <c r="I583" s="20">
        <v>-1.0591125209294061E-2</v>
      </c>
      <c r="J583" s="20">
        <v>6.4366274954464009E-2</v>
      </c>
    </row>
    <row r="584" spans="1:10" ht="11.25" customHeight="1" x14ac:dyDescent="0.2">
      <c r="A584" s="22" t="s">
        <v>44</v>
      </c>
      <c r="B584" s="19">
        <v>0</v>
      </c>
      <c r="C584" s="19">
        <v>0</v>
      </c>
      <c r="D584" s="19">
        <v>615879.05661999993</v>
      </c>
      <c r="E584" s="19">
        <v>678987.54142391356</v>
      </c>
      <c r="F584" s="19">
        <v>313069.87180999998</v>
      </c>
      <c r="G584" s="19">
        <v>309759.22622152133</v>
      </c>
      <c r="H584" s="20">
        <v>0.1024689573798121</v>
      </c>
      <c r="I584" s="20">
        <v>-1.0574781818953993E-2</v>
      </c>
      <c r="J584" s="20">
        <v>6.4371503519034423E-2</v>
      </c>
    </row>
    <row r="585" spans="1:10" ht="11.25" customHeight="1" x14ac:dyDescent="0.2">
      <c r="A585" s="23" t="s">
        <v>23</v>
      </c>
      <c r="B585" s="19">
        <v>0</v>
      </c>
      <c r="C585" s="19">
        <v>0</v>
      </c>
      <c r="D585" s="19">
        <v>615879.05661999993</v>
      </c>
      <c r="E585" s="19">
        <v>678987.54142391356</v>
      </c>
      <c r="F585" s="19">
        <v>313069.87180999998</v>
      </c>
      <c r="G585" s="19">
        <v>309759.22622152133</v>
      </c>
      <c r="H585" s="20">
        <v>0.1024689573798121</v>
      </c>
      <c r="I585" s="20">
        <v>-1.0574781818953993E-2</v>
      </c>
      <c r="J585" s="20">
        <v>6.4371503519034423E-2</v>
      </c>
    </row>
    <row r="586" spans="1:10" ht="11.25" customHeight="1" x14ac:dyDescent="0.2">
      <c r="A586" s="24" t="s">
        <v>45</v>
      </c>
      <c r="B586" s="19">
        <v>0</v>
      </c>
      <c r="C586" s="19">
        <v>0</v>
      </c>
      <c r="D586" s="19">
        <v>615879.05661999993</v>
      </c>
      <c r="E586" s="19">
        <v>678987.54142391356</v>
      </c>
      <c r="F586" s="19">
        <v>313069.87180999998</v>
      </c>
      <c r="G586" s="19">
        <v>309759.22622152133</v>
      </c>
      <c r="H586" s="20">
        <v>0.1024689573798121</v>
      </c>
      <c r="I586" s="20">
        <v>-1.0574781818953993E-2</v>
      </c>
      <c r="J586" s="20">
        <v>6.4371503519034423E-2</v>
      </c>
    </row>
    <row r="587" spans="1:10" ht="11.25" customHeight="1" x14ac:dyDescent="0.2">
      <c r="A587" s="25" t="s">
        <v>46</v>
      </c>
      <c r="B587" s="19">
        <v>0</v>
      </c>
      <c r="C587" s="19">
        <v>0</v>
      </c>
      <c r="D587" s="19">
        <v>29436.916600000004</v>
      </c>
      <c r="E587" s="19">
        <v>32452.648436339201</v>
      </c>
      <c r="F587" s="19">
        <v>14962.894400000001</v>
      </c>
      <c r="G587" s="19">
        <v>14805.142443995734</v>
      </c>
      <c r="H587" s="20">
        <v>0.10244727317463664</v>
      </c>
      <c r="I587" s="20">
        <v>-1.0542877052201027E-2</v>
      </c>
      <c r="J587" s="20">
        <v>6.4369190227745232E-2</v>
      </c>
    </row>
    <row r="588" spans="1:10" ht="11.25" customHeight="1" x14ac:dyDescent="0.2">
      <c r="A588" s="26" t="s">
        <v>25</v>
      </c>
      <c r="B588" s="19">
        <v>0</v>
      </c>
      <c r="C588" s="19">
        <v>0</v>
      </c>
      <c r="D588" s="19">
        <v>29436.916600000004</v>
      </c>
      <c r="E588" s="19">
        <v>32452.648436339201</v>
      </c>
      <c r="F588" s="19">
        <v>14962.894400000001</v>
      </c>
      <c r="G588" s="19">
        <v>14805.142443995734</v>
      </c>
      <c r="H588" s="20">
        <v>0.10244727317463664</v>
      </c>
      <c r="I588" s="20">
        <v>-1.0542877052201027E-2</v>
      </c>
      <c r="J588" s="20">
        <v>6.4369190227745232E-2</v>
      </c>
    </row>
    <row r="589" spans="1:10" ht="11.25" customHeight="1" x14ac:dyDescent="0.2">
      <c r="A589" s="27" t="s">
        <v>25</v>
      </c>
      <c r="B589" s="19">
        <v>0</v>
      </c>
      <c r="C589" s="19">
        <v>0</v>
      </c>
      <c r="D589" s="19">
        <v>29436.916600000004</v>
      </c>
      <c r="E589" s="19">
        <v>32452.648436339201</v>
      </c>
      <c r="F589" s="19">
        <v>14962.894400000001</v>
      </c>
      <c r="G589" s="19">
        <v>14805.142443995734</v>
      </c>
      <c r="H589" s="20">
        <v>0.10244727317463664</v>
      </c>
      <c r="I589" s="20">
        <v>-1.0542877052201027E-2</v>
      </c>
      <c r="J589" s="20">
        <v>6.4369190227745232E-2</v>
      </c>
    </row>
    <row r="590" spans="1:10" ht="11.25" customHeight="1" x14ac:dyDescent="0.2">
      <c r="A590" s="28" t="s">
        <v>25</v>
      </c>
      <c r="B590" s="19">
        <v>0</v>
      </c>
      <c r="C590" s="19">
        <v>0</v>
      </c>
      <c r="D590" s="19">
        <v>29436.916600000004</v>
      </c>
      <c r="E590" s="19">
        <v>32452.648436339201</v>
      </c>
      <c r="F590" s="19">
        <v>14962.894400000001</v>
      </c>
      <c r="G590" s="19">
        <v>14805.142443995734</v>
      </c>
      <c r="H590" s="20">
        <v>0.10244727317463664</v>
      </c>
      <c r="I590" s="20">
        <v>-1.0542877052201027E-2</v>
      </c>
      <c r="J590" s="20">
        <v>6.4369190227745232E-2</v>
      </c>
    </row>
    <row r="591" spans="1:10" ht="11.25" customHeight="1" x14ac:dyDescent="0.2">
      <c r="A591" s="29">
        <v>44287</v>
      </c>
      <c r="B591" s="19">
        <v>0</v>
      </c>
      <c r="C591" s="19">
        <v>0</v>
      </c>
      <c r="D591" s="19">
        <v>2756.3372200000003</v>
      </c>
      <c r="E591" s="19">
        <v>3038.7164521387599</v>
      </c>
      <c r="F591" s="19">
        <v>1401.0564800000002</v>
      </c>
      <c r="G591" s="19">
        <v>1386.2853137881707</v>
      </c>
      <c r="H591" s="20">
        <v>0.10244727317463709</v>
      </c>
      <c r="I591" s="20">
        <v>-1.0542877052201027E-2</v>
      </c>
      <c r="J591" s="20">
        <v>6.4369190227745232E-2</v>
      </c>
    </row>
    <row r="592" spans="1:10" ht="11.25" customHeight="1" x14ac:dyDescent="0.2">
      <c r="A592" s="29">
        <v>44317</v>
      </c>
      <c r="B592" s="19">
        <v>0</v>
      </c>
      <c r="C592" s="19">
        <v>0</v>
      </c>
      <c r="D592" s="19">
        <v>2512.0986800000001</v>
      </c>
      <c r="E592" s="19">
        <v>2769.4563397116049</v>
      </c>
      <c r="F592" s="19">
        <v>1276.90912</v>
      </c>
      <c r="G592" s="19">
        <v>1263.4468241410059</v>
      </c>
      <c r="H592" s="20">
        <v>0.10244727317463687</v>
      </c>
      <c r="I592" s="20">
        <v>-1.0542877052201027E-2</v>
      </c>
      <c r="J592" s="20">
        <v>6.4369190227745232E-2</v>
      </c>
    </row>
    <row r="593" spans="1:10" ht="11.25" customHeight="1" x14ac:dyDescent="0.2">
      <c r="A593" s="29">
        <v>44348</v>
      </c>
      <c r="B593" s="19">
        <v>0</v>
      </c>
      <c r="C593" s="19">
        <v>0</v>
      </c>
      <c r="D593" s="19">
        <v>2465.13904</v>
      </c>
      <c r="E593" s="19">
        <v>2717.6858126443421</v>
      </c>
      <c r="F593" s="19">
        <v>1253.03936</v>
      </c>
      <c r="G593" s="19">
        <v>1239.8287200859515</v>
      </c>
      <c r="H593" s="20">
        <v>0.10244727317463687</v>
      </c>
      <c r="I593" s="20">
        <v>-1.0542877052200805E-2</v>
      </c>
      <c r="J593" s="20">
        <v>6.4369190227745232E-2</v>
      </c>
    </row>
    <row r="594" spans="1:10" ht="11.25" customHeight="1" x14ac:dyDescent="0.2">
      <c r="A594" s="29">
        <v>44378</v>
      </c>
      <c r="B594" s="19">
        <v>0</v>
      </c>
      <c r="C594" s="19">
        <v>0</v>
      </c>
      <c r="D594" s="19">
        <v>2457.1510600000001</v>
      </c>
      <c r="E594" s="19">
        <v>2708.8794858751689</v>
      </c>
      <c r="F594" s="19">
        <v>1248.9790399999999</v>
      </c>
      <c r="G594" s="19">
        <v>1235.811207540504</v>
      </c>
      <c r="H594" s="20">
        <v>0.10244727317463687</v>
      </c>
      <c r="I594" s="20">
        <v>-1.0542877052200916E-2</v>
      </c>
      <c r="J594" s="20">
        <v>6.4369190227745232E-2</v>
      </c>
    </row>
    <row r="595" spans="1:10" ht="11.25" customHeight="1" x14ac:dyDescent="0.2">
      <c r="A595" s="29">
        <v>44409</v>
      </c>
      <c r="B595" s="19">
        <v>0</v>
      </c>
      <c r="C595" s="19">
        <v>0</v>
      </c>
      <c r="D595" s="19">
        <v>2469.4961199999998</v>
      </c>
      <c r="E595" s="19">
        <v>2722.4892636093464</v>
      </c>
      <c r="F595" s="19">
        <v>1255.2540800000002</v>
      </c>
      <c r="G595" s="19">
        <v>1242.0200905652864</v>
      </c>
      <c r="H595" s="20">
        <v>0.10244727317463709</v>
      </c>
      <c r="I595" s="20">
        <v>-1.0542877052201027E-2</v>
      </c>
      <c r="J595" s="20">
        <v>6.4369190227745454E-2</v>
      </c>
    </row>
    <row r="596" spans="1:10" ht="11.25" customHeight="1" x14ac:dyDescent="0.2">
      <c r="A596" s="29">
        <v>44440</v>
      </c>
      <c r="B596" s="19">
        <v>0</v>
      </c>
      <c r="C596" s="19">
        <v>0</v>
      </c>
      <c r="D596" s="19">
        <v>2626.3510000000001</v>
      </c>
      <c r="E596" s="19">
        <v>2895.413498349481</v>
      </c>
      <c r="F596" s="19">
        <v>1334.9839999999999</v>
      </c>
      <c r="G596" s="19">
        <v>1320.9094278213447</v>
      </c>
      <c r="H596" s="20">
        <v>0.10244727317463687</v>
      </c>
      <c r="I596" s="20">
        <v>-1.0542877052200805E-2</v>
      </c>
      <c r="J596" s="20">
        <v>6.4369190227745454E-2</v>
      </c>
    </row>
    <row r="597" spans="1:10" ht="11.25" customHeight="1" x14ac:dyDescent="0.2">
      <c r="A597" s="29">
        <v>44470</v>
      </c>
      <c r="B597" s="19">
        <v>0</v>
      </c>
      <c r="C597" s="19">
        <v>0</v>
      </c>
      <c r="D597" s="19">
        <v>2183.6232600000003</v>
      </c>
      <c r="E597" s="19">
        <v>2407.3295086277117</v>
      </c>
      <c r="F597" s="19">
        <v>1109.9438400000001</v>
      </c>
      <c r="G597" s="19">
        <v>1098.2418385600324</v>
      </c>
      <c r="H597" s="20">
        <v>0.10244727317463687</v>
      </c>
      <c r="I597" s="20">
        <v>-1.0542877052200916E-2</v>
      </c>
      <c r="J597" s="20">
        <v>6.4369190227745454E-2</v>
      </c>
    </row>
    <row r="598" spans="1:10" ht="11.25" customHeight="1" x14ac:dyDescent="0.2">
      <c r="A598" s="29">
        <v>44501</v>
      </c>
      <c r="B598" s="19">
        <v>0</v>
      </c>
      <c r="C598" s="19">
        <v>0</v>
      </c>
      <c r="D598" s="19">
        <v>2483.7776599999997</v>
      </c>
      <c r="E598" s="19">
        <v>2738.2339084390806</v>
      </c>
      <c r="F598" s="19">
        <v>1262.5134399999999</v>
      </c>
      <c r="G598" s="19">
        <v>1249.2029160253287</v>
      </c>
      <c r="H598" s="20">
        <v>0.10244727317463709</v>
      </c>
      <c r="I598" s="20">
        <v>-1.0542877052200916E-2</v>
      </c>
      <c r="J598" s="20">
        <v>6.4369190227745454E-2</v>
      </c>
    </row>
    <row r="599" spans="1:10" ht="11.25" customHeight="1" x14ac:dyDescent="0.2">
      <c r="A599" s="29">
        <v>44531</v>
      </c>
      <c r="B599" s="19">
        <v>0</v>
      </c>
      <c r="C599" s="19">
        <v>0</v>
      </c>
      <c r="D599" s="19">
        <v>2189.6747599999999</v>
      </c>
      <c r="E599" s="19">
        <v>2414.0009683013277</v>
      </c>
      <c r="F599" s="19">
        <v>1113.0198399999999</v>
      </c>
      <c r="G599" s="19">
        <v>1101.2854086702196</v>
      </c>
      <c r="H599" s="20">
        <v>0.10244727317463709</v>
      </c>
      <c r="I599" s="20">
        <v>-1.0542877052200916E-2</v>
      </c>
      <c r="J599" s="20">
        <v>6.4369190227745454E-2</v>
      </c>
    </row>
    <row r="600" spans="1:10" ht="11.25" customHeight="1" x14ac:dyDescent="0.2">
      <c r="A600" s="29">
        <v>44562</v>
      </c>
      <c r="B600" s="19">
        <v>0</v>
      </c>
      <c r="C600" s="19">
        <v>0</v>
      </c>
      <c r="D600" s="19">
        <v>2307.31592</v>
      </c>
      <c r="E600" s="19">
        <v>2543.6941443564288</v>
      </c>
      <c r="F600" s="19">
        <v>1172.81728</v>
      </c>
      <c r="G600" s="19">
        <v>1160.4524116122634</v>
      </c>
      <c r="H600" s="20">
        <v>0.10244727317463687</v>
      </c>
      <c r="I600" s="20">
        <v>-1.0542877052200805E-2</v>
      </c>
      <c r="J600" s="20">
        <v>6.4369190227745232E-2</v>
      </c>
    </row>
    <row r="601" spans="1:10" ht="11.25" customHeight="1" x14ac:dyDescent="0.2">
      <c r="A601" s="29">
        <v>44593</v>
      </c>
      <c r="B601" s="19">
        <v>0</v>
      </c>
      <c r="C601" s="19">
        <v>0</v>
      </c>
      <c r="D601" s="19">
        <v>2492.9759399999998</v>
      </c>
      <c r="E601" s="19">
        <v>2748.3745271429775</v>
      </c>
      <c r="F601" s="19">
        <v>1267.18896</v>
      </c>
      <c r="G601" s="19">
        <v>1253.8291425928137</v>
      </c>
      <c r="H601" s="20">
        <v>0.10244727317463709</v>
      </c>
      <c r="I601" s="20">
        <v>-1.0542877052200805E-2</v>
      </c>
      <c r="J601" s="20">
        <v>6.4369190227745454E-2</v>
      </c>
    </row>
    <row r="602" spans="1:10" ht="11.25" customHeight="1" x14ac:dyDescent="0.2">
      <c r="A602" s="29">
        <v>44621</v>
      </c>
      <c r="B602" s="19">
        <v>0</v>
      </c>
      <c r="C602" s="19">
        <v>0</v>
      </c>
      <c r="D602" s="19">
        <v>2492.9759399999998</v>
      </c>
      <c r="E602" s="19">
        <v>2748.3745271429775</v>
      </c>
      <c r="F602" s="19">
        <v>1267.18896</v>
      </c>
      <c r="G602" s="19">
        <v>1253.8291425928137</v>
      </c>
      <c r="H602" s="20">
        <v>0.10244727317463709</v>
      </c>
      <c r="I602" s="20">
        <v>-1.0542877052200805E-2</v>
      </c>
      <c r="J602" s="20">
        <v>6.4369190227745454E-2</v>
      </c>
    </row>
    <row r="603" spans="1:10" ht="11.25" customHeight="1" x14ac:dyDescent="0.2">
      <c r="A603" s="25" t="s">
        <v>47</v>
      </c>
      <c r="B603" s="19">
        <v>0</v>
      </c>
      <c r="C603" s="19">
        <v>0</v>
      </c>
      <c r="D603" s="19">
        <v>586442.14001999993</v>
      </c>
      <c r="E603" s="19">
        <v>646534.89298757433</v>
      </c>
      <c r="F603" s="19">
        <v>298106.97740999999</v>
      </c>
      <c r="G603" s="19">
        <v>294954.08377752552</v>
      </c>
      <c r="H603" s="20">
        <v>0.10247004583525499</v>
      </c>
      <c r="I603" s="20">
        <v>-1.0576383216076679E-2</v>
      </c>
      <c r="J603" s="20">
        <v>6.4371619634345567E-2</v>
      </c>
    </row>
    <row r="604" spans="1:10" ht="11.25" customHeight="1" x14ac:dyDescent="0.2">
      <c r="A604" s="26" t="s">
        <v>25</v>
      </c>
      <c r="B604" s="19">
        <v>0</v>
      </c>
      <c r="C604" s="19">
        <v>0</v>
      </c>
      <c r="D604" s="19">
        <v>586442.14001999993</v>
      </c>
      <c r="E604" s="19">
        <v>646534.89298757433</v>
      </c>
      <c r="F604" s="19">
        <v>298106.97740999999</v>
      </c>
      <c r="G604" s="19">
        <v>294954.08377752552</v>
      </c>
      <c r="H604" s="20">
        <v>0.10247004583525499</v>
      </c>
      <c r="I604" s="20">
        <v>-1.0576383216076679E-2</v>
      </c>
      <c r="J604" s="20">
        <v>6.4371619634345567E-2</v>
      </c>
    </row>
    <row r="605" spans="1:10" ht="11.25" customHeight="1" x14ac:dyDescent="0.2">
      <c r="A605" s="27" t="s">
        <v>25</v>
      </c>
      <c r="B605" s="19">
        <v>0</v>
      </c>
      <c r="C605" s="19">
        <v>0</v>
      </c>
      <c r="D605" s="19">
        <v>586442.14001999993</v>
      </c>
      <c r="E605" s="19">
        <v>646534.89298757433</v>
      </c>
      <c r="F605" s="19">
        <v>298106.97740999999</v>
      </c>
      <c r="G605" s="19">
        <v>294954.08377752552</v>
      </c>
      <c r="H605" s="20">
        <v>0.10247004583525499</v>
      </c>
      <c r="I605" s="20">
        <v>-1.0576383216076679E-2</v>
      </c>
      <c r="J605" s="20">
        <v>6.4371619634345567E-2</v>
      </c>
    </row>
    <row r="606" spans="1:10" ht="11.25" customHeight="1" x14ac:dyDescent="0.2">
      <c r="A606" s="28" t="s">
        <v>25</v>
      </c>
      <c r="B606" s="19">
        <v>0</v>
      </c>
      <c r="C606" s="19">
        <v>0</v>
      </c>
      <c r="D606" s="19">
        <v>586442.14001999993</v>
      </c>
      <c r="E606" s="19">
        <v>646534.89298757433</v>
      </c>
      <c r="F606" s="19">
        <v>298106.97740999999</v>
      </c>
      <c r="G606" s="19">
        <v>294954.08377752552</v>
      </c>
      <c r="H606" s="20">
        <v>0.10247004583525499</v>
      </c>
      <c r="I606" s="20">
        <v>-1.0576383216076679E-2</v>
      </c>
      <c r="J606" s="20">
        <v>6.4371619634345567E-2</v>
      </c>
    </row>
    <row r="607" spans="1:10" ht="11.25" customHeight="1" x14ac:dyDescent="0.2">
      <c r="A607" s="29">
        <v>44287</v>
      </c>
      <c r="B607" s="19">
        <v>0</v>
      </c>
      <c r="C607" s="19">
        <v>0</v>
      </c>
      <c r="D607" s="19">
        <v>51172.715519999998</v>
      </c>
      <c r="E607" s="19">
        <v>56416.386024848856</v>
      </c>
      <c r="F607" s="19">
        <v>26012.700159999997</v>
      </c>
      <c r="G607" s="19">
        <v>25737.579874622941</v>
      </c>
      <c r="H607" s="20">
        <v>0.10247004583525499</v>
      </c>
      <c r="I607" s="20">
        <v>-1.0576383216076568E-2</v>
      </c>
      <c r="J607" s="20">
        <v>6.4371619634345567E-2</v>
      </c>
    </row>
    <row r="608" spans="1:10" ht="11.25" customHeight="1" x14ac:dyDescent="0.2">
      <c r="A608" s="29">
        <v>44317</v>
      </c>
      <c r="B608" s="19">
        <v>0</v>
      </c>
      <c r="C608" s="19">
        <v>0</v>
      </c>
      <c r="D608" s="19">
        <v>51827.584320000002</v>
      </c>
      <c r="E608" s="19">
        <v>57138.359260800928</v>
      </c>
      <c r="F608" s="19">
        <v>26345.590559999997</v>
      </c>
      <c r="G608" s="19">
        <v>26066.949498183585</v>
      </c>
      <c r="H608" s="20">
        <v>0.10247004583525476</v>
      </c>
      <c r="I608" s="20">
        <v>-1.0576383216076679E-2</v>
      </c>
      <c r="J608" s="20">
        <v>6.4371619634345123E-2</v>
      </c>
    </row>
    <row r="609" spans="1:10" ht="11.25" customHeight="1" x14ac:dyDescent="0.2">
      <c r="A609" s="29">
        <v>44348</v>
      </c>
      <c r="B609" s="19">
        <v>0</v>
      </c>
      <c r="C609" s="19">
        <v>0</v>
      </c>
      <c r="D609" s="19">
        <v>55887.506819999995</v>
      </c>
      <c r="E609" s="19">
        <v>61614.302205463515</v>
      </c>
      <c r="F609" s="19">
        <v>28409.376809999998</v>
      </c>
      <c r="G609" s="19">
        <v>28108.908353927516</v>
      </c>
      <c r="H609" s="20">
        <v>0.10247004583525499</v>
      </c>
      <c r="I609" s="20">
        <v>-1.0576383216076679E-2</v>
      </c>
      <c r="J609" s="20">
        <v>6.4371619634345345E-2</v>
      </c>
    </row>
    <row r="610" spans="1:10" ht="11.25" customHeight="1" x14ac:dyDescent="0.2">
      <c r="A610" s="29">
        <v>44378</v>
      </c>
      <c r="B610" s="19">
        <v>0</v>
      </c>
      <c r="C610" s="19">
        <v>0</v>
      </c>
      <c r="D610" s="19">
        <v>53584.639559999996</v>
      </c>
      <c r="E610" s="19">
        <v>59075.460031778806</v>
      </c>
      <c r="F610" s="19">
        <v>27238.756979999995</v>
      </c>
      <c r="G610" s="19">
        <v>26950.669447849934</v>
      </c>
      <c r="H610" s="20">
        <v>0.10247004583525476</v>
      </c>
      <c r="I610" s="20">
        <v>-1.0576383216076568E-2</v>
      </c>
      <c r="J610" s="20">
        <v>6.4371619634345567E-2</v>
      </c>
    </row>
    <row r="611" spans="1:10" ht="11.25" customHeight="1" x14ac:dyDescent="0.2">
      <c r="A611" s="29">
        <v>44409</v>
      </c>
      <c r="B611" s="19">
        <v>0</v>
      </c>
      <c r="C611" s="19">
        <v>0</v>
      </c>
      <c r="D611" s="19">
        <v>53321.635800000004</v>
      </c>
      <c r="E611" s="19">
        <v>58785.506264436764</v>
      </c>
      <c r="F611" s="19">
        <v>27105.063899999997</v>
      </c>
      <c r="G611" s="19">
        <v>26818.390357097353</v>
      </c>
      <c r="H611" s="20">
        <v>0.10247004583525476</v>
      </c>
      <c r="I611" s="20">
        <v>-1.0576383216076679E-2</v>
      </c>
      <c r="J611" s="20">
        <v>6.4371619634345345E-2</v>
      </c>
    </row>
    <row r="612" spans="1:10" ht="11.25" customHeight="1" x14ac:dyDescent="0.2">
      <c r="A612" s="29">
        <v>44440</v>
      </c>
      <c r="B612" s="19">
        <v>0</v>
      </c>
      <c r="C612" s="19">
        <v>0</v>
      </c>
      <c r="D612" s="19">
        <v>50453.152020000001</v>
      </c>
      <c r="E612" s="19">
        <v>55623.08882002248</v>
      </c>
      <c r="F612" s="19">
        <v>25646.923409999999</v>
      </c>
      <c r="G612" s="19">
        <v>25375.671719702474</v>
      </c>
      <c r="H612" s="20">
        <v>0.10247004583525476</v>
      </c>
      <c r="I612" s="20">
        <v>-1.0576383216076568E-2</v>
      </c>
      <c r="J612" s="20">
        <v>6.4371619634345567E-2</v>
      </c>
    </row>
    <row r="613" spans="1:10" ht="11.25" customHeight="1" x14ac:dyDescent="0.2">
      <c r="A613" s="29">
        <v>44470</v>
      </c>
      <c r="B613" s="19">
        <v>0</v>
      </c>
      <c r="C613" s="19">
        <v>0</v>
      </c>
      <c r="D613" s="19">
        <v>45906.830999999998</v>
      </c>
      <c r="E613" s="19">
        <v>50610.906076721294</v>
      </c>
      <c r="F613" s="19">
        <v>23335.885499999997</v>
      </c>
      <c r="G613" s="19">
        <v>23089.07623226551</v>
      </c>
      <c r="H613" s="20">
        <v>0.10247004583525476</v>
      </c>
      <c r="I613" s="20">
        <v>-1.0576383216076679E-2</v>
      </c>
      <c r="J613" s="20">
        <v>6.4371619634345345E-2</v>
      </c>
    </row>
    <row r="614" spans="1:10" ht="11.25" customHeight="1" x14ac:dyDescent="0.2">
      <c r="A614" s="29">
        <v>44501</v>
      </c>
      <c r="B614" s="19">
        <v>0</v>
      </c>
      <c r="C614" s="19">
        <v>0</v>
      </c>
      <c r="D614" s="19">
        <v>44820.224100000007</v>
      </c>
      <c r="E614" s="19">
        <v>49412.954517873397</v>
      </c>
      <c r="F614" s="19">
        <v>22783.529050000001</v>
      </c>
      <c r="G614" s="19">
        <v>22542.561715752585</v>
      </c>
      <c r="H614" s="20">
        <v>0.10247004583525476</v>
      </c>
      <c r="I614" s="20">
        <v>-1.0576383216076679E-2</v>
      </c>
      <c r="J614" s="20">
        <v>6.4371619634345345E-2</v>
      </c>
    </row>
    <row r="615" spans="1:10" ht="11.25" customHeight="1" x14ac:dyDescent="0.2">
      <c r="A615" s="29">
        <v>44531</v>
      </c>
      <c r="B615" s="19">
        <v>0</v>
      </c>
      <c r="C615" s="19">
        <v>0</v>
      </c>
      <c r="D615" s="19">
        <v>42171.174180000002</v>
      </c>
      <c r="E615" s="19">
        <v>46492.456331151116</v>
      </c>
      <c r="F615" s="19">
        <v>21436.933689999998</v>
      </c>
      <c r="G615" s="19">
        <v>21210.208464316936</v>
      </c>
      <c r="H615" s="20">
        <v>0.10247004583525476</v>
      </c>
      <c r="I615" s="20">
        <v>-1.0576383216076568E-2</v>
      </c>
      <c r="J615" s="20">
        <v>6.4371619634345345E-2</v>
      </c>
    </row>
    <row r="616" spans="1:10" ht="11.25" customHeight="1" x14ac:dyDescent="0.2">
      <c r="A616" s="29">
        <v>44562</v>
      </c>
      <c r="B616" s="19">
        <v>0</v>
      </c>
      <c r="C616" s="19">
        <v>0</v>
      </c>
      <c r="D616" s="19">
        <v>44310.588300000003</v>
      </c>
      <c r="E616" s="19">
        <v>48851.096314088107</v>
      </c>
      <c r="F616" s="19">
        <v>22524.46515</v>
      </c>
      <c r="G616" s="19">
        <v>22286.237774836434</v>
      </c>
      <c r="H616" s="20">
        <v>0.10247004583525476</v>
      </c>
      <c r="I616" s="20">
        <v>-1.057638321607679E-2</v>
      </c>
      <c r="J616" s="20">
        <v>6.4371619634345345E-2</v>
      </c>
    </row>
    <row r="617" spans="1:10" ht="11.25" customHeight="1" x14ac:dyDescent="0.2">
      <c r="A617" s="29">
        <v>44593</v>
      </c>
      <c r="B617" s="19">
        <v>0</v>
      </c>
      <c r="C617" s="19">
        <v>0</v>
      </c>
      <c r="D617" s="19">
        <v>46493.044199999997</v>
      </c>
      <c r="E617" s="19">
        <v>51257.188570194528</v>
      </c>
      <c r="F617" s="19">
        <v>23633.876099999998</v>
      </c>
      <c r="G617" s="19">
        <v>23383.915169485121</v>
      </c>
      <c r="H617" s="20">
        <v>0.10247004583525499</v>
      </c>
      <c r="I617" s="20">
        <v>-1.0576383216076679E-2</v>
      </c>
      <c r="J617" s="20">
        <v>6.4371619634345345E-2</v>
      </c>
    </row>
    <row r="618" spans="1:10" ht="11.25" customHeight="1" x14ac:dyDescent="0.2">
      <c r="A618" s="29">
        <v>44621</v>
      </c>
      <c r="B618" s="19">
        <v>0</v>
      </c>
      <c r="C618" s="19">
        <v>0</v>
      </c>
      <c r="D618" s="19">
        <v>46493.044199999997</v>
      </c>
      <c r="E618" s="19">
        <v>51257.188570194528</v>
      </c>
      <c r="F618" s="19">
        <v>23633.876099999998</v>
      </c>
      <c r="G618" s="19">
        <v>23383.915169485121</v>
      </c>
      <c r="H618" s="20">
        <v>0.10247004583525499</v>
      </c>
      <c r="I618" s="20">
        <v>-1.0576383216076679E-2</v>
      </c>
      <c r="J618" s="20">
        <v>6.4371619634345345E-2</v>
      </c>
    </row>
    <row r="619" spans="1:10" ht="11.25" customHeight="1" x14ac:dyDescent="0.2">
      <c r="A619" s="21" t="s">
        <v>56</v>
      </c>
      <c r="B619" s="19">
        <v>635300.57999999996</v>
      </c>
      <c r="C619" s="19">
        <v>644891.91250552936</v>
      </c>
      <c r="D619" s="19">
        <v>1612818.8916200001</v>
      </c>
      <c r="E619" s="19">
        <v>1787159.2034895315</v>
      </c>
      <c r="F619" s="19">
        <v>0</v>
      </c>
      <c r="G619" s="19">
        <v>0</v>
      </c>
      <c r="H619" s="20">
        <v>8.1815778341405965E-2</v>
      </c>
      <c r="I619" s="20">
        <v>0</v>
      </c>
      <c r="J619" s="20">
        <v>8.1815778341405965E-2</v>
      </c>
    </row>
    <row r="620" spans="1:10" ht="11.25" customHeight="1" x14ac:dyDescent="0.2">
      <c r="A620" s="22" t="s">
        <v>33</v>
      </c>
      <c r="B620" s="19">
        <v>635300.57999999996</v>
      </c>
      <c r="C620" s="19">
        <v>644891.91250552936</v>
      </c>
      <c r="D620" s="19">
        <v>1612818.8916200001</v>
      </c>
      <c r="E620" s="19">
        <v>1787159.2034895315</v>
      </c>
      <c r="F620" s="19">
        <v>0</v>
      </c>
      <c r="G620" s="19">
        <v>0</v>
      </c>
      <c r="H620" s="20">
        <v>8.1815778341405965E-2</v>
      </c>
      <c r="I620" s="20">
        <v>0</v>
      </c>
      <c r="J620" s="20">
        <v>8.1815778341405965E-2</v>
      </c>
    </row>
    <row r="621" spans="1:10" ht="11.25" customHeight="1" x14ac:dyDescent="0.2">
      <c r="A621" s="23" t="s">
        <v>34</v>
      </c>
      <c r="B621" s="19">
        <v>635300.57999999996</v>
      </c>
      <c r="C621" s="19">
        <v>644891.91250552936</v>
      </c>
      <c r="D621" s="19">
        <v>1612818.8916200001</v>
      </c>
      <c r="E621" s="19">
        <v>1787159.2034895315</v>
      </c>
      <c r="F621" s="19">
        <v>0</v>
      </c>
      <c r="G621" s="19">
        <v>0</v>
      </c>
      <c r="H621" s="20">
        <v>8.1815778341405965E-2</v>
      </c>
      <c r="I621" s="20">
        <v>0</v>
      </c>
      <c r="J621" s="20">
        <v>8.1815778341405965E-2</v>
      </c>
    </row>
    <row r="622" spans="1:10" ht="11.25" customHeight="1" x14ac:dyDescent="0.2">
      <c r="A622" s="24" t="s">
        <v>38</v>
      </c>
      <c r="B622" s="19">
        <v>635300.57999999996</v>
      </c>
      <c r="C622" s="19">
        <v>644891.91250552936</v>
      </c>
      <c r="D622" s="19">
        <v>1612818.8916200001</v>
      </c>
      <c r="E622" s="19">
        <v>1787159.2034895315</v>
      </c>
      <c r="F622" s="19">
        <v>0</v>
      </c>
      <c r="G622" s="19">
        <v>0</v>
      </c>
      <c r="H622" s="20">
        <v>8.1815778341405965E-2</v>
      </c>
      <c r="I622" s="20">
        <v>0</v>
      </c>
      <c r="J622" s="20">
        <v>8.1815778341405965E-2</v>
      </c>
    </row>
    <row r="623" spans="1:10" ht="11.25" customHeight="1" x14ac:dyDescent="0.2">
      <c r="A623" s="25" t="s">
        <v>25</v>
      </c>
      <c r="B623" s="19">
        <v>635300.57999999996</v>
      </c>
      <c r="C623" s="19">
        <v>644891.91250552936</v>
      </c>
      <c r="D623" s="19">
        <v>1612818.8916200001</v>
      </c>
      <c r="E623" s="19">
        <v>1787159.2034895315</v>
      </c>
      <c r="F623" s="19">
        <v>0</v>
      </c>
      <c r="G623" s="19">
        <v>0</v>
      </c>
      <c r="H623" s="20">
        <v>8.1815778341405965E-2</v>
      </c>
      <c r="I623" s="20">
        <v>0</v>
      </c>
      <c r="J623" s="20">
        <v>8.1815778341405965E-2</v>
      </c>
    </row>
    <row r="624" spans="1:10" ht="11.25" customHeight="1" x14ac:dyDescent="0.2">
      <c r="A624" s="26" t="s">
        <v>55</v>
      </c>
      <c r="B624" s="19">
        <v>635300.57999999996</v>
      </c>
      <c r="C624" s="19">
        <v>644891.91250552936</v>
      </c>
      <c r="D624" s="19">
        <v>1612818.8916200001</v>
      </c>
      <c r="E624" s="19">
        <v>1787159.2034895315</v>
      </c>
      <c r="F624" s="19">
        <v>0</v>
      </c>
      <c r="G624" s="19">
        <v>0</v>
      </c>
      <c r="H624" s="20">
        <v>8.1815778341405965E-2</v>
      </c>
      <c r="I624" s="20">
        <v>0</v>
      </c>
      <c r="J624" s="20">
        <v>8.1815778341405965E-2</v>
      </c>
    </row>
    <row r="625" spans="1:10" ht="11.25" customHeight="1" x14ac:dyDescent="0.2">
      <c r="A625" s="27" t="s">
        <v>25</v>
      </c>
      <c r="B625" s="19">
        <v>635300.57999999996</v>
      </c>
      <c r="C625" s="19">
        <v>644891.91250552936</v>
      </c>
      <c r="D625" s="19">
        <v>1612818.8916200001</v>
      </c>
      <c r="E625" s="19">
        <v>1787159.2034895315</v>
      </c>
      <c r="F625" s="19">
        <v>0</v>
      </c>
      <c r="G625" s="19">
        <v>0</v>
      </c>
      <c r="H625" s="20">
        <v>8.1815778341405965E-2</v>
      </c>
      <c r="I625" s="20">
        <v>0</v>
      </c>
      <c r="J625" s="20">
        <v>8.1815778341405965E-2</v>
      </c>
    </row>
    <row r="626" spans="1:10" ht="11.25" customHeight="1" x14ac:dyDescent="0.2">
      <c r="A626" s="28" t="s">
        <v>36</v>
      </c>
      <c r="B626" s="19">
        <v>0</v>
      </c>
      <c r="C626" s="19">
        <v>0</v>
      </c>
      <c r="D626" s="19">
        <v>337599.40850000008</v>
      </c>
      <c r="E626" s="19">
        <v>476810.86899598874</v>
      </c>
      <c r="F626" s="19">
        <v>0</v>
      </c>
      <c r="G626" s="19">
        <v>0</v>
      </c>
      <c r="H626" s="20">
        <v>0.41235694432796555</v>
      </c>
      <c r="I626" s="20">
        <v>0</v>
      </c>
      <c r="J626" s="20">
        <v>0.41235694432796555</v>
      </c>
    </row>
    <row r="627" spans="1:10" ht="11.25" customHeight="1" x14ac:dyDescent="0.2">
      <c r="A627" s="29">
        <v>44287</v>
      </c>
      <c r="B627" s="19">
        <v>0</v>
      </c>
      <c r="C627" s="19">
        <v>0</v>
      </c>
      <c r="D627" s="19">
        <v>6610.9590950000002</v>
      </c>
      <c r="E627" s="19">
        <v>9337.0339864913749</v>
      </c>
      <c r="F627" s="19">
        <v>0</v>
      </c>
      <c r="G627" s="19">
        <v>0</v>
      </c>
      <c r="H627" s="20">
        <v>0.41235694432796577</v>
      </c>
      <c r="I627" s="20">
        <v>0</v>
      </c>
      <c r="J627" s="20">
        <v>0.41235694432796577</v>
      </c>
    </row>
    <row r="628" spans="1:10" ht="11.25" customHeight="1" x14ac:dyDescent="0.2">
      <c r="A628" s="29">
        <v>44317</v>
      </c>
      <c r="B628" s="19">
        <v>0</v>
      </c>
      <c r="C628" s="19">
        <v>0</v>
      </c>
      <c r="D628" s="19">
        <v>6033.5163600000005</v>
      </c>
      <c r="E628" s="19">
        <v>8521.4787297623916</v>
      </c>
      <c r="F628" s="19">
        <v>0</v>
      </c>
      <c r="G628" s="19">
        <v>0</v>
      </c>
      <c r="H628" s="20">
        <v>0.41235694432796577</v>
      </c>
      <c r="I628" s="20">
        <v>0</v>
      </c>
      <c r="J628" s="20">
        <v>0.41235694432796577</v>
      </c>
    </row>
    <row r="629" spans="1:10" ht="11.25" customHeight="1" x14ac:dyDescent="0.2">
      <c r="A629" s="29">
        <v>44348</v>
      </c>
      <c r="B629" s="19">
        <v>0</v>
      </c>
      <c r="C629" s="19">
        <v>0</v>
      </c>
      <c r="D629" s="19">
        <v>43542.844280000005</v>
      </c>
      <c r="E629" s="19">
        <v>61498.038494649249</v>
      </c>
      <c r="F629" s="19">
        <v>0</v>
      </c>
      <c r="G629" s="19">
        <v>0</v>
      </c>
      <c r="H629" s="20">
        <v>0.41235694432796577</v>
      </c>
      <c r="I629" s="20">
        <v>0</v>
      </c>
      <c r="J629" s="20">
        <v>0.41235694432796577</v>
      </c>
    </row>
    <row r="630" spans="1:10" ht="11.25" customHeight="1" x14ac:dyDescent="0.2">
      <c r="A630" s="29">
        <v>44378</v>
      </c>
      <c r="B630" s="19">
        <v>0</v>
      </c>
      <c r="C630" s="19">
        <v>0</v>
      </c>
      <c r="D630" s="19">
        <v>64381.885465000007</v>
      </c>
      <c r="E630" s="19">
        <v>90930.203025420487</v>
      </c>
      <c r="F630" s="19">
        <v>0</v>
      </c>
      <c r="G630" s="19">
        <v>0</v>
      </c>
      <c r="H630" s="20">
        <v>0.41235694432796577</v>
      </c>
      <c r="I630" s="20">
        <v>0</v>
      </c>
      <c r="J630" s="20">
        <v>0.41235694432796577</v>
      </c>
    </row>
    <row r="631" spans="1:10" ht="11.25" customHeight="1" x14ac:dyDescent="0.2">
      <c r="A631" s="29">
        <v>44409</v>
      </c>
      <c r="B631" s="19">
        <v>0</v>
      </c>
      <c r="C631" s="19">
        <v>0</v>
      </c>
      <c r="D631" s="19">
        <v>49714.970010000005</v>
      </c>
      <c r="E631" s="19">
        <v>70215.283130680065</v>
      </c>
      <c r="F631" s="19">
        <v>0</v>
      </c>
      <c r="G631" s="19">
        <v>0</v>
      </c>
      <c r="H631" s="20">
        <v>0.41235694432796577</v>
      </c>
      <c r="I631" s="20">
        <v>0</v>
      </c>
      <c r="J631" s="20">
        <v>0.41235694432796577</v>
      </c>
    </row>
    <row r="632" spans="1:10" ht="11.25" customHeight="1" x14ac:dyDescent="0.2">
      <c r="A632" s="29">
        <v>44440</v>
      </c>
      <c r="B632" s="19">
        <v>0</v>
      </c>
      <c r="C632" s="19">
        <v>0</v>
      </c>
      <c r="D632" s="19">
        <v>32200.675725000001</v>
      </c>
      <c r="E632" s="19">
        <v>45478.847972256714</v>
      </c>
      <c r="F632" s="19">
        <v>0</v>
      </c>
      <c r="G632" s="19">
        <v>0</v>
      </c>
      <c r="H632" s="20">
        <v>0.41235694432796599</v>
      </c>
      <c r="I632" s="20">
        <v>0</v>
      </c>
      <c r="J632" s="20">
        <v>0.41235694432796599</v>
      </c>
    </row>
    <row r="633" spans="1:10" ht="11.25" customHeight="1" x14ac:dyDescent="0.2">
      <c r="A633" s="29">
        <v>44470</v>
      </c>
      <c r="B633" s="19">
        <v>0</v>
      </c>
      <c r="C633" s="19">
        <v>0</v>
      </c>
      <c r="D633" s="19">
        <v>26386.305185000001</v>
      </c>
      <c r="E633" s="19">
        <v>37266.881363191766</v>
      </c>
      <c r="F633" s="19">
        <v>0</v>
      </c>
      <c r="G633" s="19">
        <v>0</v>
      </c>
      <c r="H633" s="20">
        <v>0.41235694432796599</v>
      </c>
      <c r="I633" s="20">
        <v>0</v>
      </c>
      <c r="J633" s="20">
        <v>0.41235694432796599</v>
      </c>
    </row>
    <row r="634" spans="1:10" ht="11.25" customHeight="1" x14ac:dyDescent="0.2">
      <c r="A634" s="29">
        <v>44501</v>
      </c>
      <c r="B634" s="19">
        <v>0</v>
      </c>
      <c r="C634" s="19">
        <v>0</v>
      </c>
      <c r="D634" s="19">
        <v>14189.041775</v>
      </c>
      <c r="E634" s="19">
        <v>20039.991684280856</v>
      </c>
      <c r="F634" s="19">
        <v>0</v>
      </c>
      <c r="G634" s="19">
        <v>0</v>
      </c>
      <c r="H634" s="20">
        <v>0.41235694432796577</v>
      </c>
      <c r="I634" s="20">
        <v>0</v>
      </c>
      <c r="J634" s="20">
        <v>0.41235694432796577</v>
      </c>
    </row>
    <row r="635" spans="1:10" ht="11.25" customHeight="1" x14ac:dyDescent="0.2">
      <c r="A635" s="29">
        <v>44531</v>
      </c>
      <c r="B635" s="19">
        <v>0</v>
      </c>
      <c r="C635" s="19">
        <v>0</v>
      </c>
      <c r="D635" s="19">
        <v>24354.36694</v>
      </c>
      <c r="E635" s="19">
        <v>34397.059272420433</v>
      </c>
      <c r="F635" s="19">
        <v>0</v>
      </c>
      <c r="G635" s="19">
        <v>0</v>
      </c>
      <c r="H635" s="20">
        <v>0.41235694432796577</v>
      </c>
      <c r="I635" s="20">
        <v>0</v>
      </c>
      <c r="J635" s="20">
        <v>0.41235694432796577</v>
      </c>
    </row>
    <row r="636" spans="1:10" ht="11.25" customHeight="1" x14ac:dyDescent="0.2">
      <c r="A636" s="29">
        <v>44562</v>
      </c>
      <c r="B636" s="19">
        <v>0</v>
      </c>
      <c r="C636" s="19">
        <v>0</v>
      </c>
      <c r="D636" s="19">
        <v>44591.154385000002</v>
      </c>
      <c r="E636" s="19">
        <v>62978.626551255184</v>
      </c>
      <c r="F636" s="19">
        <v>0</v>
      </c>
      <c r="G636" s="19">
        <v>0</v>
      </c>
      <c r="H636" s="20">
        <v>0.41235694432796599</v>
      </c>
      <c r="I636" s="20">
        <v>0</v>
      </c>
      <c r="J636" s="20">
        <v>0.41235694432796599</v>
      </c>
    </row>
    <row r="637" spans="1:10" ht="11.25" customHeight="1" x14ac:dyDescent="0.2">
      <c r="A637" s="29">
        <v>44593</v>
      </c>
      <c r="B637" s="19">
        <v>0</v>
      </c>
      <c r="C637" s="19">
        <v>0</v>
      </c>
      <c r="D637" s="19">
        <v>12796.844640000001</v>
      </c>
      <c r="E637" s="19">
        <v>18073.712392790108</v>
      </c>
      <c r="F637" s="19">
        <v>0</v>
      </c>
      <c r="G637" s="19">
        <v>0</v>
      </c>
      <c r="H637" s="20">
        <v>0.41235694432796577</v>
      </c>
      <c r="I637" s="20">
        <v>0</v>
      </c>
      <c r="J637" s="20">
        <v>0.41235694432796577</v>
      </c>
    </row>
    <row r="638" spans="1:10" ht="11.25" customHeight="1" x14ac:dyDescent="0.2">
      <c r="A638" s="29">
        <v>44621</v>
      </c>
      <c r="B638" s="19">
        <v>0</v>
      </c>
      <c r="C638" s="19">
        <v>0</v>
      </c>
      <c r="D638" s="19">
        <v>12796.844640000001</v>
      </c>
      <c r="E638" s="19">
        <v>18073.712392790108</v>
      </c>
      <c r="F638" s="19">
        <v>0</v>
      </c>
      <c r="G638" s="19">
        <v>0</v>
      </c>
      <c r="H638" s="20">
        <v>0.41235694432796577</v>
      </c>
      <c r="I638" s="20">
        <v>0</v>
      </c>
      <c r="J638" s="20">
        <v>0.41235694432796577</v>
      </c>
    </row>
    <row r="639" spans="1:10" ht="11.25" customHeight="1" x14ac:dyDescent="0.2">
      <c r="A639" s="28" t="s">
        <v>25</v>
      </c>
      <c r="B639" s="19">
        <v>635300.57999999996</v>
      </c>
      <c r="C639" s="19">
        <v>644891.91250552936</v>
      </c>
      <c r="D639" s="19">
        <v>0</v>
      </c>
      <c r="E639" s="19">
        <v>0</v>
      </c>
      <c r="F639" s="19">
        <v>0</v>
      </c>
      <c r="G639" s="19">
        <v>0</v>
      </c>
      <c r="H639" s="20">
        <v>1.5097314259542083E-2</v>
      </c>
      <c r="I639" s="20">
        <v>0</v>
      </c>
      <c r="J639" s="20">
        <v>1.5097314259542083E-2</v>
      </c>
    </row>
    <row r="640" spans="1:10" ht="11.25" customHeight="1" x14ac:dyDescent="0.2">
      <c r="A640" s="29">
        <v>44287</v>
      </c>
      <c r="B640" s="19">
        <v>11529.424999999999</v>
      </c>
      <c r="C640" s="19">
        <v>11703.488352456819</v>
      </c>
      <c r="D640" s="19">
        <v>0</v>
      </c>
      <c r="E640" s="19">
        <v>0</v>
      </c>
      <c r="F640" s="19">
        <v>0</v>
      </c>
      <c r="G640" s="19">
        <v>0</v>
      </c>
      <c r="H640" s="20">
        <v>1.5097314259542083E-2</v>
      </c>
      <c r="I640" s="20">
        <v>0</v>
      </c>
      <c r="J640" s="20">
        <v>1.5097314259542083E-2</v>
      </c>
    </row>
    <row r="641" spans="1:10" ht="11.25" customHeight="1" x14ac:dyDescent="0.2">
      <c r="A641" s="29">
        <v>44317</v>
      </c>
      <c r="B641" s="19">
        <v>15708.11</v>
      </c>
      <c r="C641" s="19">
        <v>15945.260273093454</v>
      </c>
      <c r="D641" s="19">
        <v>0</v>
      </c>
      <c r="E641" s="19">
        <v>0</v>
      </c>
      <c r="F641" s="19">
        <v>0</v>
      </c>
      <c r="G641" s="19">
        <v>0</v>
      </c>
      <c r="H641" s="20">
        <v>1.5097314259541861E-2</v>
      </c>
      <c r="I641" s="20">
        <v>0</v>
      </c>
      <c r="J641" s="20">
        <v>1.5097314259541861E-2</v>
      </c>
    </row>
    <row r="642" spans="1:10" ht="11.25" customHeight="1" x14ac:dyDescent="0.2">
      <c r="A642" s="29">
        <v>44348</v>
      </c>
      <c r="B642" s="19">
        <v>104619.29</v>
      </c>
      <c r="C642" s="19">
        <v>106198.76029874016</v>
      </c>
      <c r="D642" s="19">
        <v>0</v>
      </c>
      <c r="E642" s="19">
        <v>0</v>
      </c>
      <c r="F642" s="19">
        <v>0</v>
      </c>
      <c r="G642" s="19">
        <v>0</v>
      </c>
      <c r="H642" s="20">
        <v>1.5097314259542083E-2</v>
      </c>
      <c r="I642" s="20">
        <v>0</v>
      </c>
      <c r="J642" s="20">
        <v>1.5097314259542083E-2</v>
      </c>
    </row>
    <row r="643" spans="1:10" ht="11.25" customHeight="1" x14ac:dyDescent="0.2">
      <c r="A643" s="29">
        <v>44378</v>
      </c>
      <c r="B643" s="19">
        <v>29086.924999999999</v>
      </c>
      <c r="C643" s="19">
        <v>29526.059447568729</v>
      </c>
      <c r="D643" s="19">
        <v>0</v>
      </c>
      <c r="E643" s="19">
        <v>0</v>
      </c>
      <c r="F643" s="19">
        <v>0</v>
      </c>
      <c r="G643" s="19">
        <v>0</v>
      </c>
      <c r="H643" s="20">
        <v>1.5097314259542083E-2</v>
      </c>
      <c r="I643" s="20">
        <v>0</v>
      </c>
      <c r="J643" s="20">
        <v>1.5097314259542083E-2</v>
      </c>
    </row>
    <row r="644" spans="1:10" ht="11.25" customHeight="1" x14ac:dyDescent="0.2">
      <c r="A644" s="29">
        <v>44409</v>
      </c>
      <c r="B644" s="19">
        <v>59121.955000000002</v>
      </c>
      <c r="C644" s="19">
        <v>60014.537734273501</v>
      </c>
      <c r="D644" s="19">
        <v>0</v>
      </c>
      <c r="E644" s="19">
        <v>0</v>
      </c>
      <c r="F644" s="19">
        <v>0</v>
      </c>
      <c r="G644" s="19">
        <v>0</v>
      </c>
      <c r="H644" s="20">
        <v>1.5097314259542083E-2</v>
      </c>
      <c r="I644" s="20">
        <v>0</v>
      </c>
      <c r="J644" s="20">
        <v>1.5097314259542083E-2</v>
      </c>
    </row>
    <row r="645" spans="1:10" ht="11.25" customHeight="1" x14ac:dyDescent="0.2">
      <c r="A645" s="29">
        <v>44440</v>
      </c>
      <c r="B645" s="19">
        <v>57483.254999999997</v>
      </c>
      <c r="C645" s="19">
        <v>58351.097765396386</v>
      </c>
      <c r="D645" s="19">
        <v>0</v>
      </c>
      <c r="E645" s="19">
        <v>0</v>
      </c>
      <c r="F645" s="19">
        <v>0</v>
      </c>
      <c r="G645" s="19">
        <v>0</v>
      </c>
      <c r="H645" s="20">
        <v>1.5097314259542083E-2</v>
      </c>
      <c r="I645" s="20">
        <v>0</v>
      </c>
      <c r="J645" s="20">
        <v>1.5097314259542083E-2</v>
      </c>
    </row>
    <row r="646" spans="1:10" ht="11.25" customHeight="1" x14ac:dyDescent="0.2">
      <c r="A646" s="29">
        <v>44470</v>
      </c>
      <c r="B646" s="19">
        <v>58852.74</v>
      </c>
      <c r="C646" s="19">
        <v>59741.258310815116</v>
      </c>
      <c r="D646" s="19">
        <v>0</v>
      </c>
      <c r="E646" s="19">
        <v>0</v>
      </c>
      <c r="F646" s="19">
        <v>0</v>
      </c>
      <c r="G646" s="19">
        <v>0</v>
      </c>
      <c r="H646" s="20">
        <v>1.5097314259542083E-2</v>
      </c>
      <c r="I646" s="20">
        <v>0</v>
      </c>
      <c r="J646" s="20">
        <v>1.5097314259542083E-2</v>
      </c>
    </row>
    <row r="647" spans="1:10" ht="11.25" customHeight="1" x14ac:dyDescent="0.2">
      <c r="A647" s="29">
        <v>44501</v>
      </c>
      <c r="B647" s="19">
        <v>58665.46</v>
      </c>
      <c r="C647" s="19">
        <v>59551.150885800591</v>
      </c>
      <c r="D647" s="19">
        <v>0</v>
      </c>
      <c r="E647" s="19">
        <v>0</v>
      </c>
      <c r="F647" s="19">
        <v>0</v>
      </c>
      <c r="G647" s="19">
        <v>0</v>
      </c>
      <c r="H647" s="20">
        <v>1.5097314259542083E-2</v>
      </c>
      <c r="I647" s="20">
        <v>0</v>
      </c>
      <c r="J647" s="20">
        <v>1.5097314259542083E-2</v>
      </c>
    </row>
    <row r="648" spans="1:10" ht="11.25" customHeight="1" x14ac:dyDescent="0.2">
      <c r="A648" s="29">
        <v>44531</v>
      </c>
      <c r="B648" s="19">
        <v>58630.345000000001</v>
      </c>
      <c r="C648" s="19">
        <v>59515.505743610367</v>
      </c>
      <c r="D648" s="19">
        <v>0</v>
      </c>
      <c r="E648" s="19">
        <v>0</v>
      </c>
      <c r="F648" s="19">
        <v>0</v>
      </c>
      <c r="G648" s="19">
        <v>0</v>
      </c>
      <c r="H648" s="20">
        <v>1.5097314259542083E-2</v>
      </c>
      <c r="I648" s="20">
        <v>0</v>
      </c>
      <c r="J648" s="20">
        <v>1.5097314259542083E-2</v>
      </c>
    </row>
    <row r="649" spans="1:10" ht="11.25" customHeight="1" x14ac:dyDescent="0.2">
      <c r="A649" s="29">
        <v>44562</v>
      </c>
      <c r="B649" s="19">
        <v>58162.144999999997</v>
      </c>
      <c r="C649" s="19">
        <v>59040.237181074051</v>
      </c>
      <c r="D649" s="19">
        <v>0</v>
      </c>
      <c r="E649" s="19">
        <v>0</v>
      </c>
      <c r="F649" s="19">
        <v>0</v>
      </c>
      <c r="G649" s="19">
        <v>0</v>
      </c>
      <c r="H649" s="20">
        <v>1.5097314259542083E-2</v>
      </c>
      <c r="I649" s="20">
        <v>0</v>
      </c>
      <c r="J649" s="20">
        <v>1.5097314259542083E-2</v>
      </c>
    </row>
    <row r="650" spans="1:10" ht="11.25" customHeight="1" x14ac:dyDescent="0.2">
      <c r="A650" s="29">
        <v>44593</v>
      </c>
      <c r="B650" s="19">
        <v>61720.465000000004</v>
      </c>
      <c r="C650" s="19">
        <v>62652.278256350066</v>
      </c>
      <c r="D650" s="19">
        <v>0</v>
      </c>
      <c r="E650" s="19">
        <v>0</v>
      </c>
      <c r="F650" s="19">
        <v>0</v>
      </c>
      <c r="G650" s="19">
        <v>0</v>
      </c>
      <c r="H650" s="20">
        <v>1.5097314259542083E-2</v>
      </c>
      <c r="I650" s="20">
        <v>0</v>
      </c>
      <c r="J650" s="20">
        <v>1.5097314259542083E-2</v>
      </c>
    </row>
    <row r="651" spans="1:10" ht="11.25" customHeight="1" x14ac:dyDescent="0.2">
      <c r="A651" s="29">
        <v>44621</v>
      </c>
      <c r="B651" s="19">
        <v>61720.465000000004</v>
      </c>
      <c r="C651" s="19">
        <v>62652.278256350066</v>
      </c>
      <c r="D651" s="19">
        <v>0</v>
      </c>
      <c r="E651" s="19">
        <v>0</v>
      </c>
      <c r="F651" s="19">
        <v>0</v>
      </c>
      <c r="G651" s="19">
        <v>0</v>
      </c>
      <c r="H651" s="20">
        <v>1.5097314259542083E-2</v>
      </c>
      <c r="I651" s="20">
        <v>0</v>
      </c>
      <c r="J651" s="20">
        <v>1.5097314259542083E-2</v>
      </c>
    </row>
    <row r="652" spans="1:10" ht="11.25" customHeight="1" x14ac:dyDescent="0.2">
      <c r="A652" s="28" t="s">
        <v>35</v>
      </c>
      <c r="B652" s="19">
        <v>0</v>
      </c>
      <c r="C652" s="19">
        <v>0</v>
      </c>
      <c r="D652" s="19">
        <v>1275219.48312</v>
      </c>
      <c r="E652" s="19">
        <v>1310348.334493543</v>
      </c>
      <c r="F652" s="19">
        <v>0</v>
      </c>
      <c r="G652" s="19">
        <v>0</v>
      </c>
      <c r="H652" s="20">
        <v>2.754729820124413E-2</v>
      </c>
      <c r="I652" s="20">
        <v>0</v>
      </c>
      <c r="J652" s="20">
        <v>2.754729820124413E-2</v>
      </c>
    </row>
    <row r="653" spans="1:10" ht="11.25" customHeight="1" x14ac:dyDescent="0.2">
      <c r="A653" s="29">
        <v>44287</v>
      </c>
      <c r="B653" s="19">
        <v>0</v>
      </c>
      <c r="C653" s="19">
        <v>0</v>
      </c>
      <c r="D653" s="19">
        <v>22623.350310000002</v>
      </c>
      <c r="E653" s="19">
        <v>23246.562487300776</v>
      </c>
      <c r="F653" s="19">
        <v>0</v>
      </c>
      <c r="G653" s="19">
        <v>0</v>
      </c>
      <c r="H653" s="20">
        <v>2.7547298201243908E-2</v>
      </c>
      <c r="I653" s="20">
        <v>0</v>
      </c>
      <c r="J653" s="20">
        <v>2.7547298201243908E-2</v>
      </c>
    </row>
    <row r="654" spans="1:10" ht="11.25" customHeight="1" x14ac:dyDescent="0.2">
      <c r="A654" s="29">
        <v>44317</v>
      </c>
      <c r="B654" s="19">
        <v>0</v>
      </c>
      <c r="C654" s="19">
        <v>0</v>
      </c>
      <c r="D654" s="19">
        <v>26320.908240000001</v>
      </c>
      <c r="E654" s="19">
        <v>27045.978148214861</v>
      </c>
      <c r="F654" s="19">
        <v>0</v>
      </c>
      <c r="G654" s="19">
        <v>0</v>
      </c>
      <c r="H654" s="20">
        <v>2.7547298201243908E-2</v>
      </c>
      <c r="I654" s="20">
        <v>0</v>
      </c>
      <c r="J654" s="20">
        <v>2.7547298201243908E-2</v>
      </c>
    </row>
    <row r="655" spans="1:10" ht="11.25" customHeight="1" x14ac:dyDescent="0.2">
      <c r="A655" s="29">
        <v>44348</v>
      </c>
      <c r="B655" s="19">
        <v>0</v>
      </c>
      <c r="C655" s="19">
        <v>0</v>
      </c>
      <c r="D655" s="19">
        <v>121703.64227999999</v>
      </c>
      <c r="E655" s="19">
        <v>125056.24880606469</v>
      </c>
      <c r="F655" s="19">
        <v>0</v>
      </c>
      <c r="G655" s="19">
        <v>0</v>
      </c>
      <c r="H655" s="20">
        <v>2.754729820124413E-2</v>
      </c>
      <c r="I655" s="20">
        <v>0</v>
      </c>
      <c r="J655" s="20">
        <v>2.754729820124413E-2</v>
      </c>
    </row>
    <row r="656" spans="1:10" ht="11.25" customHeight="1" x14ac:dyDescent="0.2">
      <c r="A656" s="29">
        <v>44378</v>
      </c>
      <c r="B656" s="19">
        <v>0</v>
      </c>
      <c r="C656" s="19">
        <v>0</v>
      </c>
      <c r="D656" s="19">
        <v>193743.20757</v>
      </c>
      <c r="E656" s="19">
        <v>199080.3094833963</v>
      </c>
      <c r="F656" s="19">
        <v>0</v>
      </c>
      <c r="G656" s="19">
        <v>0</v>
      </c>
      <c r="H656" s="20">
        <v>2.7547298201243908E-2</v>
      </c>
      <c r="I656" s="20">
        <v>0</v>
      </c>
      <c r="J656" s="20">
        <v>2.7547298201243908E-2</v>
      </c>
    </row>
    <row r="657" spans="1:10" ht="11.25" customHeight="1" x14ac:dyDescent="0.2">
      <c r="A657" s="29">
        <v>44409</v>
      </c>
      <c r="B657" s="19">
        <v>0</v>
      </c>
      <c r="C657" s="19">
        <v>0</v>
      </c>
      <c r="D657" s="19">
        <v>139781.72394999999</v>
      </c>
      <c r="E657" s="19">
        <v>143632.33278273462</v>
      </c>
      <c r="F657" s="19">
        <v>0</v>
      </c>
      <c r="G657" s="19">
        <v>0</v>
      </c>
      <c r="H657" s="20">
        <v>2.754729820124413E-2</v>
      </c>
      <c r="I657" s="20">
        <v>0</v>
      </c>
      <c r="J657" s="20">
        <v>2.754729820124413E-2</v>
      </c>
    </row>
    <row r="658" spans="1:10" ht="11.25" customHeight="1" x14ac:dyDescent="0.2">
      <c r="A658" s="29">
        <v>44440</v>
      </c>
      <c r="B658" s="19">
        <v>0</v>
      </c>
      <c r="C658" s="19">
        <v>0</v>
      </c>
      <c r="D658" s="19">
        <v>87241.76857</v>
      </c>
      <c r="E658" s="19">
        <v>89645.043584401705</v>
      </c>
      <c r="F658" s="19">
        <v>0</v>
      </c>
      <c r="G658" s="19">
        <v>0</v>
      </c>
      <c r="H658" s="20">
        <v>2.7547298201243908E-2</v>
      </c>
      <c r="I658" s="20">
        <v>0</v>
      </c>
      <c r="J658" s="20">
        <v>2.7547298201243908E-2</v>
      </c>
    </row>
    <row r="659" spans="1:10" ht="11.25" customHeight="1" x14ac:dyDescent="0.2">
      <c r="A659" s="29">
        <v>44470</v>
      </c>
      <c r="B659" s="19">
        <v>0</v>
      </c>
      <c r="C659" s="19">
        <v>0</v>
      </c>
      <c r="D659" s="19">
        <v>69895.955029999997</v>
      </c>
      <c r="E659" s="19">
        <v>71821.399746272145</v>
      </c>
      <c r="F659" s="19">
        <v>0</v>
      </c>
      <c r="G659" s="19">
        <v>0</v>
      </c>
      <c r="H659" s="20">
        <v>2.7547298201243908E-2</v>
      </c>
      <c r="I659" s="20">
        <v>0</v>
      </c>
      <c r="J659" s="20">
        <v>2.7547298201243908E-2</v>
      </c>
    </row>
    <row r="660" spans="1:10" ht="11.25" customHeight="1" x14ac:dyDescent="0.2">
      <c r="A660" s="29">
        <v>44501</v>
      </c>
      <c r="B660" s="19">
        <v>0</v>
      </c>
      <c r="C660" s="19">
        <v>0</v>
      </c>
      <c r="D660" s="19">
        <v>43281.913179999996</v>
      </c>
      <c r="E660" s="19">
        <v>44474.212949089808</v>
      </c>
      <c r="F660" s="19">
        <v>0</v>
      </c>
      <c r="G660" s="19">
        <v>0</v>
      </c>
      <c r="H660" s="20">
        <v>2.7547298201243908E-2</v>
      </c>
      <c r="I660" s="20">
        <v>0</v>
      </c>
      <c r="J660" s="20">
        <v>2.7547298201243908E-2</v>
      </c>
    </row>
    <row r="661" spans="1:10" ht="11.25" customHeight="1" x14ac:dyDescent="0.2">
      <c r="A661" s="29">
        <v>44531</v>
      </c>
      <c r="B661" s="19">
        <v>0</v>
      </c>
      <c r="C661" s="19">
        <v>0</v>
      </c>
      <c r="D661" s="19">
        <v>78416.07015</v>
      </c>
      <c r="E661" s="19">
        <v>80576.221018191718</v>
      </c>
      <c r="F661" s="19">
        <v>0</v>
      </c>
      <c r="G661" s="19">
        <v>0</v>
      </c>
      <c r="H661" s="20">
        <v>2.7547298201243908E-2</v>
      </c>
      <c r="I661" s="20">
        <v>0</v>
      </c>
      <c r="J661" s="20">
        <v>2.7547298201243908E-2</v>
      </c>
    </row>
    <row r="662" spans="1:10" ht="11.25" customHeight="1" x14ac:dyDescent="0.2">
      <c r="A662" s="29">
        <v>44562</v>
      </c>
      <c r="B662" s="19">
        <v>0</v>
      </c>
      <c r="C662" s="19">
        <v>0</v>
      </c>
      <c r="D662" s="19">
        <v>134309.51929999999</v>
      </c>
      <c r="E662" s="19">
        <v>138009.38367942284</v>
      </c>
      <c r="F662" s="19">
        <v>0</v>
      </c>
      <c r="G662" s="19">
        <v>0</v>
      </c>
      <c r="H662" s="20">
        <v>2.754729820124413E-2</v>
      </c>
      <c r="I662" s="20">
        <v>0</v>
      </c>
      <c r="J662" s="20">
        <v>2.754729820124413E-2</v>
      </c>
    </row>
    <row r="663" spans="1:10" ht="11.25" customHeight="1" x14ac:dyDescent="0.2">
      <c r="A663" s="29">
        <v>44593</v>
      </c>
      <c r="B663" s="19">
        <v>0</v>
      </c>
      <c r="C663" s="19">
        <v>0</v>
      </c>
      <c r="D663" s="19">
        <v>178950.71226999999</v>
      </c>
      <c r="E663" s="19">
        <v>183880.32090422671</v>
      </c>
      <c r="F663" s="19">
        <v>0</v>
      </c>
      <c r="G663" s="19">
        <v>0</v>
      </c>
      <c r="H663" s="20">
        <v>2.754729820124413E-2</v>
      </c>
      <c r="I663" s="20">
        <v>0</v>
      </c>
      <c r="J663" s="20">
        <v>2.754729820124413E-2</v>
      </c>
    </row>
    <row r="664" spans="1:10" ht="11.25" customHeight="1" x14ac:dyDescent="0.2">
      <c r="A664" s="29">
        <v>44621</v>
      </c>
      <c r="B664" s="19">
        <v>0</v>
      </c>
      <c r="C664" s="19">
        <v>0</v>
      </c>
      <c r="D664" s="19">
        <v>178950.71226999999</v>
      </c>
      <c r="E664" s="19">
        <v>183880.32090422671</v>
      </c>
      <c r="F664" s="19">
        <v>0</v>
      </c>
      <c r="G664" s="19">
        <v>0</v>
      </c>
      <c r="H664" s="20">
        <v>2.754729820124413E-2</v>
      </c>
      <c r="I664" s="20">
        <v>0</v>
      </c>
      <c r="J664" s="20">
        <v>2.754729820124413E-2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9F53-23F2-4ACB-9A1E-B992DA47B899}">
  <sheetPr codeName="Planilha19"/>
  <dimension ref="A1:G394"/>
  <sheetViews>
    <sheetView showGridLines="0" workbookViewId="0"/>
  </sheetViews>
  <sheetFormatPr defaultColWidth="9.140625" defaultRowHeight="11.25" customHeight="1" x14ac:dyDescent="0.2"/>
  <cols>
    <col min="1" max="1" width="34.7109375" style="15" bestFit="1" customWidth="1"/>
    <col min="2" max="2" width="20.42578125" style="19" bestFit="1" customWidth="1"/>
    <col min="3" max="3" width="21.85546875" style="19" bestFit="1" customWidth="1"/>
    <col min="4" max="4" width="20.28515625" style="19" bestFit="1" customWidth="1"/>
    <col min="5" max="5" width="21.7109375" style="19" bestFit="1" customWidth="1"/>
    <col min="6" max="6" width="14.85546875" style="19" bestFit="1" customWidth="1"/>
    <col min="7" max="7" width="14.7109375" style="19" bestFit="1" customWidth="1"/>
    <col min="8" max="16384" width="9.140625" style="15"/>
  </cols>
  <sheetData>
    <row r="1" spans="1:7" ht="11.25" customHeight="1" x14ac:dyDescent="0.2">
      <c r="A1" s="18" t="s">
        <v>547</v>
      </c>
      <c r="B1" s="19" t="s">
        <v>573</v>
      </c>
      <c r="C1" s="19" t="s">
        <v>574</v>
      </c>
      <c r="D1" s="19" t="s">
        <v>575</v>
      </c>
      <c r="E1" s="19" t="s">
        <v>576</v>
      </c>
      <c r="F1" s="19" t="s">
        <v>577</v>
      </c>
      <c r="G1" s="19" t="s">
        <v>578</v>
      </c>
    </row>
    <row r="2" spans="1:7" ht="11.25" customHeight="1" x14ac:dyDescent="0.2">
      <c r="A2" s="21" t="s">
        <v>565</v>
      </c>
      <c r="B2" s="19">
        <v>13540.344000000003</v>
      </c>
      <c r="C2" s="19">
        <v>74085.164535749966</v>
      </c>
      <c r="D2" s="19">
        <v>13744.766828550302</v>
      </c>
      <c r="E2" s="19">
        <v>78572.412870999557</v>
      </c>
      <c r="F2" s="19">
        <v>87625.508535749963</v>
      </c>
      <c r="G2" s="19">
        <v>92317.179699549859</v>
      </c>
    </row>
    <row r="3" spans="1:7" ht="11.25" customHeight="1" x14ac:dyDescent="0.2">
      <c r="A3" s="22" t="s">
        <v>33</v>
      </c>
      <c r="B3" s="19">
        <v>13540.344000000003</v>
      </c>
      <c r="C3" s="19">
        <v>50420.963989349977</v>
      </c>
      <c r="D3" s="19">
        <v>13744.766828550302</v>
      </c>
      <c r="E3" s="19">
        <v>53385.035885652396</v>
      </c>
      <c r="F3" s="19">
        <v>63961.307989349982</v>
      </c>
      <c r="G3" s="19">
        <v>67129.802714202699</v>
      </c>
    </row>
    <row r="4" spans="1:7" ht="11.25" customHeight="1" x14ac:dyDescent="0.2">
      <c r="A4" s="23" t="s">
        <v>34</v>
      </c>
      <c r="B4" s="19">
        <v>13540.344000000003</v>
      </c>
      <c r="C4" s="19">
        <v>50420.963989349977</v>
      </c>
      <c r="D4" s="19">
        <v>13744.766828550302</v>
      </c>
      <c r="E4" s="19">
        <v>53385.035885652396</v>
      </c>
      <c r="F4" s="19">
        <v>63961.307989349982</v>
      </c>
      <c r="G4" s="19">
        <v>67129.802714202699</v>
      </c>
    </row>
    <row r="5" spans="1:7" ht="11.25" customHeight="1" x14ac:dyDescent="0.2">
      <c r="A5" s="24" t="s">
        <v>48</v>
      </c>
      <c r="B5" s="19">
        <v>13540.344000000003</v>
      </c>
      <c r="C5" s="19">
        <v>50420.963989349977</v>
      </c>
      <c r="D5" s="19">
        <v>13744.766828550302</v>
      </c>
      <c r="E5" s="19">
        <v>53385.035885652396</v>
      </c>
      <c r="F5" s="19">
        <v>63961.307989349982</v>
      </c>
      <c r="G5" s="19">
        <v>67129.802714202699</v>
      </c>
    </row>
    <row r="6" spans="1:7" ht="11.25" customHeight="1" x14ac:dyDescent="0.2">
      <c r="A6" s="25" t="s">
        <v>49</v>
      </c>
      <c r="B6" s="19">
        <v>13540.344000000003</v>
      </c>
      <c r="C6" s="19">
        <v>50420.963989349977</v>
      </c>
      <c r="D6" s="19">
        <v>13744.766828550302</v>
      </c>
      <c r="E6" s="19">
        <v>53385.035885652396</v>
      </c>
      <c r="F6" s="19">
        <v>63961.307989349982</v>
      </c>
      <c r="G6" s="19">
        <v>67129.802714202699</v>
      </c>
    </row>
    <row r="7" spans="1:7" ht="11.25" customHeight="1" x14ac:dyDescent="0.2">
      <c r="A7" s="26" t="s">
        <v>25</v>
      </c>
      <c r="B7" s="19">
        <v>13540.344000000003</v>
      </c>
      <c r="C7" s="19">
        <v>50420.963989349977</v>
      </c>
      <c r="D7" s="19">
        <v>13744.766828550302</v>
      </c>
      <c r="E7" s="19">
        <v>53385.035885652396</v>
      </c>
      <c r="F7" s="19">
        <v>63961.307989349982</v>
      </c>
      <c r="G7" s="19">
        <v>67129.802714202699</v>
      </c>
    </row>
    <row r="8" spans="1:7" ht="11.25" customHeight="1" x14ac:dyDescent="0.2">
      <c r="A8" s="27" t="s">
        <v>25</v>
      </c>
      <c r="B8" s="19">
        <v>13540.344000000003</v>
      </c>
      <c r="C8" s="19">
        <v>50420.963989349977</v>
      </c>
      <c r="D8" s="19">
        <v>13744.766828550302</v>
      </c>
      <c r="E8" s="19">
        <v>53385.035885652396</v>
      </c>
      <c r="F8" s="19">
        <v>63961.307989349982</v>
      </c>
      <c r="G8" s="19">
        <v>67129.802714202699</v>
      </c>
    </row>
    <row r="9" spans="1:7" ht="11.25" customHeight="1" x14ac:dyDescent="0.2">
      <c r="A9" s="28" t="s">
        <v>36</v>
      </c>
      <c r="B9" s="19">
        <v>0</v>
      </c>
      <c r="C9" s="19">
        <v>25512.873160949988</v>
      </c>
      <c r="D9" s="19">
        <v>0</v>
      </c>
      <c r="E9" s="19">
        <v>27876.238106517481</v>
      </c>
      <c r="F9" s="19">
        <v>25512.873160949988</v>
      </c>
      <c r="G9" s="19">
        <v>27876.238106517481</v>
      </c>
    </row>
    <row r="10" spans="1:7" ht="11.25" customHeight="1" x14ac:dyDescent="0.2">
      <c r="A10" s="29">
        <v>44287</v>
      </c>
      <c r="B10" s="19">
        <v>0</v>
      </c>
      <c r="C10" s="19">
        <v>2321.248311000003</v>
      </c>
      <c r="D10" s="19">
        <v>0</v>
      </c>
      <c r="E10" s="19">
        <v>2536.2753231897541</v>
      </c>
      <c r="F10" s="19">
        <v>2321.248311000003</v>
      </c>
      <c r="G10" s="19">
        <v>2536.2753231897541</v>
      </c>
    </row>
    <row r="11" spans="1:7" ht="11.25" customHeight="1" x14ac:dyDescent="0.2">
      <c r="A11" s="29">
        <v>44317</v>
      </c>
      <c r="B11" s="19">
        <v>0</v>
      </c>
      <c r="C11" s="19">
        <v>2238.6312049499966</v>
      </c>
      <c r="D11" s="19">
        <v>0</v>
      </c>
      <c r="E11" s="19">
        <v>2446.0050464791543</v>
      </c>
      <c r="F11" s="19">
        <v>2238.6312049499966</v>
      </c>
      <c r="G11" s="19">
        <v>2446.0050464791543</v>
      </c>
    </row>
    <row r="12" spans="1:7" ht="11.25" customHeight="1" x14ac:dyDescent="0.2">
      <c r="A12" s="29">
        <v>44348</v>
      </c>
      <c r="B12" s="19">
        <v>0</v>
      </c>
      <c r="C12" s="19">
        <v>2070.253115999998</v>
      </c>
      <c r="D12" s="19">
        <v>0</v>
      </c>
      <c r="E12" s="19">
        <v>2262.0293856478688</v>
      </c>
      <c r="F12" s="19">
        <v>2070.253115999998</v>
      </c>
      <c r="G12" s="19">
        <v>2262.0293856478688</v>
      </c>
    </row>
    <row r="13" spans="1:7" ht="11.25" customHeight="1" x14ac:dyDescent="0.2">
      <c r="A13" s="29">
        <v>44378</v>
      </c>
      <c r="B13" s="19">
        <v>0</v>
      </c>
      <c r="C13" s="19">
        <v>1997.7867990000018</v>
      </c>
      <c r="D13" s="19">
        <v>0</v>
      </c>
      <c r="E13" s="19">
        <v>2182.8502083497892</v>
      </c>
      <c r="F13" s="19">
        <v>1997.7867990000018</v>
      </c>
      <c r="G13" s="19">
        <v>2182.8502083497892</v>
      </c>
    </row>
    <row r="14" spans="1:7" ht="11.25" customHeight="1" x14ac:dyDescent="0.2">
      <c r="A14" s="29">
        <v>44409</v>
      </c>
      <c r="B14" s="19">
        <v>0</v>
      </c>
      <c r="C14" s="19">
        <v>1994.3596979999988</v>
      </c>
      <c r="D14" s="19">
        <v>0</v>
      </c>
      <c r="E14" s="19">
        <v>2179.1056405432364</v>
      </c>
      <c r="F14" s="19">
        <v>1994.3596979999988</v>
      </c>
      <c r="G14" s="19">
        <v>2179.1056405432364</v>
      </c>
    </row>
    <row r="15" spans="1:7" ht="11.25" customHeight="1" x14ac:dyDescent="0.2">
      <c r="A15" s="29">
        <v>44440</v>
      </c>
      <c r="B15" s="19">
        <v>0</v>
      </c>
      <c r="C15" s="19">
        <v>2063.9671379999963</v>
      </c>
      <c r="D15" s="19">
        <v>0</v>
      </c>
      <c r="E15" s="19">
        <v>2255.1611110182366</v>
      </c>
      <c r="F15" s="19">
        <v>2063.9671379999963</v>
      </c>
      <c r="G15" s="19">
        <v>2255.1611110182366</v>
      </c>
    </row>
    <row r="16" spans="1:7" ht="11.25" customHeight="1" x14ac:dyDescent="0.2">
      <c r="A16" s="29">
        <v>44470</v>
      </c>
      <c r="B16" s="19">
        <v>0</v>
      </c>
      <c r="C16" s="19">
        <v>2019.1839840000011</v>
      </c>
      <c r="D16" s="19">
        <v>0</v>
      </c>
      <c r="E16" s="19">
        <v>2206.2295047585585</v>
      </c>
      <c r="F16" s="19">
        <v>2019.1839840000011</v>
      </c>
      <c r="G16" s="19">
        <v>2206.2295047585585</v>
      </c>
    </row>
    <row r="17" spans="1:7" ht="11.25" customHeight="1" x14ac:dyDescent="0.2">
      <c r="A17" s="29">
        <v>44501</v>
      </c>
      <c r="B17" s="19">
        <v>0</v>
      </c>
      <c r="C17" s="19">
        <v>2027.991456</v>
      </c>
      <c r="D17" s="19">
        <v>0</v>
      </c>
      <c r="E17" s="19">
        <v>2215.8528500023335</v>
      </c>
      <c r="F17" s="19">
        <v>2027.991456</v>
      </c>
      <c r="G17" s="19">
        <v>2215.8528500023335</v>
      </c>
    </row>
    <row r="18" spans="1:7" ht="11.25" customHeight="1" x14ac:dyDescent="0.2">
      <c r="A18" s="29">
        <v>44531</v>
      </c>
      <c r="B18" s="19">
        <v>0</v>
      </c>
      <c r="C18" s="19">
        <v>1977.668118</v>
      </c>
      <c r="D18" s="19">
        <v>0</v>
      </c>
      <c r="E18" s="19">
        <v>2160.8678491538235</v>
      </c>
      <c r="F18" s="19">
        <v>1977.668118</v>
      </c>
      <c r="G18" s="19">
        <v>2160.8678491538235</v>
      </c>
    </row>
    <row r="19" spans="1:7" ht="11.25" customHeight="1" x14ac:dyDescent="0.2">
      <c r="A19" s="29">
        <v>44562</v>
      </c>
      <c r="B19" s="19">
        <v>0</v>
      </c>
      <c r="C19" s="19">
        <v>2090.1409559999979</v>
      </c>
      <c r="D19" s="19">
        <v>0</v>
      </c>
      <c r="E19" s="19">
        <v>2283.7595200692981</v>
      </c>
      <c r="F19" s="19">
        <v>2090.1409559999979</v>
      </c>
      <c r="G19" s="19">
        <v>2283.7595200692981</v>
      </c>
    </row>
    <row r="20" spans="1:7" ht="11.25" customHeight="1" x14ac:dyDescent="0.2">
      <c r="A20" s="29">
        <v>44593</v>
      </c>
      <c r="B20" s="19">
        <v>0</v>
      </c>
      <c r="C20" s="19">
        <v>2355.821189999996</v>
      </c>
      <c r="D20" s="19">
        <v>0</v>
      </c>
      <c r="E20" s="19">
        <v>2574.0508336527132</v>
      </c>
      <c r="F20" s="19">
        <v>2355.821189999996</v>
      </c>
      <c r="G20" s="19">
        <v>2574.0508336527132</v>
      </c>
    </row>
    <row r="21" spans="1:7" ht="11.25" customHeight="1" x14ac:dyDescent="0.2">
      <c r="A21" s="29">
        <v>44621</v>
      </c>
      <c r="B21" s="19">
        <v>0</v>
      </c>
      <c r="C21" s="19">
        <v>2355.821189999996</v>
      </c>
      <c r="D21" s="19">
        <v>0</v>
      </c>
      <c r="E21" s="19">
        <v>2574.0508336527132</v>
      </c>
      <c r="F21" s="19">
        <v>2355.821189999996</v>
      </c>
      <c r="G21" s="19">
        <v>2574.0508336527132</v>
      </c>
    </row>
    <row r="22" spans="1:7" ht="11.25" customHeight="1" x14ac:dyDescent="0.2">
      <c r="A22" s="28" t="s">
        <v>25</v>
      </c>
      <c r="B22" s="19">
        <v>13540.344000000003</v>
      </c>
      <c r="C22" s="19">
        <v>0</v>
      </c>
      <c r="D22" s="19">
        <v>13744.766828550302</v>
      </c>
      <c r="E22" s="19">
        <v>0</v>
      </c>
      <c r="F22" s="19">
        <v>13540.344000000003</v>
      </c>
      <c r="G22" s="19">
        <v>13744.766828550302</v>
      </c>
    </row>
    <row r="23" spans="1:7" ht="11.25" customHeight="1" x14ac:dyDescent="0.2">
      <c r="A23" s="29">
        <v>44287</v>
      </c>
      <c r="B23" s="19">
        <v>1141.2375</v>
      </c>
      <c r="C23" s="19">
        <v>0</v>
      </c>
      <c r="D23" s="19">
        <v>1158.467121182274</v>
      </c>
      <c r="E23" s="19">
        <v>0</v>
      </c>
      <c r="F23" s="19">
        <v>1141.2375</v>
      </c>
      <c r="G23" s="19">
        <v>1158.467121182274</v>
      </c>
    </row>
    <row r="24" spans="1:7" ht="11.25" customHeight="1" x14ac:dyDescent="0.2">
      <c r="A24" s="29">
        <v>44317</v>
      </c>
      <c r="B24" s="19">
        <v>1137.7260000000006</v>
      </c>
      <c r="C24" s="19">
        <v>0</v>
      </c>
      <c r="D24" s="19">
        <v>1154.9026069632523</v>
      </c>
      <c r="E24" s="19">
        <v>0</v>
      </c>
      <c r="F24" s="19">
        <v>1137.7260000000006</v>
      </c>
      <c r="G24" s="19">
        <v>1154.9026069632523</v>
      </c>
    </row>
    <row r="25" spans="1:7" ht="11.25" customHeight="1" x14ac:dyDescent="0.2">
      <c r="A25" s="29">
        <v>44348</v>
      </c>
      <c r="B25" s="19">
        <v>1137.7260000000006</v>
      </c>
      <c r="C25" s="19">
        <v>0</v>
      </c>
      <c r="D25" s="19">
        <v>1154.9026069632523</v>
      </c>
      <c r="E25" s="19">
        <v>0</v>
      </c>
      <c r="F25" s="19">
        <v>1137.7260000000006</v>
      </c>
      <c r="G25" s="19">
        <v>1154.9026069632523</v>
      </c>
    </row>
    <row r="26" spans="1:7" ht="11.25" customHeight="1" x14ac:dyDescent="0.2">
      <c r="A26" s="29">
        <v>44378</v>
      </c>
      <c r="B26" s="19">
        <v>1179.8640000000007</v>
      </c>
      <c r="C26" s="19">
        <v>0</v>
      </c>
      <c r="D26" s="19">
        <v>1197.6767775915212</v>
      </c>
      <c r="E26" s="19">
        <v>0</v>
      </c>
      <c r="F26" s="19">
        <v>1179.8640000000007</v>
      </c>
      <c r="G26" s="19">
        <v>1197.6767775915212</v>
      </c>
    </row>
    <row r="27" spans="1:7" ht="11.25" customHeight="1" x14ac:dyDescent="0.2">
      <c r="A27" s="29">
        <v>44409</v>
      </c>
      <c r="B27" s="19">
        <v>1155.2835000000005</v>
      </c>
      <c r="C27" s="19">
        <v>0</v>
      </c>
      <c r="D27" s="19">
        <v>1172.725178058364</v>
      </c>
      <c r="E27" s="19">
        <v>0</v>
      </c>
      <c r="F27" s="19">
        <v>1155.2835000000005</v>
      </c>
      <c r="G27" s="19">
        <v>1172.725178058364</v>
      </c>
    </row>
    <row r="28" spans="1:7" ht="11.25" customHeight="1" x14ac:dyDescent="0.2">
      <c r="A28" s="29">
        <v>44440</v>
      </c>
      <c r="B28" s="19">
        <v>1099.0994999999998</v>
      </c>
      <c r="C28" s="19">
        <v>0</v>
      </c>
      <c r="D28" s="19">
        <v>1115.6929505540052</v>
      </c>
      <c r="E28" s="19">
        <v>0</v>
      </c>
      <c r="F28" s="19">
        <v>1099.0994999999998</v>
      </c>
      <c r="G28" s="19">
        <v>1115.6929505540052</v>
      </c>
    </row>
    <row r="29" spans="1:7" ht="11.25" customHeight="1" x14ac:dyDescent="0.2">
      <c r="A29" s="29">
        <v>44470</v>
      </c>
      <c r="B29" s="19">
        <v>1099.0994999999998</v>
      </c>
      <c r="C29" s="19">
        <v>0</v>
      </c>
      <c r="D29" s="19">
        <v>1115.6929505540052</v>
      </c>
      <c r="E29" s="19">
        <v>0</v>
      </c>
      <c r="F29" s="19">
        <v>1099.0994999999998</v>
      </c>
      <c r="G29" s="19">
        <v>1115.6929505540052</v>
      </c>
    </row>
    <row r="30" spans="1:7" ht="11.25" customHeight="1" x14ac:dyDescent="0.2">
      <c r="A30" s="29">
        <v>44501</v>
      </c>
      <c r="B30" s="19">
        <v>1127.1915000000008</v>
      </c>
      <c r="C30" s="19">
        <v>0</v>
      </c>
      <c r="D30" s="19">
        <v>1144.2090643061854</v>
      </c>
      <c r="E30" s="19">
        <v>0</v>
      </c>
      <c r="F30" s="19">
        <v>1127.1915000000008</v>
      </c>
      <c r="G30" s="19">
        <v>1144.2090643061854</v>
      </c>
    </row>
    <row r="31" spans="1:7" ht="11.25" customHeight="1" x14ac:dyDescent="0.2">
      <c r="A31" s="29">
        <v>44531</v>
      </c>
      <c r="B31" s="19">
        <v>1134.2144999999998</v>
      </c>
      <c r="C31" s="19">
        <v>0</v>
      </c>
      <c r="D31" s="19">
        <v>1151.338092744229</v>
      </c>
      <c r="E31" s="19">
        <v>0</v>
      </c>
      <c r="F31" s="19">
        <v>1134.2144999999998</v>
      </c>
      <c r="G31" s="19">
        <v>1151.338092744229</v>
      </c>
    </row>
    <row r="32" spans="1:7" ht="11.25" customHeight="1" x14ac:dyDescent="0.2">
      <c r="A32" s="29">
        <v>44562</v>
      </c>
      <c r="B32" s="19">
        <v>1130.7030000000002</v>
      </c>
      <c r="C32" s="19">
        <v>0</v>
      </c>
      <c r="D32" s="19">
        <v>1147.7735785252071</v>
      </c>
      <c r="E32" s="19">
        <v>0</v>
      </c>
      <c r="F32" s="19">
        <v>1130.7030000000002</v>
      </c>
      <c r="G32" s="19">
        <v>1147.7735785252071</v>
      </c>
    </row>
    <row r="33" spans="1:7" ht="11.25" customHeight="1" x14ac:dyDescent="0.2">
      <c r="A33" s="29">
        <v>44593</v>
      </c>
      <c r="B33" s="19">
        <v>1099.0994999999998</v>
      </c>
      <c r="C33" s="19">
        <v>0</v>
      </c>
      <c r="D33" s="19">
        <v>1115.6929505540052</v>
      </c>
      <c r="E33" s="19">
        <v>0</v>
      </c>
      <c r="F33" s="19">
        <v>1099.0994999999998</v>
      </c>
      <c r="G33" s="19">
        <v>1115.6929505540052</v>
      </c>
    </row>
    <row r="34" spans="1:7" ht="11.25" customHeight="1" x14ac:dyDescent="0.2">
      <c r="A34" s="29">
        <v>44621</v>
      </c>
      <c r="B34" s="19">
        <v>1099.0994999999998</v>
      </c>
      <c r="C34" s="19">
        <v>0</v>
      </c>
      <c r="D34" s="19">
        <v>1115.6929505540052</v>
      </c>
      <c r="E34" s="19">
        <v>0</v>
      </c>
      <c r="F34" s="19">
        <v>1099.0994999999998</v>
      </c>
      <c r="G34" s="19">
        <v>1115.6929505540052</v>
      </c>
    </row>
    <row r="35" spans="1:7" ht="11.25" customHeight="1" x14ac:dyDescent="0.2">
      <c r="A35" s="28" t="s">
        <v>35</v>
      </c>
      <c r="B35" s="19">
        <v>0</v>
      </c>
      <c r="C35" s="19">
        <v>24908.090828399992</v>
      </c>
      <c r="D35" s="19">
        <v>0</v>
      </c>
      <c r="E35" s="19">
        <v>25508.797779134919</v>
      </c>
      <c r="F35" s="19">
        <v>24908.090828399992</v>
      </c>
      <c r="G35" s="19">
        <v>25508.797779134919</v>
      </c>
    </row>
    <row r="36" spans="1:7" ht="11.25" customHeight="1" x14ac:dyDescent="0.2">
      <c r="A36" s="29">
        <v>44287</v>
      </c>
      <c r="B36" s="19">
        <v>0</v>
      </c>
      <c r="C36" s="19">
        <v>2097.5400900000027</v>
      </c>
      <c r="D36" s="19">
        <v>0</v>
      </c>
      <c r="E36" s="19">
        <v>2148.1263400738744</v>
      </c>
      <c r="F36" s="19">
        <v>2097.5400900000027</v>
      </c>
      <c r="G36" s="19">
        <v>2148.1263400738744</v>
      </c>
    </row>
    <row r="37" spans="1:7" ht="11.25" customHeight="1" x14ac:dyDescent="0.2">
      <c r="A37" s="29">
        <v>44317</v>
      </c>
      <c r="B37" s="19">
        <v>0</v>
      </c>
      <c r="C37" s="19">
        <v>2233.9137743999995</v>
      </c>
      <c r="D37" s="19">
        <v>0</v>
      </c>
      <c r="E37" s="19">
        <v>2287.7889405405735</v>
      </c>
      <c r="F37" s="19">
        <v>2233.9137743999995</v>
      </c>
      <c r="G37" s="19">
        <v>2287.7889405405735</v>
      </c>
    </row>
    <row r="38" spans="1:7" ht="11.25" customHeight="1" x14ac:dyDescent="0.2">
      <c r="A38" s="29">
        <v>44348</v>
      </c>
      <c r="B38" s="19">
        <v>0</v>
      </c>
      <c r="C38" s="19">
        <v>1918.6037279999989</v>
      </c>
      <c r="D38" s="19">
        <v>0</v>
      </c>
      <c r="E38" s="19">
        <v>1964.874580433275</v>
      </c>
      <c r="F38" s="19">
        <v>1918.6037279999989</v>
      </c>
      <c r="G38" s="19">
        <v>1964.874580433275</v>
      </c>
    </row>
    <row r="39" spans="1:7" ht="11.25" customHeight="1" x14ac:dyDescent="0.2">
      <c r="A39" s="29">
        <v>44378</v>
      </c>
      <c r="B39" s="19">
        <v>0</v>
      </c>
      <c r="C39" s="19">
        <v>1845.3278699999985</v>
      </c>
      <c r="D39" s="19">
        <v>0</v>
      </c>
      <c r="E39" s="19">
        <v>1889.8315329073921</v>
      </c>
      <c r="F39" s="19">
        <v>1845.3278699999985</v>
      </c>
      <c r="G39" s="19">
        <v>1889.8315329073921</v>
      </c>
    </row>
    <row r="40" spans="1:7" ht="11.25" customHeight="1" x14ac:dyDescent="0.2">
      <c r="A40" s="29">
        <v>44409</v>
      </c>
      <c r="B40" s="19">
        <v>0</v>
      </c>
      <c r="C40" s="19">
        <v>2015.9069039999958</v>
      </c>
      <c r="D40" s="19">
        <v>0</v>
      </c>
      <c r="E40" s="19">
        <v>2064.5244113637705</v>
      </c>
      <c r="F40" s="19">
        <v>2015.9069039999958</v>
      </c>
      <c r="G40" s="19">
        <v>2064.5244113637705</v>
      </c>
    </row>
    <row r="41" spans="1:7" ht="11.25" customHeight="1" x14ac:dyDescent="0.2">
      <c r="A41" s="29">
        <v>44440</v>
      </c>
      <c r="B41" s="19">
        <v>0</v>
      </c>
      <c r="C41" s="19">
        <v>1969.7923620000006</v>
      </c>
      <c r="D41" s="19">
        <v>0</v>
      </c>
      <c r="E41" s="19">
        <v>2017.2977276865915</v>
      </c>
      <c r="F41" s="19">
        <v>1969.7923620000006</v>
      </c>
      <c r="G41" s="19">
        <v>2017.2977276865915</v>
      </c>
    </row>
    <row r="42" spans="1:7" ht="11.25" customHeight="1" x14ac:dyDescent="0.2">
      <c r="A42" s="29">
        <v>44470</v>
      </c>
      <c r="B42" s="19">
        <v>0</v>
      </c>
      <c r="C42" s="19">
        <v>1809.2122740000002</v>
      </c>
      <c r="D42" s="19">
        <v>0</v>
      </c>
      <c r="E42" s="19">
        <v>1852.8449392184668</v>
      </c>
      <c r="F42" s="19">
        <v>1809.2122740000002</v>
      </c>
      <c r="G42" s="19">
        <v>1852.8449392184668</v>
      </c>
    </row>
    <row r="43" spans="1:7" ht="11.25" customHeight="1" x14ac:dyDescent="0.2">
      <c r="A43" s="29">
        <v>44501</v>
      </c>
      <c r="B43" s="19">
        <v>0</v>
      </c>
      <c r="C43" s="19">
        <v>2044.560599999998</v>
      </c>
      <c r="D43" s="19">
        <v>0</v>
      </c>
      <c r="E43" s="19">
        <v>2093.8691468525089</v>
      </c>
      <c r="F43" s="19">
        <v>2044.560599999998</v>
      </c>
      <c r="G43" s="19">
        <v>2093.8691468525089</v>
      </c>
    </row>
    <row r="44" spans="1:7" ht="11.25" customHeight="1" x14ac:dyDescent="0.2">
      <c r="A44" s="29">
        <v>44531</v>
      </c>
      <c r="B44" s="19">
        <v>0</v>
      </c>
      <c r="C44" s="19">
        <v>2109.9268439999973</v>
      </c>
      <c r="D44" s="19">
        <v>0</v>
      </c>
      <c r="E44" s="19">
        <v>2160.8118246861873</v>
      </c>
      <c r="F44" s="19">
        <v>2109.9268439999973</v>
      </c>
      <c r="G44" s="19">
        <v>2160.8118246861873</v>
      </c>
    </row>
    <row r="45" spans="1:7" ht="11.25" customHeight="1" x14ac:dyDescent="0.2">
      <c r="A45" s="29">
        <v>44562</v>
      </c>
      <c r="B45" s="19">
        <v>0</v>
      </c>
      <c r="C45" s="19">
        <v>2021.4287099999988</v>
      </c>
      <c r="D45" s="19">
        <v>0</v>
      </c>
      <c r="E45" s="19">
        <v>2070.1793864319156</v>
      </c>
      <c r="F45" s="19">
        <v>2021.4287099999988</v>
      </c>
      <c r="G45" s="19">
        <v>2070.1793864319156</v>
      </c>
    </row>
    <row r="46" spans="1:7" ht="11.25" customHeight="1" x14ac:dyDescent="0.2">
      <c r="A46" s="29">
        <v>44593</v>
      </c>
      <c r="B46" s="19">
        <v>0</v>
      </c>
      <c r="C46" s="19">
        <v>2420.9388360000025</v>
      </c>
      <c r="D46" s="19">
        <v>0</v>
      </c>
      <c r="E46" s="19">
        <v>2479.3244744701801</v>
      </c>
      <c r="F46" s="19">
        <v>2420.9388360000025</v>
      </c>
      <c r="G46" s="19">
        <v>2479.3244744701801</v>
      </c>
    </row>
    <row r="47" spans="1:7" ht="11.25" customHeight="1" x14ac:dyDescent="0.2">
      <c r="A47" s="29">
        <v>44621</v>
      </c>
      <c r="B47" s="19">
        <v>0</v>
      </c>
      <c r="C47" s="19">
        <v>2420.9388360000025</v>
      </c>
      <c r="D47" s="19">
        <v>0</v>
      </c>
      <c r="E47" s="19">
        <v>2479.3244744701801</v>
      </c>
      <c r="F47" s="19">
        <v>2420.9388360000025</v>
      </c>
      <c r="G47" s="19">
        <v>2479.3244744701801</v>
      </c>
    </row>
    <row r="48" spans="1:7" ht="11.25" customHeight="1" x14ac:dyDescent="0.2">
      <c r="A48" s="22" t="s">
        <v>37</v>
      </c>
      <c r="B48" s="19">
        <v>0</v>
      </c>
      <c r="C48" s="19">
        <v>23664.200546400003</v>
      </c>
      <c r="D48" s="19">
        <v>0</v>
      </c>
      <c r="E48" s="19">
        <v>25187.376985347153</v>
      </c>
      <c r="F48" s="19">
        <v>23664.200546400003</v>
      </c>
      <c r="G48" s="19">
        <v>25187.376985347153</v>
      </c>
    </row>
    <row r="49" spans="1:7" ht="11.25" customHeight="1" x14ac:dyDescent="0.2">
      <c r="A49" s="23" t="s">
        <v>23</v>
      </c>
      <c r="B49" s="19">
        <v>0</v>
      </c>
      <c r="C49" s="19">
        <v>23664.200546400003</v>
      </c>
      <c r="D49" s="19">
        <v>0</v>
      </c>
      <c r="E49" s="19">
        <v>25187.376985347153</v>
      </c>
      <c r="F49" s="19">
        <v>23664.200546400003</v>
      </c>
      <c r="G49" s="19">
        <v>25187.376985347153</v>
      </c>
    </row>
    <row r="50" spans="1:7" ht="11.25" customHeight="1" x14ac:dyDescent="0.2">
      <c r="A50" s="24" t="s">
        <v>48</v>
      </c>
      <c r="B50" s="19">
        <v>0</v>
      </c>
      <c r="C50" s="19">
        <v>23664.200546400003</v>
      </c>
      <c r="D50" s="19">
        <v>0</v>
      </c>
      <c r="E50" s="19">
        <v>25187.376985347153</v>
      </c>
      <c r="F50" s="19">
        <v>23664.200546400003</v>
      </c>
      <c r="G50" s="19">
        <v>25187.376985347153</v>
      </c>
    </row>
    <row r="51" spans="1:7" ht="11.25" customHeight="1" x14ac:dyDescent="0.2">
      <c r="A51" s="25" t="s">
        <v>49</v>
      </c>
      <c r="B51" s="19">
        <v>0</v>
      </c>
      <c r="C51" s="19">
        <v>23664.200546400003</v>
      </c>
      <c r="D51" s="19">
        <v>0</v>
      </c>
      <c r="E51" s="19">
        <v>25187.376985347153</v>
      </c>
      <c r="F51" s="19">
        <v>23664.200546400003</v>
      </c>
      <c r="G51" s="19">
        <v>25187.376985347153</v>
      </c>
    </row>
    <row r="52" spans="1:7" ht="11.25" customHeight="1" x14ac:dyDescent="0.2">
      <c r="A52" s="26" t="s">
        <v>25</v>
      </c>
      <c r="B52" s="19">
        <v>0</v>
      </c>
      <c r="C52" s="19">
        <v>23664.200546400003</v>
      </c>
      <c r="D52" s="19">
        <v>0</v>
      </c>
      <c r="E52" s="19">
        <v>25187.376985347153</v>
      </c>
      <c r="F52" s="19">
        <v>23664.200546400003</v>
      </c>
      <c r="G52" s="19">
        <v>25187.376985347153</v>
      </c>
    </row>
    <row r="53" spans="1:7" ht="11.25" customHeight="1" x14ac:dyDescent="0.2">
      <c r="A53" s="27" t="s">
        <v>25</v>
      </c>
      <c r="B53" s="19">
        <v>0</v>
      </c>
      <c r="C53" s="19">
        <v>23664.200546400003</v>
      </c>
      <c r="D53" s="19">
        <v>0</v>
      </c>
      <c r="E53" s="19">
        <v>25187.376985347153</v>
      </c>
      <c r="F53" s="19">
        <v>23664.200546400003</v>
      </c>
      <c r="G53" s="19">
        <v>25187.376985347153</v>
      </c>
    </row>
    <row r="54" spans="1:7" ht="11.25" customHeight="1" x14ac:dyDescent="0.2">
      <c r="A54" s="28" t="s">
        <v>25</v>
      </c>
      <c r="B54" s="19">
        <v>0</v>
      </c>
      <c r="C54" s="19">
        <v>23664.200546400003</v>
      </c>
      <c r="D54" s="19">
        <v>0</v>
      </c>
      <c r="E54" s="19">
        <v>25187.376985347153</v>
      </c>
      <c r="F54" s="19">
        <v>23664.200546400003</v>
      </c>
      <c r="G54" s="19">
        <v>25187.376985347153</v>
      </c>
    </row>
    <row r="55" spans="1:7" ht="11.25" customHeight="1" x14ac:dyDescent="0.2">
      <c r="A55" s="29">
        <v>44287</v>
      </c>
      <c r="B55" s="19">
        <v>0</v>
      </c>
      <c r="C55" s="19">
        <v>1743.1647671999995</v>
      </c>
      <c r="D55" s="19">
        <v>0</v>
      </c>
      <c r="E55" s="19">
        <v>1855.3657898965287</v>
      </c>
      <c r="F55" s="19">
        <v>1743.1647671999995</v>
      </c>
      <c r="G55" s="19">
        <v>1855.3657898965287</v>
      </c>
    </row>
    <row r="56" spans="1:7" ht="11.25" customHeight="1" x14ac:dyDescent="0.2">
      <c r="A56" s="29">
        <v>44317</v>
      </c>
      <c r="B56" s="19">
        <v>0</v>
      </c>
      <c r="C56" s="19">
        <v>1777.1390748000008</v>
      </c>
      <c r="D56" s="19">
        <v>0</v>
      </c>
      <c r="E56" s="19">
        <v>1891.5268971208995</v>
      </c>
      <c r="F56" s="19">
        <v>1777.1390748000008</v>
      </c>
      <c r="G56" s="19">
        <v>1891.5268971208995</v>
      </c>
    </row>
    <row r="57" spans="1:7" ht="11.25" customHeight="1" x14ac:dyDescent="0.2">
      <c r="A57" s="29">
        <v>44348</v>
      </c>
      <c r="B57" s="19">
        <v>0</v>
      </c>
      <c r="C57" s="19">
        <v>1910.6863824000015</v>
      </c>
      <c r="D57" s="19">
        <v>0</v>
      </c>
      <c r="E57" s="19">
        <v>2033.6701474413101</v>
      </c>
      <c r="F57" s="19">
        <v>1910.6863824000015</v>
      </c>
      <c r="G57" s="19">
        <v>2033.6701474413101</v>
      </c>
    </row>
    <row r="58" spans="1:7" ht="11.25" customHeight="1" x14ac:dyDescent="0.2">
      <c r="A58" s="29">
        <v>44378</v>
      </c>
      <c r="B58" s="19">
        <v>0</v>
      </c>
      <c r="C58" s="19">
        <v>1453.7259708000001</v>
      </c>
      <c r="D58" s="19">
        <v>0</v>
      </c>
      <c r="E58" s="19">
        <v>1547.296896344958</v>
      </c>
      <c r="F58" s="19">
        <v>1453.7259708000001</v>
      </c>
      <c r="G58" s="19">
        <v>1547.296896344958</v>
      </c>
    </row>
    <row r="59" spans="1:7" ht="11.25" customHeight="1" x14ac:dyDescent="0.2">
      <c r="A59" s="29">
        <v>44409</v>
      </c>
      <c r="B59" s="19">
        <v>0</v>
      </c>
      <c r="C59" s="19">
        <v>1667.0113368000007</v>
      </c>
      <c r="D59" s="19">
        <v>0</v>
      </c>
      <c r="E59" s="19">
        <v>1774.310646856678</v>
      </c>
      <c r="F59" s="19">
        <v>1667.0113368000007</v>
      </c>
      <c r="G59" s="19">
        <v>1774.310646856678</v>
      </c>
    </row>
    <row r="60" spans="1:7" ht="11.25" customHeight="1" x14ac:dyDescent="0.2">
      <c r="A60" s="29">
        <v>44440</v>
      </c>
      <c r="B60" s="19">
        <v>0</v>
      </c>
      <c r="C60" s="19">
        <v>1757.0651580000017</v>
      </c>
      <c r="D60" s="19">
        <v>0</v>
      </c>
      <c r="E60" s="19">
        <v>1870.1608970727382</v>
      </c>
      <c r="F60" s="19">
        <v>1757.0651580000017</v>
      </c>
      <c r="G60" s="19">
        <v>1870.1608970727382</v>
      </c>
    </row>
    <row r="61" spans="1:7" ht="11.25" customHeight="1" x14ac:dyDescent="0.2">
      <c r="A61" s="29">
        <v>44470</v>
      </c>
      <c r="B61" s="19">
        <v>0</v>
      </c>
      <c r="C61" s="19">
        <v>1613.4808919999989</v>
      </c>
      <c r="D61" s="19">
        <v>0</v>
      </c>
      <c r="E61" s="19">
        <v>1717.3346467282445</v>
      </c>
      <c r="F61" s="19">
        <v>1613.4808919999989</v>
      </c>
      <c r="G61" s="19">
        <v>1717.3346467282445</v>
      </c>
    </row>
    <row r="62" spans="1:7" ht="11.25" customHeight="1" x14ac:dyDescent="0.2">
      <c r="A62" s="29">
        <v>44501</v>
      </c>
      <c r="B62" s="19">
        <v>0</v>
      </c>
      <c r="C62" s="19">
        <v>2618.2521203999963</v>
      </c>
      <c r="D62" s="19">
        <v>0</v>
      </c>
      <c r="E62" s="19">
        <v>2786.7792562817708</v>
      </c>
      <c r="F62" s="19">
        <v>2618.2521203999963</v>
      </c>
      <c r="G62" s="19">
        <v>2786.7792562817708</v>
      </c>
    </row>
    <row r="63" spans="1:7" ht="11.25" customHeight="1" x14ac:dyDescent="0.2">
      <c r="A63" s="29">
        <v>44531</v>
      </c>
      <c r="B63" s="19">
        <v>0</v>
      </c>
      <c r="C63" s="19">
        <v>2031.4883460000035</v>
      </c>
      <c r="D63" s="19">
        <v>0</v>
      </c>
      <c r="E63" s="19">
        <v>2162.2476834454287</v>
      </c>
      <c r="F63" s="19">
        <v>2031.4883460000035</v>
      </c>
      <c r="G63" s="19">
        <v>2162.2476834454287</v>
      </c>
    </row>
    <row r="64" spans="1:7" ht="11.25" customHeight="1" x14ac:dyDescent="0.2">
      <c r="A64" s="29">
        <v>44562</v>
      </c>
      <c r="B64" s="19">
        <v>0</v>
      </c>
      <c r="C64" s="19">
        <v>2203.3115148000029</v>
      </c>
      <c r="D64" s="19">
        <v>0</v>
      </c>
      <c r="E64" s="19">
        <v>2345.1304695719564</v>
      </c>
      <c r="F64" s="19">
        <v>2203.3115148000029</v>
      </c>
      <c r="G64" s="19">
        <v>2345.1304695719564</v>
      </c>
    </row>
    <row r="65" spans="1:7" ht="11.25" customHeight="1" x14ac:dyDescent="0.2">
      <c r="A65" s="29">
        <v>44593</v>
      </c>
      <c r="B65" s="19">
        <v>0</v>
      </c>
      <c r="C65" s="19">
        <v>2444.4374915999965</v>
      </c>
      <c r="D65" s="19">
        <v>0</v>
      </c>
      <c r="E65" s="19">
        <v>2601.7768272933222</v>
      </c>
      <c r="F65" s="19">
        <v>2444.4374915999965</v>
      </c>
      <c r="G65" s="19">
        <v>2601.7768272933222</v>
      </c>
    </row>
    <row r="66" spans="1:7" ht="11.25" customHeight="1" x14ac:dyDescent="0.2">
      <c r="A66" s="29">
        <v>44621</v>
      </c>
      <c r="B66" s="19">
        <v>0</v>
      </c>
      <c r="C66" s="19">
        <v>2444.4374915999965</v>
      </c>
      <c r="D66" s="19">
        <v>0</v>
      </c>
      <c r="E66" s="19">
        <v>2601.7768272933222</v>
      </c>
      <c r="F66" s="19">
        <v>2444.4374915999965</v>
      </c>
      <c r="G66" s="19">
        <v>2601.7768272933222</v>
      </c>
    </row>
    <row r="67" spans="1:7" ht="11.25" customHeight="1" x14ac:dyDescent="0.2">
      <c r="A67" s="21" t="s">
        <v>566</v>
      </c>
      <c r="B67" s="19">
        <v>0</v>
      </c>
      <c r="C67" s="19">
        <v>17271.484890000003</v>
      </c>
      <c r="D67" s="19">
        <v>0</v>
      </c>
      <c r="E67" s="19">
        <v>17566.219024876787</v>
      </c>
      <c r="F67" s="19">
        <v>17271.48489</v>
      </c>
      <c r="G67" s="19">
        <v>17566.219024876787</v>
      </c>
    </row>
    <row r="68" spans="1:7" ht="11.25" customHeight="1" x14ac:dyDescent="0.2">
      <c r="A68" s="22" t="s">
        <v>22</v>
      </c>
      <c r="B68" s="19">
        <v>0</v>
      </c>
      <c r="C68" s="19">
        <v>17271.484890000003</v>
      </c>
      <c r="D68" s="19">
        <v>0</v>
      </c>
      <c r="E68" s="19">
        <v>17566.219024876787</v>
      </c>
      <c r="F68" s="19">
        <v>17271.48489</v>
      </c>
      <c r="G68" s="19">
        <v>17566.219024876787</v>
      </c>
    </row>
    <row r="69" spans="1:7" ht="11.25" customHeight="1" x14ac:dyDescent="0.2">
      <c r="A69" s="23" t="s">
        <v>23</v>
      </c>
      <c r="B69" s="19">
        <v>0</v>
      </c>
      <c r="C69" s="19">
        <v>17271.484890000003</v>
      </c>
      <c r="D69" s="19">
        <v>0</v>
      </c>
      <c r="E69" s="19">
        <v>17566.219024876787</v>
      </c>
      <c r="F69" s="19">
        <v>17271.48489</v>
      </c>
      <c r="G69" s="19">
        <v>17566.219024876787</v>
      </c>
    </row>
    <row r="70" spans="1:7" ht="11.25" customHeight="1" x14ac:dyDescent="0.2">
      <c r="A70" s="24" t="s">
        <v>24</v>
      </c>
      <c r="B70" s="19">
        <v>0</v>
      </c>
      <c r="C70" s="19">
        <v>17271.484890000003</v>
      </c>
      <c r="D70" s="19">
        <v>0</v>
      </c>
      <c r="E70" s="19">
        <v>17566.219024876787</v>
      </c>
      <c r="F70" s="19">
        <v>17271.48489</v>
      </c>
      <c r="G70" s="19">
        <v>17566.219024876787</v>
      </c>
    </row>
    <row r="71" spans="1:7" ht="11.25" customHeight="1" x14ac:dyDescent="0.2">
      <c r="A71" s="25" t="s">
        <v>29</v>
      </c>
      <c r="B71" s="19">
        <v>0</v>
      </c>
      <c r="C71" s="19">
        <v>6647.1335999999983</v>
      </c>
      <c r="D71" s="19">
        <v>0</v>
      </c>
      <c r="E71" s="19">
        <v>6760.5811828561436</v>
      </c>
      <c r="F71" s="19">
        <v>6647.1335999999983</v>
      </c>
      <c r="G71" s="19">
        <v>6760.5811828561436</v>
      </c>
    </row>
    <row r="72" spans="1:7" ht="11.25" customHeight="1" x14ac:dyDescent="0.2">
      <c r="A72" s="26" t="s">
        <v>25</v>
      </c>
      <c r="B72" s="19">
        <v>0</v>
      </c>
      <c r="C72" s="19">
        <v>6647.1335999999983</v>
      </c>
      <c r="D72" s="19">
        <v>0</v>
      </c>
      <c r="E72" s="19">
        <v>6760.5811828561436</v>
      </c>
      <c r="F72" s="19">
        <v>6647.1335999999983</v>
      </c>
      <c r="G72" s="19">
        <v>6760.5811828561436</v>
      </c>
    </row>
    <row r="73" spans="1:7" ht="11.25" customHeight="1" x14ac:dyDescent="0.2">
      <c r="A73" s="27" t="s">
        <v>25</v>
      </c>
      <c r="B73" s="19">
        <v>0</v>
      </c>
      <c r="C73" s="19">
        <v>6647.1335999999983</v>
      </c>
      <c r="D73" s="19">
        <v>0</v>
      </c>
      <c r="E73" s="19">
        <v>6760.5811828561436</v>
      </c>
      <c r="F73" s="19">
        <v>6647.1335999999983</v>
      </c>
      <c r="G73" s="19">
        <v>6760.5811828561436</v>
      </c>
    </row>
    <row r="74" spans="1:7" ht="11.25" customHeight="1" x14ac:dyDescent="0.2">
      <c r="A74" s="28" t="s">
        <v>25</v>
      </c>
      <c r="B74" s="19">
        <v>0</v>
      </c>
      <c r="C74" s="19">
        <v>6647.1335999999983</v>
      </c>
      <c r="D74" s="19">
        <v>0</v>
      </c>
      <c r="E74" s="19">
        <v>6760.5811828561436</v>
      </c>
      <c r="F74" s="19">
        <v>6647.1335999999983</v>
      </c>
      <c r="G74" s="19">
        <v>6760.5811828561436</v>
      </c>
    </row>
    <row r="75" spans="1:7" ht="11.25" customHeight="1" x14ac:dyDescent="0.2">
      <c r="A75" s="29">
        <v>44287</v>
      </c>
      <c r="B75" s="19">
        <v>0</v>
      </c>
      <c r="C75" s="19">
        <v>514.91880000000003</v>
      </c>
      <c r="D75" s="19">
        <v>0</v>
      </c>
      <c r="E75" s="19">
        <v>523.70699303815184</v>
      </c>
      <c r="F75" s="19">
        <v>514.91880000000003</v>
      </c>
      <c r="G75" s="19">
        <v>523.70699303815184</v>
      </c>
    </row>
    <row r="76" spans="1:7" ht="11.25" customHeight="1" x14ac:dyDescent="0.2">
      <c r="A76" s="29">
        <v>44317</v>
      </c>
      <c r="B76" s="19">
        <v>0</v>
      </c>
      <c r="C76" s="19">
        <v>526.62149999999997</v>
      </c>
      <c r="D76" s="19">
        <v>0</v>
      </c>
      <c r="E76" s="19">
        <v>535.60942469810993</v>
      </c>
      <c r="F76" s="19">
        <v>526.62149999999997</v>
      </c>
      <c r="G76" s="19">
        <v>535.60942469810993</v>
      </c>
    </row>
    <row r="77" spans="1:7" ht="11.25" customHeight="1" x14ac:dyDescent="0.2">
      <c r="A77" s="29">
        <v>44348</v>
      </c>
      <c r="B77" s="19">
        <v>0</v>
      </c>
      <c r="C77" s="19">
        <v>538.32419999999991</v>
      </c>
      <c r="D77" s="19">
        <v>0</v>
      </c>
      <c r="E77" s="19">
        <v>547.5118563580678</v>
      </c>
      <c r="F77" s="19">
        <v>538.32419999999991</v>
      </c>
      <c r="G77" s="19">
        <v>547.5118563580678</v>
      </c>
    </row>
    <row r="78" spans="1:7" ht="11.25" customHeight="1" x14ac:dyDescent="0.2">
      <c r="A78" s="29">
        <v>44378</v>
      </c>
      <c r="B78" s="19">
        <v>0</v>
      </c>
      <c r="C78" s="19">
        <v>538.32419999999991</v>
      </c>
      <c r="D78" s="19">
        <v>0</v>
      </c>
      <c r="E78" s="19">
        <v>547.5118563580678</v>
      </c>
      <c r="F78" s="19">
        <v>538.32419999999991</v>
      </c>
      <c r="G78" s="19">
        <v>547.5118563580678</v>
      </c>
    </row>
    <row r="79" spans="1:7" ht="11.25" customHeight="1" x14ac:dyDescent="0.2">
      <c r="A79" s="29">
        <v>44409</v>
      </c>
      <c r="B79" s="19">
        <v>0</v>
      </c>
      <c r="C79" s="19">
        <v>573.43229999999994</v>
      </c>
      <c r="D79" s="19">
        <v>0</v>
      </c>
      <c r="E79" s="19">
        <v>583.21915133794187</v>
      </c>
      <c r="F79" s="19">
        <v>573.43229999999994</v>
      </c>
      <c r="G79" s="19">
        <v>583.21915133794187</v>
      </c>
    </row>
    <row r="80" spans="1:7" ht="11.25" customHeight="1" x14ac:dyDescent="0.2">
      <c r="A80" s="29">
        <v>44440</v>
      </c>
      <c r="B80" s="19">
        <v>0</v>
      </c>
      <c r="C80" s="19">
        <v>561.72959999999989</v>
      </c>
      <c r="D80" s="19">
        <v>0</v>
      </c>
      <c r="E80" s="19">
        <v>571.31671967798388</v>
      </c>
      <c r="F80" s="19">
        <v>561.72959999999989</v>
      </c>
      <c r="G80" s="19">
        <v>571.31671967798388</v>
      </c>
    </row>
    <row r="81" spans="1:7" ht="11.25" customHeight="1" x14ac:dyDescent="0.2">
      <c r="A81" s="29">
        <v>44470</v>
      </c>
      <c r="B81" s="19">
        <v>0</v>
      </c>
      <c r="C81" s="19">
        <v>561.72959999999989</v>
      </c>
      <c r="D81" s="19">
        <v>0</v>
      </c>
      <c r="E81" s="19">
        <v>571.31671967798388</v>
      </c>
      <c r="F81" s="19">
        <v>561.72959999999989</v>
      </c>
      <c r="G81" s="19">
        <v>571.31671967798388</v>
      </c>
    </row>
    <row r="82" spans="1:7" ht="11.25" customHeight="1" x14ac:dyDescent="0.2">
      <c r="A82" s="29">
        <v>44501</v>
      </c>
      <c r="B82" s="19">
        <v>0</v>
      </c>
      <c r="C82" s="19">
        <v>573.43229999999994</v>
      </c>
      <c r="D82" s="19">
        <v>0</v>
      </c>
      <c r="E82" s="19">
        <v>583.21915133794187</v>
      </c>
      <c r="F82" s="19">
        <v>573.43229999999994</v>
      </c>
      <c r="G82" s="19">
        <v>583.21915133794187</v>
      </c>
    </row>
    <row r="83" spans="1:7" ht="11.25" customHeight="1" x14ac:dyDescent="0.2">
      <c r="A83" s="29">
        <v>44531</v>
      </c>
      <c r="B83" s="19">
        <v>0</v>
      </c>
      <c r="C83" s="19">
        <v>573.43229999999994</v>
      </c>
      <c r="D83" s="19">
        <v>0</v>
      </c>
      <c r="E83" s="19">
        <v>583.21915133794187</v>
      </c>
      <c r="F83" s="19">
        <v>573.43229999999994</v>
      </c>
      <c r="G83" s="19">
        <v>583.21915133794187</v>
      </c>
    </row>
    <row r="84" spans="1:7" ht="11.25" customHeight="1" x14ac:dyDescent="0.2">
      <c r="A84" s="29">
        <v>44562</v>
      </c>
      <c r="B84" s="19">
        <v>0</v>
      </c>
      <c r="C84" s="19">
        <v>561.72959999999989</v>
      </c>
      <c r="D84" s="19">
        <v>0</v>
      </c>
      <c r="E84" s="19">
        <v>571.31671967798388</v>
      </c>
      <c r="F84" s="19">
        <v>561.72959999999989</v>
      </c>
      <c r="G84" s="19">
        <v>571.31671967798388</v>
      </c>
    </row>
    <row r="85" spans="1:7" ht="11.25" customHeight="1" x14ac:dyDescent="0.2">
      <c r="A85" s="29">
        <v>44593</v>
      </c>
      <c r="B85" s="19">
        <v>0</v>
      </c>
      <c r="C85" s="19">
        <v>561.72959999999989</v>
      </c>
      <c r="D85" s="19">
        <v>0</v>
      </c>
      <c r="E85" s="19">
        <v>571.31671967798388</v>
      </c>
      <c r="F85" s="19">
        <v>561.72959999999989</v>
      </c>
      <c r="G85" s="19">
        <v>571.31671967798388</v>
      </c>
    </row>
    <row r="86" spans="1:7" ht="11.25" customHeight="1" x14ac:dyDescent="0.2">
      <c r="A86" s="29">
        <v>44621</v>
      </c>
      <c r="B86" s="19">
        <v>0</v>
      </c>
      <c r="C86" s="19">
        <v>561.72959999999989</v>
      </c>
      <c r="D86" s="19">
        <v>0</v>
      </c>
      <c r="E86" s="19">
        <v>571.31671967798388</v>
      </c>
      <c r="F86" s="19">
        <v>561.72959999999989</v>
      </c>
      <c r="G86" s="19">
        <v>571.31671967798388</v>
      </c>
    </row>
    <row r="87" spans="1:7" ht="11.25" customHeight="1" x14ac:dyDescent="0.2">
      <c r="A87" s="25" t="s">
        <v>30</v>
      </c>
      <c r="B87" s="19">
        <v>0</v>
      </c>
      <c r="C87" s="19">
        <v>8653.9229399999986</v>
      </c>
      <c r="D87" s="19">
        <v>0</v>
      </c>
      <c r="E87" s="19">
        <v>8801.4514648169425</v>
      </c>
      <c r="F87" s="19">
        <v>8653.9229399999986</v>
      </c>
      <c r="G87" s="19">
        <v>8801.4514648169425</v>
      </c>
    </row>
    <row r="88" spans="1:7" ht="11.25" customHeight="1" x14ac:dyDescent="0.2">
      <c r="A88" s="26" t="s">
        <v>25</v>
      </c>
      <c r="B88" s="19">
        <v>0</v>
      </c>
      <c r="C88" s="19">
        <v>8653.9229399999986</v>
      </c>
      <c r="D88" s="19">
        <v>0</v>
      </c>
      <c r="E88" s="19">
        <v>8801.4514648169425</v>
      </c>
      <c r="F88" s="19">
        <v>8653.9229399999986</v>
      </c>
      <c r="G88" s="19">
        <v>8801.4514648169425</v>
      </c>
    </row>
    <row r="89" spans="1:7" ht="11.25" customHeight="1" x14ac:dyDescent="0.2">
      <c r="A89" s="27" t="s">
        <v>25</v>
      </c>
      <c r="B89" s="19">
        <v>0</v>
      </c>
      <c r="C89" s="19">
        <v>8653.9229399999986</v>
      </c>
      <c r="D89" s="19">
        <v>0</v>
      </c>
      <c r="E89" s="19">
        <v>8801.4514648169425</v>
      </c>
      <c r="F89" s="19">
        <v>8653.9229399999986</v>
      </c>
      <c r="G89" s="19">
        <v>8801.4514648169425</v>
      </c>
    </row>
    <row r="90" spans="1:7" ht="11.25" customHeight="1" x14ac:dyDescent="0.2">
      <c r="A90" s="28" t="s">
        <v>25</v>
      </c>
      <c r="B90" s="19">
        <v>0</v>
      </c>
      <c r="C90" s="19">
        <v>8653.9229399999986</v>
      </c>
      <c r="D90" s="19">
        <v>0</v>
      </c>
      <c r="E90" s="19">
        <v>8801.4514648169425</v>
      </c>
      <c r="F90" s="19">
        <v>8653.9229399999986</v>
      </c>
      <c r="G90" s="19">
        <v>8801.4514648169425</v>
      </c>
    </row>
    <row r="91" spans="1:7" ht="11.25" customHeight="1" x14ac:dyDescent="0.2">
      <c r="A91" s="29">
        <v>44287</v>
      </c>
      <c r="B91" s="19">
        <v>0</v>
      </c>
      <c r="C91" s="19">
        <v>663.28577999999993</v>
      </c>
      <c r="D91" s="19">
        <v>0</v>
      </c>
      <c r="E91" s="19">
        <v>674.59320361977336</v>
      </c>
      <c r="F91" s="19">
        <v>663.28577999999993</v>
      </c>
      <c r="G91" s="19">
        <v>674.59320361977336</v>
      </c>
    </row>
    <row r="92" spans="1:7" ht="11.25" customHeight="1" x14ac:dyDescent="0.2">
      <c r="A92" s="29">
        <v>44317</v>
      </c>
      <c r="B92" s="19">
        <v>0</v>
      </c>
      <c r="C92" s="19">
        <v>685.61135999999988</v>
      </c>
      <c r="D92" s="19">
        <v>0</v>
      </c>
      <c r="E92" s="19">
        <v>697.29938094030854</v>
      </c>
      <c r="F92" s="19">
        <v>685.61135999999988</v>
      </c>
      <c r="G92" s="19">
        <v>697.29938094030854</v>
      </c>
    </row>
    <row r="93" spans="1:7" ht="11.25" customHeight="1" x14ac:dyDescent="0.2">
      <c r="A93" s="29">
        <v>44348</v>
      </c>
      <c r="B93" s="19">
        <v>0</v>
      </c>
      <c r="C93" s="19">
        <v>688.49207999999987</v>
      </c>
      <c r="D93" s="19">
        <v>0</v>
      </c>
      <c r="E93" s="19">
        <v>700.2292102719905</v>
      </c>
      <c r="F93" s="19">
        <v>688.49207999999987</v>
      </c>
      <c r="G93" s="19">
        <v>700.2292102719905</v>
      </c>
    </row>
    <row r="94" spans="1:7" ht="11.25" customHeight="1" x14ac:dyDescent="0.2">
      <c r="A94" s="29">
        <v>44378</v>
      </c>
      <c r="B94" s="19">
        <v>0</v>
      </c>
      <c r="C94" s="19">
        <v>680.57009999999991</v>
      </c>
      <c r="D94" s="19">
        <v>0</v>
      </c>
      <c r="E94" s="19">
        <v>692.17217960986511</v>
      </c>
      <c r="F94" s="19">
        <v>680.57009999999991</v>
      </c>
      <c r="G94" s="19">
        <v>692.17217960986511</v>
      </c>
    </row>
    <row r="95" spans="1:7" ht="11.25" customHeight="1" x14ac:dyDescent="0.2">
      <c r="A95" s="29">
        <v>44409</v>
      </c>
      <c r="B95" s="19">
        <v>0</v>
      </c>
      <c r="C95" s="19">
        <v>744.18599999999992</v>
      </c>
      <c r="D95" s="19">
        <v>0</v>
      </c>
      <c r="E95" s="19">
        <v>756.87257735117532</v>
      </c>
      <c r="F95" s="19">
        <v>744.18599999999992</v>
      </c>
      <c r="G95" s="19">
        <v>756.87257735117532</v>
      </c>
    </row>
    <row r="96" spans="1:7" ht="11.25" customHeight="1" x14ac:dyDescent="0.2">
      <c r="A96" s="29">
        <v>44440</v>
      </c>
      <c r="B96" s="19">
        <v>0</v>
      </c>
      <c r="C96" s="19">
        <v>738.18449999999996</v>
      </c>
      <c r="D96" s="19">
        <v>0</v>
      </c>
      <c r="E96" s="19">
        <v>750.76876624350461</v>
      </c>
      <c r="F96" s="19">
        <v>738.18449999999996</v>
      </c>
      <c r="G96" s="19">
        <v>750.76876624350461</v>
      </c>
    </row>
    <row r="97" spans="1:7" ht="11.25" customHeight="1" x14ac:dyDescent="0.2">
      <c r="A97" s="29">
        <v>44470</v>
      </c>
      <c r="B97" s="19">
        <v>0</v>
      </c>
      <c r="C97" s="19">
        <v>728.58209999999997</v>
      </c>
      <c r="D97" s="19">
        <v>0</v>
      </c>
      <c r="E97" s="19">
        <v>741.00266847123135</v>
      </c>
      <c r="F97" s="19">
        <v>728.58209999999997</v>
      </c>
      <c r="G97" s="19">
        <v>741.00266847123135</v>
      </c>
    </row>
    <row r="98" spans="1:7" ht="11.25" customHeight="1" x14ac:dyDescent="0.2">
      <c r="A98" s="29">
        <v>44501</v>
      </c>
      <c r="B98" s="19">
        <v>0</v>
      </c>
      <c r="C98" s="19">
        <v>751.62785999999983</v>
      </c>
      <c r="D98" s="19">
        <v>0</v>
      </c>
      <c r="E98" s="19">
        <v>764.44130312468701</v>
      </c>
      <c r="F98" s="19">
        <v>751.62785999999983</v>
      </c>
      <c r="G98" s="19">
        <v>764.44130312468701</v>
      </c>
    </row>
    <row r="99" spans="1:7" ht="11.25" customHeight="1" x14ac:dyDescent="0.2">
      <c r="A99" s="29">
        <v>44531</v>
      </c>
      <c r="B99" s="19">
        <v>0</v>
      </c>
      <c r="C99" s="19">
        <v>740.34503999999993</v>
      </c>
      <c r="D99" s="19">
        <v>0</v>
      </c>
      <c r="E99" s="19">
        <v>752.96613824226608</v>
      </c>
      <c r="F99" s="19">
        <v>740.34503999999993</v>
      </c>
      <c r="G99" s="19">
        <v>752.96613824226608</v>
      </c>
    </row>
    <row r="100" spans="1:7" ht="11.25" customHeight="1" x14ac:dyDescent="0.2">
      <c r="A100" s="29">
        <v>44562</v>
      </c>
      <c r="B100" s="19">
        <v>0</v>
      </c>
      <c r="C100" s="19">
        <v>725.46131999999989</v>
      </c>
      <c r="D100" s="19">
        <v>0</v>
      </c>
      <c r="E100" s="19">
        <v>737.82868669524248</v>
      </c>
      <c r="F100" s="19">
        <v>725.46131999999989</v>
      </c>
      <c r="G100" s="19">
        <v>737.82868669524248</v>
      </c>
    </row>
    <row r="101" spans="1:7" ht="11.25" customHeight="1" x14ac:dyDescent="0.2">
      <c r="A101" s="29">
        <v>44593</v>
      </c>
      <c r="B101" s="19">
        <v>0</v>
      </c>
      <c r="C101" s="19">
        <v>753.78839999999991</v>
      </c>
      <c r="D101" s="19">
        <v>0</v>
      </c>
      <c r="E101" s="19">
        <v>766.63867512344859</v>
      </c>
      <c r="F101" s="19">
        <v>753.78839999999991</v>
      </c>
      <c r="G101" s="19">
        <v>766.63867512344859</v>
      </c>
    </row>
    <row r="102" spans="1:7" ht="11.25" customHeight="1" x14ac:dyDescent="0.2">
      <c r="A102" s="29">
        <v>44621</v>
      </c>
      <c r="B102" s="19">
        <v>0</v>
      </c>
      <c r="C102" s="19">
        <v>753.78839999999991</v>
      </c>
      <c r="D102" s="19">
        <v>0</v>
      </c>
      <c r="E102" s="19">
        <v>766.63867512344859</v>
      </c>
      <c r="F102" s="19">
        <v>753.78839999999991</v>
      </c>
      <c r="G102" s="19">
        <v>766.63867512344859</v>
      </c>
    </row>
    <row r="103" spans="1:7" ht="11.25" customHeight="1" x14ac:dyDescent="0.2">
      <c r="A103" s="25" t="s">
        <v>31</v>
      </c>
      <c r="B103" s="19">
        <v>0</v>
      </c>
      <c r="C103" s="19">
        <v>1970.4283500000008</v>
      </c>
      <c r="D103" s="19">
        <v>0</v>
      </c>
      <c r="E103" s="19">
        <v>2004.1863772036966</v>
      </c>
      <c r="F103" s="19">
        <v>1970.4283500000008</v>
      </c>
      <c r="G103" s="19">
        <v>2004.1863772036966</v>
      </c>
    </row>
    <row r="104" spans="1:7" ht="11.25" customHeight="1" x14ac:dyDescent="0.2">
      <c r="A104" s="26" t="s">
        <v>25</v>
      </c>
      <c r="B104" s="19">
        <v>0</v>
      </c>
      <c r="C104" s="19">
        <v>1970.4283500000008</v>
      </c>
      <c r="D104" s="19">
        <v>0</v>
      </c>
      <c r="E104" s="19">
        <v>2004.1863772036966</v>
      </c>
      <c r="F104" s="19">
        <v>1970.4283500000008</v>
      </c>
      <c r="G104" s="19">
        <v>2004.1863772036966</v>
      </c>
    </row>
    <row r="105" spans="1:7" ht="11.25" customHeight="1" x14ac:dyDescent="0.2">
      <c r="A105" s="27" t="s">
        <v>25</v>
      </c>
      <c r="B105" s="19">
        <v>0</v>
      </c>
      <c r="C105" s="19">
        <v>1970.4283500000008</v>
      </c>
      <c r="D105" s="19">
        <v>0</v>
      </c>
      <c r="E105" s="19">
        <v>2004.1863772036966</v>
      </c>
      <c r="F105" s="19">
        <v>1970.4283500000008</v>
      </c>
      <c r="G105" s="19">
        <v>2004.1863772036966</v>
      </c>
    </row>
    <row r="106" spans="1:7" ht="11.25" customHeight="1" x14ac:dyDescent="0.2">
      <c r="A106" s="28" t="s">
        <v>25</v>
      </c>
      <c r="B106" s="19">
        <v>0</v>
      </c>
      <c r="C106" s="19">
        <v>1970.4283500000008</v>
      </c>
      <c r="D106" s="19">
        <v>0</v>
      </c>
      <c r="E106" s="19">
        <v>2004.1863772036966</v>
      </c>
      <c r="F106" s="19">
        <v>1970.4283500000008</v>
      </c>
      <c r="G106" s="19">
        <v>2004.1863772036966</v>
      </c>
    </row>
    <row r="107" spans="1:7" ht="11.25" customHeight="1" x14ac:dyDescent="0.2">
      <c r="A107" s="29">
        <v>44287</v>
      </c>
      <c r="B107" s="19">
        <v>0</v>
      </c>
      <c r="C107" s="19">
        <v>140.30338000000006</v>
      </c>
      <c r="D107" s="19">
        <v>0</v>
      </c>
      <c r="E107" s="19">
        <v>142.70710369734255</v>
      </c>
      <c r="F107" s="19">
        <v>140.30338000000006</v>
      </c>
      <c r="G107" s="19">
        <v>142.70710369734255</v>
      </c>
    </row>
    <row r="108" spans="1:7" ht="11.25" customHeight="1" x14ac:dyDescent="0.2">
      <c r="A108" s="29">
        <v>44317</v>
      </c>
      <c r="B108" s="19">
        <v>0</v>
      </c>
      <c r="C108" s="19">
        <v>147.08451000000005</v>
      </c>
      <c r="D108" s="19">
        <v>0</v>
      </c>
      <c r="E108" s="19">
        <v>149.60441024901053</v>
      </c>
      <c r="F108" s="19">
        <v>147.08451000000005</v>
      </c>
      <c r="G108" s="19">
        <v>149.60441024901053</v>
      </c>
    </row>
    <row r="109" spans="1:7" ht="11.25" customHeight="1" x14ac:dyDescent="0.2">
      <c r="A109" s="29">
        <v>44348</v>
      </c>
      <c r="B109" s="19">
        <v>0</v>
      </c>
      <c r="C109" s="19">
        <v>155.24587000000005</v>
      </c>
      <c r="D109" s="19">
        <v>0</v>
      </c>
      <c r="E109" s="19">
        <v>157.90559335544279</v>
      </c>
      <c r="F109" s="19">
        <v>155.24587000000005</v>
      </c>
      <c r="G109" s="19">
        <v>157.90559335544279</v>
      </c>
    </row>
    <row r="110" spans="1:7" ht="11.25" customHeight="1" x14ac:dyDescent="0.2">
      <c r="A110" s="29">
        <v>44378</v>
      </c>
      <c r="B110" s="19">
        <v>0</v>
      </c>
      <c r="C110" s="19">
        <v>149.96499000000003</v>
      </c>
      <c r="D110" s="19">
        <v>0</v>
      </c>
      <c r="E110" s="19">
        <v>152.53423958069246</v>
      </c>
      <c r="F110" s="19">
        <v>149.96499000000003</v>
      </c>
      <c r="G110" s="19">
        <v>152.53423958069246</v>
      </c>
    </row>
    <row r="111" spans="1:7" ht="11.25" customHeight="1" x14ac:dyDescent="0.2">
      <c r="A111" s="29">
        <v>44409</v>
      </c>
      <c r="B111" s="19">
        <v>0</v>
      </c>
      <c r="C111" s="19">
        <v>178.04967000000005</v>
      </c>
      <c r="D111" s="19">
        <v>0</v>
      </c>
      <c r="E111" s="19">
        <v>181.10007556459169</v>
      </c>
      <c r="F111" s="19">
        <v>178.04967000000005</v>
      </c>
      <c r="G111" s="19">
        <v>181.10007556459169</v>
      </c>
    </row>
    <row r="112" spans="1:7" ht="11.25" customHeight="1" x14ac:dyDescent="0.2">
      <c r="A112" s="29">
        <v>44440</v>
      </c>
      <c r="B112" s="19">
        <v>0</v>
      </c>
      <c r="C112" s="19">
        <v>170.72845000000007</v>
      </c>
      <c r="D112" s="19">
        <v>0</v>
      </c>
      <c r="E112" s="19">
        <v>173.65342601323337</v>
      </c>
      <c r="F112" s="19">
        <v>170.72845000000007</v>
      </c>
      <c r="G112" s="19">
        <v>173.65342601323337</v>
      </c>
    </row>
    <row r="113" spans="1:7" ht="11.25" customHeight="1" x14ac:dyDescent="0.2">
      <c r="A113" s="29">
        <v>44470</v>
      </c>
      <c r="B113" s="19">
        <v>0</v>
      </c>
      <c r="C113" s="19">
        <v>168.08801000000005</v>
      </c>
      <c r="D113" s="19">
        <v>0</v>
      </c>
      <c r="E113" s="19">
        <v>170.96774912585821</v>
      </c>
      <c r="F113" s="19">
        <v>168.08801000000005</v>
      </c>
      <c r="G113" s="19">
        <v>170.96774912585821</v>
      </c>
    </row>
    <row r="114" spans="1:7" ht="11.25" customHeight="1" x14ac:dyDescent="0.2">
      <c r="A114" s="29">
        <v>44501</v>
      </c>
      <c r="B114" s="19">
        <v>0</v>
      </c>
      <c r="C114" s="19">
        <v>169.16819000000004</v>
      </c>
      <c r="D114" s="19">
        <v>0</v>
      </c>
      <c r="E114" s="19">
        <v>172.06643512523894</v>
      </c>
      <c r="F114" s="19">
        <v>169.16819000000004</v>
      </c>
      <c r="G114" s="19">
        <v>172.06643512523894</v>
      </c>
    </row>
    <row r="115" spans="1:7" ht="11.25" customHeight="1" x14ac:dyDescent="0.2">
      <c r="A115" s="29">
        <v>44531</v>
      </c>
      <c r="B115" s="19">
        <v>0</v>
      </c>
      <c r="C115" s="19">
        <v>155.12585000000004</v>
      </c>
      <c r="D115" s="19">
        <v>0</v>
      </c>
      <c r="E115" s="19">
        <v>157.78351713328934</v>
      </c>
      <c r="F115" s="19">
        <v>155.12585000000004</v>
      </c>
      <c r="G115" s="19">
        <v>157.78351713328934</v>
      </c>
    </row>
    <row r="116" spans="1:7" ht="11.25" customHeight="1" x14ac:dyDescent="0.2">
      <c r="A116" s="29">
        <v>44562</v>
      </c>
      <c r="B116" s="19">
        <v>0</v>
      </c>
      <c r="C116" s="19">
        <v>156.92615000000006</v>
      </c>
      <c r="D116" s="19">
        <v>0</v>
      </c>
      <c r="E116" s="19">
        <v>159.61466046559059</v>
      </c>
      <c r="F116" s="19">
        <v>156.92615000000006</v>
      </c>
      <c r="G116" s="19">
        <v>159.61466046559059</v>
      </c>
    </row>
    <row r="117" spans="1:7" ht="11.25" customHeight="1" x14ac:dyDescent="0.2">
      <c r="A117" s="29">
        <v>44593</v>
      </c>
      <c r="B117" s="19">
        <v>0</v>
      </c>
      <c r="C117" s="19">
        <v>189.87164000000007</v>
      </c>
      <c r="D117" s="19">
        <v>0</v>
      </c>
      <c r="E117" s="19">
        <v>193.1245834467031</v>
      </c>
      <c r="F117" s="19">
        <v>189.87164000000007</v>
      </c>
      <c r="G117" s="19">
        <v>193.1245834467031</v>
      </c>
    </row>
    <row r="118" spans="1:7" ht="11.25" customHeight="1" x14ac:dyDescent="0.2">
      <c r="A118" s="29">
        <v>44621</v>
      </c>
      <c r="B118" s="19">
        <v>0</v>
      </c>
      <c r="C118" s="19">
        <v>189.87164000000007</v>
      </c>
      <c r="D118" s="19">
        <v>0</v>
      </c>
      <c r="E118" s="19">
        <v>193.1245834467031</v>
      </c>
      <c r="F118" s="19">
        <v>189.87164000000007</v>
      </c>
      <c r="G118" s="19">
        <v>193.1245834467031</v>
      </c>
    </row>
    <row r="119" spans="1:7" ht="11.25" customHeight="1" x14ac:dyDescent="0.2">
      <c r="A119" s="25" t="s">
        <v>32</v>
      </c>
      <c r="B119" s="19">
        <v>0</v>
      </c>
      <c r="C119" s="19">
        <v>-3.0036062526050954E-13</v>
      </c>
      <c r="D119" s="19">
        <v>0</v>
      </c>
      <c r="E119" s="19">
        <v>0</v>
      </c>
      <c r="F119" s="19">
        <v>-3.0036062526050954E-13</v>
      </c>
      <c r="G119" s="19">
        <v>0</v>
      </c>
    </row>
    <row r="120" spans="1:7" ht="11.25" customHeight="1" x14ac:dyDescent="0.2">
      <c r="A120" s="26" t="s">
        <v>25</v>
      </c>
      <c r="B120" s="19">
        <v>0</v>
      </c>
      <c r="C120" s="19">
        <v>-3.0036062526050954E-13</v>
      </c>
      <c r="D120" s="19">
        <v>0</v>
      </c>
      <c r="E120" s="19">
        <v>0</v>
      </c>
      <c r="F120" s="19">
        <v>-3.0036062526050954E-13</v>
      </c>
      <c r="G120" s="19">
        <v>0</v>
      </c>
    </row>
    <row r="121" spans="1:7" ht="11.25" customHeight="1" x14ac:dyDescent="0.2">
      <c r="A121" s="27" t="s">
        <v>25</v>
      </c>
      <c r="B121" s="19">
        <v>0</v>
      </c>
      <c r="C121" s="19">
        <v>-3.0036062526050954E-13</v>
      </c>
      <c r="D121" s="19">
        <v>0</v>
      </c>
      <c r="E121" s="19">
        <v>0</v>
      </c>
      <c r="F121" s="19">
        <v>-3.0036062526050954E-13</v>
      </c>
      <c r="G121" s="19">
        <v>0</v>
      </c>
    </row>
    <row r="122" spans="1:7" ht="11.25" customHeight="1" x14ac:dyDescent="0.2">
      <c r="A122" s="28" t="s">
        <v>25</v>
      </c>
      <c r="B122" s="19">
        <v>0</v>
      </c>
      <c r="C122" s="19">
        <v>-3.0036062526050954E-13</v>
      </c>
      <c r="D122" s="19">
        <v>0</v>
      </c>
      <c r="E122" s="19">
        <v>0</v>
      </c>
      <c r="F122" s="19">
        <v>-3.0036062526050954E-13</v>
      </c>
      <c r="G122" s="19">
        <v>0</v>
      </c>
    </row>
    <row r="123" spans="1:7" ht="11.25" customHeight="1" x14ac:dyDescent="0.2">
      <c r="A123" s="29">
        <v>44287</v>
      </c>
      <c r="B123" s="19">
        <v>0</v>
      </c>
      <c r="C123" s="19">
        <v>-1.9184653865522706E-14</v>
      </c>
      <c r="D123" s="19">
        <v>0</v>
      </c>
      <c r="E123" s="19">
        <v>0</v>
      </c>
      <c r="F123" s="19">
        <v>-1.9184653865522706E-14</v>
      </c>
      <c r="G123" s="19">
        <v>0</v>
      </c>
    </row>
    <row r="124" spans="1:7" ht="11.25" customHeight="1" x14ac:dyDescent="0.2">
      <c r="A124" s="29">
        <v>44317</v>
      </c>
      <c r="B124" s="19">
        <v>0</v>
      </c>
      <c r="C124" s="19">
        <v>-2.0548895918182097E-14</v>
      </c>
      <c r="D124" s="19">
        <v>0</v>
      </c>
      <c r="E124" s="19">
        <v>0</v>
      </c>
      <c r="F124" s="19">
        <v>-2.0548895918182097E-14</v>
      </c>
      <c r="G124" s="19">
        <v>0</v>
      </c>
    </row>
    <row r="125" spans="1:7" ht="11.25" customHeight="1" x14ac:dyDescent="0.2">
      <c r="A125" s="29">
        <v>44348</v>
      </c>
      <c r="B125" s="19">
        <v>0</v>
      </c>
      <c r="C125" s="19">
        <v>-2.9814373192493802E-14</v>
      </c>
      <c r="D125" s="19">
        <v>0</v>
      </c>
      <c r="E125" s="19">
        <v>0</v>
      </c>
      <c r="F125" s="19">
        <v>-2.9814373192493802E-14</v>
      </c>
      <c r="G125" s="19">
        <v>0</v>
      </c>
    </row>
    <row r="126" spans="1:7" ht="11.25" customHeight="1" x14ac:dyDescent="0.2">
      <c r="A126" s="29">
        <v>44378</v>
      </c>
      <c r="B126" s="19">
        <v>0</v>
      </c>
      <c r="C126" s="19">
        <v>-3.3537617127876727E-15</v>
      </c>
      <c r="D126" s="19">
        <v>0</v>
      </c>
      <c r="E126" s="19">
        <v>0</v>
      </c>
      <c r="F126" s="19">
        <v>-3.3537617127876727E-15</v>
      </c>
      <c r="G126" s="19">
        <v>0</v>
      </c>
    </row>
    <row r="127" spans="1:7" ht="11.25" customHeight="1" x14ac:dyDescent="0.2">
      <c r="A127" s="29">
        <v>44409</v>
      </c>
      <c r="B127" s="19">
        <v>0</v>
      </c>
      <c r="C127" s="19">
        <v>-2.6261659513693304E-14</v>
      </c>
      <c r="D127" s="19">
        <v>0</v>
      </c>
      <c r="E127" s="19">
        <v>0</v>
      </c>
      <c r="F127" s="19">
        <v>-2.6261659513693304E-14</v>
      </c>
      <c r="G127" s="19">
        <v>0</v>
      </c>
    </row>
    <row r="128" spans="1:7" ht="11.25" customHeight="1" x14ac:dyDescent="0.2">
      <c r="A128" s="29">
        <v>44440</v>
      </c>
      <c r="B128" s="19">
        <v>0</v>
      </c>
      <c r="C128" s="19">
        <v>-2.5664803615654819E-14</v>
      </c>
      <c r="D128" s="19">
        <v>0</v>
      </c>
      <c r="E128" s="19">
        <v>0</v>
      </c>
      <c r="F128" s="19">
        <v>-2.5664803615654819E-14</v>
      </c>
      <c r="G128" s="19">
        <v>0</v>
      </c>
    </row>
    <row r="129" spans="1:7" ht="11.25" customHeight="1" x14ac:dyDescent="0.2">
      <c r="A129" s="29">
        <v>44470</v>
      </c>
      <c r="B129" s="19">
        <v>0</v>
      </c>
      <c r="C129" s="19">
        <v>-2.2453150450019167E-14</v>
      </c>
      <c r="D129" s="19">
        <v>0</v>
      </c>
      <c r="E129" s="19">
        <v>0</v>
      </c>
      <c r="F129" s="19">
        <v>-2.2453150450019167E-14</v>
      </c>
      <c r="G129" s="19">
        <v>0</v>
      </c>
    </row>
    <row r="130" spans="1:7" ht="11.25" customHeight="1" x14ac:dyDescent="0.2">
      <c r="A130" s="29">
        <v>44501</v>
      </c>
      <c r="B130" s="19">
        <v>0</v>
      </c>
      <c r="C130" s="19">
        <v>-3.097966327914037E-14</v>
      </c>
      <c r="D130" s="19">
        <v>0</v>
      </c>
      <c r="E130" s="19">
        <v>0</v>
      </c>
      <c r="F130" s="19">
        <v>-3.097966327914037E-14</v>
      </c>
      <c r="G130" s="19">
        <v>0</v>
      </c>
    </row>
    <row r="131" spans="1:7" ht="11.25" customHeight="1" x14ac:dyDescent="0.2">
      <c r="A131" s="29">
        <v>44531</v>
      </c>
      <c r="B131" s="19">
        <v>0</v>
      </c>
      <c r="C131" s="19">
        <v>-2.3845814212108961E-14</v>
      </c>
      <c r="D131" s="19">
        <v>0</v>
      </c>
      <c r="E131" s="19">
        <v>0</v>
      </c>
      <c r="F131" s="19">
        <v>-2.3845814212108961E-14</v>
      </c>
      <c r="G131" s="19">
        <v>0</v>
      </c>
    </row>
    <row r="132" spans="1:7" ht="11.25" customHeight="1" x14ac:dyDescent="0.2">
      <c r="A132" s="29">
        <v>44562</v>
      </c>
      <c r="B132" s="19">
        <v>0</v>
      </c>
      <c r="C132" s="19">
        <v>-2.2311041902867147E-14</v>
      </c>
      <c r="D132" s="19">
        <v>0</v>
      </c>
      <c r="E132" s="19">
        <v>0</v>
      </c>
      <c r="F132" s="19">
        <v>-2.2311041902867147E-14</v>
      </c>
      <c r="G132" s="19">
        <v>0</v>
      </c>
    </row>
    <row r="133" spans="1:7" ht="11.25" customHeight="1" x14ac:dyDescent="0.2">
      <c r="A133" s="29">
        <v>44593</v>
      </c>
      <c r="B133" s="19">
        <v>0</v>
      </c>
      <c r="C133" s="19">
        <v>-3.7971403799019756E-14</v>
      </c>
      <c r="D133" s="19">
        <v>0</v>
      </c>
      <c r="E133" s="19">
        <v>0</v>
      </c>
      <c r="F133" s="19">
        <v>-3.7971403799019756E-14</v>
      </c>
      <c r="G133" s="19">
        <v>0</v>
      </c>
    </row>
    <row r="134" spans="1:7" ht="11.25" customHeight="1" x14ac:dyDescent="0.2">
      <c r="A134" s="29">
        <v>44621</v>
      </c>
      <c r="B134" s="19">
        <v>0</v>
      </c>
      <c r="C134" s="19">
        <v>-3.7971403799019756E-14</v>
      </c>
      <c r="D134" s="19">
        <v>0</v>
      </c>
      <c r="E134" s="19">
        <v>0</v>
      </c>
      <c r="F134" s="19">
        <v>-3.7971403799019756E-14</v>
      </c>
      <c r="G134" s="19">
        <v>0</v>
      </c>
    </row>
    <row r="135" spans="1:7" ht="11.25" customHeight="1" x14ac:dyDescent="0.2">
      <c r="A135" s="21" t="s">
        <v>562</v>
      </c>
      <c r="B135" s="19">
        <v>635300.57999999996</v>
      </c>
      <c r="C135" s="19">
        <v>1612818.8916200001</v>
      </c>
      <c r="D135" s="19">
        <v>644891.91250552936</v>
      </c>
      <c r="E135" s="19">
        <v>1787159.2034895315</v>
      </c>
      <c r="F135" s="19">
        <v>2248119.47162</v>
      </c>
      <c r="G135" s="19">
        <v>2432051.1159950607</v>
      </c>
    </row>
    <row r="136" spans="1:7" ht="11.25" customHeight="1" x14ac:dyDescent="0.2">
      <c r="A136" s="22" t="s">
        <v>33</v>
      </c>
      <c r="B136" s="19">
        <v>635300.57999999996</v>
      </c>
      <c r="C136" s="19">
        <v>1612818.8916200001</v>
      </c>
      <c r="D136" s="19">
        <v>644891.91250552936</v>
      </c>
      <c r="E136" s="19">
        <v>1787159.2034895315</v>
      </c>
      <c r="F136" s="19">
        <v>2248119.47162</v>
      </c>
      <c r="G136" s="19">
        <v>2432051.1159950607</v>
      </c>
    </row>
    <row r="137" spans="1:7" ht="11.25" customHeight="1" x14ac:dyDescent="0.2">
      <c r="A137" s="23" t="s">
        <v>34</v>
      </c>
      <c r="B137" s="19">
        <v>635300.57999999996</v>
      </c>
      <c r="C137" s="19">
        <v>1612818.8916200001</v>
      </c>
      <c r="D137" s="19">
        <v>644891.91250552936</v>
      </c>
      <c r="E137" s="19">
        <v>1787159.2034895315</v>
      </c>
      <c r="F137" s="19">
        <v>2248119.47162</v>
      </c>
      <c r="G137" s="19">
        <v>2432051.1159950607</v>
      </c>
    </row>
    <row r="138" spans="1:7" ht="11.25" customHeight="1" x14ac:dyDescent="0.2">
      <c r="A138" s="24" t="s">
        <v>38</v>
      </c>
      <c r="B138" s="19">
        <v>635300.57999999996</v>
      </c>
      <c r="C138" s="19">
        <v>1612818.8916200001</v>
      </c>
      <c r="D138" s="19">
        <v>644891.91250552936</v>
      </c>
      <c r="E138" s="19">
        <v>1787159.2034895315</v>
      </c>
      <c r="F138" s="19">
        <v>2248119.47162</v>
      </c>
      <c r="G138" s="19">
        <v>2432051.1159950607</v>
      </c>
    </row>
    <row r="139" spans="1:7" ht="11.25" customHeight="1" x14ac:dyDescent="0.2">
      <c r="A139" s="25" t="s">
        <v>25</v>
      </c>
      <c r="B139" s="19">
        <v>635300.57999999996</v>
      </c>
      <c r="C139" s="19">
        <v>1612818.8916200001</v>
      </c>
      <c r="D139" s="19">
        <v>644891.91250552936</v>
      </c>
      <c r="E139" s="19">
        <v>1787159.2034895315</v>
      </c>
      <c r="F139" s="19">
        <v>2248119.47162</v>
      </c>
      <c r="G139" s="19">
        <v>2432051.1159950607</v>
      </c>
    </row>
    <row r="140" spans="1:7" ht="11.25" customHeight="1" x14ac:dyDescent="0.2">
      <c r="A140" s="26" t="s">
        <v>55</v>
      </c>
      <c r="B140" s="19">
        <v>635300.57999999996</v>
      </c>
      <c r="C140" s="19">
        <v>1612818.8916200001</v>
      </c>
      <c r="D140" s="19">
        <v>644891.91250552936</v>
      </c>
      <c r="E140" s="19">
        <v>1787159.2034895315</v>
      </c>
      <c r="F140" s="19">
        <v>2248119.47162</v>
      </c>
      <c r="G140" s="19">
        <v>2432051.1159950607</v>
      </c>
    </row>
    <row r="141" spans="1:7" ht="11.25" customHeight="1" x14ac:dyDescent="0.2">
      <c r="A141" s="27" t="s">
        <v>25</v>
      </c>
      <c r="B141" s="19">
        <v>635300.57999999996</v>
      </c>
      <c r="C141" s="19">
        <v>1612818.8916200001</v>
      </c>
      <c r="D141" s="19">
        <v>644891.91250552936</v>
      </c>
      <c r="E141" s="19">
        <v>1787159.2034895315</v>
      </c>
      <c r="F141" s="19">
        <v>2248119.47162</v>
      </c>
      <c r="G141" s="19">
        <v>2432051.1159950607</v>
      </c>
    </row>
    <row r="142" spans="1:7" ht="11.25" customHeight="1" x14ac:dyDescent="0.2">
      <c r="A142" s="28" t="s">
        <v>36</v>
      </c>
      <c r="B142" s="19">
        <v>0</v>
      </c>
      <c r="C142" s="19">
        <v>337599.40850000008</v>
      </c>
      <c r="D142" s="19">
        <v>0</v>
      </c>
      <c r="E142" s="19">
        <v>476810.86899598874</v>
      </c>
      <c r="F142" s="19">
        <v>337599.40850000008</v>
      </c>
      <c r="G142" s="19">
        <v>476810.86899598874</v>
      </c>
    </row>
    <row r="143" spans="1:7" ht="11.25" customHeight="1" x14ac:dyDescent="0.2">
      <c r="A143" s="29">
        <v>44287</v>
      </c>
      <c r="B143" s="19">
        <v>0</v>
      </c>
      <c r="C143" s="19">
        <v>6610.9590950000002</v>
      </c>
      <c r="D143" s="19">
        <v>0</v>
      </c>
      <c r="E143" s="19">
        <v>9337.0339864913749</v>
      </c>
      <c r="F143" s="19">
        <v>6610.9590950000002</v>
      </c>
      <c r="G143" s="19">
        <v>9337.0339864913749</v>
      </c>
    </row>
    <row r="144" spans="1:7" ht="11.25" customHeight="1" x14ac:dyDescent="0.2">
      <c r="A144" s="29">
        <v>44317</v>
      </c>
      <c r="B144" s="19">
        <v>0</v>
      </c>
      <c r="C144" s="19">
        <v>6033.5163600000005</v>
      </c>
      <c r="D144" s="19">
        <v>0</v>
      </c>
      <c r="E144" s="19">
        <v>8521.4787297623916</v>
      </c>
      <c r="F144" s="19">
        <v>6033.5163600000005</v>
      </c>
      <c r="G144" s="19">
        <v>8521.4787297623916</v>
      </c>
    </row>
    <row r="145" spans="1:7" ht="11.25" customHeight="1" x14ac:dyDescent="0.2">
      <c r="A145" s="29">
        <v>44348</v>
      </c>
      <c r="B145" s="19">
        <v>0</v>
      </c>
      <c r="C145" s="19">
        <v>43542.844280000005</v>
      </c>
      <c r="D145" s="19">
        <v>0</v>
      </c>
      <c r="E145" s="19">
        <v>61498.038494649249</v>
      </c>
      <c r="F145" s="19">
        <v>43542.844280000005</v>
      </c>
      <c r="G145" s="19">
        <v>61498.038494649249</v>
      </c>
    </row>
    <row r="146" spans="1:7" ht="11.25" customHeight="1" x14ac:dyDescent="0.2">
      <c r="A146" s="29">
        <v>44378</v>
      </c>
      <c r="B146" s="19">
        <v>0</v>
      </c>
      <c r="C146" s="19">
        <v>64381.885465000007</v>
      </c>
      <c r="D146" s="19">
        <v>0</v>
      </c>
      <c r="E146" s="19">
        <v>90930.203025420487</v>
      </c>
      <c r="F146" s="19">
        <v>64381.885465000007</v>
      </c>
      <c r="G146" s="19">
        <v>90930.203025420487</v>
      </c>
    </row>
    <row r="147" spans="1:7" ht="11.25" customHeight="1" x14ac:dyDescent="0.2">
      <c r="A147" s="29">
        <v>44409</v>
      </c>
      <c r="B147" s="19">
        <v>0</v>
      </c>
      <c r="C147" s="19">
        <v>49714.970010000005</v>
      </c>
      <c r="D147" s="19">
        <v>0</v>
      </c>
      <c r="E147" s="19">
        <v>70215.283130680065</v>
      </c>
      <c r="F147" s="19">
        <v>49714.970010000005</v>
      </c>
      <c r="G147" s="19">
        <v>70215.283130680065</v>
      </c>
    </row>
    <row r="148" spans="1:7" ht="11.25" customHeight="1" x14ac:dyDescent="0.2">
      <c r="A148" s="29">
        <v>44440</v>
      </c>
      <c r="B148" s="19">
        <v>0</v>
      </c>
      <c r="C148" s="19">
        <v>32200.675725000001</v>
      </c>
      <c r="D148" s="19">
        <v>0</v>
      </c>
      <c r="E148" s="19">
        <v>45478.847972256714</v>
      </c>
      <c r="F148" s="19">
        <v>32200.675725000001</v>
      </c>
      <c r="G148" s="19">
        <v>45478.847972256714</v>
      </c>
    </row>
    <row r="149" spans="1:7" ht="11.25" customHeight="1" x14ac:dyDescent="0.2">
      <c r="A149" s="29">
        <v>44470</v>
      </c>
      <c r="B149" s="19">
        <v>0</v>
      </c>
      <c r="C149" s="19">
        <v>26386.305185000001</v>
      </c>
      <c r="D149" s="19">
        <v>0</v>
      </c>
      <c r="E149" s="19">
        <v>37266.881363191766</v>
      </c>
      <c r="F149" s="19">
        <v>26386.305185000001</v>
      </c>
      <c r="G149" s="19">
        <v>37266.881363191766</v>
      </c>
    </row>
    <row r="150" spans="1:7" ht="11.25" customHeight="1" x14ac:dyDescent="0.2">
      <c r="A150" s="29">
        <v>44501</v>
      </c>
      <c r="B150" s="19">
        <v>0</v>
      </c>
      <c r="C150" s="19">
        <v>14189.041775</v>
      </c>
      <c r="D150" s="19">
        <v>0</v>
      </c>
      <c r="E150" s="19">
        <v>20039.991684280856</v>
      </c>
      <c r="F150" s="19">
        <v>14189.041775</v>
      </c>
      <c r="G150" s="19">
        <v>20039.991684280856</v>
      </c>
    </row>
    <row r="151" spans="1:7" ht="11.25" customHeight="1" x14ac:dyDescent="0.2">
      <c r="A151" s="29">
        <v>44531</v>
      </c>
      <c r="B151" s="19">
        <v>0</v>
      </c>
      <c r="C151" s="19">
        <v>24354.36694</v>
      </c>
      <c r="D151" s="19">
        <v>0</v>
      </c>
      <c r="E151" s="19">
        <v>34397.059272420433</v>
      </c>
      <c r="F151" s="19">
        <v>24354.36694</v>
      </c>
      <c r="G151" s="19">
        <v>34397.059272420433</v>
      </c>
    </row>
    <row r="152" spans="1:7" ht="11.25" customHeight="1" x14ac:dyDescent="0.2">
      <c r="A152" s="29">
        <v>44562</v>
      </c>
      <c r="B152" s="19">
        <v>0</v>
      </c>
      <c r="C152" s="19">
        <v>44591.154385000002</v>
      </c>
      <c r="D152" s="19">
        <v>0</v>
      </c>
      <c r="E152" s="19">
        <v>62978.626551255184</v>
      </c>
      <c r="F152" s="19">
        <v>44591.154385000002</v>
      </c>
      <c r="G152" s="19">
        <v>62978.626551255184</v>
      </c>
    </row>
    <row r="153" spans="1:7" ht="11.25" customHeight="1" x14ac:dyDescent="0.2">
      <c r="A153" s="29">
        <v>44593</v>
      </c>
      <c r="B153" s="19">
        <v>0</v>
      </c>
      <c r="C153" s="19">
        <v>12796.844640000001</v>
      </c>
      <c r="D153" s="19">
        <v>0</v>
      </c>
      <c r="E153" s="19">
        <v>18073.712392790108</v>
      </c>
      <c r="F153" s="19">
        <v>12796.844640000001</v>
      </c>
      <c r="G153" s="19">
        <v>18073.712392790108</v>
      </c>
    </row>
    <row r="154" spans="1:7" ht="11.25" customHeight="1" x14ac:dyDescent="0.2">
      <c r="A154" s="29">
        <v>44621</v>
      </c>
      <c r="B154" s="19">
        <v>0</v>
      </c>
      <c r="C154" s="19">
        <v>12796.844640000001</v>
      </c>
      <c r="D154" s="19">
        <v>0</v>
      </c>
      <c r="E154" s="19">
        <v>18073.712392790108</v>
      </c>
      <c r="F154" s="19">
        <v>12796.844640000001</v>
      </c>
      <c r="G154" s="19">
        <v>18073.712392790108</v>
      </c>
    </row>
    <row r="155" spans="1:7" ht="11.25" customHeight="1" x14ac:dyDescent="0.2">
      <c r="A155" s="28" t="s">
        <v>25</v>
      </c>
      <c r="B155" s="19">
        <v>635300.57999999996</v>
      </c>
      <c r="C155" s="19">
        <v>0</v>
      </c>
      <c r="D155" s="19">
        <v>644891.91250552936</v>
      </c>
      <c r="E155" s="19">
        <v>0</v>
      </c>
      <c r="F155" s="19">
        <v>635300.57999999996</v>
      </c>
      <c r="G155" s="19">
        <v>644891.91250552936</v>
      </c>
    </row>
    <row r="156" spans="1:7" ht="11.25" customHeight="1" x14ac:dyDescent="0.2">
      <c r="A156" s="29">
        <v>44287</v>
      </c>
      <c r="B156" s="19">
        <v>11529.424999999999</v>
      </c>
      <c r="C156" s="19">
        <v>0</v>
      </c>
      <c r="D156" s="19">
        <v>11703.488352456819</v>
      </c>
      <c r="E156" s="19">
        <v>0</v>
      </c>
      <c r="F156" s="19">
        <v>11529.424999999999</v>
      </c>
      <c r="G156" s="19">
        <v>11703.488352456819</v>
      </c>
    </row>
    <row r="157" spans="1:7" ht="11.25" customHeight="1" x14ac:dyDescent="0.2">
      <c r="A157" s="29">
        <v>44317</v>
      </c>
      <c r="B157" s="19">
        <v>15708.11</v>
      </c>
      <c r="C157" s="19">
        <v>0</v>
      </c>
      <c r="D157" s="19">
        <v>15945.260273093454</v>
      </c>
      <c r="E157" s="19">
        <v>0</v>
      </c>
      <c r="F157" s="19">
        <v>15708.11</v>
      </c>
      <c r="G157" s="19">
        <v>15945.260273093454</v>
      </c>
    </row>
    <row r="158" spans="1:7" ht="11.25" customHeight="1" x14ac:dyDescent="0.2">
      <c r="A158" s="29">
        <v>44348</v>
      </c>
      <c r="B158" s="19">
        <v>104619.29</v>
      </c>
      <c r="C158" s="19">
        <v>0</v>
      </c>
      <c r="D158" s="19">
        <v>106198.76029874016</v>
      </c>
      <c r="E158" s="19">
        <v>0</v>
      </c>
      <c r="F158" s="19">
        <v>104619.29</v>
      </c>
      <c r="G158" s="19">
        <v>106198.76029874016</v>
      </c>
    </row>
    <row r="159" spans="1:7" ht="11.25" customHeight="1" x14ac:dyDescent="0.2">
      <c r="A159" s="29">
        <v>44378</v>
      </c>
      <c r="B159" s="19">
        <v>29086.924999999999</v>
      </c>
      <c r="C159" s="19">
        <v>0</v>
      </c>
      <c r="D159" s="19">
        <v>29526.059447568729</v>
      </c>
      <c r="E159" s="19">
        <v>0</v>
      </c>
      <c r="F159" s="19">
        <v>29086.924999999999</v>
      </c>
      <c r="G159" s="19">
        <v>29526.059447568729</v>
      </c>
    </row>
    <row r="160" spans="1:7" ht="11.25" customHeight="1" x14ac:dyDescent="0.2">
      <c r="A160" s="29">
        <v>44409</v>
      </c>
      <c r="B160" s="19">
        <v>59121.955000000002</v>
      </c>
      <c r="C160" s="19">
        <v>0</v>
      </c>
      <c r="D160" s="19">
        <v>60014.537734273501</v>
      </c>
      <c r="E160" s="19">
        <v>0</v>
      </c>
      <c r="F160" s="19">
        <v>59121.955000000002</v>
      </c>
      <c r="G160" s="19">
        <v>60014.537734273501</v>
      </c>
    </row>
    <row r="161" spans="1:7" ht="11.25" customHeight="1" x14ac:dyDescent="0.2">
      <c r="A161" s="29">
        <v>44440</v>
      </c>
      <c r="B161" s="19">
        <v>57483.254999999997</v>
      </c>
      <c r="C161" s="19">
        <v>0</v>
      </c>
      <c r="D161" s="19">
        <v>58351.097765396386</v>
      </c>
      <c r="E161" s="19">
        <v>0</v>
      </c>
      <c r="F161" s="19">
        <v>57483.254999999997</v>
      </c>
      <c r="G161" s="19">
        <v>58351.097765396386</v>
      </c>
    </row>
    <row r="162" spans="1:7" ht="11.25" customHeight="1" x14ac:dyDescent="0.2">
      <c r="A162" s="29">
        <v>44470</v>
      </c>
      <c r="B162" s="19">
        <v>58852.74</v>
      </c>
      <c r="C162" s="19">
        <v>0</v>
      </c>
      <c r="D162" s="19">
        <v>59741.258310815116</v>
      </c>
      <c r="E162" s="19">
        <v>0</v>
      </c>
      <c r="F162" s="19">
        <v>58852.74</v>
      </c>
      <c r="G162" s="19">
        <v>59741.258310815116</v>
      </c>
    </row>
    <row r="163" spans="1:7" ht="11.25" customHeight="1" x14ac:dyDescent="0.2">
      <c r="A163" s="29">
        <v>44501</v>
      </c>
      <c r="B163" s="19">
        <v>58665.46</v>
      </c>
      <c r="C163" s="19">
        <v>0</v>
      </c>
      <c r="D163" s="19">
        <v>59551.150885800591</v>
      </c>
      <c r="E163" s="19">
        <v>0</v>
      </c>
      <c r="F163" s="19">
        <v>58665.46</v>
      </c>
      <c r="G163" s="19">
        <v>59551.150885800591</v>
      </c>
    </row>
    <row r="164" spans="1:7" ht="11.25" customHeight="1" x14ac:dyDescent="0.2">
      <c r="A164" s="29">
        <v>44531</v>
      </c>
      <c r="B164" s="19">
        <v>58630.345000000001</v>
      </c>
      <c r="C164" s="19">
        <v>0</v>
      </c>
      <c r="D164" s="19">
        <v>59515.505743610367</v>
      </c>
      <c r="E164" s="19">
        <v>0</v>
      </c>
      <c r="F164" s="19">
        <v>58630.345000000001</v>
      </c>
      <c r="G164" s="19">
        <v>59515.505743610367</v>
      </c>
    </row>
    <row r="165" spans="1:7" ht="11.25" customHeight="1" x14ac:dyDescent="0.2">
      <c r="A165" s="29">
        <v>44562</v>
      </c>
      <c r="B165" s="19">
        <v>58162.144999999997</v>
      </c>
      <c r="C165" s="19">
        <v>0</v>
      </c>
      <c r="D165" s="19">
        <v>59040.237181074051</v>
      </c>
      <c r="E165" s="19">
        <v>0</v>
      </c>
      <c r="F165" s="19">
        <v>58162.144999999997</v>
      </c>
      <c r="G165" s="19">
        <v>59040.237181074051</v>
      </c>
    </row>
    <row r="166" spans="1:7" ht="11.25" customHeight="1" x14ac:dyDescent="0.2">
      <c r="A166" s="29">
        <v>44593</v>
      </c>
      <c r="B166" s="19">
        <v>61720.465000000004</v>
      </c>
      <c r="C166" s="19">
        <v>0</v>
      </c>
      <c r="D166" s="19">
        <v>62652.278256350066</v>
      </c>
      <c r="E166" s="19">
        <v>0</v>
      </c>
      <c r="F166" s="19">
        <v>61720.465000000004</v>
      </c>
      <c r="G166" s="19">
        <v>62652.278256350066</v>
      </c>
    </row>
    <row r="167" spans="1:7" ht="11.25" customHeight="1" x14ac:dyDescent="0.2">
      <c r="A167" s="29">
        <v>44621</v>
      </c>
      <c r="B167" s="19">
        <v>61720.465000000004</v>
      </c>
      <c r="C167" s="19">
        <v>0</v>
      </c>
      <c r="D167" s="19">
        <v>62652.278256350066</v>
      </c>
      <c r="E167" s="19">
        <v>0</v>
      </c>
      <c r="F167" s="19">
        <v>61720.465000000004</v>
      </c>
      <c r="G167" s="19">
        <v>62652.278256350066</v>
      </c>
    </row>
    <row r="168" spans="1:7" ht="11.25" customHeight="1" x14ac:dyDescent="0.2">
      <c r="A168" s="28" t="s">
        <v>35</v>
      </c>
      <c r="B168" s="19">
        <v>0</v>
      </c>
      <c r="C168" s="19">
        <v>1275219.48312</v>
      </c>
      <c r="D168" s="19">
        <v>0</v>
      </c>
      <c r="E168" s="19">
        <v>1310348.334493543</v>
      </c>
      <c r="F168" s="19">
        <v>1275219.48312</v>
      </c>
      <c r="G168" s="19">
        <v>1310348.334493543</v>
      </c>
    </row>
    <row r="169" spans="1:7" ht="11.25" customHeight="1" x14ac:dyDescent="0.2">
      <c r="A169" s="29">
        <v>44287</v>
      </c>
      <c r="B169" s="19">
        <v>0</v>
      </c>
      <c r="C169" s="19">
        <v>22623.350310000002</v>
      </c>
      <c r="D169" s="19">
        <v>0</v>
      </c>
      <c r="E169" s="19">
        <v>23246.562487300776</v>
      </c>
      <c r="F169" s="19">
        <v>22623.350310000002</v>
      </c>
      <c r="G169" s="19">
        <v>23246.562487300776</v>
      </c>
    </row>
    <row r="170" spans="1:7" ht="11.25" customHeight="1" x14ac:dyDescent="0.2">
      <c r="A170" s="29">
        <v>44317</v>
      </c>
      <c r="B170" s="19">
        <v>0</v>
      </c>
      <c r="C170" s="19">
        <v>26320.908240000001</v>
      </c>
      <c r="D170" s="19">
        <v>0</v>
      </c>
      <c r="E170" s="19">
        <v>27045.978148214861</v>
      </c>
      <c r="F170" s="19">
        <v>26320.908240000001</v>
      </c>
      <c r="G170" s="19">
        <v>27045.978148214861</v>
      </c>
    </row>
    <row r="171" spans="1:7" ht="11.25" customHeight="1" x14ac:dyDescent="0.2">
      <c r="A171" s="29">
        <v>44348</v>
      </c>
      <c r="B171" s="19">
        <v>0</v>
      </c>
      <c r="C171" s="19">
        <v>121703.64227999999</v>
      </c>
      <c r="D171" s="19">
        <v>0</v>
      </c>
      <c r="E171" s="19">
        <v>125056.24880606469</v>
      </c>
      <c r="F171" s="19">
        <v>121703.64227999999</v>
      </c>
      <c r="G171" s="19">
        <v>125056.24880606469</v>
      </c>
    </row>
    <row r="172" spans="1:7" ht="11.25" customHeight="1" x14ac:dyDescent="0.2">
      <c r="A172" s="29">
        <v>44378</v>
      </c>
      <c r="B172" s="19">
        <v>0</v>
      </c>
      <c r="C172" s="19">
        <v>193743.20757</v>
      </c>
      <c r="D172" s="19">
        <v>0</v>
      </c>
      <c r="E172" s="19">
        <v>199080.3094833963</v>
      </c>
      <c r="F172" s="19">
        <v>193743.20757</v>
      </c>
      <c r="G172" s="19">
        <v>199080.3094833963</v>
      </c>
    </row>
    <row r="173" spans="1:7" ht="11.25" customHeight="1" x14ac:dyDescent="0.2">
      <c r="A173" s="29">
        <v>44409</v>
      </c>
      <c r="B173" s="19">
        <v>0</v>
      </c>
      <c r="C173" s="19">
        <v>139781.72394999999</v>
      </c>
      <c r="D173" s="19">
        <v>0</v>
      </c>
      <c r="E173" s="19">
        <v>143632.33278273462</v>
      </c>
      <c r="F173" s="19">
        <v>139781.72394999999</v>
      </c>
      <c r="G173" s="19">
        <v>143632.33278273462</v>
      </c>
    </row>
    <row r="174" spans="1:7" ht="11.25" customHeight="1" x14ac:dyDescent="0.2">
      <c r="A174" s="29">
        <v>44440</v>
      </c>
      <c r="B174" s="19">
        <v>0</v>
      </c>
      <c r="C174" s="19">
        <v>87241.76857</v>
      </c>
      <c r="D174" s="19">
        <v>0</v>
      </c>
      <c r="E174" s="19">
        <v>89645.043584401705</v>
      </c>
      <c r="F174" s="19">
        <v>87241.76857</v>
      </c>
      <c r="G174" s="19">
        <v>89645.043584401705</v>
      </c>
    </row>
    <row r="175" spans="1:7" ht="11.25" customHeight="1" x14ac:dyDescent="0.2">
      <c r="A175" s="29">
        <v>44470</v>
      </c>
      <c r="B175" s="19">
        <v>0</v>
      </c>
      <c r="C175" s="19">
        <v>69895.955029999997</v>
      </c>
      <c r="D175" s="19">
        <v>0</v>
      </c>
      <c r="E175" s="19">
        <v>71821.399746272145</v>
      </c>
      <c r="F175" s="19">
        <v>69895.955029999997</v>
      </c>
      <c r="G175" s="19">
        <v>71821.399746272145</v>
      </c>
    </row>
    <row r="176" spans="1:7" ht="11.25" customHeight="1" x14ac:dyDescent="0.2">
      <c r="A176" s="29">
        <v>44501</v>
      </c>
      <c r="B176" s="19">
        <v>0</v>
      </c>
      <c r="C176" s="19">
        <v>43281.913179999996</v>
      </c>
      <c r="D176" s="19">
        <v>0</v>
      </c>
      <c r="E176" s="19">
        <v>44474.212949089808</v>
      </c>
      <c r="F176" s="19">
        <v>43281.913179999996</v>
      </c>
      <c r="G176" s="19">
        <v>44474.212949089808</v>
      </c>
    </row>
    <row r="177" spans="1:7" ht="11.25" customHeight="1" x14ac:dyDescent="0.2">
      <c r="A177" s="29">
        <v>44531</v>
      </c>
      <c r="B177" s="19">
        <v>0</v>
      </c>
      <c r="C177" s="19">
        <v>78416.07015</v>
      </c>
      <c r="D177" s="19">
        <v>0</v>
      </c>
      <c r="E177" s="19">
        <v>80576.221018191718</v>
      </c>
      <c r="F177" s="19">
        <v>78416.07015</v>
      </c>
      <c r="G177" s="19">
        <v>80576.221018191718</v>
      </c>
    </row>
    <row r="178" spans="1:7" ht="11.25" customHeight="1" x14ac:dyDescent="0.2">
      <c r="A178" s="29">
        <v>44562</v>
      </c>
      <c r="B178" s="19">
        <v>0</v>
      </c>
      <c r="C178" s="19">
        <v>134309.51929999999</v>
      </c>
      <c r="D178" s="19">
        <v>0</v>
      </c>
      <c r="E178" s="19">
        <v>138009.38367942284</v>
      </c>
      <c r="F178" s="19">
        <v>134309.51929999999</v>
      </c>
      <c r="G178" s="19">
        <v>138009.38367942284</v>
      </c>
    </row>
    <row r="179" spans="1:7" ht="11.25" customHeight="1" x14ac:dyDescent="0.2">
      <c r="A179" s="29">
        <v>44593</v>
      </c>
      <c r="B179" s="19">
        <v>0</v>
      </c>
      <c r="C179" s="19">
        <v>178950.71226999999</v>
      </c>
      <c r="D179" s="19">
        <v>0</v>
      </c>
      <c r="E179" s="19">
        <v>183880.32090422671</v>
      </c>
      <c r="F179" s="19">
        <v>178950.71226999999</v>
      </c>
      <c r="G179" s="19">
        <v>183880.32090422671</v>
      </c>
    </row>
    <row r="180" spans="1:7" ht="11.25" customHeight="1" x14ac:dyDescent="0.2">
      <c r="A180" s="29">
        <v>44621</v>
      </c>
      <c r="B180" s="19">
        <v>0</v>
      </c>
      <c r="C180" s="19">
        <v>178950.71226999999</v>
      </c>
      <c r="D180" s="19">
        <v>0</v>
      </c>
      <c r="E180" s="19">
        <v>183880.32090422671</v>
      </c>
      <c r="F180" s="19">
        <v>178950.71226999999</v>
      </c>
      <c r="G180" s="19">
        <v>183880.32090422671</v>
      </c>
    </row>
    <row r="181" spans="1:7" ht="11.25" customHeight="1" x14ac:dyDescent="0.2">
      <c r="A181" s="21" t="s">
        <v>564</v>
      </c>
      <c r="B181" s="19">
        <v>0</v>
      </c>
      <c r="C181" s="19">
        <v>9521549.4194660001</v>
      </c>
      <c r="D181" s="19">
        <v>0</v>
      </c>
      <c r="E181" s="19">
        <v>10120450.918278804</v>
      </c>
      <c r="F181" s="19">
        <v>9521549.4194660001</v>
      </c>
      <c r="G181" s="19">
        <v>10120450.918278804</v>
      </c>
    </row>
    <row r="182" spans="1:7" ht="11.25" customHeight="1" x14ac:dyDescent="0.2">
      <c r="A182" s="22" t="s">
        <v>33</v>
      </c>
      <c r="B182" s="19">
        <v>0</v>
      </c>
      <c r="C182" s="19">
        <v>5338983.0435899999</v>
      </c>
      <c r="D182" s="19">
        <v>0</v>
      </c>
      <c r="E182" s="19">
        <v>5833555.5400155643</v>
      </c>
      <c r="F182" s="19">
        <v>5338983.0435899999</v>
      </c>
      <c r="G182" s="19">
        <v>5833555.5400155643</v>
      </c>
    </row>
    <row r="183" spans="1:7" ht="11.25" customHeight="1" x14ac:dyDescent="0.2">
      <c r="A183" s="23" t="s">
        <v>34</v>
      </c>
      <c r="B183" s="19">
        <v>0</v>
      </c>
      <c r="C183" s="19">
        <v>5338983.0435899999</v>
      </c>
      <c r="D183" s="19">
        <v>0</v>
      </c>
      <c r="E183" s="19">
        <v>5833555.5400155643</v>
      </c>
      <c r="F183" s="19">
        <v>5338983.0435899999</v>
      </c>
      <c r="G183" s="19">
        <v>5833555.5400155643</v>
      </c>
    </row>
    <row r="184" spans="1:7" ht="11.25" customHeight="1" x14ac:dyDescent="0.2">
      <c r="A184" s="24" t="s">
        <v>41</v>
      </c>
      <c r="B184" s="19">
        <v>0</v>
      </c>
      <c r="C184" s="19">
        <v>5338983.0435899999</v>
      </c>
      <c r="D184" s="19">
        <v>0</v>
      </c>
      <c r="E184" s="19">
        <v>5833555.5400155643</v>
      </c>
      <c r="F184" s="19">
        <v>5338983.0435899999</v>
      </c>
      <c r="G184" s="19">
        <v>5833555.5400155643</v>
      </c>
    </row>
    <row r="185" spans="1:7" ht="11.25" customHeight="1" x14ac:dyDescent="0.2">
      <c r="A185" s="25" t="s">
        <v>50</v>
      </c>
      <c r="B185" s="19">
        <v>0</v>
      </c>
      <c r="C185" s="19">
        <v>5338983.0435899999</v>
      </c>
      <c r="D185" s="19">
        <v>0</v>
      </c>
      <c r="E185" s="19">
        <v>5833555.5400155643</v>
      </c>
      <c r="F185" s="19">
        <v>5338983.0435899999</v>
      </c>
      <c r="G185" s="19">
        <v>5833555.5400155643</v>
      </c>
    </row>
    <row r="186" spans="1:7" ht="11.25" customHeight="1" x14ac:dyDescent="0.2">
      <c r="A186" s="26" t="s">
        <v>52</v>
      </c>
      <c r="B186" s="19">
        <v>0</v>
      </c>
      <c r="C186" s="19">
        <v>5338983.0435899999</v>
      </c>
      <c r="D186" s="19">
        <v>0</v>
      </c>
      <c r="E186" s="19">
        <v>5833555.5400155643</v>
      </c>
      <c r="F186" s="19">
        <v>5338983.0435899999</v>
      </c>
      <c r="G186" s="19">
        <v>5833555.5400155643</v>
      </c>
    </row>
    <row r="187" spans="1:7" ht="11.25" customHeight="1" x14ac:dyDescent="0.2">
      <c r="A187" s="27" t="s">
        <v>25</v>
      </c>
      <c r="B187" s="19">
        <v>0</v>
      </c>
      <c r="C187" s="19">
        <v>5338983.0435899999</v>
      </c>
      <c r="D187" s="19">
        <v>0</v>
      </c>
      <c r="E187" s="19">
        <v>5833555.5400155643</v>
      </c>
      <c r="F187" s="19">
        <v>5338983.0435899999</v>
      </c>
      <c r="G187" s="19">
        <v>5833555.5400155643</v>
      </c>
    </row>
    <row r="188" spans="1:7" ht="11.25" customHeight="1" x14ac:dyDescent="0.2">
      <c r="A188" s="28" t="s">
        <v>36</v>
      </c>
      <c r="B188" s="19">
        <v>0</v>
      </c>
      <c r="C188" s="19">
        <v>5338983.0435899999</v>
      </c>
      <c r="D188" s="19">
        <v>0</v>
      </c>
      <c r="E188" s="19">
        <v>5833555.5400155643</v>
      </c>
      <c r="F188" s="19">
        <v>5338983.0435899999</v>
      </c>
      <c r="G188" s="19">
        <v>5833555.5400155643</v>
      </c>
    </row>
    <row r="189" spans="1:7" ht="11.25" customHeight="1" x14ac:dyDescent="0.2">
      <c r="A189" s="29">
        <v>44287</v>
      </c>
      <c r="B189" s="19">
        <v>0</v>
      </c>
      <c r="C189" s="19">
        <v>571406.23196999996</v>
      </c>
      <c r="D189" s="19">
        <v>0</v>
      </c>
      <c r="E189" s="19">
        <v>624337.99899589852</v>
      </c>
      <c r="F189" s="19">
        <v>571406.23196999996</v>
      </c>
      <c r="G189" s="19">
        <v>624337.99899589852</v>
      </c>
    </row>
    <row r="190" spans="1:7" ht="11.25" customHeight="1" x14ac:dyDescent="0.2">
      <c r="A190" s="29">
        <v>44317</v>
      </c>
      <c r="B190" s="19">
        <v>0</v>
      </c>
      <c r="C190" s="19">
        <v>497015.35212000005</v>
      </c>
      <c r="D190" s="19">
        <v>0</v>
      </c>
      <c r="E190" s="19">
        <v>543055.97848140809</v>
      </c>
      <c r="F190" s="19">
        <v>497015.35212000005</v>
      </c>
      <c r="G190" s="19">
        <v>543055.97848140809</v>
      </c>
    </row>
    <row r="191" spans="1:7" ht="11.25" customHeight="1" x14ac:dyDescent="0.2">
      <c r="A191" s="29">
        <v>44348</v>
      </c>
      <c r="B191" s="19">
        <v>0</v>
      </c>
      <c r="C191" s="19">
        <v>128876.93216999999</v>
      </c>
      <c r="D191" s="19">
        <v>0</v>
      </c>
      <c r="E191" s="19">
        <v>140815.34545106677</v>
      </c>
      <c r="F191" s="19">
        <v>128876.93216999999</v>
      </c>
      <c r="G191" s="19">
        <v>140815.34545106677</v>
      </c>
    </row>
    <row r="192" spans="1:7" ht="11.25" customHeight="1" x14ac:dyDescent="0.2">
      <c r="A192" s="29">
        <v>44378</v>
      </c>
      <c r="B192" s="19">
        <v>0</v>
      </c>
      <c r="C192" s="19">
        <v>332065.60716000001</v>
      </c>
      <c r="D192" s="19">
        <v>0</v>
      </c>
      <c r="E192" s="19">
        <v>362826.2435900722</v>
      </c>
      <c r="F192" s="19">
        <v>332065.60716000001</v>
      </c>
      <c r="G192" s="19">
        <v>362826.2435900722</v>
      </c>
    </row>
    <row r="193" spans="1:7" ht="11.25" customHeight="1" x14ac:dyDescent="0.2">
      <c r="A193" s="29">
        <v>44409</v>
      </c>
      <c r="B193" s="19">
        <v>0</v>
      </c>
      <c r="C193" s="19">
        <v>483008.92647000001</v>
      </c>
      <c r="D193" s="19">
        <v>0</v>
      </c>
      <c r="E193" s="19">
        <v>527752.07860398246</v>
      </c>
      <c r="F193" s="19">
        <v>483008.92647000001</v>
      </c>
      <c r="G193" s="19">
        <v>527752.07860398246</v>
      </c>
    </row>
    <row r="194" spans="1:7" ht="11.25" customHeight="1" x14ac:dyDescent="0.2">
      <c r="A194" s="29">
        <v>44440</v>
      </c>
      <c r="B194" s="19">
        <v>0</v>
      </c>
      <c r="C194" s="19">
        <v>471021.94523999997</v>
      </c>
      <c r="D194" s="19">
        <v>0</v>
      </c>
      <c r="E194" s="19">
        <v>514654.69279259967</v>
      </c>
      <c r="F194" s="19">
        <v>471021.94523999997</v>
      </c>
      <c r="G194" s="19">
        <v>514654.69279259967</v>
      </c>
    </row>
    <row r="195" spans="1:7" ht="11.25" customHeight="1" x14ac:dyDescent="0.2">
      <c r="A195" s="29">
        <v>44470</v>
      </c>
      <c r="B195" s="19">
        <v>0</v>
      </c>
      <c r="C195" s="19">
        <v>350420.84049000003</v>
      </c>
      <c r="D195" s="19">
        <v>0</v>
      </c>
      <c r="E195" s="19">
        <v>382881.79952765023</v>
      </c>
      <c r="F195" s="19">
        <v>350420.84049000003</v>
      </c>
      <c r="G195" s="19">
        <v>382881.79952765023</v>
      </c>
    </row>
    <row r="196" spans="1:7" ht="11.25" customHeight="1" x14ac:dyDescent="0.2">
      <c r="A196" s="29">
        <v>44501</v>
      </c>
      <c r="B196" s="19">
        <v>0</v>
      </c>
      <c r="C196" s="19">
        <v>648078.20563500002</v>
      </c>
      <c r="D196" s="19">
        <v>0</v>
      </c>
      <c r="E196" s="19">
        <v>708112.42065741378</v>
      </c>
      <c r="F196" s="19">
        <v>648078.20563500002</v>
      </c>
      <c r="G196" s="19">
        <v>708112.42065741378</v>
      </c>
    </row>
    <row r="197" spans="1:7" ht="11.25" customHeight="1" x14ac:dyDescent="0.2">
      <c r="A197" s="29">
        <v>44531</v>
      </c>
      <c r="B197" s="19">
        <v>0</v>
      </c>
      <c r="C197" s="19">
        <v>542369.77840499987</v>
      </c>
      <c r="D197" s="19">
        <v>0</v>
      </c>
      <c r="E197" s="19">
        <v>592611.77638504468</v>
      </c>
      <c r="F197" s="19">
        <v>542369.77840499987</v>
      </c>
      <c r="G197" s="19">
        <v>592611.77638504468</v>
      </c>
    </row>
    <row r="198" spans="1:7" ht="11.25" customHeight="1" x14ac:dyDescent="0.2">
      <c r="A198" s="29">
        <v>44562</v>
      </c>
      <c r="B198" s="19">
        <v>0</v>
      </c>
      <c r="C198" s="19">
        <v>291694.53495</v>
      </c>
      <c r="D198" s="19">
        <v>0</v>
      </c>
      <c r="E198" s="19">
        <v>318715.42884797178</v>
      </c>
      <c r="F198" s="19">
        <v>291694.53495</v>
      </c>
      <c r="G198" s="19">
        <v>318715.42884797178</v>
      </c>
    </row>
    <row r="199" spans="1:7" ht="11.25" customHeight="1" x14ac:dyDescent="0.2">
      <c r="A199" s="29">
        <v>44593</v>
      </c>
      <c r="B199" s="19">
        <v>0</v>
      </c>
      <c r="C199" s="19">
        <v>511512.34449000005</v>
      </c>
      <c r="D199" s="19">
        <v>0</v>
      </c>
      <c r="E199" s="19">
        <v>558895.88834122871</v>
      </c>
      <c r="F199" s="19">
        <v>511512.34449000005</v>
      </c>
      <c r="G199" s="19">
        <v>558895.88834122871</v>
      </c>
    </row>
    <row r="200" spans="1:7" ht="11.25" customHeight="1" x14ac:dyDescent="0.2">
      <c r="A200" s="29">
        <v>44621</v>
      </c>
      <c r="B200" s="19">
        <v>0</v>
      </c>
      <c r="C200" s="19">
        <v>511512.34449000005</v>
      </c>
      <c r="D200" s="19">
        <v>0</v>
      </c>
      <c r="E200" s="19">
        <v>558895.88834122871</v>
      </c>
      <c r="F200" s="19">
        <v>511512.34449000005</v>
      </c>
      <c r="G200" s="19">
        <v>558895.88834122871</v>
      </c>
    </row>
    <row r="201" spans="1:7" ht="11.25" customHeight="1" x14ac:dyDescent="0.2">
      <c r="A201" s="22" t="s">
        <v>40</v>
      </c>
      <c r="B201" s="19">
        <v>0</v>
      </c>
      <c r="C201" s="19">
        <v>4182566.3758760002</v>
      </c>
      <c r="D201" s="19">
        <v>0</v>
      </c>
      <c r="E201" s="19">
        <v>4286895.3782632388</v>
      </c>
      <c r="F201" s="19">
        <v>4182566.3758760002</v>
      </c>
      <c r="G201" s="19">
        <v>4286895.3782632388</v>
      </c>
    </row>
    <row r="202" spans="1:7" ht="11.25" customHeight="1" x14ac:dyDescent="0.2">
      <c r="A202" s="23" t="s">
        <v>23</v>
      </c>
      <c r="B202" s="19">
        <v>0</v>
      </c>
      <c r="C202" s="19">
        <v>4182566.3758760002</v>
      </c>
      <c r="D202" s="19">
        <v>0</v>
      </c>
      <c r="E202" s="19">
        <v>4286895.3782632388</v>
      </c>
      <c r="F202" s="19">
        <v>4182566.3758760002</v>
      </c>
      <c r="G202" s="19">
        <v>4286895.3782632388</v>
      </c>
    </row>
    <row r="203" spans="1:7" ht="11.25" customHeight="1" x14ac:dyDescent="0.2">
      <c r="A203" s="24" t="s">
        <v>41</v>
      </c>
      <c r="B203" s="19">
        <v>0</v>
      </c>
      <c r="C203" s="19">
        <v>4182566.3758760002</v>
      </c>
      <c r="D203" s="19">
        <v>0</v>
      </c>
      <c r="E203" s="19">
        <v>4286895.3782632388</v>
      </c>
      <c r="F203" s="19">
        <v>4182566.3758760002</v>
      </c>
      <c r="G203" s="19">
        <v>4286895.3782632388</v>
      </c>
    </row>
    <row r="204" spans="1:7" ht="11.25" customHeight="1" x14ac:dyDescent="0.2">
      <c r="A204" s="25" t="s">
        <v>50</v>
      </c>
      <c r="B204" s="19">
        <v>0</v>
      </c>
      <c r="C204" s="19">
        <v>4179985.4398759999</v>
      </c>
      <c r="D204" s="19">
        <v>0</v>
      </c>
      <c r="E204" s="19">
        <v>4284250.0639715604</v>
      </c>
      <c r="F204" s="19">
        <v>4179985.4398759999</v>
      </c>
      <c r="G204" s="19">
        <v>4284250.0639715604</v>
      </c>
    </row>
    <row r="205" spans="1:7" ht="11.25" customHeight="1" x14ac:dyDescent="0.2">
      <c r="A205" s="26" t="s">
        <v>52</v>
      </c>
      <c r="B205" s="19">
        <v>0</v>
      </c>
      <c r="C205" s="19">
        <v>4179985.4398759999</v>
      </c>
      <c r="D205" s="19">
        <v>0</v>
      </c>
      <c r="E205" s="19">
        <v>4284250.0639715604</v>
      </c>
      <c r="F205" s="19">
        <v>4179985.4398759999</v>
      </c>
      <c r="G205" s="19">
        <v>4284250.0639715604</v>
      </c>
    </row>
    <row r="206" spans="1:7" ht="11.25" customHeight="1" x14ac:dyDescent="0.2">
      <c r="A206" s="27" t="s">
        <v>25</v>
      </c>
      <c r="B206" s="19">
        <v>0</v>
      </c>
      <c r="C206" s="19">
        <v>4179985.4398759999</v>
      </c>
      <c r="D206" s="19">
        <v>0</v>
      </c>
      <c r="E206" s="19">
        <v>4284250.0639715604</v>
      </c>
      <c r="F206" s="19">
        <v>4179985.4398759999</v>
      </c>
      <c r="G206" s="19">
        <v>4284250.0639715604</v>
      </c>
    </row>
    <row r="207" spans="1:7" ht="11.25" customHeight="1" x14ac:dyDescent="0.2">
      <c r="A207" s="28" t="s">
        <v>25</v>
      </c>
      <c r="B207" s="19">
        <v>0</v>
      </c>
      <c r="C207" s="19">
        <v>4179985.4398759999</v>
      </c>
      <c r="D207" s="19">
        <v>0</v>
      </c>
      <c r="E207" s="19">
        <v>4284250.0639715604</v>
      </c>
      <c r="F207" s="19">
        <v>4179985.4398759999</v>
      </c>
      <c r="G207" s="19">
        <v>4284250.0639715604</v>
      </c>
    </row>
    <row r="208" spans="1:7" ht="11.25" customHeight="1" x14ac:dyDescent="0.2">
      <c r="A208" s="29">
        <v>44287</v>
      </c>
      <c r="B208" s="19">
        <v>0</v>
      </c>
      <c r="C208" s="19">
        <v>457732.44084800006</v>
      </c>
      <c r="D208" s="19">
        <v>0</v>
      </c>
      <c r="E208" s="19">
        <v>469150.01671467</v>
      </c>
      <c r="F208" s="19">
        <v>457732.44084800006</v>
      </c>
      <c r="G208" s="19">
        <v>469150.01671467</v>
      </c>
    </row>
    <row r="209" spans="1:7" ht="11.25" customHeight="1" x14ac:dyDescent="0.2">
      <c r="A209" s="29">
        <v>44317</v>
      </c>
      <c r="B209" s="19">
        <v>0</v>
      </c>
      <c r="C209" s="19">
        <v>466136.39861999999</v>
      </c>
      <c r="D209" s="19">
        <v>0</v>
      </c>
      <c r="E209" s="19">
        <v>477763.60093408608</v>
      </c>
      <c r="F209" s="19">
        <v>466136.39861999999</v>
      </c>
      <c r="G209" s="19">
        <v>477763.60093408608</v>
      </c>
    </row>
    <row r="210" spans="1:7" ht="11.25" customHeight="1" x14ac:dyDescent="0.2">
      <c r="A210" s="29">
        <v>44348</v>
      </c>
      <c r="B210" s="19">
        <v>0</v>
      </c>
      <c r="C210" s="19">
        <v>171431.36114800005</v>
      </c>
      <c r="D210" s="19">
        <v>0</v>
      </c>
      <c r="E210" s="19">
        <v>175707.5067674969</v>
      </c>
      <c r="F210" s="19">
        <v>171431.36114800005</v>
      </c>
      <c r="G210" s="19">
        <v>175707.5067674969</v>
      </c>
    </row>
    <row r="211" spans="1:7" ht="11.25" customHeight="1" x14ac:dyDescent="0.2">
      <c r="A211" s="29">
        <v>44378</v>
      </c>
      <c r="B211" s="19">
        <v>0</v>
      </c>
      <c r="C211" s="19">
        <v>304781.87192800001</v>
      </c>
      <c r="D211" s="19">
        <v>0</v>
      </c>
      <c r="E211" s="19">
        <v>312384.28293272754</v>
      </c>
      <c r="F211" s="19">
        <v>304781.87192800001</v>
      </c>
      <c r="G211" s="19">
        <v>312384.28293272754</v>
      </c>
    </row>
    <row r="212" spans="1:7" ht="11.25" customHeight="1" x14ac:dyDescent="0.2">
      <c r="A212" s="29">
        <v>44409</v>
      </c>
      <c r="B212" s="19">
        <v>0</v>
      </c>
      <c r="C212" s="19">
        <v>338986.58658000006</v>
      </c>
      <c r="D212" s="19">
        <v>0</v>
      </c>
      <c r="E212" s="19">
        <v>347442.19235460996</v>
      </c>
      <c r="F212" s="19">
        <v>338986.58658000006</v>
      </c>
      <c r="G212" s="19">
        <v>347442.19235460996</v>
      </c>
    </row>
    <row r="213" spans="1:7" ht="11.25" customHeight="1" x14ac:dyDescent="0.2">
      <c r="A213" s="29">
        <v>44440</v>
      </c>
      <c r="B213" s="19">
        <v>0</v>
      </c>
      <c r="C213" s="19">
        <v>337753.75948400004</v>
      </c>
      <c r="D213" s="19">
        <v>0</v>
      </c>
      <c r="E213" s="19">
        <v>346178.61389461876</v>
      </c>
      <c r="F213" s="19">
        <v>337753.75948400004</v>
      </c>
      <c r="G213" s="19">
        <v>346178.61389461876</v>
      </c>
    </row>
    <row r="214" spans="1:7" ht="11.25" customHeight="1" x14ac:dyDescent="0.2">
      <c r="A214" s="29">
        <v>44470</v>
      </c>
      <c r="B214" s="19">
        <v>0</v>
      </c>
      <c r="C214" s="19">
        <v>326936.1963960001</v>
      </c>
      <c r="D214" s="19">
        <v>0</v>
      </c>
      <c r="E214" s="19">
        <v>335091.21992676926</v>
      </c>
      <c r="F214" s="19">
        <v>326936.1963960001</v>
      </c>
      <c r="G214" s="19">
        <v>335091.21992676926</v>
      </c>
    </row>
    <row r="215" spans="1:7" ht="11.25" customHeight="1" x14ac:dyDescent="0.2">
      <c r="A215" s="29">
        <v>44501</v>
      </c>
      <c r="B215" s="19">
        <v>0</v>
      </c>
      <c r="C215" s="19">
        <v>523047.75804400013</v>
      </c>
      <c r="D215" s="19">
        <v>0</v>
      </c>
      <c r="E215" s="19">
        <v>536094.54460842919</v>
      </c>
      <c r="F215" s="19">
        <v>523047.75804400013</v>
      </c>
      <c r="G215" s="19">
        <v>536094.54460842919</v>
      </c>
    </row>
    <row r="216" spans="1:7" ht="11.25" customHeight="1" x14ac:dyDescent="0.2">
      <c r="A216" s="29">
        <v>44531</v>
      </c>
      <c r="B216" s="19">
        <v>0</v>
      </c>
      <c r="C216" s="19">
        <v>329142.03636400006</v>
      </c>
      <c r="D216" s="19">
        <v>0</v>
      </c>
      <c r="E216" s="19">
        <v>337352.08187472261</v>
      </c>
      <c r="F216" s="19">
        <v>329142.03636400006</v>
      </c>
      <c r="G216" s="19">
        <v>337352.08187472261</v>
      </c>
    </row>
    <row r="217" spans="1:7" ht="11.25" customHeight="1" x14ac:dyDescent="0.2">
      <c r="A217" s="29">
        <v>44562</v>
      </c>
      <c r="B217" s="19">
        <v>0</v>
      </c>
      <c r="C217" s="19">
        <v>308330.65892800008</v>
      </c>
      <c r="D217" s="19">
        <v>0</v>
      </c>
      <c r="E217" s="19">
        <v>316021.59008378367</v>
      </c>
      <c r="F217" s="19">
        <v>308330.65892800008</v>
      </c>
      <c r="G217" s="19">
        <v>316021.59008378367</v>
      </c>
    </row>
    <row r="218" spans="1:7" ht="11.25" customHeight="1" x14ac:dyDescent="0.2">
      <c r="A218" s="29">
        <v>44593</v>
      </c>
      <c r="B218" s="19">
        <v>0</v>
      </c>
      <c r="C218" s="19">
        <v>307853.18576800002</v>
      </c>
      <c r="D218" s="19">
        <v>0</v>
      </c>
      <c r="E218" s="19">
        <v>315532.2069398234</v>
      </c>
      <c r="F218" s="19">
        <v>307853.18576800002</v>
      </c>
      <c r="G218" s="19">
        <v>315532.2069398234</v>
      </c>
    </row>
    <row r="219" spans="1:7" ht="11.25" customHeight="1" x14ac:dyDescent="0.2">
      <c r="A219" s="29">
        <v>44621</v>
      </c>
      <c r="B219" s="19">
        <v>0</v>
      </c>
      <c r="C219" s="19">
        <v>307853.18576800002</v>
      </c>
      <c r="D219" s="19">
        <v>0</v>
      </c>
      <c r="E219" s="19">
        <v>315532.2069398234</v>
      </c>
      <c r="F219" s="19">
        <v>307853.18576800002</v>
      </c>
      <c r="G219" s="19">
        <v>315532.2069398234</v>
      </c>
    </row>
    <row r="220" spans="1:7" ht="11.25" customHeight="1" x14ac:dyDescent="0.2">
      <c r="A220" s="25" t="s">
        <v>53</v>
      </c>
      <c r="B220" s="19">
        <v>0</v>
      </c>
      <c r="C220" s="19">
        <v>2580.9360000000006</v>
      </c>
      <c r="D220" s="19">
        <v>0</v>
      </c>
      <c r="E220" s="19">
        <v>2645.3142916771803</v>
      </c>
      <c r="F220" s="19">
        <v>2580.9360000000006</v>
      </c>
      <c r="G220" s="19">
        <v>2645.3142916771803</v>
      </c>
    </row>
    <row r="221" spans="1:7" ht="11.25" customHeight="1" x14ac:dyDescent="0.2">
      <c r="A221" s="26" t="s">
        <v>52</v>
      </c>
      <c r="B221" s="19">
        <v>0</v>
      </c>
      <c r="C221" s="19">
        <v>2580.9360000000006</v>
      </c>
      <c r="D221" s="19">
        <v>0</v>
      </c>
      <c r="E221" s="19">
        <v>2645.3142916771803</v>
      </c>
      <c r="F221" s="19">
        <v>2580.9360000000006</v>
      </c>
      <c r="G221" s="19">
        <v>2645.3142916771803</v>
      </c>
    </row>
    <row r="222" spans="1:7" ht="11.25" customHeight="1" x14ac:dyDescent="0.2">
      <c r="A222" s="27" t="s">
        <v>25</v>
      </c>
      <c r="B222" s="19">
        <v>0</v>
      </c>
      <c r="C222" s="19">
        <v>2580.9360000000006</v>
      </c>
      <c r="D222" s="19">
        <v>0</v>
      </c>
      <c r="E222" s="19">
        <v>2645.3142916771803</v>
      </c>
      <c r="F222" s="19">
        <v>2580.9360000000006</v>
      </c>
      <c r="G222" s="19">
        <v>2645.3142916771803</v>
      </c>
    </row>
    <row r="223" spans="1:7" ht="11.25" customHeight="1" x14ac:dyDescent="0.2">
      <c r="A223" s="28" t="s">
        <v>25</v>
      </c>
      <c r="B223" s="19">
        <v>0</v>
      </c>
      <c r="C223" s="19">
        <v>2580.9360000000006</v>
      </c>
      <c r="D223" s="19">
        <v>0</v>
      </c>
      <c r="E223" s="19">
        <v>2645.3142916771803</v>
      </c>
      <c r="F223" s="19">
        <v>2580.9360000000006</v>
      </c>
      <c r="G223" s="19">
        <v>2645.3142916771803</v>
      </c>
    </row>
    <row r="224" spans="1:7" ht="11.25" customHeight="1" x14ac:dyDescent="0.2">
      <c r="A224" s="29">
        <v>44287</v>
      </c>
      <c r="B224" s="19">
        <v>0</v>
      </c>
      <c r="C224" s="19">
        <v>464.56848000000014</v>
      </c>
      <c r="D224" s="19">
        <v>0</v>
      </c>
      <c r="E224" s="19">
        <v>476.15657250189236</v>
      </c>
      <c r="F224" s="19">
        <v>464.56848000000014</v>
      </c>
      <c r="G224" s="19">
        <v>476.15657250189236</v>
      </c>
    </row>
    <row r="225" spans="1:7" ht="11.25" customHeight="1" x14ac:dyDescent="0.2">
      <c r="A225" s="29">
        <v>44317</v>
      </c>
      <c r="B225" s="19">
        <v>0</v>
      </c>
      <c r="C225" s="19">
        <v>438.75912000000017</v>
      </c>
      <c r="D225" s="19">
        <v>0</v>
      </c>
      <c r="E225" s="19">
        <v>449.7034295851206</v>
      </c>
      <c r="F225" s="19">
        <v>438.75912000000017</v>
      </c>
      <c r="G225" s="19">
        <v>449.7034295851206</v>
      </c>
    </row>
    <row r="226" spans="1:7" ht="11.25" customHeight="1" x14ac:dyDescent="0.2">
      <c r="A226" s="29">
        <v>44348</v>
      </c>
      <c r="B226" s="19">
        <v>0</v>
      </c>
      <c r="C226" s="19">
        <v>352.72792000000004</v>
      </c>
      <c r="D226" s="19">
        <v>0</v>
      </c>
      <c r="E226" s="19">
        <v>361.52628652921447</v>
      </c>
      <c r="F226" s="19">
        <v>352.72792000000004</v>
      </c>
      <c r="G226" s="19">
        <v>361.52628652921447</v>
      </c>
    </row>
    <row r="227" spans="1:7" ht="11.25" customHeight="1" x14ac:dyDescent="0.2">
      <c r="A227" s="29">
        <v>44378</v>
      </c>
      <c r="B227" s="19">
        <v>0</v>
      </c>
      <c r="C227" s="19">
        <v>369.93416000000008</v>
      </c>
      <c r="D227" s="19">
        <v>0</v>
      </c>
      <c r="E227" s="19">
        <v>379.16171514039576</v>
      </c>
      <c r="F227" s="19">
        <v>369.93416000000008</v>
      </c>
      <c r="G227" s="19">
        <v>379.16171514039576</v>
      </c>
    </row>
    <row r="228" spans="1:7" ht="11.25" customHeight="1" x14ac:dyDescent="0.2">
      <c r="A228" s="29">
        <v>44409</v>
      </c>
      <c r="B228" s="19">
        <v>0</v>
      </c>
      <c r="C228" s="19">
        <v>438.75912000000017</v>
      </c>
      <c r="D228" s="19">
        <v>0</v>
      </c>
      <c r="E228" s="19">
        <v>449.7034295851206</v>
      </c>
      <c r="F228" s="19">
        <v>438.75912000000017</v>
      </c>
      <c r="G228" s="19">
        <v>449.7034295851206</v>
      </c>
    </row>
    <row r="229" spans="1:7" ht="11.25" customHeight="1" x14ac:dyDescent="0.2">
      <c r="A229" s="29">
        <v>44440</v>
      </c>
      <c r="B229" s="19">
        <v>0</v>
      </c>
      <c r="C229" s="19">
        <v>395.7435200000001</v>
      </c>
      <c r="D229" s="19">
        <v>0</v>
      </c>
      <c r="E229" s="19">
        <v>405.61485805716757</v>
      </c>
      <c r="F229" s="19">
        <v>395.7435200000001</v>
      </c>
      <c r="G229" s="19">
        <v>405.61485805716757</v>
      </c>
    </row>
    <row r="230" spans="1:7" ht="11.25" customHeight="1" x14ac:dyDescent="0.2">
      <c r="A230" s="29">
        <v>44470</v>
      </c>
      <c r="B230" s="19">
        <v>0</v>
      </c>
      <c r="C230" s="19">
        <v>17.206240000000005</v>
      </c>
      <c r="D230" s="19">
        <v>0</v>
      </c>
      <c r="E230" s="19">
        <v>17.635428611181197</v>
      </c>
      <c r="F230" s="19">
        <v>17.206240000000005</v>
      </c>
      <c r="G230" s="19">
        <v>17.635428611181197</v>
      </c>
    </row>
    <row r="231" spans="1:7" ht="11.25" customHeight="1" x14ac:dyDescent="0.2">
      <c r="A231" s="29">
        <v>44501</v>
      </c>
      <c r="B231" s="19">
        <v>0</v>
      </c>
      <c r="C231" s="19">
        <v>17.206240000000005</v>
      </c>
      <c r="D231" s="19">
        <v>0</v>
      </c>
      <c r="E231" s="19">
        <v>17.635428611181197</v>
      </c>
      <c r="F231" s="19">
        <v>17.206240000000005</v>
      </c>
      <c r="G231" s="19">
        <v>17.635428611181197</v>
      </c>
    </row>
    <row r="232" spans="1:7" ht="11.25" customHeight="1" x14ac:dyDescent="0.2">
      <c r="A232" s="29">
        <v>44562</v>
      </c>
      <c r="B232" s="19">
        <v>0</v>
      </c>
      <c r="C232" s="19">
        <v>34.412480000000009</v>
      </c>
      <c r="D232" s="19">
        <v>0</v>
      </c>
      <c r="E232" s="19">
        <v>35.270857222362395</v>
      </c>
      <c r="F232" s="19">
        <v>34.412480000000009</v>
      </c>
      <c r="G232" s="19">
        <v>35.270857222362395</v>
      </c>
    </row>
    <row r="233" spans="1:7" ht="11.25" customHeight="1" x14ac:dyDescent="0.2">
      <c r="A233" s="29">
        <v>44593</v>
      </c>
      <c r="B233" s="19">
        <v>0</v>
      </c>
      <c r="C233" s="19">
        <v>25.809360000000005</v>
      </c>
      <c r="D233" s="19">
        <v>0</v>
      </c>
      <c r="E233" s="19">
        <v>26.453142916771796</v>
      </c>
      <c r="F233" s="19">
        <v>25.809360000000005</v>
      </c>
      <c r="G233" s="19">
        <v>26.453142916771796</v>
      </c>
    </row>
    <row r="234" spans="1:7" ht="11.25" customHeight="1" x14ac:dyDescent="0.2">
      <c r="A234" s="29">
        <v>44621</v>
      </c>
      <c r="B234" s="19">
        <v>0</v>
      </c>
      <c r="C234" s="19">
        <v>25.809360000000005</v>
      </c>
      <c r="D234" s="19">
        <v>0</v>
      </c>
      <c r="E234" s="19">
        <v>26.453142916771796</v>
      </c>
      <c r="F234" s="19">
        <v>25.809360000000005</v>
      </c>
      <c r="G234" s="19">
        <v>26.453142916771796</v>
      </c>
    </row>
    <row r="235" spans="1:7" ht="11.25" customHeight="1" x14ac:dyDescent="0.2">
      <c r="A235" s="21" t="s">
        <v>563</v>
      </c>
      <c r="B235" s="19">
        <v>483801.74432399997</v>
      </c>
      <c r="C235" s="19">
        <v>4222019.5377298212</v>
      </c>
      <c r="D235" s="19">
        <v>491105.851297374</v>
      </c>
      <c r="E235" s="19">
        <v>2545491.4556090524</v>
      </c>
      <c r="F235" s="19">
        <v>4705821.2820538199</v>
      </c>
      <c r="G235" s="19">
        <v>3036597.3069064273</v>
      </c>
    </row>
    <row r="236" spans="1:7" ht="11.25" customHeight="1" x14ac:dyDescent="0.2">
      <c r="A236" s="22" t="s">
        <v>33</v>
      </c>
      <c r="B236" s="19">
        <v>483801.74432399997</v>
      </c>
      <c r="C236" s="19">
        <v>543010.86032982031</v>
      </c>
      <c r="D236" s="19">
        <v>491105.851297374</v>
      </c>
      <c r="E236" s="19">
        <v>587624.4001243274</v>
      </c>
      <c r="F236" s="19">
        <v>1026812.6046538202</v>
      </c>
      <c r="G236" s="19">
        <v>1078730.2514217014</v>
      </c>
    </row>
    <row r="237" spans="1:7" ht="11.25" customHeight="1" x14ac:dyDescent="0.2">
      <c r="A237" s="23" t="s">
        <v>34</v>
      </c>
      <c r="B237" s="19">
        <v>483801.74432399997</v>
      </c>
      <c r="C237" s="19">
        <v>543010.86032982031</v>
      </c>
      <c r="D237" s="19">
        <v>491105.851297374</v>
      </c>
      <c r="E237" s="19">
        <v>587624.4001243274</v>
      </c>
      <c r="F237" s="19">
        <v>1026812.6046538202</v>
      </c>
      <c r="G237" s="19">
        <v>1078730.2514217014</v>
      </c>
    </row>
    <row r="238" spans="1:7" ht="11.25" customHeight="1" x14ac:dyDescent="0.2">
      <c r="A238" s="24" t="s">
        <v>41</v>
      </c>
      <c r="B238" s="19">
        <v>483801.74432399997</v>
      </c>
      <c r="C238" s="19">
        <v>543010.86032982031</v>
      </c>
      <c r="D238" s="19">
        <v>491105.851297374</v>
      </c>
      <c r="E238" s="19">
        <v>587624.4001243274</v>
      </c>
      <c r="F238" s="19">
        <v>1026812.6046538202</v>
      </c>
      <c r="G238" s="19">
        <v>1078730.2514217014</v>
      </c>
    </row>
    <row r="239" spans="1:7" ht="11.25" customHeight="1" x14ac:dyDescent="0.2">
      <c r="A239" s="25" t="s">
        <v>50</v>
      </c>
      <c r="B239" s="19">
        <v>468577.47220399999</v>
      </c>
      <c r="C239" s="19">
        <v>495850.49482122029</v>
      </c>
      <c r="D239" s="19">
        <v>475651.73355680559</v>
      </c>
      <c r="E239" s="19">
        <v>537346.47622989339</v>
      </c>
      <c r="F239" s="19">
        <v>964427.96702522016</v>
      </c>
      <c r="G239" s="19">
        <v>1012998.209786699</v>
      </c>
    </row>
    <row r="240" spans="1:7" ht="11.25" customHeight="1" x14ac:dyDescent="0.2">
      <c r="A240" s="26" t="s">
        <v>25</v>
      </c>
      <c r="B240" s="19">
        <v>468577.47220399999</v>
      </c>
      <c r="C240" s="19">
        <v>495850.49482122029</v>
      </c>
      <c r="D240" s="19">
        <v>475651.73355680559</v>
      </c>
      <c r="E240" s="19">
        <v>537346.47622989339</v>
      </c>
      <c r="F240" s="19">
        <v>964427.96702522016</v>
      </c>
      <c r="G240" s="19">
        <v>1012998.209786699</v>
      </c>
    </row>
    <row r="241" spans="1:7" ht="11.25" customHeight="1" x14ac:dyDescent="0.2">
      <c r="A241" s="27" t="s">
        <v>25</v>
      </c>
      <c r="B241" s="19">
        <v>468577.47220399999</v>
      </c>
      <c r="C241" s="19">
        <v>495850.49482122029</v>
      </c>
      <c r="D241" s="19">
        <v>475651.73355680559</v>
      </c>
      <c r="E241" s="19">
        <v>537346.47622989339</v>
      </c>
      <c r="F241" s="19">
        <v>964427.96702522016</v>
      </c>
      <c r="G241" s="19">
        <v>1012998.209786699</v>
      </c>
    </row>
    <row r="242" spans="1:7" ht="11.25" customHeight="1" x14ac:dyDescent="0.2">
      <c r="A242" s="28" t="s">
        <v>36</v>
      </c>
      <c r="B242" s="19">
        <v>0</v>
      </c>
      <c r="C242" s="19">
        <v>431096.90614104021</v>
      </c>
      <c r="D242" s="19">
        <v>0</v>
      </c>
      <c r="E242" s="19">
        <v>471031.22908808361</v>
      </c>
      <c r="F242" s="19">
        <v>431096.90614104015</v>
      </c>
      <c r="G242" s="19">
        <v>471031.22908808361</v>
      </c>
    </row>
    <row r="243" spans="1:7" ht="11.25" customHeight="1" x14ac:dyDescent="0.2">
      <c r="A243" s="29">
        <v>44287</v>
      </c>
      <c r="B243" s="19">
        <v>0</v>
      </c>
      <c r="C243" s="19">
        <v>46276.861002000071</v>
      </c>
      <c r="D243" s="19">
        <v>0</v>
      </c>
      <c r="E243" s="19">
        <v>50563.681635374553</v>
      </c>
      <c r="F243" s="19">
        <v>46276.861002000071</v>
      </c>
      <c r="G243" s="19">
        <v>50563.681635374553</v>
      </c>
    </row>
    <row r="244" spans="1:7" ht="11.25" customHeight="1" x14ac:dyDescent="0.2">
      <c r="A244" s="29">
        <v>44317</v>
      </c>
      <c r="B244" s="19">
        <v>0</v>
      </c>
      <c r="C244" s="19">
        <v>42449.068325040033</v>
      </c>
      <c r="D244" s="19">
        <v>0</v>
      </c>
      <c r="E244" s="19">
        <v>46381.304393416402</v>
      </c>
      <c r="F244" s="19">
        <v>42449.068325040033</v>
      </c>
      <c r="G244" s="19">
        <v>46381.304393416402</v>
      </c>
    </row>
    <row r="245" spans="1:7" ht="11.25" customHeight="1" x14ac:dyDescent="0.2">
      <c r="A245" s="29">
        <v>44348</v>
      </c>
      <c r="B245" s="19">
        <v>0</v>
      </c>
      <c r="C245" s="19">
        <v>10427.881115999984</v>
      </c>
      <c r="D245" s="19">
        <v>0</v>
      </c>
      <c r="E245" s="19">
        <v>11393.859684177129</v>
      </c>
      <c r="F245" s="19">
        <v>10427.881115999984</v>
      </c>
      <c r="G245" s="19">
        <v>11393.859684177129</v>
      </c>
    </row>
    <row r="246" spans="1:7" ht="11.25" customHeight="1" x14ac:dyDescent="0.2">
      <c r="A246" s="29">
        <v>44378</v>
      </c>
      <c r="B246" s="19">
        <v>0</v>
      </c>
      <c r="C246" s="19">
        <v>21591.067763999989</v>
      </c>
      <c r="D246" s="19">
        <v>0</v>
      </c>
      <c r="E246" s="19">
        <v>23591.139350171343</v>
      </c>
      <c r="F246" s="19">
        <v>21591.067763999989</v>
      </c>
      <c r="G246" s="19">
        <v>23591.139350171343</v>
      </c>
    </row>
    <row r="247" spans="1:7" ht="11.25" customHeight="1" x14ac:dyDescent="0.2">
      <c r="A247" s="29">
        <v>44409</v>
      </c>
      <c r="B247" s="19">
        <v>0</v>
      </c>
      <c r="C247" s="19">
        <v>35500.374462000087</v>
      </c>
      <c r="D247" s="19">
        <v>0</v>
      </c>
      <c r="E247" s="19">
        <v>38788.92373783893</v>
      </c>
      <c r="F247" s="19">
        <v>35500.374462000087</v>
      </c>
      <c r="G247" s="19">
        <v>38788.92373783893</v>
      </c>
    </row>
    <row r="248" spans="1:7" ht="11.25" customHeight="1" x14ac:dyDescent="0.2">
      <c r="A248" s="29">
        <v>44440</v>
      </c>
      <c r="B248" s="19">
        <v>0</v>
      </c>
      <c r="C248" s="19">
        <v>37221.288197999995</v>
      </c>
      <c r="D248" s="19">
        <v>0</v>
      </c>
      <c r="E248" s="19">
        <v>40669.252964691237</v>
      </c>
      <c r="F248" s="19">
        <v>37221.288197999995</v>
      </c>
      <c r="G248" s="19">
        <v>40669.252964691237</v>
      </c>
    </row>
    <row r="249" spans="1:7" ht="11.25" customHeight="1" x14ac:dyDescent="0.2">
      <c r="A249" s="29">
        <v>44470</v>
      </c>
      <c r="B249" s="19">
        <v>0</v>
      </c>
      <c r="C249" s="19">
        <v>31028.640990000022</v>
      </c>
      <c r="D249" s="19">
        <v>0</v>
      </c>
      <c r="E249" s="19">
        <v>33902.954751595746</v>
      </c>
      <c r="F249" s="19">
        <v>31028.640990000022</v>
      </c>
      <c r="G249" s="19">
        <v>33902.954751595746</v>
      </c>
    </row>
    <row r="250" spans="1:7" ht="11.25" customHeight="1" x14ac:dyDescent="0.2">
      <c r="A250" s="29">
        <v>44501</v>
      </c>
      <c r="B250" s="19">
        <v>0</v>
      </c>
      <c r="C250" s="19">
        <v>52948.355310000079</v>
      </c>
      <c r="D250" s="19">
        <v>0</v>
      </c>
      <c r="E250" s="19">
        <v>57853.184573081278</v>
      </c>
      <c r="F250" s="19">
        <v>52948.355310000079</v>
      </c>
      <c r="G250" s="19">
        <v>57853.184573081278</v>
      </c>
    </row>
    <row r="251" spans="1:7" ht="11.25" customHeight="1" x14ac:dyDescent="0.2">
      <c r="A251" s="29">
        <v>44531</v>
      </c>
      <c r="B251" s="19">
        <v>0</v>
      </c>
      <c r="C251" s="19">
        <v>43492.575239999911</v>
      </c>
      <c r="D251" s="19">
        <v>0</v>
      </c>
      <c r="E251" s="19">
        <v>47521.475750978076</v>
      </c>
      <c r="F251" s="19">
        <v>43492.575239999911</v>
      </c>
      <c r="G251" s="19">
        <v>47521.475750978076</v>
      </c>
    </row>
    <row r="252" spans="1:7" ht="11.25" customHeight="1" x14ac:dyDescent="0.2">
      <c r="A252" s="29">
        <v>44562</v>
      </c>
      <c r="B252" s="19">
        <v>0</v>
      </c>
      <c r="C252" s="19">
        <v>26813.105514000017</v>
      </c>
      <c r="D252" s="19">
        <v>0</v>
      </c>
      <c r="E252" s="19">
        <v>29296.916461274392</v>
      </c>
      <c r="F252" s="19">
        <v>26813.105514000017</v>
      </c>
      <c r="G252" s="19">
        <v>29296.916461274392</v>
      </c>
    </row>
    <row r="253" spans="1:7" ht="11.25" customHeight="1" x14ac:dyDescent="0.2">
      <c r="A253" s="29">
        <v>44593</v>
      </c>
      <c r="B253" s="19">
        <v>0</v>
      </c>
      <c r="C253" s="19">
        <v>41673.844109999991</v>
      </c>
      <c r="D253" s="19">
        <v>0</v>
      </c>
      <c r="E253" s="19">
        <v>45534.267892742268</v>
      </c>
      <c r="F253" s="19">
        <v>41673.844109999991</v>
      </c>
      <c r="G253" s="19">
        <v>45534.267892742268</v>
      </c>
    </row>
    <row r="254" spans="1:7" ht="11.25" customHeight="1" x14ac:dyDescent="0.2">
      <c r="A254" s="29">
        <v>44621</v>
      </c>
      <c r="B254" s="19">
        <v>0</v>
      </c>
      <c r="C254" s="19">
        <v>41673.844109999991</v>
      </c>
      <c r="D254" s="19">
        <v>0</v>
      </c>
      <c r="E254" s="19">
        <v>45534.267892742268</v>
      </c>
      <c r="F254" s="19">
        <v>41673.844109999991</v>
      </c>
      <c r="G254" s="19">
        <v>45534.267892742268</v>
      </c>
    </row>
    <row r="255" spans="1:7" ht="11.25" customHeight="1" x14ac:dyDescent="0.2">
      <c r="A255" s="28" t="s">
        <v>25</v>
      </c>
      <c r="B255" s="19">
        <v>468577.47220399999</v>
      </c>
      <c r="C255" s="19">
        <v>0</v>
      </c>
      <c r="D255" s="19">
        <v>475651.73355680559</v>
      </c>
      <c r="E255" s="19">
        <v>0</v>
      </c>
      <c r="F255" s="19">
        <v>468577.47220399999</v>
      </c>
      <c r="G255" s="19">
        <v>475651.73355680564</v>
      </c>
    </row>
    <row r="256" spans="1:7" ht="11.25" customHeight="1" x14ac:dyDescent="0.2">
      <c r="A256" s="29">
        <v>44287</v>
      </c>
      <c r="B256" s="19">
        <v>37055.220800000112</v>
      </c>
      <c r="C256" s="19">
        <v>0</v>
      </c>
      <c r="D256" s="19">
        <v>37614.655113374429</v>
      </c>
      <c r="E256" s="19">
        <v>0</v>
      </c>
      <c r="F256" s="19">
        <v>37055.220800000112</v>
      </c>
      <c r="G256" s="19">
        <v>37614.655113374429</v>
      </c>
    </row>
    <row r="257" spans="1:7" ht="11.25" customHeight="1" x14ac:dyDescent="0.2">
      <c r="A257" s="29">
        <v>44317</v>
      </c>
      <c r="B257" s="19">
        <v>41047.197003999987</v>
      </c>
      <c r="C257" s="19">
        <v>0</v>
      </c>
      <c r="D257" s="19">
        <v>41666.899436642707</v>
      </c>
      <c r="E257" s="19">
        <v>0</v>
      </c>
      <c r="F257" s="19">
        <v>41047.197003999987</v>
      </c>
      <c r="G257" s="19">
        <v>41666.899436642707</v>
      </c>
    </row>
    <row r="258" spans="1:7" ht="11.25" customHeight="1" x14ac:dyDescent="0.2">
      <c r="A258" s="29">
        <v>44348</v>
      </c>
      <c r="B258" s="19">
        <v>25076.791999999994</v>
      </c>
      <c r="C258" s="19">
        <v>0</v>
      </c>
      <c r="D258" s="19">
        <v>25455.384209445161</v>
      </c>
      <c r="E258" s="19">
        <v>0</v>
      </c>
      <c r="F258" s="19">
        <v>25076.791999999994</v>
      </c>
      <c r="G258" s="19">
        <v>25455.384209445161</v>
      </c>
    </row>
    <row r="259" spans="1:7" ht="11.25" customHeight="1" x14ac:dyDescent="0.2">
      <c r="A259" s="29">
        <v>44378</v>
      </c>
      <c r="B259" s="19">
        <v>33462.254000000059</v>
      </c>
      <c r="C259" s="19">
        <v>0</v>
      </c>
      <c r="D259" s="19">
        <v>33967.444164470668</v>
      </c>
      <c r="E259" s="19">
        <v>0</v>
      </c>
      <c r="F259" s="19">
        <v>33462.254000000059</v>
      </c>
      <c r="G259" s="19">
        <v>33967.444164470668</v>
      </c>
    </row>
    <row r="260" spans="1:7" ht="11.25" customHeight="1" x14ac:dyDescent="0.2">
      <c r="A260" s="29">
        <v>44409</v>
      </c>
      <c r="B260" s="19">
        <v>38154.554400000001</v>
      </c>
      <c r="C260" s="19">
        <v>0</v>
      </c>
      <c r="D260" s="19">
        <v>38730.585698209587</v>
      </c>
      <c r="E260" s="19">
        <v>0</v>
      </c>
      <c r="F260" s="19">
        <v>38154.554400000001</v>
      </c>
      <c r="G260" s="19">
        <v>38730.585698209587</v>
      </c>
    </row>
    <row r="261" spans="1:7" ht="11.25" customHeight="1" x14ac:dyDescent="0.2">
      <c r="A261" s="29">
        <v>44440</v>
      </c>
      <c r="B261" s="19">
        <v>39726.770000000062</v>
      </c>
      <c r="C261" s="19">
        <v>0</v>
      </c>
      <c r="D261" s="19">
        <v>40326.53753120661</v>
      </c>
      <c r="E261" s="19">
        <v>0</v>
      </c>
      <c r="F261" s="19">
        <v>39726.770000000062</v>
      </c>
      <c r="G261" s="19">
        <v>40326.53753120661</v>
      </c>
    </row>
    <row r="262" spans="1:7" ht="11.25" customHeight="1" x14ac:dyDescent="0.2">
      <c r="A262" s="29">
        <v>44470</v>
      </c>
      <c r="B262" s="19">
        <v>44404.087999999982</v>
      </c>
      <c r="C262" s="19">
        <v>0</v>
      </c>
      <c r="D262" s="19">
        <v>45074.470470944332</v>
      </c>
      <c r="E262" s="19">
        <v>0</v>
      </c>
      <c r="F262" s="19">
        <v>44404.087999999982</v>
      </c>
      <c r="G262" s="19">
        <v>45074.470470944332</v>
      </c>
    </row>
    <row r="263" spans="1:7" ht="11.25" customHeight="1" x14ac:dyDescent="0.2">
      <c r="A263" s="29">
        <v>44501</v>
      </c>
      <c r="B263" s="19">
        <v>43972.407599999926</v>
      </c>
      <c r="C263" s="19">
        <v>0</v>
      </c>
      <c r="D263" s="19">
        <v>44636.272856285796</v>
      </c>
      <c r="E263" s="19">
        <v>0</v>
      </c>
      <c r="F263" s="19">
        <v>43972.407599999926</v>
      </c>
      <c r="G263" s="19">
        <v>44636.272856285796</v>
      </c>
    </row>
    <row r="264" spans="1:7" ht="11.25" customHeight="1" x14ac:dyDescent="0.2">
      <c r="A264" s="29">
        <v>44531</v>
      </c>
      <c r="B264" s="19">
        <v>42747.596399999973</v>
      </c>
      <c r="C264" s="19">
        <v>0</v>
      </c>
      <c r="D264" s="19">
        <v>43392.970296690837</v>
      </c>
      <c r="E264" s="19">
        <v>0</v>
      </c>
      <c r="F264" s="19">
        <v>42747.596399999973</v>
      </c>
      <c r="G264" s="19">
        <v>43392.970296690837</v>
      </c>
    </row>
    <row r="265" spans="1:7" ht="11.25" customHeight="1" x14ac:dyDescent="0.2">
      <c r="A265" s="29">
        <v>44562</v>
      </c>
      <c r="B265" s="19">
        <v>40600.431199999926</v>
      </c>
      <c r="C265" s="19">
        <v>0</v>
      </c>
      <c r="D265" s="19">
        <v>41213.388668899235</v>
      </c>
      <c r="E265" s="19">
        <v>0</v>
      </c>
      <c r="F265" s="19">
        <v>40600.431199999926</v>
      </c>
      <c r="G265" s="19">
        <v>41213.388668899235</v>
      </c>
    </row>
    <row r="266" spans="1:7" ht="11.25" customHeight="1" x14ac:dyDescent="0.2">
      <c r="A266" s="29">
        <v>44593</v>
      </c>
      <c r="B266" s="19">
        <v>41165.080399999992</v>
      </c>
      <c r="C266" s="19">
        <v>0</v>
      </c>
      <c r="D266" s="19">
        <v>41786.562555318102</v>
      </c>
      <c r="E266" s="19">
        <v>0</v>
      </c>
      <c r="F266" s="19">
        <v>41165.080399999992</v>
      </c>
      <c r="G266" s="19">
        <v>41786.562555318102</v>
      </c>
    </row>
    <row r="267" spans="1:7" ht="11.25" customHeight="1" x14ac:dyDescent="0.2">
      <c r="A267" s="29">
        <v>44621</v>
      </c>
      <c r="B267" s="19">
        <v>41165.080399999992</v>
      </c>
      <c r="C267" s="19">
        <v>0</v>
      </c>
      <c r="D267" s="19">
        <v>41786.562555318102</v>
      </c>
      <c r="E267" s="19">
        <v>0</v>
      </c>
      <c r="F267" s="19">
        <v>41165.080399999992</v>
      </c>
      <c r="G267" s="19">
        <v>41786.562555318102</v>
      </c>
    </row>
    <row r="268" spans="1:7" ht="11.25" customHeight="1" x14ac:dyDescent="0.2">
      <c r="A268" s="28" t="s">
        <v>35</v>
      </c>
      <c r="B268" s="19">
        <v>0</v>
      </c>
      <c r="C268" s="19">
        <v>64753.588680180008</v>
      </c>
      <c r="D268" s="19">
        <v>0</v>
      </c>
      <c r="E268" s="19">
        <v>66315.247141809799</v>
      </c>
      <c r="F268" s="19">
        <v>64753.588680180001</v>
      </c>
      <c r="G268" s="19">
        <v>66315.247141809799</v>
      </c>
    </row>
    <row r="269" spans="1:7" ht="11.25" customHeight="1" x14ac:dyDescent="0.2">
      <c r="A269" s="29">
        <v>44287</v>
      </c>
      <c r="B269" s="19">
        <v>0</v>
      </c>
      <c r="C269" s="19">
        <v>5048.1245880000088</v>
      </c>
      <c r="D269" s="19">
        <v>0</v>
      </c>
      <c r="E269" s="19">
        <v>5169.8699095936609</v>
      </c>
      <c r="F269" s="19">
        <v>5048.1245880000088</v>
      </c>
      <c r="G269" s="19">
        <v>5169.8699095936609</v>
      </c>
    </row>
    <row r="270" spans="1:7" ht="11.25" customHeight="1" x14ac:dyDescent="0.2">
      <c r="A270" s="29">
        <v>44317</v>
      </c>
      <c r="B270" s="19">
        <v>0</v>
      </c>
      <c r="C270" s="19">
        <v>4467.4062001800057</v>
      </c>
      <c r="D270" s="19">
        <v>0</v>
      </c>
      <c r="E270" s="19">
        <v>4575.1463708214505</v>
      </c>
      <c r="F270" s="19">
        <v>4467.4062001800057</v>
      </c>
      <c r="G270" s="19">
        <v>4575.1463708214505</v>
      </c>
    </row>
    <row r="271" spans="1:7" ht="11.25" customHeight="1" x14ac:dyDescent="0.2">
      <c r="A271" s="29">
        <v>44348</v>
      </c>
      <c r="B271" s="19">
        <v>0</v>
      </c>
      <c r="C271" s="19">
        <v>1902.6850080000004</v>
      </c>
      <c r="D271" s="19">
        <v>0</v>
      </c>
      <c r="E271" s="19">
        <v>1948.5719496062006</v>
      </c>
      <c r="F271" s="19">
        <v>1902.6850080000004</v>
      </c>
      <c r="G271" s="19">
        <v>1948.5719496062006</v>
      </c>
    </row>
    <row r="272" spans="1:7" ht="11.25" customHeight="1" x14ac:dyDescent="0.2">
      <c r="A272" s="29">
        <v>44378</v>
      </c>
      <c r="B272" s="19">
        <v>0</v>
      </c>
      <c r="C272" s="19">
        <v>5234.1746280000043</v>
      </c>
      <c r="D272" s="19">
        <v>0</v>
      </c>
      <c r="E272" s="19">
        <v>5360.4069073851024</v>
      </c>
      <c r="F272" s="19">
        <v>5234.1746280000043</v>
      </c>
      <c r="G272" s="19">
        <v>5360.4069073851024</v>
      </c>
    </row>
    <row r="273" spans="1:7" ht="11.25" customHeight="1" x14ac:dyDescent="0.2">
      <c r="A273" s="29">
        <v>44409</v>
      </c>
      <c r="B273" s="19">
        <v>0</v>
      </c>
      <c r="C273" s="19">
        <v>4882.4704079999883</v>
      </c>
      <c r="D273" s="19">
        <v>0</v>
      </c>
      <c r="E273" s="19">
        <v>5000.2206575493856</v>
      </c>
      <c r="F273" s="19">
        <v>4882.4704079999883</v>
      </c>
      <c r="G273" s="19">
        <v>5000.2206575493856</v>
      </c>
    </row>
    <row r="274" spans="1:7" ht="11.25" customHeight="1" x14ac:dyDescent="0.2">
      <c r="A274" s="29">
        <v>44440</v>
      </c>
      <c r="B274" s="19">
        <v>0</v>
      </c>
      <c r="C274" s="19">
        <v>5548.7683320000015</v>
      </c>
      <c r="D274" s="19">
        <v>0</v>
      </c>
      <c r="E274" s="19">
        <v>5682.5876491051786</v>
      </c>
      <c r="F274" s="19">
        <v>5548.7683320000015</v>
      </c>
      <c r="G274" s="19">
        <v>5682.5876491051786</v>
      </c>
    </row>
    <row r="275" spans="1:7" ht="11.25" customHeight="1" x14ac:dyDescent="0.2">
      <c r="A275" s="29">
        <v>44470</v>
      </c>
      <c r="B275" s="19">
        <v>0</v>
      </c>
      <c r="C275" s="19">
        <v>4393.6662120000074</v>
      </c>
      <c r="D275" s="19">
        <v>0</v>
      </c>
      <c r="E275" s="19">
        <v>4499.627999715517</v>
      </c>
      <c r="F275" s="19">
        <v>4393.6662120000074</v>
      </c>
      <c r="G275" s="19">
        <v>4499.627999715517</v>
      </c>
    </row>
    <row r="276" spans="1:7" ht="11.25" customHeight="1" x14ac:dyDescent="0.2">
      <c r="A276" s="29">
        <v>44501</v>
      </c>
      <c r="B276" s="19">
        <v>0</v>
      </c>
      <c r="C276" s="19">
        <v>7419.9143759999988</v>
      </c>
      <c r="D276" s="19">
        <v>0</v>
      </c>
      <c r="E276" s="19">
        <v>7598.8600113852317</v>
      </c>
      <c r="F276" s="19">
        <v>7419.9143759999988</v>
      </c>
      <c r="G276" s="19">
        <v>7598.8600113852317</v>
      </c>
    </row>
    <row r="277" spans="1:7" ht="11.25" customHeight="1" x14ac:dyDescent="0.2">
      <c r="A277" s="29">
        <v>44531</v>
      </c>
      <c r="B277" s="19">
        <v>0</v>
      </c>
      <c r="C277" s="19">
        <v>7265.303807999986</v>
      </c>
      <c r="D277" s="19">
        <v>0</v>
      </c>
      <c r="E277" s="19">
        <v>7440.5207094772486</v>
      </c>
      <c r="F277" s="19">
        <v>7265.303807999986</v>
      </c>
      <c r="G277" s="19">
        <v>7440.5207094772486</v>
      </c>
    </row>
    <row r="278" spans="1:7" ht="11.25" customHeight="1" x14ac:dyDescent="0.2">
      <c r="A278" s="29">
        <v>44562</v>
      </c>
      <c r="B278" s="19">
        <v>0</v>
      </c>
      <c r="C278" s="19">
        <v>4271.9874960000006</v>
      </c>
      <c r="D278" s="19">
        <v>0</v>
      </c>
      <c r="E278" s="19">
        <v>4375.0147653310532</v>
      </c>
      <c r="F278" s="19">
        <v>4271.9874960000006</v>
      </c>
      <c r="G278" s="19">
        <v>4375.0147653310532</v>
      </c>
    </row>
    <row r="279" spans="1:7" ht="11.25" customHeight="1" x14ac:dyDescent="0.2">
      <c r="A279" s="29">
        <v>44593</v>
      </c>
      <c r="B279" s="19">
        <v>0</v>
      </c>
      <c r="C279" s="19">
        <v>7159.5438120000035</v>
      </c>
      <c r="D279" s="19">
        <v>0</v>
      </c>
      <c r="E279" s="19">
        <v>7332.210105919884</v>
      </c>
      <c r="F279" s="19">
        <v>7159.5438120000035</v>
      </c>
      <c r="G279" s="19">
        <v>7332.210105919884</v>
      </c>
    </row>
    <row r="280" spans="1:7" ht="11.25" customHeight="1" x14ac:dyDescent="0.2">
      <c r="A280" s="29">
        <v>44621</v>
      </c>
      <c r="B280" s="19">
        <v>0</v>
      </c>
      <c r="C280" s="19">
        <v>7159.5438120000035</v>
      </c>
      <c r="D280" s="19">
        <v>0</v>
      </c>
      <c r="E280" s="19">
        <v>7332.210105919884</v>
      </c>
      <c r="F280" s="19">
        <v>7159.5438120000035</v>
      </c>
      <c r="G280" s="19">
        <v>7332.210105919884</v>
      </c>
    </row>
    <row r="281" spans="1:7" ht="11.25" customHeight="1" x14ac:dyDescent="0.2">
      <c r="A281" s="25" t="s">
        <v>25</v>
      </c>
      <c r="B281" s="19">
        <v>15224.272119999992</v>
      </c>
      <c r="C281" s="19">
        <v>47160.3655086</v>
      </c>
      <c r="D281" s="19">
        <v>15454.117740568421</v>
      </c>
      <c r="E281" s="19">
        <v>50277.923894434207</v>
      </c>
      <c r="F281" s="19">
        <v>62384.637628599994</v>
      </c>
      <c r="G281" s="19">
        <v>65732.041635002621</v>
      </c>
    </row>
    <row r="282" spans="1:7" ht="11.25" customHeight="1" x14ac:dyDescent="0.2">
      <c r="A282" s="26" t="s">
        <v>25</v>
      </c>
      <c r="B282" s="19">
        <v>15224.272119999992</v>
      </c>
      <c r="C282" s="19">
        <v>47160.3655086</v>
      </c>
      <c r="D282" s="19">
        <v>15454.117740568421</v>
      </c>
      <c r="E282" s="19">
        <v>50277.923894434207</v>
      </c>
      <c r="F282" s="19">
        <v>62384.637628599994</v>
      </c>
      <c r="G282" s="19">
        <v>65732.041635002621</v>
      </c>
    </row>
    <row r="283" spans="1:7" ht="11.25" customHeight="1" x14ac:dyDescent="0.2">
      <c r="A283" s="27" t="s">
        <v>25</v>
      </c>
      <c r="B283" s="19">
        <v>15224.272119999992</v>
      </c>
      <c r="C283" s="19">
        <v>47160.3655086</v>
      </c>
      <c r="D283" s="19">
        <v>15454.117740568421</v>
      </c>
      <c r="E283" s="19">
        <v>50277.923894434207</v>
      </c>
      <c r="F283" s="19">
        <v>62384.637628599994</v>
      </c>
      <c r="G283" s="19">
        <v>65732.041635002621</v>
      </c>
    </row>
    <row r="284" spans="1:7" ht="11.25" customHeight="1" x14ac:dyDescent="0.2">
      <c r="A284" s="28" t="s">
        <v>36</v>
      </c>
      <c r="B284" s="19">
        <v>0</v>
      </c>
      <c r="C284" s="19">
        <v>28900.6634184</v>
      </c>
      <c r="D284" s="19">
        <v>0</v>
      </c>
      <c r="E284" s="19">
        <v>31577.85365078965</v>
      </c>
      <c r="F284" s="19">
        <v>28900.6634184</v>
      </c>
      <c r="G284" s="19">
        <v>31577.85365078965</v>
      </c>
    </row>
    <row r="285" spans="1:7" ht="11.25" customHeight="1" x14ac:dyDescent="0.2">
      <c r="A285" s="29">
        <v>44287</v>
      </c>
      <c r="B285" s="19">
        <v>0</v>
      </c>
      <c r="C285" s="19">
        <v>2226.8225040000052</v>
      </c>
      <c r="D285" s="19">
        <v>0</v>
      </c>
      <c r="E285" s="19">
        <v>2433.1024558013441</v>
      </c>
      <c r="F285" s="19">
        <v>2226.8225040000052</v>
      </c>
      <c r="G285" s="19">
        <v>2433.1024558013441</v>
      </c>
    </row>
    <row r="286" spans="1:7" ht="11.25" customHeight="1" x14ac:dyDescent="0.2">
      <c r="A286" s="29">
        <v>44317</v>
      </c>
      <c r="B286" s="19">
        <v>0</v>
      </c>
      <c r="C286" s="19">
        <v>1824.4110023999997</v>
      </c>
      <c r="D286" s="19">
        <v>0</v>
      </c>
      <c r="E286" s="19">
        <v>1993.4138811498292</v>
      </c>
      <c r="F286" s="19">
        <v>1824.4110023999997</v>
      </c>
      <c r="G286" s="19">
        <v>1993.4138811498292</v>
      </c>
    </row>
    <row r="287" spans="1:7" ht="11.25" customHeight="1" x14ac:dyDescent="0.2">
      <c r="A287" s="29">
        <v>44348</v>
      </c>
      <c r="B287" s="19">
        <v>0</v>
      </c>
      <c r="C287" s="19">
        <v>1579.4733120000014</v>
      </c>
      <c r="D287" s="19">
        <v>0</v>
      </c>
      <c r="E287" s="19">
        <v>1725.7865803838122</v>
      </c>
      <c r="F287" s="19">
        <v>1579.4733120000014</v>
      </c>
      <c r="G287" s="19">
        <v>1725.7865803838122</v>
      </c>
    </row>
    <row r="288" spans="1:7" ht="11.25" customHeight="1" x14ac:dyDescent="0.2">
      <c r="A288" s="29">
        <v>44378</v>
      </c>
      <c r="B288" s="19">
        <v>0</v>
      </c>
      <c r="C288" s="19">
        <v>1924.6457159999968</v>
      </c>
      <c r="D288" s="19">
        <v>0</v>
      </c>
      <c r="E288" s="19">
        <v>2102.9337586338306</v>
      </c>
      <c r="F288" s="19">
        <v>1924.6457159999968</v>
      </c>
      <c r="G288" s="19">
        <v>2102.9337586338306</v>
      </c>
    </row>
    <row r="289" spans="1:7" ht="11.25" customHeight="1" x14ac:dyDescent="0.2">
      <c r="A289" s="29">
        <v>44409</v>
      </c>
      <c r="B289" s="19">
        <v>0</v>
      </c>
      <c r="C289" s="19">
        <v>2242.2355800000018</v>
      </c>
      <c r="D289" s="19">
        <v>0</v>
      </c>
      <c r="E289" s="19">
        <v>2449.9433099779485</v>
      </c>
      <c r="F289" s="19">
        <v>2242.2355800000018</v>
      </c>
      <c r="G289" s="19">
        <v>2449.9433099779485</v>
      </c>
    </row>
    <row r="290" spans="1:7" ht="11.25" customHeight="1" x14ac:dyDescent="0.2">
      <c r="A290" s="29">
        <v>44440</v>
      </c>
      <c r="B290" s="19">
        <v>0</v>
      </c>
      <c r="C290" s="19">
        <v>2453.875344000006</v>
      </c>
      <c r="D290" s="19">
        <v>0</v>
      </c>
      <c r="E290" s="19">
        <v>2681.1881571126646</v>
      </c>
      <c r="F290" s="19">
        <v>2453.875344000006</v>
      </c>
      <c r="G290" s="19">
        <v>2681.1881571126646</v>
      </c>
    </row>
    <row r="291" spans="1:7" ht="11.25" customHeight="1" x14ac:dyDescent="0.2">
      <c r="A291" s="29">
        <v>44470</v>
      </c>
      <c r="B291" s="19">
        <v>0</v>
      </c>
      <c r="C291" s="19">
        <v>2168.2954320000003</v>
      </c>
      <c r="D291" s="19">
        <v>0</v>
      </c>
      <c r="E291" s="19">
        <v>2369.1537745039891</v>
      </c>
      <c r="F291" s="19">
        <v>2168.2954320000003</v>
      </c>
      <c r="G291" s="19">
        <v>2369.1537745039891</v>
      </c>
    </row>
    <row r="292" spans="1:7" ht="11.25" customHeight="1" x14ac:dyDescent="0.2">
      <c r="A292" s="29">
        <v>44501</v>
      </c>
      <c r="B292" s="19">
        <v>0</v>
      </c>
      <c r="C292" s="19">
        <v>2673.5886240000068</v>
      </c>
      <c r="D292" s="19">
        <v>0</v>
      </c>
      <c r="E292" s="19">
        <v>2921.2544040541716</v>
      </c>
      <c r="F292" s="19">
        <v>2673.5886240000068</v>
      </c>
      <c r="G292" s="19">
        <v>2921.2544040541716</v>
      </c>
    </row>
    <row r="293" spans="1:7" ht="11.25" customHeight="1" x14ac:dyDescent="0.2">
      <c r="A293" s="29">
        <v>44531</v>
      </c>
      <c r="B293" s="19">
        <v>0</v>
      </c>
      <c r="C293" s="19">
        <v>2611.0839840000012</v>
      </c>
      <c r="D293" s="19">
        <v>0</v>
      </c>
      <c r="E293" s="19">
        <v>2852.9596958725301</v>
      </c>
      <c r="F293" s="19">
        <v>2611.0839840000012</v>
      </c>
      <c r="G293" s="19">
        <v>2852.9596958725301</v>
      </c>
    </row>
    <row r="294" spans="1:7" ht="11.25" customHeight="1" x14ac:dyDescent="0.2">
      <c r="A294" s="29">
        <v>44562</v>
      </c>
      <c r="B294" s="19">
        <v>0</v>
      </c>
      <c r="C294" s="19">
        <v>2596.2391319999997</v>
      </c>
      <c r="D294" s="19">
        <v>0</v>
      </c>
      <c r="E294" s="19">
        <v>2836.7397026793897</v>
      </c>
      <c r="F294" s="19">
        <v>2596.2391319999997</v>
      </c>
      <c r="G294" s="19">
        <v>2836.7397026793897</v>
      </c>
    </row>
    <row r="295" spans="1:7" ht="11.25" customHeight="1" x14ac:dyDescent="0.2">
      <c r="A295" s="29">
        <v>44593</v>
      </c>
      <c r="B295" s="19">
        <v>0</v>
      </c>
      <c r="C295" s="19">
        <v>3299.9963939999916</v>
      </c>
      <c r="D295" s="19">
        <v>0</v>
      </c>
      <c r="E295" s="19">
        <v>3605.6889653100707</v>
      </c>
      <c r="F295" s="19">
        <v>3299.9963939999916</v>
      </c>
      <c r="G295" s="19">
        <v>3605.6889653100707</v>
      </c>
    </row>
    <row r="296" spans="1:7" ht="11.25" customHeight="1" x14ac:dyDescent="0.2">
      <c r="A296" s="29">
        <v>44621</v>
      </c>
      <c r="B296" s="19">
        <v>0</v>
      </c>
      <c r="C296" s="19">
        <v>3299.9963939999916</v>
      </c>
      <c r="D296" s="19">
        <v>0</v>
      </c>
      <c r="E296" s="19">
        <v>3605.6889653100707</v>
      </c>
      <c r="F296" s="19">
        <v>3299.9963939999916</v>
      </c>
      <c r="G296" s="19">
        <v>3605.6889653100707</v>
      </c>
    </row>
    <row r="297" spans="1:7" ht="11.25" customHeight="1" x14ac:dyDescent="0.2">
      <c r="A297" s="28" t="s">
        <v>25</v>
      </c>
      <c r="B297" s="19">
        <v>15224.272119999992</v>
      </c>
      <c r="C297" s="19">
        <v>0</v>
      </c>
      <c r="D297" s="19">
        <v>15454.117740568421</v>
      </c>
      <c r="E297" s="19">
        <v>0</v>
      </c>
      <c r="F297" s="19">
        <v>15224.272119999992</v>
      </c>
      <c r="G297" s="19">
        <v>15454.117740568421</v>
      </c>
    </row>
    <row r="298" spans="1:7" ht="11.25" customHeight="1" x14ac:dyDescent="0.2">
      <c r="A298" s="29">
        <v>44287</v>
      </c>
      <c r="B298" s="19">
        <v>1340.9247999999993</v>
      </c>
      <c r="C298" s="19">
        <v>0</v>
      </c>
      <c r="D298" s="19">
        <v>1361.1691631040128</v>
      </c>
      <c r="E298" s="19">
        <v>0</v>
      </c>
      <c r="F298" s="19">
        <v>1340.9247999999993</v>
      </c>
      <c r="G298" s="19">
        <v>1361.1691631040128</v>
      </c>
    </row>
    <row r="299" spans="1:7" ht="11.25" customHeight="1" x14ac:dyDescent="0.2">
      <c r="A299" s="29">
        <v>44317</v>
      </c>
      <c r="B299" s="19">
        <v>1048.112520000001</v>
      </c>
      <c r="C299" s="19">
        <v>0</v>
      </c>
      <c r="D299" s="19">
        <v>1063.9362040938017</v>
      </c>
      <c r="E299" s="19">
        <v>0</v>
      </c>
      <c r="F299" s="19">
        <v>1048.112520000001</v>
      </c>
      <c r="G299" s="19">
        <v>1063.9362040938017</v>
      </c>
    </row>
    <row r="300" spans="1:7" ht="11.25" customHeight="1" x14ac:dyDescent="0.2">
      <c r="A300" s="29">
        <v>44348</v>
      </c>
      <c r="B300" s="19">
        <v>1209.8288000000016</v>
      </c>
      <c r="C300" s="19">
        <v>0</v>
      </c>
      <c r="D300" s="19">
        <v>1228.0939655938462</v>
      </c>
      <c r="E300" s="19">
        <v>0</v>
      </c>
      <c r="F300" s="19">
        <v>1209.8288000000016</v>
      </c>
      <c r="G300" s="19">
        <v>1228.0939655938462</v>
      </c>
    </row>
    <row r="301" spans="1:7" ht="11.25" customHeight="1" x14ac:dyDescent="0.2">
      <c r="A301" s="29">
        <v>44378</v>
      </c>
      <c r="B301" s="19">
        <v>1227.6204000000014</v>
      </c>
      <c r="C301" s="19">
        <v>0</v>
      </c>
      <c r="D301" s="19">
        <v>1246.154170970226</v>
      </c>
      <c r="E301" s="19">
        <v>0</v>
      </c>
      <c r="F301" s="19">
        <v>1227.6204000000014</v>
      </c>
      <c r="G301" s="19">
        <v>1246.154170970226</v>
      </c>
    </row>
    <row r="302" spans="1:7" ht="11.25" customHeight="1" x14ac:dyDescent="0.2">
      <c r="A302" s="29">
        <v>44409</v>
      </c>
      <c r="B302" s="19">
        <v>1295.9775999999977</v>
      </c>
      <c r="C302" s="19">
        <v>0</v>
      </c>
      <c r="D302" s="19">
        <v>1315.5433811005246</v>
      </c>
      <c r="E302" s="19">
        <v>0</v>
      </c>
      <c r="F302" s="19">
        <v>1295.9775999999977</v>
      </c>
      <c r="G302" s="19">
        <v>1315.5433811005246</v>
      </c>
    </row>
    <row r="303" spans="1:7" ht="11.25" customHeight="1" x14ac:dyDescent="0.2">
      <c r="A303" s="29">
        <v>44440</v>
      </c>
      <c r="B303" s="19">
        <v>1389.6175999999978</v>
      </c>
      <c r="C303" s="19">
        <v>0</v>
      </c>
      <c r="D303" s="19">
        <v>1410.5970936077881</v>
      </c>
      <c r="E303" s="19">
        <v>0</v>
      </c>
      <c r="F303" s="19">
        <v>1389.6175999999978</v>
      </c>
      <c r="G303" s="19">
        <v>1410.5970936077881</v>
      </c>
    </row>
    <row r="304" spans="1:7" ht="11.25" customHeight="1" x14ac:dyDescent="0.2">
      <c r="A304" s="29">
        <v>44470</v>
      </c>
      <c r="B304" s="19">
        <v>1289.4227999999982</v>
      </c>
      <c r="C304" s="19">
        <v>0</v>
      </c>
      <c r="D304" s="19">
        <v>1308.8896212250168</v>
      </c>
      <c r="E304" s="19">
        <v>0</v>
      </c>
      <c r="F304" s="19">
        <v>1289.4227999999982</v>
      </c>
      <c r="G304" s="19">
        <v>1308.8896212250168</v>
      </c>
    </row>
    <row r="305" spans="1:7" ht="11.25" customHeight="1" x14ac:dyDescent="0.2">
      <c r="A305" s="29">
        <v>44501</v>
      </c>
      <c r="B305" s="19">
        <v>1295.0411999999985</v>
      </c>
      <c r="C305" s="19">
        <v>0</v>
      </c>
      <c r="D305" s="19">
        <v>1314.5928439754528</v>
      </c>
      <c r="E305" s="19">
        <v>0</v>
      </c>
      <c r="F305" s="19">
        <v>1295.0411999999985</v>
      </c>
      <c r="G305" s="19">
        <v>1314.5928439754528</v>
      </c>
    </row>
    <row r="306" spans="1:7" ht="11.25" customHeight="1" x14ac:dyDescent="0.2">
      <c r="A306" s="29">
        <v>44531</v>
      </c>
      <c r="B306" s="19">
        <v>1320.3240000000021</v>
      </c>
      <c r="C306" s="19">
        <v>0</v>
      </c>
      <c r="D306" s="19">
        <v>1340.2573463524177</v>
      </c>
      <c r="E306" s="19">
        <v>0</v>
      </c>
      <c r="F306" s="19">
        <v>1320.3240000000021</v>
      </c>
      <c r="G306" s="19">
        <v>1340.2573463524177</v>
      </c>
    </row>
    <row r="307" spans="1:7" ht="11.25" customHeight="1" x14ac:dyDescent="0.2">
      <c r="A307" s="29">
        <v>44562</v>
      </c>
      <c r="B307" s="19">
        <v>1217.32</v>
      </c>
      <c r="C307" s="19">
        <v>0</v>
      </c>
      <c r="D307" s="19">
        <v>1235.6982625944256</v>
      </c>
      <c r="E307" s="19">
        <v>0</v>
      </c>
      <c r="F307" s="19">
        <v>1217.32</v>
      </c>
      <c r="G307" s="19">
        <v>1235.6982625944256</v>
      </c>
    </row>
    <row r="308" spans="1:7" ht="11.25" customHeight="1" x14ac:dyDescent="0.2">
      <c r="A308" s="29">
        <v>44593</v>
      </c>
      <c r="B308" s="19">
        <v>1295.0411999999985</v>
      </c>
      <c r="C308" s="19">
        <v>0</v>
      </c>
      <c r="D308" s="19">
        <v>1314.5928439754528</v>
      </c>
      <c r="E308" s="19">
        <v>0</v>
      </c>
      <c r="F308" s="19">
        <v>1295.0411999999985</v>
      </c>
      <c r="G308" s="19">
        <v>1314.5928439754528</v>
      </c>
    </row>
    <row r="309" spans="1:7" ht="11.25" customHeight="1" x14ac:dyDescent="0.2">
      <c r="A309" s="29">
        <v>44621</v>
      </c>
      <c r="B309" s="19">
        <v>1295.0411999999985</v>
      </c>
      <c r="C309" s="19">
        <v>0</v>
      </c>
      <c r="D309" s="19">
        <v>1314.5928439754528</v>
      </c>
      <c r="E309" s="19">
        <v>0</v>
      </c>
      <c r="F309" s="19">
        <v>1295.0411999999985</v>
      </c>
      <c r="G309" s="19">
        <v>1314.5928439754528</v>
      </c>
    </row>
    <row r="310" spans="1:7" ht="11.25" customHeight="1" x14ac:dyDescent="0.2">
      <c r="A310" s="28" t="s">
        <v>35</v>
      </c>
      <c r="B310" s="19">
        <v>0</v>
      </c>
      <c r="C310" s="19">
        <v>18259.7020902</v>
      </c>
      <c r="D310" s="19">
        <v>0</v>
      </c>
      <c r="E310" s="19">
        <v>18700.070243644572</v>
      </c>
      <c r="F310" s="19">
        <v>18259.7020902</v>
      </c>
      <c r="G310" s="19">
        <v>18700.070243644572</v>
      </c>
    </row>
    <row r="311" spans="1:7" ht="11.25" customHeight="1" x14ac:dyDescent="0.2">
      <c r="A311" s="29">
        <v>44287</v>
      </c>
      <c r="B311" s="19">
        <v>0</v>
      </c>
      <c r="C311" s="19">
        <v>1347.2211720000025</v>
      </c>
      <c r="D311" s="19">
        <v>0</v>
      </c>
      <c r="E311" s="19">
        <v>1379.7120251839369</v>
      </c>
      <c r="F311" s="19">
        <v>1347.2211720000025</v>
      </c>
      <c r="G311" s="19">
        <v>1379.7120251839369</v>
      </c>
    </row>
    <row r="312" spans="1:7" ht="11.25" customHeight="1" x14ac:dyDescent="0.2">
      <c r="A312" s="29">
        <v>44317</v>
      </c>
      <c r="B312" s="19">
        <v>0</v>
      </c>
      <c r="C312" s="19">
        <v>1070.4692502000012</v>
      </c>
      <c r="D312" s="19">
        <v>0</v>
      </c>
      <c r="E312" s="19">
        <v>1096.2856936830945</v>
      </c>
      <c r="F312" s="19">
        <v>1070.4692502000012</v>
      </c>
      <c r="G312" s="19">
        <v>1096.2856936830945</v>
      </c>
    </row>
    <row r="313" spans="1:7" ht="11.25" customHeight="1" x14ac:dyDescent="0.2">
      <c r="A313" s="29">
        <v>44348</v>
      </c>
      <c r="B313" s="19">
        <v>0</v>
      </c>
      <c r="C313" s="19">
        <v>893.63714400000003</v>
      </c>
      <c r="D313" s="19">
        <v>0</v>
      </c>
      <c r="E313" s="19">
        <v>915.18893805495156</v>
      </c>
      <c r="F313" s="19">
        <v>893.63714400000003</v>
      </c>
      <c r="G313" s="19">
        <v>915.18893805495156</v>
      </c>
    </row>
    <row r="314" spans="1:7" ht="11.25" customHeight="1" x14ac:dyDescent="0.2">
      <c r="A314" s="29">
        <v>44378</v>
      </c>
      <c r="B314" s="19">
        <v>0</v>
      </c>
      <c r="C314" s="19">
        <v>1288.2224160000003</v>
      </c>
      <c r="D314" s="19">
        <v>0</v>
      </c>
      <c r="E314" s="19">
        <v>1319.290399681086</v>
      </c>
      <c r="F314" s="19">
        <v>1288.2224160000003</v>
      </c>
      <c r="G314" s="19">
        <v>1319.290399681086</v>
      </c>
    </row>
    <row r="315" spans="1:7" ht="11.25" customHeight="1" x14ac:dyDescent="0.2">
      <c r="A315" s="29">
        <v>44409</v>
      </c>
      <c r="B315" s="19">
        <v>0</v>
      </c>
      <c r="C315" s="19">
        <v>1502.9261519999975</v>
      </c>
      <c r="D315" s="19">
        <v>0</v>
      </c>
      <c r="E315" s="19">
        <v>1539.1721329612642</v>
      </c>
      <c r="F315" s="19">
        <v>1502.9261519999975</v>
      </c>
      <c r="G315" s="19">
        <v>1539.1721329612642</v>
      </c>
    </row>
    <row r="316" spans="1:7" ht="11.25" customHeight="1" x14ac:dyDescent="0.2">
      <c r="A316" s="29">
        <v>44440</v>
      </c>
      <c r="B316" s="19">
        <v>0</v>
      </c>
      <c r="C316" s="19">
        <v>1343.0425080000016</v>
      </c>
      <c r="D316" s="19">
        <v>0</v>
      </c>
      <c r="E316" s="19">
        <v>1375.4325845918286</v>
      </c>
      <c r="F316" s="19">
        <v>1343.0425080000016</v>
      </c>
      <c r="G316" s="19">
        <v>1375.4325845918286</v>
      </c>
    </row>
    <row r="317" spans="1:7" ht="11.25" customHeight="1" x14ac:dyDescent="0.2">
      <c r="A317" s="29">
        <v>44470</v>
      </c>
      <c r="B317" s="19">
        <v>0</v>
      </c>
      <c r="C317" s="19">
        <v>1096.3023480000022</v>
      </c>
      <c r="D317" s="19">
        <v>0</v>
      </c>
      <c r="E317" s="19">
        <v>1122.7418067721587</v>
      </c>
      <c r="F317" s="19">
        <v>1096.3023480000022</v>
      </c>
      <c r="G317" s="19">
        <v>1122.7418067721587</v>
      </c>
    </row>
    <row r="318" spans="1:7" ht="11.25" customHeight="1" x14ac:dyDescent="0.2">
      <c r="A318" s="29">
        <v>44501</v>
      </c>
      <c r="B318" s="19">
        <v>0</v>
      </c>
      <c r="C318" s="19">
        <v>1488.2013359999983</v>
      </c>
      <c r="D318" s="19">
        <v>0</v>
      </c>
      <c r="E318" s="19">
        <v>1524.0921994462201</v>
      </c>
      <c r="F318" s="19">
        <v>1488.2013359999983</v>
      </c>
      <c r="G318" s="19">
        <v>1524.0921994462201</v>
      </c>
    </row>
    <row r="319" spans="1:7" ht="11.25" customHeight="1" x14ac:dyDescent="0.2">
      <c r="A319" s="29">
        <v>44531</v>
      </c>
      <c r="B319" s="19">
        <v>0</v>
      </c>
      <c r="C319" s="19">
        <v>1560.6315119999999</v>
      </c>
      <c r="D319" s="19">
        <v>0</v>
      </c>
      <c r="E319" s="19">
        <v>1598.2691697094153</v>
      </c>
      <c r="F319" s="19">
        <v>1560.6315119999999</v>
      </c>
      <c r="G319" s="19">
        <v>1598.2691697094153</v>
      </c>
    </row>
    <row r="320" spans="1:7" ht="11.25" customHeight="1" x14ac:dyDescent="0.2">
      <c r="A320" s="29">
        <v>44562</v>
      </c>
      <c r="B320" s="19">
        <v>0</v>
      </c>
      <c r="C320" s="19">
        <v>1635.1510199999975</v>
      </c>
      <c r="D320" s="19">
        <v>0</v>
      </c>
      <c r="E320" s="19">
        <v>1674.5858602686603</v>
      </c>
      <c r="F320" s="19">
        <v>1635.1510199999975</v>
      </c>
      <c r="G320" s="19">
        <v>1674.5858602686603</v>
      </c>
    </row>
    <row r="321" spans="1:7" ht="11.25" customHeight="1" x14ac:dyDescent="0.2">
      <c r="A321" s="29">
        <v>44593</v>
      </c>
      <c r="B321" s="19">
        <v>0</v>
      </c>
      <c r="C321" s="19">
        <v>2516.9486159999997</v>
      </c>
      <c r="D321" s="19">
        <v>0</v>
      </c>
      <c r="E321" s="19">
        <v>2577.6497166459762</v>
      </c>
      <c r="F321" s="19">
        <v>2516.9486159999997</v>
      </c>
      <c r="G321" s="19">
        <v>2577.6497166459762</v>
      </c>
    </row>
    <row r="322" spans="1:7" ht="11.25" customHeight="1" x14ac:dyDescent="0.2">
      <c r="A322" s="29">
        <v>44621</v>
      </c>
      <c r="B322" s="19">
        <v>0</v>
      </c>
      <c r="C322" s="19">
        <v>2516.9486159999997</v>
      </c>
      <c r="D322" s="19">
        <v>0</v>
      </c>
      <c r="E322" s="19">
        <v>2577.6497166459762</v>
      </c>
      <c r="F322" s="19">
        <v>2516.9486159999997</v>
      </c>
      <c r="G322" s="19">
        <v>2577.6497166459762</v>
      </c>
    </row>
    <row r="323" spans="1:7" ht="11.25" customHeight="1" x14ac:dyDescent="0.2">
      <c r="A323" s="22" t="s">
        <v>40</v>
      </c>
      <c r="B323" s="19">
        <v>0</v>
      </c>
      <c r="C323" s="19">
        <v>3679008.6774000004</v>
      </c>
      <c r="D323" s="19">
        <v>0</v>
      </c>
      <c r="E323" s="19">
        <v>1957867.0554847247</v>
      </c>
      <c r="F323" s="19">
        <v>3679008.6774000013</v>
      </c>
      <c r="G323" s="19">
        <v>1957867.0554847247</v>
      </c>
    </row>
    <row r="324" spans="1:7" ht="11.25" customHeight="1" x14ac:dyDescent="0.2">
      <c r="A324" s="23" t="s">
        <v>23</v>
      </c>
      <c r="B324" s="19">
        <v>0</v>
      </c>
      <c r="C324" s="19">
        <v>3679008.6774000004</v>
      </c>
      <c r="D324" s="19">
        <v>0</v>
      </c>
      <c r="E324" s="19">
        <v>1957867.0554847247</v>
      </c>
      <c r="F324" s="19">
        <v>3679008.6774000013</v>
      </c>
      <c r="G324" s="19">
        <v>1957867.0554847247</v>
      </c>
    </row>
    <row r="325" spans="1:7" ht="11.25" customHeight="1" x14ac:dyDescent="0.2">
      <c r="A325" s="24" t="s">
        <v>41</v>
      </c>
      <c r="B325" s="19">
        <v>0</v>
      </c>
      <c r="C325" s="19">
        <v>3679008.6774000004</v>
      </c>
      <c r="D325" s="19">
        <v>0</v>
      </c>
      <c r="E325" s="19">
        <v>1957867.0554847247</v>
      </c>
      <c r="F325" s="19">
        <v>3679008.6774000013</v>
      </c>
      <c r="G325" s="19">
        <v>1957867.0554847247</v>
      </c>
    </row>
    <row r="326" spans="1:7" ht="11.25" customHeight="1" x14ac:dyDescent="0.2">
      <c r="A326" s="25" t="s">
        <v>50</v>
      </c>
      <c r="B326" s="19">
        <v>0</v>
      </c>
      <c r="C326" s="19">
        <v>1443012.93934</v>
      </c>
      <c r="D326" s="19">
        <v>0</v>
      </c>
      <c r="E326" s="19">
        <v>767931.72898102133</v>
      </c>
      <c r="F326" s="19">
        <v>1443012.9393400007</v>
      </c>
      <c r="G326" s="19">
        <v>767931.72898102121</v>
      </c>
    </row>
    <row r="327" spans="1:7" ht="11.25" customHeight="1" x14ac:dyDescent="0.2">
      <c r="A327" s="26" t="s">
        <v>51</v>
      </c>
      <c r="B327" s="19">
        <v>0</v>
      </c>
      <c r="C327" s="19">
        <v>1434611.8364200001</v>
      </c>
      <c r="D327" s="19">
        <v>0</v>
      </c>
      <c r="E327" s="19">
        <v>763460.89347094356</v>
      </c>
      <c r="F327" s="19">
        <v>1434611.8364200008</v>
      </c>
      <c r="G327" s="19">
        <v>763460.89347094344</v>
      </c>
    </row>
    <row r="328" spans="1:7" ht="11.25" customHeight="1" x14ac:dyDescent="0.2">
      <c r="A328" s="27" t="s">
        <v>25</v>
      </c>
      <c r="B328" s="19">
        <v>0</v>
      </c>
      <c r="C328" s="19">
        <v>1434611.8364200001</v>
      </c>
      <c r="D328" s="19">
        <v>0</v>
      </c>
      <c r="E328" s="19">
        <v>763460.89347094356</v>
      </c>
      <c r="F328" s="19">
        <v>1434611.8364200008</v>
      </c>
      <c r="G328" s="19">
        <v>763460.89347094344</v>
      </c>
    </row>
    <row r="329" spans="1:7" ht="11.25" customHeight="1" x14ac:dyDescent="0.2">
      <c r="A329" s="28" t="s">
        <v>25</v>
      </c>
      <c r="B329" s="19">
        <v>0</v>
      </c>
      <c r="C329" s="19">
        <v>1434611.8364200001</v>
      </c>
      <c r="D329" s="19">
        <v>0</v>
      </c>
      <c r="E329" s="19">
        <v>763460.89347094356</v>
      </c>
      <c r="F329" s="19">
        <v>1434611.8364200008</v>
      </c>
      <c r="G329" s="19">
        <v>763460.89347094344</v>
      </c>
    </row>
    <row r="330" spans="1:7" ht="11.25" customHeight="1" x14ac:dyDescent="0.2">
      <c r="A330" s="29">
        <v>44287</v>
      </c>
      <c r="B330" s="19">
        <v>0</v>
      </c>
      <c r="C330" s="19">
        <v>153395.68580000004</v>
      </c>
      <c r="D330" s="19">
        <v>0</v>
      </c>
      <c r="E330" s="19">
        <v>81632.957684011693</v>
      </c>
      <c r="F330" s="19">
        <v>153395.68580000004</v>
      </c>
      <c r="G330" s="19">
        <v>81632.957684011693</v>
      </c>
    </row>
    <row r="331" spans="1:7" ht="11.25" customHeight="1" x14ac:dyDescent="0.2">
      <c r="A331" s="29">
        <v>44317</v>
      </c>
      <c r="B331" s="19">
        <v>0</v>
      </c>
      <c r="C331" s="19">
        <v>169048.07920000007</v>
      </c>
      <c r="D331" s="19">
        <v>0</v>
      </c>
      <c r="E331" s="19">
        <v>89962.730202788123</v>
      </c>
      <c r="F331" s="19">
        <v>169048.07920000007</v>
      </c>
      <c r="G331" s="19">
        <v>89962.730202788123</v>
      </c>
    </row>
    <row r="332" spans="1:7" ht="11.25" customHeight="1" x14ac:dyDescent="0.2">
      <c r="A332" s="29">
        <v>44348</v>
      </c>
      <c r="B332" s="19">
        <v>0</v>
      </c>
      <c r="C332" s="19">
        <v>56732.497780000012</v>
      </c>
      <c r="D332" s="19">
        <v>0</v>
      </c>
      <c r="E332" s="19">
        <v>30191.472246627072</v>
      </c>
      <c r="F332" s="19">
        <v>56732.497780000012</v>
      </c>
      <c r="G332" s="19">
        <v>30191.472246627072</v>
      </c>
    </row>
    <row r="333" spans="1:7" ht="11.25" customHeight="1" x14ac:dyDescent="0.2">
      <c r="A333" s="29">
        <v>44378</v>
      </c>
      <c r="B333" s="19">
        <v>0</v>
      </c>
      <c r="C333" s="19">
        <v>410479.53604000009</v>
      </c>
      <c r="D333" s="19">
        <v>0</v>
      </c>
      <c r="E333" s="19">
        <v>218445.8997066922</v>
      </c>
      <c r="F333" s="19">
        <v>410479.53604000009</v>
      </c>
      <c r="G333" s="19">
        <v>218445.8997066922</v>
      </c>
    </row>
    <row r="334" spans="1:7" ht="11.25" customHeight="1" x14ac:dyDescent="0.2">
      <c r="A334" s="29">
        <v>44409</v>
      </c>
      <c r="B334" s="19">
        <v>0</v>
      </c>
      <c r="C334" s="19">
        <v>-212202.05202000009</v>
      </c>
      <c r="D334" s="19">
        <v>0</v>
      </c>
      <c r="E334" s="19">
        <v>-112928.08557598367</v>
      </c>
      <c r="F334" s="19">
        <v>-212202.05202000009</v>
      </c>
      <c r="G334" s="19">
        <v>-112928.08557598367</v>
      </c>
    </row>
    <row r="335" spans="1:7" ht="11.25" customHeight="1" x14ac:dyDescent="0.2">
      <c r="A335" s="29">
        <v>44440</v>
      </c>
      <c r="B335" s="19">
        <v>0</v>
      </c>
      <c r="C335" s="19">
        <v>121246.26402000003</v>
      </c>
      <c r="D335" s="19">
        <v>0</v>
      </c>
      <c r="E335" s="19">
        <v>64523.921181159894</v>
      </c>
      <c r="F335" s="19">
        <v>121246.26402000003</v>
      </c>
      <c r="G335" s="19">
        <v>64523.921181159894</v>
      </c>
    </row>
    <row r="336" spans="1:7" ht="11.25" customHeight="1" x14ac:dyDescent="0.2">
      <c r="A336" s="29">
        <v>44470</v>
      </c>
      <c r="B336" s="19">
        <v>0</v>
      </c>
      <c r="C336" s="19">
        <v>115597.89206000003</v>
      </c>
      <c r="D336" s="19">
        <v>0</v>
      </c>
      <c r="E336" s="19">
        <v>61518.013245812748</v>
      </c>
      <c r="F336" s="19">
        <v>115597.89206000003</v>
      </c>
      <c r="G336" s="19">
        <v>61518.013245812748</v>
      </c>
    </row>
    <row r="337" spans="1:7" ht="11.25" customHeight="1" x14ac:dyDescent="0.2">
      <c r="A337" s="29">
        <v>44501</v>
      </c>
      <c r="B337" s="19">
        <v>0</v>
      </c>
      <c r="C337" s="19">
        <v>153975.53094000003</v>
      </c>
      <c r="D337" s="19">
        <v>0</v>
      </c>
      <c r="E337" s="19">
        <v>81941.535291850116</v>
      </c>
      <c r="F337" s="19">
        <v>153975.53094000003</v>
      </c>
      <c r="G337" s="19">
        <v>81941.535291850116</v>
      </c>
    </row>
    <row r="338" spans="1:7" ht="11.25" customHeight="1" x14ac:dyDescent="0.2">
      <c r="A338" s="29">
        <v>44531</v>
      </c>
      <c r="B338" s="19">
        <v>0</v>
      </c>
      <c r="C338" s="19">
        <v>143144.16074000005</v>
      </c>
      <c r="D338" s="19">
        <v>0</v>
      </c>
      <c r="E338" s="19">
        <v>76177.378493142649</v>
      </c>
      <c r="F338" s="19">
        <v>143144.16074000005</v>
      </c>
      <c r="G338" s="19">
        <v>76177.378493142649</v>
      </c>
    </row>
    <row r="339" spans="1:7" ht="11.25" customHeight="1" x14ac:dyDescent="0.2">
      <c r="A339" s="29">
        <v>44562</v>
      </c>
      <c r="B339" s="19">
        <v>0</v>
      </c>
      <c r="C339" s="19">
        <v>113580.10426000004</v>
      </c>
      <c r="D339" s="19">
        <v>0</v>
      </c>
      <c r="E339" s="19">
        <v>60444.202171963661</v>
      </c>
      <c r="F339" s="19">
        <v>113580.10426000004</v>
      </c>
      <c r="G339" s="19">
        <v>60444.202171963661</v>
      </c>
    </row>
    <row r="340" spans="1:7" ht="11.25" customHeight="1" x14ac:dyDescent="0.2">
      <c r="A340" s="29">
        <v>44593</v>
      </c>
      <c r="B340" s="19">
        <v>0</v>
      </c>
      <c r="C340" s="19">
        <v>104807.06880000002</v>
      </c>
      <c r="D340" s="19">
        <v>0</v>
      </c>
      <c r="E340" s="19">
        <v>55775.434411439623</v>
      </c>
      <c r="F340" s="19">
        <v>104807.06880000002</v>
      </c>
      <c r="G340" s="19">
        <v>55775.434411439623</v>
      </c>
    </row>
    <row r="341" spans="1:7" ht="11.25" customHeight="1" x14ac:dyDescent="0.2">
      <c r="A341" s="29">
        <v>44621</v>
      </c>
      <c r="B341" s="19">
        <v>0</v>
      </c>
      <c r="C341" s="19">
        <v>104807.06880000002</v>
      </c>
      <c r="D341" s="19">
        <v>0</v>
      </c>
      <c r="E341" s="19">
        <v>55775.434411439623</v>
      </c>
      <c r="F341" s="19">
        <v>104807.06880000002</v>
      </c>
      <c r="G341" s="19">
        <v>55775.434411439623</v>
      </c>
    </row>
    <row r="342" spans="1:7" ht="11.25" customHeight="1" x14ac:dyDescent="0.2">
      <c r="A342" s="26" t="s">
        <v>52</v>
      </c>
      <c r="B342" s="19">
        <v>0</v>
      </c>
      <c r="C342" s="19">
        <v>8401.102920000003</v>
      </c>
      <c r="D342" s="19">
        <v>0</v>
      </c>
      <c r="E342" s="19">
        <v>4470.8355100778654</v>
      </c>
      <c r="F342" s="19">
        <v>8401.102920000003</v>
      </c>
      <c r="G342" s="19">
        <v>4470.8355100778654</v>
      </c>
    </row>
    <row r="343" spans="1:7" ht="11.25" customHeight="1" x14ac:dyDescent="0.2">
      <c r="A343" s="27" t="s">
        <v>25</v>
      </c>
      <c r="B343" s="19">
        <v>0</v>
      </c>
      <c r="C343" s="19">
        <v>8401.102920000003</v>
      </c>
      <c r="D343" s="19">
        <v>0</v>
      </c>
      <c r="E343" s="19">
        <v>4470.8355100778654</v>
      </c>
      <c r="F343" s="19">
        <v>8401.102920000003</v>
      </c>
      <c r="G343" s="19">
        <v>4470.8355100778654</v>
      </c>
    </row>
    <row r="344" spans="1:7" ht="11.25" customHeight="1" x14ac:dyDescent="0.2">
      <c r="A344" s="28" t="s">
        <v>25</v>
      </c>
      <c r="B344" s="19">
        <v>0</v>
      </c>
      <c r="C344" s="19">
        <v>8401.102920000003</v>
      </c>
      <c r="D344" s="19">
        <v>0</v>
      </c>
      <c r="E344" s="19">
        <v>4470.8355100778654</v>
      </c>
      <c r="F344" s="19">
        <v>8401.102920000003</v>
      </c>
      <c r="G344" s="19">
        <v>4470.8355100778654</v>
      </c>
    </row>
    <row r="345" spans="1:7" ht="11.25" customHeight="1" x14ac:dyDescent="0.2">
      <c r="A345" s="29">
        <v>44317</v>
      </c>
      <c r="B345" s="19">
        <v>0</v>
      </c>
      <c r="C345" s="19">
        <v>841.20960000000025</v>
      </c>
      <c r="D345" s="19">
        <v>0</v>
      </c>
      <c r="E345" s="19">
        <v>447.66857243767674</v>
      </c>
      <c r="F345" s="19">
        <v>841.20960000000025</v>
      </c>
      <c r="G345" s="19">
        <v>447.66857243767674</v>
      </c>
    </row>
    <row r="346" spans="1:7" ht="11.25" customHeight="1" x14ac:dyDescent="0.2">
      <c r="A346" s="29">
        <v>44409</v>
      </c>
      <c r="B346" s="19">
        <v>0</v>
      </c>
      <c r="C346" s="19">
        <v>391.92720000000014</v>
      </c>
      <c r="D346" s="19">
        <v>0</v>
      </c>
      <c r="E346" s="19">
        <v>208.57285761300847</v>
      </c>
      <c r="F346" s="19">
        <v>391.92720000000014</v>
      </c>
      <c r="G346" s="19">
        <v>208.57285761300847</v>
      </c>
    </row>
    <row r="347" spans="1:7" ht="11.25" customHeight="1" x14ac:dyDescent="0.2">
      <c r="A347" s="29">
        <v>44440</v>
      </c>
      <c r="B347" s="19">
        <v>0</v>
      </c>
      <c r="C347" s="19">
        <v>341.34310000000011</v>
      </c>
      <c r="D347" s="19">
        <v>0</v>
      </c>
      <c r="E347" s="19">
        <v>181.65339326661407</v>
      </c>
      <c r="F347" s="19">
        <v>341.34310000000011</v>
      </c>
      <c r="G347" s="19">
        <v>181.65339326661407</v>
      </c>
    </row>
    <row r="348" spans="1:7" ht="11.25" customHeight="1" x14ac:dyDescent="0.2">
      <c r="A348" s="29">
        <v>44470</v>
      </c>
      <c r="B348" s="19">
        <v>0</v>
      </c>
      <c r="C348" s="19">
        <v>312.26720000000012</v>
      </c>
      <c r="D348" s="19">
        <v>0</v>
      </c>
      <c r="E348" s="19">
        <v>166.18000037459211</v>
      </c>
      <c r="F348" s="19">
        <v>312.26720000000012</v>
      </c>
      <c r="G348" s="19">
        <v>166.18000037459211</v>
      </c>
    </row>
    <row r="349" spans="1:7" ht="11.25" customHeight="1" x14ac:dyDescent="0.2">
      <c r="A349" s="29">
        <v>44501</v>
      </c>
      <c r="B349" s="19">
        <v>0</v>
      </c>
      <c r="C349" s="19">
        <v>1429.1004000000005</v>
      </c>
      <c r="D349" s="19">
        <v>0</v>
      </c>
      <c r="E349" s="19">
        <v>760.52785885718947</v>
      </c>
      <c r="F349" s="19">
        <v>1429.1004000000005</v>
      </c>
      <c r="G349" s="19">
        <v>760.52785885718947</v>
      </c>
    </row>
    <row r="350" spans="1:7" ht="11.25" customHeight="1" x14ac:dyDescent="0.2">
      <c r="A350" s="29">
        <v>44531</v>
      </c>
      <c r="B350" s="19">
        <v>0</v>
      </c>
      <c r="C350" s="19">
        <v>1241.1028000000003</v>
      </c>
      <c r="D350" s="19">
        <v>0</v>
      </c>
      <c r="E350" s="19">
        <v>660.48071577452686</v>
      </c>
      <c r="F350" s="19">
        <v>1241.1028000000003</v>
      </c>
      <c r="G350" s="19">
        <v>660.48071577452686</v>
      </c>
    </row>
    <row r="351" spans="1:7" ht="11.25" customHeight="1" x14ac:dyDescent="0.2">
      <c r="A351" s="29">
        <v>44562</v>
      </c>
      <c r="B351" s="19">
        <v>0</v>
      </c>
      <c r="C351" s="19">
        <v>1320.5238200000006</v>
      </c>
      <c r="D351" s="19">
        <v>0</v>
      </c>
      <c r="E351" s="19">
        <v>702.74639444122795</v>
      </c>
      <c r="F351" s="19">
        <v>1320.5238200000006</v>
      </c>
      <c r="G351" s="19">
        <v>702.74639444122795</v>
      </c>
    </row>
    <row r="352" spans="1:7" ht="11.25" customHeight="1" x14ac:dyDescent="0.2">
      <c r="A352" s="29">
        <v>44593</v>
      </c>
      <c r="B352" s="19">
        <v>0</v>
      </c>
      <c r="C352" s="19">
        <v>1261.8144000000004</v>
      </c>
      <c r="D352" s="19">
        <v>0</v>
      </c>
      <c r="E352" s="19">
        <v>671.50285865651506</v>
      </c>
      <c r="F352" s="19">
        <v>1261.8144000000004</v>
      </c>
      <c r="G352" s="19">
        <v>671.50285865651506</v>
      </c>
    </row>
    <row r="353" spans="1:7" ht="11.25" customHeight="1" x14ac:dyDescent="0.2">
      <c r="A353" s="29">
        <v>44621</v>
      </c>
      <c r="B353" s="19">
        <v>0</v>
      </c>
      <c r="C353" s="19">
        <v>1261.8144000000004</v>
      </c>
      <c r="D353" s="19">
        <v>0</v>
      </c>
      <c r="E353" s="19">
        <v>671.50285865651506</v>
      </c>
      <c r="F353" s="19">
        <v>1261.8144000000004</v>
      </c>
      <c r="G353" s="19">
        <v>671.50285865651506</v>
      </c>
    </row>
    <row r="354" spans="1:7" ht="11.25" customHeight="1" x14ac:dyDescent="0.2">
      <c r="A354" s="25" t="s">
        <v>53</v>
      </c>
      <c r="B354" s="19">
        <v>0</v>
      </c>
      <c r="C354" s="19">
        <v>879.44640000000027</v>
      </c>
      <c r="D354" s="19">
        <v>0</v>
      </c>
      <c r="E354" s="19">
        <v>468.01714391211647</v>
      </c>
      <c r="F354" s="19">
        <v>879.44640000000027</v>
      </c>
      <c r="G354" s="19">
        <v>468.01714391211647</v>
      </c>
    </row>
    <row r="355" spans="1:7" ht="11.25" customHeight="1" x14ac:dyDescent="0.2">
      <c r="A355" s="26" t="s">
        <v>51</v>
      </c>
      <c r="B355" s="19">
        <v>0</v>
      </c>
      <c r="C355" s="19">
        <v>879.44640000000027</v>
      </c>
      <c r="D355" s="19">
        <v>0</v>
      </c>
      <c r="E355" s="19">
        <v>468.01714391211647</v>
      </c>
      <c r="F355" s="19">
        <v>879.44640000000027</v>
      </c>
      <c r="G355" s="19">
        <v>468.01714391211647</v>
      </c>
    </row>
    <row r="356" spans="1:7" ht="11.25" customHeight="1" x14ac:dyDescent="0.2">
      <c r="A356" s="27" t="s">
        <v>25</v>
      </c>
      <c r="B356" s="19">
        <v>0</v>
      </c>
      <c r="C356" s="19">
        <v>879.44640000000027</v>
      </c>
      <c r="D356" s="19">
        <v>0</v>
      </c>
      <c r="E356" s="19">
        <v>468.01714391211647</v>
      </c>
      <c r="F356" s="19">
        <v>879.44640000000027</v>
      </c>
      <c r="G356" s="19">
        <v>468.01714391211647</v>
      </c>
    </row>
    <row r="357" spans="1:7" ht="11.25" customHeight="1" x14ac:dyDescent="0.2">
      <c r="A357" s="28" t="s">
        <v>25</v>
      </c>
      <c r="B357" s="19">
        <v>0</v>
      </c>
      <c r="C357" s="19">
        <v>879.44640000000027</v>
      </c>
      <c r="D357" s="19">
        <v>0</v>
      </c>
      <c r="E357" s="19">
        <v>468.01714391211647</v>
      </c>
      <c r="F357" s="19">
        <v>879.44640000000027</v>
      </c>
      <c r="G357" s="19">
        <v>468.01714391211647</v>
      </c>
    </row>
    <row r="358" spans="1:7" ht="11.25" customHeight="1" x14ac:dyDescent="0.2">
      <c r="A358" s="29">
        <v>44287</v>
      </c>
      <c r="B358" s="19">
        <v>0</v>
      </c>
      <c r="C358" s="19">
        <v>152.94720000000004</v>
      </c>
      <c r="D358" s="19">
        <v>0</v>
      </c>
      <c r="E358" s="19">
        <v>81.394285897759403</v>
      </c>
      <c r="F358" s="19">
        <v>152.94720000000004</v>
      </c>
      <c r="G358" s="19">
        <v>81.394285897759403</v>
      </c>
    </row>
    <row r="359" spans="1:7" ht="11.25" customHeight="1" x14ac:dyDescent="0.2">
      <c r="A359" s="29">
        <v>44317</v>
      </c>
      <c r="B359" s="19">
        <v>0</v>
      </c>
      <c r="C359" s="19">
        <v>148.16760000000005</v>
      </c>
      <c r="D359" s="19">
        <v>0</v>
      </c>
      <c r="E359" s="19">
        <v>78.850714463454423</v>
      </c>
      <c r="F359" s="19">
        <v>148.16760000000005</v>
      </c>
      <c r="G359" s="19">
        <v>78.850714463454423</v>
      </c>
    </row>
    <row r="360" spans="1:7" ht="11.25" customHeight="1" x14ac:dyDescent="0.2">
      <c r="A360" s="29">
        <v>44348</v>
      </c>
      <c r="B360" s="19">
        <v>0</v>
      </c>
      <c r="C360" s="19">
        <v>116.30360000000003</v>
      </c>
      <c r="D360" s="19">
        <v>0</v>
      </c>
      <c r="E360" s="19">
        <v>61.893571568087879</v>
      </c>
      <c r="F360" s="19">
        <v>116.30360000000003</v>
      </c>
      <c r="G360" s="19">
        <v>61.893571568087879</v>
      </c>
    </row>
    <row r="361" spans="1:7" ht="11.25" customHeight="1" x14ac:dyDescent="0.2">
      <c r="A361" s="29">
        <v>44378</v>
      </c>
      <c r="B361" s="19">
        <v>0</v>
      </c>
      <c r="C361" s="19">
        <v>125.86280000000005</v>
      </c>
      <c r="D361" s="19">
        <v>0</v>
      </c>
      <c r="E361" s="19">
        <v>66.980714436697838</v>
      </c>
      <c r="F361" s="19">
        <v>125.86280000000005</v>
      </c>
      <c r="G361" s="19">
        <v>66.980714436697838</v>
      </c>
    </row>
    <row r="362" spans="1:7" ht="11.25" customHeight="1" x14ac:dyDescent="0.2">
      <c r="A362" s="29">
        <v>44409</v>
      </c>
      <c r="B362" s="19">
        <v>0</v>
      </c>
      <c r="C362" s="19">
        <v>144.98120000000006</v>
      </c>
      <c r="D362" s="19">
        <v>0</v>
      </c>
      <c r="E362" s="19">
        <v>77.15500017391777</v>
      </c>
      <c r="F362" s="19">
        <v>144.98120000000006</v>
      </c>
      <c r="G362" s="19">
        <v>77.15500017391777</v>
      </c>
    </row>
    <row r="363" spans="1:7" ht="11.25" customHeight="1" x14ac:dyDescent="0.2">
      <c r="A363" s="29">
        <v>44440</v>
      </c>
      <c r="B363" s="19">
        <v>0</v>
      </c>
      <c r="C363" s="19">
        <v>137.01520000000005</v>
      </c>
      <c r="D363" s="19">
        <v>0</v>
      </c>
      <c r="E363" s="19">
        <v>72.915714450076123</v>
      </c>
      <c r="F363" s="19">
        <v>137.01520000000005</v>
      </c>
      <c r="G363" s="19">
        <v>72.915714450076123</v>
      </c>
    </row>
    <row r="364" spans="1:7" ht="11.25" customHeight="1" x14ac:dyDescent="0.2">
      <c r="A364" s="29">
        <v>44470</v>
      </c>
      <c r="B364" s="19">
        <v>0</v>
      </c>
      <c r="C364" s="19">
        <v>4.7796000000000012</v>
      </c>
      <c r="D364" s="19">
        <v>0</v>
      </c>
      <c r="E364" s="19">
        <v>2.5435714343049813</v>
      </c>
      <c r="F364" s="19">
        <v>4.7796000000000012</v>
      </c>
      <c r="G364" s="19">
        <v>2.5435714343049813</v>
      </c>
    </row>
    <row r="365" spans="1:7" ht="11.25" customHeight="1" x14ac:dyDescent="0.2">
      <c r="A365" s="29">
        <v>44501</v>
      </c>
      <c r="B365" s="19">
        <v>0</v>
      </c>
      <c r="C365" s="19">
        <v>4.7796000000000012</v>
      </c>
      <c r="D365" s="19">
        <v>0</v>
      </c>
      <c r="E365" s="19">
        <v>2.5435714343049813</v>
      </c>
      <c r="F365" s="19">
        <v>4.7796000000000012</v>
      </c>
      <c r="G365" s="19">
        <v>2.5435714343049813</v>
      </c>
    </row>
    <row r="366" spans="1:7" ht="11.25" customHeight="1" x14ac:dyDescent="0.2">
      <c r="A366" s="29">
        <v>44531</v>
      </c>
      <c r="B366" s="19">
        <v>0</v>
      </c>
      <c r="C366" s="19">
        <v>9.5592000000000024</v>
      </c>
      <c r="D366" s="19">
        <v>0</v>
      </c>
      <c r="E366" s="19">
        <v>5.0871428686099627</v>
      </c>
      <c r="F366" s="19">
        <v>9.5592000000000024</v>
      </c>
      <c r="G366" s="19">
        <v>5.0871428686099627</v>
      </c>
    </row>
    <row r="367" spans="1:7" ht="11.25" customHeight="1" x14ac:dyDescent="0.2">
      <c r="A367" s="29">
        <v>44562</v>
      </c>
      <c r="B367" s="19">
        <v>0</v>
      </c>
      <c r="C367" s="19">
        <v>12.745600000000005</v>
      </c>
      <c r="D367" s="19">
        <v>0</v>
      </c>
      <c r="E367" s="19">
        <v>6.7828571581466166</v>
      </c>
      <c r="F367" s="19">
        <v>12.745600000000005</v>
      </c>
      <c r="G367" s="19">
        <v>6.7828571581466166</v>
      </c>
    </row>
    <row r="368" spans="1:7" ht="11.25" customHeight="1" x14ac:dyDescent="0.2">
      <c r="A368" s="29">
        <v>44593</v>
      </c>
      <c r="B368" s="19">
        <v>0</v>
      </c>
      <c r="C368" s="19">
        <v>11.152400000000005</v>
      </c>
      <c r="D368" s="19">
        <v>0</v>
      </c>
      <c r="E368" s="19">
        <v>5.9350000133782901</v>
      </c>
      <c r="F368" s="19">
        <v>11.152400000000005</v>
      </c>
      <c r="G368" s="19">
        <v>5.9350000133782901</v>
      </c>
    </row>
    <row r="369" spans="1:7" ht="11.25" customHeight="1" x14ac:dyDescent="0.2">
      <c r="A369" s="29">
        <v>44621</v>
      </c>
      <c r="B369" s="19">
        <v>0</v>
      </c>
      <c r="C369" s="19">
        <v>11.152400000000005</v>
      </c>
      <c r="D369" s="19">
        <v>0</v>
      </c>
      <c r="E369" s="19">
        <v>5.9350000133782901</v>
      </c>
      <c r="F369" s="19">
        <v>11.152400000000005</v>
      </c>
      <c r="G369" s="19">
        <v>5.9350000133782901</v>
      </c>
    </row>
    <row r="370" spans="1:7" ht="11.25" customHeight="1" x14ac:dyDescent="0.2">
      <c r="A370" s="25" t="s">
        <v>25</v>
      </c>
      <c r="B370" s="19">
        <v>0</v>
      </c>
      <c r="C370" s="19">
        <v>2235116.2916600006</v>
      </c>
      <c r="D370" s="19">
        <v>0</v>
      </c>
      <c r="E370" s="19">
        <v>1189467.309359791</v>
      </c>
      <c r="F370" s="19">
        <v>2235116.291660001</v>
      </c>
      <c r="G370" s="19">
        <v>1189467.3093597908</v>
      </c>
    </row>
    <row r="371" spans="1:7" ht="11.25" customHeight="1" x14ac:dyDescent="0.2">
      <c r="A371" s="26" t="s">
        <v>25</v>
      </c>
      <c r="B371" s="19">
        <v>0</v>
      </c>
      <c r="C371" s="19">
        <v>2235116.2916600006</v>
      </c>
      <c r="D371" s="19">
        <v>0</v>
      </c>
      <c r="E371" s="19">
        <v>1189467.309359791</v>
      </c>
      <c r="F371" s="19">
        <v>2235116.291660001</v>
      </c>
      <c r="G371" s="19">
        <v>1189467.3093597908</v>
      </c>
    </row>
    <row r="372" spans="1:7" ht="11.25" customHeight="1" x14ac:dyDescent="0.2">
      <c r="A372" s="27" t="s">
        <v>25</v>
      </c>
      <c r="B372" s="19">
        <v>0</v>
      </c>
      <c r="C372" s="19">
        <v>2235116.2916600006</v>
      </c>
      <c r="D372" s="19">
        <v>0</v>
      </c>
      <c r="E372" s="19">
        <v>1189467.309359791</v>
      </c>
      <c r="F372" s="19">
        <v>2235116.291660001</v>
      </c>
      <c r="G372" s="19">
        <v>1189467.3093597908</v>
      </c>
    </row>
    <row r="373" spans="1:7" ht="11.25" customHeight="1" x14ac:dyDescent="0.2">
      <c r="A373" s="28" t="s">
        <v>25</v>
      </c>
      <c r="B373" s="19">
        <v>0</v>
      </c>
      <c r="C373" s="19">
        <v>2235116.2916600006</v>
      </c>
      <c r="D373" s="19">
        <v>0</v>
      </c>
      <c r="E373" s="19">
        <v>1189467.309359791</v>
      </c>
      <c r="F373" s="19">
        <v>2235116.291660001</v>
      </c>
      <c r="G373" s="19">
        <v>1189467.3093597908</v>
      </c>
    </row>
    <row r="374" spans="1:7" ht="11.25" customHeight="1" x14ac:dyDescent="0.2">
      <c r="A374" s="29">
        <v>44287</v>
      </c>
      <c r="B374" s="19">
        <v>0</v>
      </c>
      <c r="C374" s="19">
        <v>203745.10744000008</v>
      </c>
      <c r="D374" s="19">
        <v>0</v>
      </c>
      <c r="E374" s="19">
        <v>108427.5326729817</v>
      </c>
      <c r="F374" s="19">
        <v>203745.10744000008</v>
      </c>
      <c r="G374" s="19">
        <v>108427.5326729817</v>
      </c>
    </row>
    <row r="375" spans="1:7" ht="11.25" customHeight="1" x14ac:dyDescent="0.2">
      <c r="A375" s="29">
        <v>44317</v>
      </c>
      <c r="B375" s="19">
        <v>0</v>
      </c>
      <c r="C375" s="19">
        <v>196908.44726000004</v>
      </c>
      <c r="D375" s="19">
        <v>0</v>
      </c>
      <c r="E375" s="19">
        <v>104789.25048620909</v>
      </c>
      <c r="F375" s="19">
        <v>196908.44726000004</v>
      </c>
      <c r="G375" s="19">
        <v>104789.25048620909</v>
      </c>
    </row>
    <row r="376" spans="1:7" ht="11.25" customHeight="1" x14ac:dyDescent="0.2">
      <c r="A376" s="29">
        <v>44348</v>
      </c>
      <c r="B376" s="19">
        <v>0</v>
      </c>
      <c r="C376" s="19">
        <v>157286.75816000003</v>
      </c>
      <c r="D376" s="19">
        <v>0</v>
      </c>
      <c r="E376" s="19">
        <v>83703.679188679365</v>
      </c>
      <c r="F376" s="19">
        <v>157286.75816000003</v>
      </c>
      <c r="G376" s="19">
        <v>83703.679188679365</v>
      </c>
    </row>
    <row r="377" spans="1:7" ht="11.25" customHeight="1" x14ac:dyDescent="0.2">
      <c r="A377" s="29">
        <v>44378</v>
      </c>
      <c r="B377" s="19">
        <v>0</v>
      </c>
      <c r="C377" s="19">
        <v>160637.89504000006</v>
      </c>
      <c r="D377" s="19">
        <v>0</v>
      </c>
      <c r="E377" s="19">
        <v>85487.061906985065</v>
      </c>
      <c r="F377" s="19">
        <v>160637.89504000006</v>
      </c>
      <c r="G377" s="19">
        <v>85487.061906985065</v>
      </c>
    </row>
    <row r="378" spans="1:7" ht="11.25" customHeight="1" x14ac:dyDescent="0.2">
      <c r="A378" s="29">
        <v>44409</v>
      </c>
      <c r="B378" s="19">
        <v>0</v>
      </c>
      <c r="C378" s="19">
        <v>188037.90796000007</v>
      </c>
      <c r="D378" s="19">
        <v>0</v>
      </c>
      <c r="E378" s="19">
        <v>100068.59386842525</v>
      </c>
      <c r="F378" s="19">
        <v>188037.90796000007</v>
      </c>
      <c r="G378" s="19">
        <v>100068.59386842525</v>
      </c>
    </row>
    <row r="379" spans="1:7" ht="11.25" customHeight="1" x14ac:dyDescent="0.2">
      <c r="A379" s="29">
        <v>44440</v>
      </c>
      <c r="B379" s="19">
        <v>0</v>
      </c>
      <c r="C379" s="19">
        <v>204272.77528000006</v>
      </c>
      <c r="D379" s="19">
        <v>0</v>
      </c>
      <c r="E379" s="19">
        <v>108708.34295932895</v>
      </c>
      <c r="F379" s="19">
        <v>204272.77528000006</v>
      </c>
      <c r="G379" s="19">
        <v>108708.34295932895</v>
      </c>
    </row>
    <row r="380" spans="1:7" ht="11.25" customHeight="1" x14ac:dyDescent="0.2">
      <c r="A380" s="29">
        <v>44470</v>
      </c>
      <c r="B380" s="19">
        <v>0</v>
      </c>
      <c r="C380" s="19">
        <v>177966.97212000002</v>
      </c>
      <c r="D380" s="19">
        <v>0</v>
      </c>
      <c r="E380" s="19">
        <v>94709.11928491568</v>
      </c>
      <c r="F380" s="19">
        <v>177966.97212000002</v>
      </c>
      <c r="G380" s="19">
        <v>94709.11928491568</v>
      </c>
    </row>
    <row r="381" spans="1:7" ht="11.25" customHeight="1" x14ac:dyDescent="0.2">
      <c r="A381" s="29">
        <v>44501</v>
      </c>
      <c r="B381" s="19">
        <v>0</v>
      </c>
      <c r="C381" s="19">
        <v>203584.43322000006</v>
      </c>
      <c r="D381" s="19">
        <v>0</v>
      </c>
      <c r="E381" s="19">
        <v>108342.02627993182</v>
      </c>
      <c r="F381" s="19">
        <v>203584.43322000006</v>
      </c>
      <c r="G381" s="19">
        <v>108342.02627993182</v>
      </c>
    </row>
    <row r="382" spans="1:7" ht="11.25" customHeight="1" x14ac:dyDescent="0.2">
      <c r="A382" s="29">
        <v>44531</v>
      </c>
      <c r="B382" s="19">
        <v>0</v>
      </c>
      <c r="C382" s="19">
        <v>183284.75508000006</v>
      </c>
      <c r="D382" s="19">
        <v>0</v>
      </c>
      <c r="E382" s="19">
        <v>97539.096862723411</v>
      </c>
      <c r="F382" s="19">
        <v>183284.75508000006</v>
      </c>
      <c r="G382" s="19">
        <v>97539.096862723411</v>
      </c>
    </row>
    <row r="383" spans="1:7" ht="11.25" customHeight="1" x14ac:dyDescent="0.2">
      <c r="A383" s="29">
        <v>44562</v>
      </c>
      <c r="B383" s="19">
        <v>0</v>
      </c>
      <c r="C383" s="19">
        <v>179145.38250000004</v>
      </c>
      <c r="D383" s="19">
        <v>0</v>
      </c>
      <c r="E383" s="19">
        <v>95336.236822043575</v>
      </c>
      <c r="F383" s="19">
        <v>179145.38250000004</v>
      </c>
      <c r="G383" s="19">
        <v>95336.236822043575</v>
      </c>
    </row>
    <row r="384" spans="1:7" ht="11.25" customHeight="1" x14ac:dyDescent="0.2">
      <c r="A384" s="29">
        <v>44593</v>
      </c>
      <c r="B384" s="19">
        <v>0</v>
      </c>
      <c r="C384" s="19">
        <v>190122.92880000005</v>
      </c>
      <c r="D384" s="19">
        <v>0</v>
      </c>
      <c r="E384" s="19">
        <v>101178.18451378355</v>
      </c>
      <c r="F384" s="19">
        <v>190122.92880000005</v>
      </c>
      <c r="G384" s="19">
        <v>101178.18451378355</v>
      </c>
    </row>
    <row r="385" spans="1:7" ht="11.25" customHeight="1" x14ac:dyDescent="0.2">
      <c r="A385" s="29">
        <v>44621</v>
      </c>
      <c r="B385" s="19">
        <v>0</v>
      </c>
      <c r="C385" s="19">
        <v>190122.92880000005</v>
      </c>
      <c r="D385" s="19">
        <v>0</v>
      </c>
      <c r="E385" s="19">
        <v>101178.18451378355</v>
      </c>
      <c r="F385" s="19">
        <v>190122.92880000005</v>
      </c>
      <c r="G385" s="19">
        <v>101178.18451378355</v>
      </c>
    </row>
    <row r="386" spans="1:7" ht="11.25" customHeight="1" x14ac:dyDescent="0.2">
      <c r="A386" s="21" t="s">
        <v>572</v>
      </c>
      <c r="B386" s="19">
        <v>0</v>
      </c>
      <c r="C386" s="19">
        <v>0</v>
      </c>
      <c r="D386" s="19">
        <v>0</v>
      </c>
      <c r="E386" s="19">
        <v>0</v>
      </c>
      <c r="F386" s="19">
        <v>0</v>
      </c>
      <c r="G386" s="19">
        <v>0</v>
      </c>
    </row>
    <row r="387" spans="1:7" ht="11.25" customHeight="1" x14ac:dyDescent="0.2">
      <c r="A387" s="22" t="s">
        <v>22</v>
      </c>
      <c r="B387" s="19">
        <v>0</v>
      </c>
      <c r="C387" s="19">
        <v>0</v>
      </c>
      <c r="D387" s="19">
        <v>0</v>
      </c>
      <c r="E387" s="19">
        <v>0</v>
      </c>
      <c r="F387" s="19">
        <v>0</v>
      </c>
      <c r="G387" s="19">
        <v>0</v>
      </c>
    </row>
    <row r="388" spans="1:7" ht="11.25" customHeight="1" x14ac:dyDescent="0.2">
      <c r="A388" s="23" t="s">
        <v>23</v>
      </c>
      <c r="B388" s="19">
        <v>0</v>
      </c>
      <c r="C388" s="19">
        <v>0</v>
      </c>
      <c r="D388" s="19">
        <v>0</v>
      </c>
      <c r="E388" s="19">
        <v>0</v>
      </c>
      <c r="F388" s="19">
        <v>0</v>
      </c>
      <c r="G388" s="19">
        <v>0</v>
      </c>
    </row>
    <row r="389" spans="1:7" ht="11.25" customHeight="1" x14ac:dyDescent="0.2">
      <c r="A389" s="24" t="s">
        <v>24</v>
      </c>
      <c r="B389" s="19">
        <v>0</v>
      </c>
      <c r="C389" s="19">
        <v>0</v>
      </c>
      <c r="D389" s="19">
        <v>0</v>
      </c>
      <c r="E389" s="19">
        <v>0</v>
      </c>
      <c r="F389" s="19">
        <v>0</v>
      </c>
      <c r="G389" s="19">
        <v>0</v>
      </c>
    </row>
    <row r="390" spans="1:7" ht="11.25" customHeight="1" x14ac:dyDescent="0.2">
      <c r="A390" s="25" t="s">
        <v>24</v>
      </c>
      <c r="B390" s="19">
        <v>0</v>
      </c>
      <c r="C390" s="19">
        <v>0</v>
      </c>
      <c r="D390" s="19">
        <v>0</v>
      </c>
      <c r="E390" s="19">
        <v>0</v>
      </c>
      <c r="F390" s="19">
        <v>0</v>
      </c>
      <c r="G390" s="19">
        <v>0</v>
      </c>
    </row>
    <row r="391" spans="1:7" ht="11.25" customHeight="1" x14ac:dyDescent="0.2">
      <c r="A391" s="26" t="s">
        <v>25</v>
      </c>
      <c r="B391" s="19">
        <v>0</v>
      </c>
      <c r="C391" s="19">
        <v>0</v>
      </c>
      <c r="D391" s="19">
        <v>0</v>
      </c>
      <c r="E391" s="19">
        <v>0</v>
      </c>
      <c r="F391" s="19">
        <v>0</v>
      </c>
      <c r="G391" s="19">
        <v>0</v>
      </c>
    </row>
    <row r="392" spans="1:7" ht="11.25" customHeight="1" x14ac:dyDescent="0.2">
      <c r="A392" s="27" t="s">
        <v>25</v>
      </c>
      <c r="B392" s="19">
        <v>0</v>
      </c>
      <c r="C392" s="19">
        <v>0</v>
      </c>
      <c r="D392" s="19">
        <v>0</v>
      </c>
      <c r="E392" s="19">
        <v>0</v>
      </c>
      <c r="F392" s="19">
        <v>0</v>
      </c>
      <c r="G392" s="19">
        <v>0</v>
      </c>
    </row>
    <row r="393" spans="1:7" ht="11.25" customHeight="1" x14ac:dyDescent="0.2">
      <c r="A393" s="28" t="s">
        <v>25</v>
      </c>
      <c r="B393" s="19">
        <v>0</v>
      </c>
      <c r="C393" s="19">
        <v>0</v>
      </c>
      <c r="D393" s="19">
        <v>0</v>
      </c>
      <c r="E393" s="19">
        <v>0</v>
      </c>
      <c r="F393" s="19">
        <v>0</v>
      </c>
      <c r="G393" s="19">
        <v>0</v>
      </c>
    </row>
    <row r="394" spans="1:7" ht="11.25" customHeight="1" x14ac:dyDescent="0.2">
      <c r="A394" s="29">
        <v>44287</v>
      </c>
      <c r="B394" s="19">
        <v>0</v>
      </c>
      <c r="C394" s="19">
        <v>0</v>
      </c>
      <c r="D394" s="19">
        <v>0</v>
      </c>
      <c r="E394" s="19">
        <v>0</v>
      </c>
      <c r="F394" s="19">
        <v>0</v>
      </c>
      <c r="G394" s="19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A5B55-C089-4564-9375-9E749AE4BE2B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78" bestFit="1" customWidth="1"/>
    <col min="2" max="2" width="11.140625" style="78" bestFit="1" customWidth="1"/>
    <col min="3" max="3" width="10.28515625" style="78" bestFit="1" customWidth="1"/>
    <col min="4" max="4" width="6.28515625" style="78" bestFit="1" customWidth="1"/>
    <col min="5" max="10" width="7.7109375" style="78" customWidth="1"/>
    <col min="11" max="12" width="9.140625" style="78"/>
    <col min="13" max="13" width="14.28515625" style="78" customWidth="1"/>
    <col min="14" max="14" width="16.7109375" style="78" customWidth="1"/>
    <col min="15" max="15" width="31.7109375" style="78" customWidth="1"/>
    <col min="16" max="22" width="7.7109375" style="78" customWidth="1"/>
    <col min="23" max="16384" width="9.140625" style="78"/>
  </cols>
  <sheetData>
    <row r="1" spans="1:22" ht="11.25" customHeight="1" x14ac:dyDescent="0.25">
      <c r="A1" s="124" t="s">
        <v>625</v>
      </c>
      <c r="B1" s="144"/>
      <c r="C1" s="144"/>
      <c r="D1" s="144"/>
      <c r="E1" s="144"/>
      <c r="F1" s="144"/>
      <c r="G1" s="144"/>
      <c r="H1" s="144"/>
      <c r="I1" s="144"/>
      <c r="J1" s="144"/>
      <c r="L1" s="124" t="s">
        <v>635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</row>
    <row r="2" spans="1:22" ht="11.25" customHeight="1" x14ac:dyDescent="0.25">
      <c r="A2" s="140" t="s">
        <v>63</v>
      </c>
      <c r="B2" s="140" t="s">
        <v>64</v>
      </c>
      <c r="C2" s="140" t="s">
        <v>626</v>
      </c>
      <c r="D2" s="140" t="s">
        <v>69</v>
      </c>
      <c r="E2" s="140" t="s">
        <v>627</v>
      </c>
      <c r="F2" s="143"/>
      <c r="G2" s="143"/>
      <c r="H2" s="140" t="s">
        <v>440</v>
      </c>
      <c r="I2" s="143"/>
      <c r="J2" s="143"/>
      <c r="L2" s="140" t="s">
        <v>63</v>
      </c>
      <c r="M2" s="140" t="s">
        <v>64</v>
      </c>
      <c r="N2" s="140" t="s">
        <v>65</v>
      </c>
      <c r="O2" s="140" t="s">
        <v>66</v>
      </c>
      <c r="P2" s="140" t="s">
        <v>69</v>
      </c>
      <c r="Q2" s="140" t="s">
        <v>627</v>
      </c>
      <c r="R2" s="145"/>
      <c r="S2" s="145"/>
      <c r="T2" s="140" t="s">
        <v>440</v>
      </c>
      <c r="U2" s="145"/>
      <c r="V2" s="145"/>
    </row>
    <row r="3" spans="1:22" ht="11.25" customHeight="1" x14ac:dyDescent="0.25">
      <c r="A3" s="143"/>
      <c r="B3" s="143"/>
      <c r="C3" s="143"/>
      <c r="D3" s="143"/>
      <c r="E3" s="140" t="s">
        <v>399</v>
      </c>
      <c r="F3" s="143"/>
      <c r="G3" s="111" t="s">
        <v>427</v>
      </c>
      <c r="H3" s="140" t="s">
        <v>399</v>
      </c>
      <c r="I3" s="143"/>
      <c r="J3" s="111" t="s">
        <v>427</v>
      </c>
      <c r="L3" s="145"/>
      <c r="M3" s="145"/>
      <c r="N3" s="145"/>
      <c r="O3" s="145"/>
      <c r="P3" s="145"/>
      <c r="Q3" s="140" t="s">
        <v>399</v>
      </c>
      <c r="R3" s="145"/>
      <c r="S3" s="111" t="s">
        <v>427</v>
      </c>
      <c r="T3" s="140" t="s">
        <v>399</v>
      </c>
      <c r="U3" s="145"/>
      <c r="V3" s="111" t="s">
        <v>427</v>
      </c>
    </row>
    <row r="4" spans="1:22" ht="11.25" customHeight="1" x14ac:dyDescent="0.25">
      <c r="A4" s="143"/>
      <c r="B4" s="143"/>
      <c r="C4" s="143"/>
      <c r="D4" s="143"/>
      <c r="E4" s="111" t="s">
        <v>628</v>
      </c>
      <c r="F4" s="111" t="s">
        <v>629</v>
      </c>
      <c r="G4" s="111" t="s">
        <v>629</v>
      </c>
      <c r="H4" s="111" t="s">
        <v>628</v>
      </c>
      <c r="I4" s="111" t="s">
        <v>629</v>
      </c>
      <c r="J4" s="111" t="s">
        <v>629</v>
      </c>
      <c r="L4" s="145"/>
      <c r="M4" s="145"/>
      <c r="N4" s="145"/>
      <c r="O4" s="145"/>
      <c r="P4" s="145"/>
      <c r="Q4" s="111" t="s">
        <v>628</v>
      </c>
      <c r="R4" s="111" t="s">
        <v>629</v>
      </c>
      <c r="S4" s="111" t="s">
        <v>629</v>
      </c>
      <c r="T4" s="111" t="s">
        <v>628</v>
      </c>
      <c r="U4" s="111" t="s">
        <v>629</v>
      </c>
      <c r="V4" s="111" t="s">
        <v>629</v>
      </c>
    </row>
    <row r="5" spans="1:22" ht="11.25" customHeight="1" x14ac:dyDescent="0.25">
      <c r="A5" s="142" t="s">
        <v>33</v>
      </c>
      <c r="B5" s="142" t="s">
        <v>43</v>
      </c>
      <c r="C5" s="142" t="s">
        <v>25</v>
      </c>
      <c r="D5" s="112" t="s">
        <v>630</v>
      </c>
      <c r="E5" s="57">
        <f ca="1">ROUND('TUSD BE'!$AM$5+'TUSD BF'!$AM$5+'TUSD CVA'!$AM$5,2)</f>
        <v>94.44</v>
      </c>
      <c r="F5" s="57">
        <f ca="1">ROUND('TUSD BE'!$AM$7+'TUSD BF'!$AM$7+'TUSD CVA'!$AM$7,2)</f>
        <v>103.31</v>
      </c>
      <c r="G5" s="57">
        <f>ROUND('TE BE'!$AA$5+'TE BF'!$AA$5+'TE CVA'!$AA$5,2)</f>
        <v>217.63</v>
      </c>
      <c r="H5" s="57">
        <f ca="1">ROUND('TUSD BE'!$AM$5,2)</f>
        <v>123.34</v>
      </c>
      <c r="I5" s="57">
        <f ca="1">ROUND('TUSD BE'!$AM$7,2)</f>
        <v>103.13</v>
      </c>
      <c r="J5" s="57">
        <f>ROUND('TE BE'!$AA$5,2)</f>
        <v>199.16</v>
      </c>
      <c r="L5" s="146" t="s">
        <v>22</v>
      </c>
      <c r="M5" s="146" t="s">
        <v>636</v>
      </c>
      <c r="N5" s="146" t="s">
        <v>637</v>
      </c>
      <c r="O5" s="146" t="s">
        <v>637</v>
      </c>
      <c r="P5" s="112" t="s">
        <v>630</v>
      </c>
      <c r="Q5" s="57">
        <v>0</v>
      </c>
      <c r="R5" s="57">
        <f ca="1">ROUND('TUSD BE'!$AM$17+'TUSD BF'!$AM$17+'TUSD CVA'!$AM$17,2)</f>
        <v>941.02</v>
      </c>
      <c r="S5" s="57">
        <f>ROUND('TE BE'!$AA$7+'TE BF'!$AA$7+'TE CVA'!$AA$7,2)</f>
        <v>217.63</v>
      </c>
      <c r="T5" s="57">
        <v>0</v>
      </c>
      <c r="U5" s="57">
        <f ca="1">ROUND('TUSD BE'!$AM$17,2)</f>
        <v>1249.98</v>
      </c>
      <c r="V5" s="57">
        <f>ROUND('TE BE'!$AA$7,2)</f>
        <v>199.16</v>
      </c>
    </row>
    <row r="6" spans="1:22" ht="11.25" customHeight="1" x14ac:dyDescent="0.25">
      <c r="A6" s="143"/>
      <c r="B6" s="143"/>
      <c r="C6" s="143"/>
      <c r="D6" s="112" t="s">
        <v>631</v>
      </c>
      <c r="E6" s="57">
        <f ca="1">ROUND('TUSD BE'!$AM$6+'TUSD BF'!$AM$6+'TUSD CVA'!$AM$6,2)</f>
        <v>24.27</v>
      </c>
      <c r="F6" s="57">
        <f ca="1">ROUND('TUSD BE'!$AM$7+'TUSD BF'!$AM$7+'TUSD CVA'!$AM$7,2)</f>
        <v>103.31</v>
      </c>
      <c r="G6" s="57">
        <f>ROUND('TE BE'!$AA$6+'TE BF'!$AA$6+'TE CVA'!$AA$6,2)</f>
        <v>217.63</v>
      </c>
      <c r="H6" s="57">
        <f ca="1">ROUND('TUSD BE'!$AM$6,2)</f>
        <v>32.21</v>
      </c>
      <c r="I6" s="57">
        <f ca="1">ROUND('TUSD BE'!$AM$7,2)</f>
        <v>103.13</v>
      </c>
      <c r="J6" s="57">
        <f>ROUND('TE BE'!$AA$6,2)</f>
        <v>199.16</v>
      </c>
      <c r="L6" s="147"/>
      <c r="M6" s="147"/>
      <c r="N6" s="147"/>
      <c r="O6" s="147"/>
      <c r="P6" s="112" t="s">
        <v>638</v>
      </c>
      <c r="Q6" s="57">
        <v>0</v>
      </c>
      <c r="R6" s="57">
        <f ca="1">ROUND('TUSD BE'!$AM$18+'TUSD BF'!$AM$18+'TUSD CVA'!$AM$18,2)</f>
        <v>262.14999999999998</v>
      </c>
      <c r="S6" s="57">
        <f>ROUND('TE BE'!$AA$8+'TE BF'!$AA$8+'TE CVA'!$AA$8,2)</f>
        <v>217.63</v>
      </c>
      <c r="T6" s="57">
        <v>0</v>
      </c>
      <c r="U6" s="57">
        <f ca="1">ROUND('TUSD BE'!$AM$18,2)</f>
        <v>308.47000000000003</v>
      </c>
      <c r="V6" s="57">
        <f>ROUND('TE BE'!$AA$8,2)</f>
        <v>199.16</v>
      </c>
    </row>
    <row r="7" spans="1:22" ht="11.25" customHeight="1" x14ac:dyDescent="0.25">
      <c r="A7" s="143"/>
      <c r="B7" s="142" t="s">
        <v>632</v>
      </c>
      <c r="C7" s="142" t="s">
        <v>25</v>
      </c>
      <c r="D7" s="112" t="s">
        <v>630</v>
      </c>
      <c r="E7" s="57">
        <f ca="1">ROUND('TUSD BE'!$AM$5+'TUSD BF'!$AM$5+'TUSD CVA'!$AM$5,2)</f>
        <v>94.44</v>
      </c>
      <c r="F7" s="57">
        <f ca="1">ROUND('TUSD BE'!$AM$8+'TUSD BF'!$AM$8+'TUSD CVA'!$AM$8,2)</f>
        <v>18.98</v>
      </c>
      <c r="G7" s="57">
        <v>0</v>
      </c>
      <c r="H7" s="57">
        <f ca="1">ROUND('TUSD BE'!$AM$5,2)</f>
        <v>123.34</v>
      </c>
      <c r="I7" s="57">
        <f ca="1">ROUND('TUSD BE'!$AM$8,2)</f>
        <v>17.010000000000002</v>
      </c>
      <c r="J7" s="57">
        <v>0</v>
      </c>
      <c r="L7" s="147"/>
      <c r="M7" s="148"/>
      <c r="N7" s="148"/>
      <c r="O7" s="148"/>
      <c r="P7" s="112" t="s">
        <v>631</v>
      </c>
      <c r="Q7" s="57">
        <v>0</v>
      </c>
      <c r="R7" s="57">
        <f ca="1">ROUND('TUSD BE'!$AM$19+'TUSD BF'!$AM$19+'TUSD CVA'!$AM$19,2)</f>
        <v>351.48</v>
      </c>
      <c r="S7" s="57">
        <f>ROUND('TE BE'!$AA$9+'TE BF'!$AA$9+'TE CVA'!$AA$9,2)</f>
        <v>217.63</v>
      </c>
      <c r="T7" s="57">
        <v>0</v>
      </c>
      <c r="U7" s="57">
        <f ca="1">ROUND('TUSD BE'!$AM$19,2)</f>
        <v>432.36</v>
      </c>
      <c r="V7" s="57">
        <f>ROUND('TE BE'!$AA$9,2)</f>
        <v>199.16</v>
      </c>
    </row>
    <row r="8" spans="1:22" ht="11.25" customHeight="1" x14ac:dyDescent="0.25">
      <c r="A8" s="143"/>
      <c r="B8" s="143"/>
      <c r="C8" s="143"/>
      <c r="D8" s="112" t="s">
        <v>631</v>
      </c>
      <c r="E8" s="57">
        <f ca="1">ROUND('TUSD BE'!$AM$6+'TUSD BF'!$AM$6+'TUSD CVA'!$AM$6,2)</f>
        <v>24.27</v>
      </c>
      <c r="F8" s="57">
        <f ca="1">ROUND('TUSD BE'!$AM$8+'TUSD BF'!$AM$8+'TUSD CVA'!$AM$8,2)</f>
        <v>18.98</v>
      </c>
      <c r="G8" s="57">
        <v>0</v>
      </c>
      <c r="H8" s="57">
        <f ca="1">ROUND('TUSD BE'!$AM$6,2)</f>
        <v>32.21</v>
      </c>
      <c r="I8" s="57">
        <f ca="1">ROUND('TUSD BE'!$AM$8,2)</f>
        <v>17.010000000000002</v>
      </c>
      <c r="J8" s="57">
        <v>0</v>
      </c>
      <c r="L8" s="147"/>
      <c r="M8" s="112" t="s">
        <v>639</v>
      </c>
      <c r="N8" s="112" t="s">
        <v>637</v>
      </c>
      <c r="O8" s="112" t="s">
        <v>637</v>
      </c>
      <c r="P8" s="112" t="s">
        <v>633</v>
      </c>
      <c r="Q8" s="57">
        <v>0</v>
      </c>
      <c r="R8" s="57">
        <f ca="1">ROUND('TUSD BE'!$AM$25+'TUSD BF'!$AM$25+'TUSD CVA'!$AM$25,2)</f>
        <v>494.39</v>
      </c>
      <c r="S8" s="57">
        <f>ROUND('TE BE'!$AA$15+'TE BF'!$AA$15+'TE CVA'!$AA$15,2)</f>
        <v>217.63</v>
      </c>
      <c r="T8" s="57">
        <v>0</v>
      </c>
      <c r="U8" s="57">
        <f ca="1">ROUND('TUSD BE'!$AM$25,2)</f>
        <v>630.57000000000005</v>
      </c>
      <c r="V8" s="57">
        <f>ROUND('TE BE'!$AA$15,2)</f>
        <v>199.16</v>
      </c>
    </row>
    <row r="9" spans="1:22" ht="11.25" customHeight="1" x14ac:dyDescent="0.25">
      <c r="A9" s="143"/>
      <c r="B9" s="142" t="s">
        <v>34</v>
      </c>
      <c r="C9" s="142" t="s">
        <v>25</v>
      </c>
      <c r="D9" s="112" t="s">
        <v>633</v>
      </c>
      <c r="E9" s="57">
        <f ca="1">ROUND('TUSD BE'!$AM$10+'TUSD BF'!$AM$10+'TUSD CVA'!$AM$10,2)</f>
        <v>24.27</v>
      </c>
      <c r="F9" s="57">
        <v>0</v>
      </c>
      <c r="G9" s="57">
        <v>0</v>
      </c>
      <c r="H9" s="57">
        <f ca="1">ROUND('TUSD BE'!$AM$10,2)</f>
        <v>32.21</v>
      </c>
      <c r="I9" s="57">
        <v>0</v>
      </c>
      <c r="J9" s="57">
        <v>0</v>
      </c>
      <c r="L9" s="147"/>
      <c r="M9" s="112" t="s">
        <v>641</v>
      </c>
      <c r="N9" s="112" t="s">
        <v>637</v>
      </c>
      <c r="O9" s="112" t="s">
        <v>637</v>
      </c>
      <c r="P9" s="112" t="s">
        <v>633</v>
      </c>
      <c r="Q9" s="57">
        <v>0</v>
      </c>
      <c r="R9" s="57">
        <f ca="1">ROUND('TUSD BE'!$AM$20+'TUSD BF'!$AM$20+'TUSD CVA'!$AM$20,2)</f>
        <v>494.39</v>
      </c>
      <c r="S9" s="57">
        <f>ROUND('TE BE'!$AA$10+'TE BF'!$AA$10+'TE CVA'!$AA$10,2)</f>
        <v>217.63</v>
      </c>
      <c r="T9" s="57">
        <v>0</v>
      </c>
      <c r="U9" s="57">
        <f ca="1">ROUND('TUSD BE'!$AM$20,2)</f>
        <v>630.57000000000005</v>
      </c>
      <c r="V9" s="57">
        <f>ROUND('TE BE'!$AA$10,2)</f>
        <v>199.16</v>
      </c>
    </row>
    <row r="10" spans="1:22" ht="11.25" customHeight="1" x14ac:dyDescent="0.25">
      <c r="A10" s="143"/>
      <c r="B10" s="143"/>
      <c r="C10" s="143"/>
      <c r="D10" s="112" t="s">
        <v>630</v>
      </c>
      <c r="E10" s="57">
        <v>0</v>
      </c>
      <c r="F10" s="57">
        <f ca="1">ROUND('TUSD BE'!$AM$11+'TUSD BF'!$AM$11+'TUSD CVA'!$AM$11,2)</f>
        <v>2373.6799999999998</v>
      </c>
      <c r="G10" s="57">
        <f>ROUND('TE BE'!$AA$5+'TE BF'!$AA$5+'TE CVA'!$AA$5,2)</f>
        <v>217.63</v>
      </c>
      <c r="H10" s="57">
        <v>0</v>
      </c>
      <c r="I10" s="57">
        <f ca="1">ROUND('TUSD BE'!$AM$11,2)</f>
        <v>3068.63</v>
      </c>
      <c r="J10" s="57">
        <f>ROUND('TE BE'!$AA$5,2)</f>
        <v>199.16</v>
      </c>
      <c r="L10" s="147"/>
      <c r="M10" s="112" t="s">
        <v>639</v>
      </c>
      <c r="N10" s="112" t="s">
        <v>637</v>
      </c>
      <c r="O10" s="112" t="s">
        <v>640</v>
      </c>
      <c r="P10" s="112" t="s">
        <v>633</v>
      </c>
      <c r="Q10" s="57">
        <v>0</v>
      </c>
      <c r="R10" s="57">
        <f ca="1">ROUND('TUSD BE'!$AM$26+'TUSD BF'!$AM$26+'TUSD CVA'!$AM$26,2)</f>
        <v>396.66</v>
      </c>
      <c r="S10" s="57">
        <f>ROUND('TE BE'!$AA$16+'TE BF'!$AA$16+'TE CVA'!$AA$16,2)</f>
        <v>217.63</v>
      </c>
      <c r="T10" s="57">
        <v>0</v>
      </c>
      <c r="U10" s="57">
        <f ca="1">ROUND('TUSD BE'!$AM$26,2)</f>
        <v>530.74</v>
      </c>
      <c r="V10" s="57">
        <f>ROUND('TE BE'!$AA$16,2)</f>
        <v>199.16</v>
      </c>
    </row>
    <row r="11" spans="1:22" ht="11.25" customHeight="1" x14ac:dyDescent="0.25">
      <c r="A11" s="143"/>
      <c r="B11" s="143"/>
      <c r="C11" s="143"/>
      <c r="D11" s="112" t="s">
        <v>631</v>
      </c>
      <c r="E11" s="57">
        <v>0</v>
      </c>
      <c r="F11" s="57">
        <f ca="1">ROUND('TUSD BE'!$AM$12+'TUSD BF'!$AM$12+'TUSD CVA'!$AM$12,2)</f>
        <v>103.31</v>
      </c>
      <c r="G11" s="57">
        <f>ROUND('TE BE'!$AA$6+'TE BF'!$AA$6+'TE CVA'!$AA$6,2)</f>
        <v>217.63</v>
      </c>
      <c r="H11" s="57">
        <v>0</v>
      </c>
      <c r="I11" s="57">
        <f ca="1">ROUND('TUSD BE'!$AM$12,2)</f>
        <v>103.13</v>
      </c>
      <c r="J11" s="57">
        <f>ROUND('TE BE'!$AA$6,2)</f>
        <v>199.16</v>
      </c>
      <c r="L11" s="148"/>
      <c r="M11" s="112" t="s">
        <v>641</v>
      </c>
      <c r="N11" s="112" t="s">
        <v>637</v>
      </c>
      <c r="O11" s="112" t="s">
        <v>640</v>
      </c>
      <c r="P11" s="112" t="s">
        <v>633</v>
      </c>
      <c r="Q11" s="57">
        <v>0</v>
      </c>
      <c r="R11" s="57">
        <f ca="1">ROUND('TUSD BE'!$AM$21+'TUSD BF'!$AM$21+'TUSD CVA'!$AM$21,2)</f>
        <v>396.66</v>
      </c>
      <c r="S11" s="57">
        <f>ROUND('TE BE'!$AA$11+'TE BF'!$AA$11+'TE CVA'!$AA$11,2)</f>
        <v>217.63</v>
      </c>
      <c r="T11" s="57">
        <v>0</v>
      </c>
      <c r="U11" s="57">
        <f ca="1">ROUND('TUSD BE'!$AM$21,2)</f>
        <v>530.74</v>
      </c>
      <c r="V11" s="57">
        <f>ROUND('TE BE'!$AA$11,2)</f>
        <v>199.16</v>
      </c>
    </row>
    <row r="12" spans="1:22" ht="11.25" customHeight="1" x14ac:dyDescent="0.25">
      <c r="A12" s="143"/>
      <c r="B12" s="142" t="s">
        <v>634</v>
      </c>
      <c r="C12" s="142" t="s">
        <v>25</v>
      </c>
      <c r="D12" s="112" t="s">
        <v>633</v>
      </c>
      <c r="E12" s="57">
        <f ca="1">ROUND('TUSD BE'!$AM$10+'TUSD BF'!$AM$10+'TUSD CVA'!$AM$10,2)</f>
        <v>24.27</v>
      </c>
      <c r="F12" s="57">
        <v>0</v>
      </c>
      <c r="G12" s="57">
        <v>0</v>
      </c>
      <c r="H12" s="57">
        <f ca="1">ROUND('TUSD BE'!$AM$10,2)</f>
        <v>32.21</v>
      </c>
      <c r="I12" s="57">
        <v>0</v>
      </c>
      <c r="J12" s="57">
        <v>0</v>
      </c>
      <c r="L12" s="146" t="s">
        <v>40</v>
      </c>
      <c r="M12" s="146" t="s">
        <v>636</v>
      </c>
      <c r="N12" s="146" t="s">
        <v>642</v>
      </c>
      <c r="O12" s="146" t="s">
        <v>643</v>
      </c>
      <c r="P12" s="112" t="s">
        <v>630</v>
      </c>
      <c r="Q12" s="57">
        <v>0</v>
      </c>
      <c r="R12" s="57">
        <f ca="1">ROUND(('TUSD BE'!$AM$30+'TUSD BF'!$AM$30+'TUSD CVA'!$AM$30)*(1-CUSTOS!$M$38),2)</f>
        <v>954.1</v>
      </c>
      <c r="S12" s="57">
        <f>ROUND(('TE BE'!$AA$20+'TE BF'!$AA$20+'TE CVA'!$AA$20)*(1-CUSTOS!$M$38),2)</f>
        <v>204.57</v>
      </c>
      <c r="T12" s="57">
        <v>0</v>
      </c>
      <c r="U12" s="57">
        <f ca="1">ROUND('TUSD BE'!$AM$30*(1-CUSTOS!$M$38),2)</f>
        <v>1271.43</v>
      </c>
      <c r="V12" s="57">
        <f>ROUND('TE BE'!$AA$20*(1-CUSTOS!$M$38),2)</f>
        <v>187.21</v>
      </c>
    </row>
    <row r="13" spans="1:22" ht="11.25" customHeight="1" x14ac:dyDescent="0.25">
      <c r="A13" s="143"/>
      <c r="B13" s="143"/>
      <c r="C13" s="143"/>
      <c r="D13" s="112" t="s">
        <v>630</v>
      </c>
      <c r="E13" s="57">
        <v>0</v>
      </c>
      <c r="F13" s="57">
        <f ca="1">ROUND('TUSD BE'!$AM$13+'TUSD BF'!$AM$13+'TUSD CVA'!$AM$13,2)</f>
        <v>2289.35</v>
      </c>
      <c r="G13" s="57">
        <v>0</v>
      </c>
      <c r="H13" s="57">
        <v>0</v>
      </c>
      <c r="I13" s="57">
        <f ca="1">ROUND('TUSD BE'!$AM$13,2)</f>
        <v>2982.5</v>
      </c>
      <c r="J13" s="57">
        <v>0</v>
      </c>
      <c r="L13" s="147"/>
      <c r="M13" s="147"/>
      <c r="N13" s="147"/>
      <c r="O13" s="147"/>
      <c r="P13" s="112" t="s">
        <v>638</v>
      </c>
      <c r="Q13" s="57">
        <v>0</v>
      </c>
      <c r="R13" s="57">
        <f ca="1">ROUND(('TUSD BE'!$AM$31+'TUSD BF'!$AM$31+'TUSD CVA'!$AM$31)*(1-CUSTOS!$M$38),2)</f>
        <v>623.98</v>
      </c>
      <c r="S13" s="57">
        <f>ROUND(('TE BE'!$AA$21+'TE BF'!$AA$21+'TE CVA'!$AA$21)*(1-CUSTOS!$M$38),2)</f>
        <v>204.57</v>
      </c>
      <c r="T13" s="57">
        <v>0</v>
      </c>
      <c r="U13" s="57">
        <f ca="1">ROUND('TUSD BE'!$AM$31*(1-CUSTOS!$M$38),2)</f>
        <v>813.6</v>
      </c>
      <c r="V13" s="57">
        <f>ROUND('TE BE'!$AA$21*(1-CUSTOS!$M$38),2)</f>
        <v>187.21</v>
      </c>
    </row>
    <row r="14" spans="1:22" ht="11.25" customHeight="1" x14ac:dyDescent="0.25">
      <c r="A14" s="143"/>
      <c r="B14" s="143"/>
      <c r="C14" s="143"/>
      <c r="D14" s="112" t="s">
        <v>631</v>
      </c>
      <c r="E14" s="57">
        <v>0</v>
      </c>
      <c r="F14" s="57">
        <f ca="1">ROUND('TUSD BE'!$AM$14+'TUSD BF'!$AM$14+'TUSD CVA'!$AM$14,2)</f>
        <v>18.98</v>
      </c>
      <c r="G14" s="57">
        <v>0</v>
      </c>
      <c r="H14" s="57">
        <v>0</v>
      </c>
      <c r="I14" s="57">
        <f ca="1">ROUND('TUSD BE'!$AM$14,2)</f>
        <v>17.010000000000002</v>
      </c>
      <c r="J14" s="57">
        <v>0</v>
      </c>
      <c r="L14" s="147"/>
      <c r="M14" s="148"/>
      <c r="N14" s="148"/>
      <c r="O14" s="148"/>
      <c r="P14" s="112" t="s">
        <v>631</v>
      </c>
      <c r="Q14" s="57">
        <v>0</v>
      </c>
      <c r="R14" s="57">
        <f ca="1">ROUND(('TUSD BE'!$AM$32+'TUSD BF'!$AM$32+'TUSD CVA'!$AM$32)*(1-CUSTOS!$M$38),2)</f>
        <v>293.89</v>
      </c>
      <c r="S14" s="57">
        <f>ROUND(('TE BE'!$AA$22+'TE BF'!$AA$22+'TE CVA'!$AA$22)*(1-CUSTOS!$M$38),2)</f>
        <v>204.57</v>
      </c>
      <c r="T14" s="57">
        <v>0</v>
      </c>
      <c r="U14" s="57">
        <f ca="1">ROUND('TUSD BE'!$AM$32*(1-CUSTOS!$M$38),2)</f>
        <v>355.81</v>
      </c>
      <c r="V14" s="57">
        <f>ROUND('TE BE'!$AA$22*(1-CUSTOS!$M$38),2)</f>
        <v>187.21</v>
      </c>
    </row>
    <row r="15" spans="1:22" ht="11.25" customHeight="1" x14ac:dyDescent="0.25">
      <c r="A15" s="143"/>
      <c r="B15" s="112" t="s">
        <v>81</v>
      </c>
      <c r="C15" s="112" t="s">
        <v>25</v>
      </c>
      <c r="D15" s="112" t="s">
        <v>633</v>
      </c>
      <c r="E15" s="57">
        <f ca="1">ROUND('TUSD BE'!$AM$9+'TUSD BF'!$AM$9+'TUSD CVA'!$AM$9,2)</f>
        <v>8.5500000000000007</v>
      </c>
      <c r="F15" s="57">
        <v>0</v>
      </c>
      <c r="G15" s="57">
        <v>0</v>
      </c>
      <c r="H15" s="57">
        <f ca="1">ROUND('TUSD BE'!$AM$9,2)</f>
        <v>13.8</v>
      </c>
      <c r="I15" s="57">
        <v>0</v>
      </c>
      <c r="J15" s="57">
        <v>0</v>
      </c>
      <c r="L15" s="147"/>
      <c r="M15" s="112" t="s">
        <v>639</v>
      </c>
      <c r="N15" s="112" t="s">
        <v>642</v>
      </c>
      <c r="O15" s="112" t="s">
        <v>643</v>
      </c>
      <c r="P15" s="112" t="s">
        <v>633</v>
      </c>
      <c r="Q15" s="57">
        <v>0</v>
      </c>
      <c r="R15" s="57">
        <f ca="1">ROUND(('TUSD BE'!$AM$42+'TUSD BF'!$AM$42+'TUSD CVA'!$AM$42)*(1-CUSTOS!$M$38),2)</f>
        <v>464.73</v>
      </c>
      <c r="S15" s="57">
        <f>ROUND(('TE BE'!$AA$32+'TE BF'!$AA$32+'TE CVA'!$AA$32)*(1-CUSTOS!$M$38),2)</f>
        <v>204.57</v>
      </c>
      <c r="T15" s="57">
        <v>0</v>
      </c>
      <c r="U15" s="57">
        <f ca="1">ROUND(('TUSD BE'!$AM$42)*(1-CUSTOS!$M$38),2)</f>
        <v>592.73</v>
      </c>
      <c r="V15" s="57">
        <f>ROUND(('TE BE'!$AA$32)*(1-CUSTOS!$M$38),2)</f>
        <v>187.21</v>
      </c>
    </row>
    <row r="16" spans="1:22" ht="11.25" customHeight="1" x14ac:dyDescent="0.25">
      <c r="L16" s="147"/>
      <c r="M16" s="112" t="s">
        <v>641</v>
      </c>
      <c r="N16" s="112" t="s">
        <v>642</v>
      </c>
      <c r="O16" s="112" t="s">
        <v>643</v>
      </c>
      <c r="P16" s="112" t="s">
        <v>633</v>
      </c>
      <c r="Q16" s="57">
        <v>0</v>
      </c>
      <c r="R16" s="57">
        <f ca="1">ROUND(('TUSD BE'!$AM$33+'TUSD BF'!$AM$33+'TUSD CVA'!$AM$33)*(1-CUSTOS!$M$38),2)</f>
        <v>464.73</v>
      </c>
      <c r="S16" s="57">
        <f>ROUND(('TE BE'!$AA$23+'TE BF'!$AA$23+'TE CVA'!$AA$23)*(1-CUSTOS!$M$38),2)</f>
        <v>204.57</v>
      </c>
      <c r="T16" s="57">
        <v>0</v>
      </c>
      <c r="U16" s="57">
        <f ca="1">ROUND(('TUSD BE'!$AM$33)*(1-CUSTOS!$M$38),2)</f>
        <v>592.73</v>
      </c>
      <c r="V16" s="57">
        <f>ROUND(('TE BE'!$AA$23)*(1-CUSTOS!$M$38),2)</f>
        <v>187.21</v>
      </c>
    </row>
    <row r="17" spans="12:22" ht="11.25" customHeight="1" x14ac:dyDescent="0.25">
      <c r="L17" s="147"/>
      <c r="M17" s="146" t="s">
        <v>636</v>
      </c>
      <c r="N17" s="146" t="s">
        <v>642</v>
      </c>
      <c r="O17" s="146" t="s">
        <v>644</v>
      </c>
      <c r="P17" s="112" t="s">
        <v>630</v>
      </c>
      <c r="Q17" s="57">
        <v>0</v>
      </c>
      <c r="R17" s="57">
        <f ca="1">ROUND(('TUSD BE'!$AM$34+'TUSD BF'!$AM$34+'TUSD CVA'!$AM$34)*(1-CUSTOS!$M$39),2)</f>
        <v>954.1</v>
      </c>
      <c r="S17" s="57">
        <f>ROUND(('TE BE'!$AA$24+'TE BF'!$AA$24+'TE CVA'!$AA$24)*(1-CUSTOS!$M$39),2)</f>
        <v>204.57</v>
      </c>
      <c r="T17" s="57">
        <v>0</v>
      </c>
      <c r="U17" s="57">
        <f ca="1">ROUND('TUSD BE'!$AM$34*(1-CUSTOS!$M$39),2)</f>
        <v>1271.43</v>
      </c>
      <c r="V17" s="57">
        <f>ROUND('TE BE'!$AA$24*(1-CUSTOS!$M$39),2)</f>
        <v>187.21</v>
      </c>
    </row>
    <row r="18" spans="12:22" ht="11.25" customHeight="1" x14ac:dyDescent="0.25">
      <c r="L18" s="147"/>
      <c r="M18" s="147"/>
      <c r="N18" s="147"/>
      <c r="O18" s="147"/>
      <c r="P18" s="112" t="s">
        <v>638</v>
      </c>
      <c r="Q18" s="57">
        <v>0</v>
      </c>
      <c r="R18" s="57">
        <f ca="1">ROUND(('TUSD BE'!$AM$35+'TUSD BF'!$AM$35+'TUSD CVA'!$AM$35)*(1-CUSTOS!$M$39),2)</f>
        <v>623.98</v>
      </c>
      <c r="S18" s="57">
        <f>ROUND(('TE BE'!$AA$25+'TE BF'!$AA$25+'TE CVA'!$AA$25)*(1-CUSTOS!$M$39),2)</f>
        <v>204.57</v>
      </c>
      <c r="T18" s="57">
        <v>0</v>
      </c>
      <c r="U18" s="57">
        <f ca="1">ROUND('TUSD BE'!$AM$35*(1-CUSTOS!$M$39),2)</f>
        <v>813.6</v>
      </c>
      <c r="V18" s="57">
        <f>ROUND('TE BE'!$AA$25*(1-CUSTOS!$M$39),2)</f>
        <v>187.21</v>
      </c>
    </row>
    <row r="19" spans="12:22" ht="11.25" customHeight="1" x14ac:dyDescent="0.25">
      <c r="L19" s="147"/>
      <c r="M19" s="148"/>
      <c r="N19" s="148"/>
      <c r="O19" s="148"/>
      <c r="P19" s="112" t="s">
        <v>631</v>
      </c>
      <c r="Q19" s="57">
        <v>0</v>
      </c>
      <c r="R19" s="57">
        <f ca="1">ROUND(('TUSD BE'!$AM$36+'TUSD BF'!$AM$36+'TUSD CVA'!$AM$36)*(1-CUSTOS!$M$39),2)</f>
        <v>293.89</v>
      </c>
      <c r="S19" s="57">
        <f>ROUND(('TE BE'!$AA$26+'TE BF'!$AA$26+'TE CVA'!$AA$26)*(1-CUSTOS!$M$39),2)</f>
        <v>204.57</v>
      </c>
      <c r="T19" s="57">
        <v>0</v>
      </c>
      <c r="U19" s="57">
        <f ca="1">ROUND('TUSD BE'!$AM$36*(1-CUSTOS!$M$39),2)</f>
        <v>355.81</v>
      </c>
      <c r="V19" s="57">
        <f>ROUND('TE BE'!$AA$26*(1-CUSTOS!$M$39),2)</f>
        <v>187.21</v>
      </c>
    </row>
    <row r="20" spans="12:22" ht="11.25" customHeight="1" x14ac:dyDescent="0.25">
      <c r="L20" s="147"/>
      <c r="M20" s="112" t="s">
        <v>639</v>
      </c>
      <c r="N20" s="112" t="s">
        <v>642</v>
      </c>
      <c r="O20" s="112" t="s">
        <v>644</v>
      </c>
      <c r="P20" s="112" t="s">
        <v>633</v>
      </c>
      <c r="Q20" s="57">
        <v>0</v>
      </c>
      <c r="R20" s="57">
        <f ca="1">ROUND(('TUSD BE'!$AM$42+'TUSD BF'!$AM$42+'TUSD CVA'!$AM$42)*(1-CUSTOS!$M$39),2)</f>
        <v>464.73</v>
      </c>
      <c r="S20" s="57">
        <f>ROUND(('TE BE'!$AA$32+'TE BF'!$AA$32+'TE CVA'!$AA$32)*(1-CUSTOS!$M$39),2)</f>
        <v>204.57</v>
      </c>
      <c r="T20" s="57">
        <v>0</v>
      </c>
      <c r="U20" s="57">
        <f ca="1">ROUND(('TUSD BE'!$AM$42)*(1-CUSTOS!$M$39),2)</f>
        <v>592.73</v>
      </c>
      <c r="V20" s="57">
        <f>ROUND(('TE BE'!$AA$32)*(1-CUSTOS!$M$39),2)</f>
        <v>187.21</v>
      </c>
    </row>
    <row r="21" spans="12:22" ht="11.25" customHeight="1" x14ac:dyDescent="0.25">
      <c r="L21" s="147"/>
      <c r="M21" s="112" t="s">
        <v>641</v>
      </c>
      <c r="N21" s="112" t="s">
        <v>642</v>
      </c>
      <c r="O21" s="112" t="s">
        <v>644</v>
      </c>
      <c r="P21" s="112" t="s">
        <v>633</v>
      </c>
      <c r="Q21" s="57">
        <v>0</v>
      </c>
      <c r="R21" s="57">
        <f ca="1">ROUND(('TUSD BE'!$AM$33+'TUSD BF'!$AM$33+'TUSD CVA'!$AM$33)*(1-CUSTOS!$M$39),2)</f>
        <v>464.73</v>
      </c>
      <c r="S21" s="57">
        <f>ROUND(('TE BE'!$AA$23+'TE BF'!$AA$23+'TE CVA'!$AA$23)*(1-CUSTOS!$M$39),2)</f>
        <v>204.57</v>
      </c>
      <c r="T21" s="57">
        <v>0</v>
      </c>
      <c r="U21" s="57">
        <f ca="1">ROUND(('TUSD BE'!$AM$33)*(1-CUSTOS!$M$39),2)</f>
        <v>592.73</v>
      </c>
      <c r="V21" s="57">
        <f>ROUND(('TE BE'!$AA$23)*(1-CUSTOS!$M$39),2)</f>
        <v>187.21</v>
      </c>
    </row>
    <row r="22" spans="12:22" ht="11.25" customHeight="1" x14ac:dyDescent="0.25">
      <c r="L22" s="147"/>
      <c r="M22" s="146" t="s">
        <v>636</v>
      </c>
      <c r="N22" s="146" t="s">
        <v>642</v>
      </c>
      <c r="O22" s="146" t="s">
        <v>645</v>
      </c>
      <c r="P22" s="112" t="s">
        <v>630</v>
      </c>
      <c r="Q22" s="57">
        <v>0</v>
      </c>
      <c r="R22" s="57">
        <f ca="1">ROUND(('TUSD BE'!$AM$38+'TUSD BF'!$AM$38+'TUSD CVA'!$AM$38)*(1-CUSTOS!$M$40),2)</f>
        <v>933.8</v>
      </c>
      <c r="S22" s="57">
        <f>ROUND(('TE BE'!$AA$28+'TE BF'!$AA$28+'TE CVA'!$AA$28)*(1-CUSTOS!$M$40),2)</f>
        <v>200.22</v>
      </c>
      <c r="T22" s="57">
        <v>0</v>
      </c>
      <c r="U22" s="57">
        <f ca="1">ROUND('TUSD BE'!$AM$38*(1-CUSTOS!$M$40),2)</f>
        <v>1244.3800000000001</v>
      </c>
      <c r="V22" s="57">
        <f>ROUND('TE BE'!$AA$28*(1-CUSTOS!$M$40),2)</f>
        <v>183.23</v>
      </c>
    </row>
    <row r="23" spans="12:22" ht="11.25" customHeight="1" x14ac:dyDescent="0.25">
      <c r="L23" s="147"/>
      <c r="M23" s="147"/>
      <c r="N23" s="147"/>
      <c r="O23" s="147"/>
      <c r="P23" s="112" t="s">
        <v>638</v>
      </c>
      <c r="Q23" s="57">
        <v>0</v>
      </c>
      <c r="R23" s="57">
        <f ca="1">ROUND(('TUSD BE'!$AM$39+'TUSD BF'!$AM$39+'TUSD CVA'!$AM$39)*(1-CUSTOS!$M$40),2)</f>
        <v>610.71</v>
      </c>
      <c r="S23" s="57">
        <f>ROUND(('TE BE'!$AA$29+'TE BF'!$AA$29+'TE CVA'!$AA$29)*(1-CUSTOS!$M$40),2)</f>
        <v>200.22</v>
      </c>
      <c r="T23" s="57">
        <v>0</v>
      </c>
      <c r="U23" s="57">
        <f ca="1">ROUND('TUSD BE'!$AM$39*(1-CUSTOS!$M$40),2)</f>
        <v>796.29</v>
      </c>
      <c r="V23" s="57">
        <f>ROUND('TE BE'!$AA$29*(1-CUSTOS!$M$40),2)</f>
        <v>183.23</v>
      </c>
    </row>
    <row r="24" spans="12:22" ht="11.25" customHeight="1" x14ac:dyDescent="0.25">
      <c r="L24" s="147"/>
      <c r="M24" s="148"/>
      <c r="N24" s="148"/>
      <c r="O24" s="148"/>
      <c r="P24" s="112" t="s">
        <v>631</v>
      </c>
      <c r="Q24" s="57">
        <v>0</v>
      </c>
      <c r="R24" s="57">
        <f ca="1">ROUND(('TUSD BE'!$AM$40+'TUSD BF'!$AM$40+'TUSD CVA'!$AM$40)*(1-CUSTOS!$M$40),2)</f>
        <v>287.64</v>
      </c>
      <c r="S24" s="57">
        <f>ROUND(('TE BE'!$AA$30+'TE BF'!$AA$30+'TE CVA'!$AA$30)*(1-CUSTOS!$M$40),2)</f>
        <v>200.22</v>
      </c>
      <c r="T24" s="57">
        <v>0</v>
      </c>
      <c r="U24" s="57">
        <f ca="1">ROUND('TUSD BE'!$AM$40*(1-CUSTOS!$M$40),2)</f>
        <v>348.24</v>
      </c>
      <c r="V24" s="57">
        <f>ROUND('TE BE'!$AA$30*(1-CUSTOS!$M$40),2)</f>
        <v>183.23</v>
      </c>
    </row>
    <row r="25" spans="12:22" ht="11.25" customHeight="1" x14ac:dyDescent="0.25">
      <c r="L25" s="147"/>
      <c r="M25" s="112" t="s">
        <v>639</v>
      </c>
      <c r="N25" s="112" t="s">
        <v>642</v>
      </c>
      <c r="O25" s="112" t="s">
        <v>645</v>
      </c>
      <c r="P25" s="112" t="s">
        <v>633</v>
      </c>
      <c r="Q25" s="57">
        <v>0</v>
      </c>
      <c r="R25" s="57">
        <f ca="1">ROUND(('TUSD BE'!$AM$42+'TUSD BF'!$AM$42+'TUSD CVA'!$AM$42)*(1-CUSTOS!$M$40),2)</f>
        <v>454.84</v>
      </c>
      <c r="S25" s="57">
        <f>ROUND(('TE BE'!$AA$32+'TE BF'!$AA$32+'TE CVA'!$AA$32)*(1-CUSTOS!$M$40),2)</f>
        <v>200.22</v>
      </c>
      <c r="T25" s="57">
        <v>0</v>
      </c>
      <c r="U25" s="57">
        <f ca="1">ROUND(('TUSD BE'!$AM$42)*(1-CUSTOS!$M$40),2)</f>
        <v>580.12</v>
      </c>
      <c r="V25" s="57">
        <f>ROUND(('TE BE'!$AA$32)*(1-CUSTOS!$M$40),2)</f>
        <v>183.23</v>
      </c>
    </row>
    <row r="26" spans="12:22" ht="11.25" customHeight="1" x14ac:dyDescent="0.25">
      <c r="L26" s="148"/>
      <c r="M26" s="112" t="s">
        <v>641</v>
      </c>
      <c r="N26" s="112" t="s">
        <v>642</v>
      </c>
      <c r="O26" s="112" t="s">
        <v>645</v>
      </c>
      <c r="P26" s="112" t="s">
        <v>633</v>
      </c>
      <c r="Q26" s="57">
        <v>0</v>
      </c>
      <c r="R26" s="57">
        <f ca="1">ROUND(('TUSD BE'!$AM$33+'TUSD BF'!$AM$33+'TUSD CVA'!$AM$33)*(1-CUSTOS!$M$40),2)</f>
        <v>454.84</v>
      </c>
      <c r="S26" s="57">
        <f>ROUND(('TE BE'!$AA$23+'TE BF'!$AA$23+'TE CVA'!$AA$23)*(1-CUSTOS!$M$40),2)</f>
        <v>200.22</v>
      </c>
      <c r="T26" s="57">
        <v>0</v>
      </c>
      <c r="U26" s="57">
        <f ca="1">ROUND(('TUSD BE'!$AM$33)*(1-CUSTOS!$M$40),2)</f>
        <v>580.12</v>
      </c>
      <c r="V26" s="57">
        <f>ROUND(('TE BE'!$AA$23)*(1-CUSTOS!$M$40),2)</f>
        <v>183.23</v>
      </c>
    </row>
    <row r="27" spans="12:22" ht="11.25" customHeight="1" x14ac:dyDescent="0.25">
      <c r="L27" s="146" t="s">
        <v>37</v>
      </c>
      <c r="M27" s="146" t="s">
        <v>636</v>
      </c>
      <c r="N27" s="146" t="s">
        <v>633</v>
      </c>
      <c r="O27" s="146" t="s">
        <v>633</v>
      </c>
      <c r="P27" s="112" t="s">
        <v>630</v>
      </c>
      <c r="Q27" s="57">
        <v>0</v>
      </c>
      <c r="R27" s="57">
        <f ca="1">ROUND(('TUSD BE'!$AM$45+'TUSD BF'!$AM$45+'TUSD CVA'!$AM$45)*(1-CUSTOS!$M$31),2)</f>
        <v>1304.3800000000001</v>
      </c>
      <c r="S27" s="57">
        <f>ROUND(('TE BE'!$AA$35+'TE BF'!$AA$35+'TE CVA'!$AA$35)*(1-CUSTOS!$M$31),2)</f>
        <v>217.63</v>
      </c>
      <c r="T27" s="57">
        <v>0</v>
      </c>
      <c r="U27" s="57">
        <f ca="1">ROUND('TUSD BE'!$AM$45*(1-CUSTOS!$M$31),2)</f>
        <v>1753.93</v>
      </c>
      <c r="V27" s="57">
        <f>ROUND('TE BE'!$AA$35*(1-CUSTOS!$M$31),2)</f>
        <v>199.16</v>
      </c>
    </row>
    <row r="28" spans="12:22" ht="11.25" customHeight="1" x14ac:dyDescent="0.25">
      <c r="L28" s="147"/>
      <c r="M28" s="147"/>
      <c r="N28" s="147"/>
      <c r="O28" s="147"/>
      <c r="P28" s="112" t="s">
        <v>638</v>
      </c>
      <c r="Q28" s="57">
        <v>0</v>
      </c>
      <c r="R28" s="57">
        <f ca="1">ROUND(('TUSD BE'!$AM$46+'TUSD BF'!$AM$46+'TUSD CVA'!$AM$46)*(1-CUSTOS!$M$31),2)</f>
        <v>837.45</v>
      </c>
      <c r="S28" s="57">
        <f>ROUND(('TE BE'!$AA$36+'TE BF'!$AA$36+'TE CVA'!$AA$36)*(1-CUSTOS!$M$31),2)</f>
        <v>217.63</v>
      </c>
      <c r="T28" s="57">
        <v>0</v>
      </c>
      <c r="U28" s="57">
        <f ca="1">ROUND('TUSD BE'!$AM$46*(1-CUSTOS!$M$31),2)</f>
        <v>1106.3599999999999</v>
      </c>
      <c r="V28" s="57">
        <f>ROUND('TE BE'!$AA$36*(1-CUSTOS!$M$31),2)</f>
        <v>199.16</v>
      </c>
    </row>
    <row r="29" spans="12:22" ht="11.25" customHeight="1" x14ac:dyDescent="0.25">
      <c r="L29" s="147"/>
      <c r="M29" s="148"/>
      <c r="N29" s="148"/>
      <c r="O29" s="148"/>
      <c r="P29" s="112" t="s">
        <v>631</v>
      </c>
      <c r="Q29" s="57">
        <v>0</v>
      </c>
      <c r="R29" s="57">
        <f ca="1">ROUND(('TUSD BE'!$AM$47+'TUSD BF'!$AM$47+'TUSD CVA'!$AM$47)*(1-CUSTOS!$M$31),2)</f>
        <v>370.52</v>
      </c>
      <c r="S29" s="57">
        <f>ROUND(('TE BE'!$AA$37+'TE BF'!$AA$37+'TE CVA'!$AA$37)*(1-CUSTOS!$M$31),2)</f>
        <v>217.63</v>
      </c>
      <c r="T29" s="57">
        <v>0</v>
      </c>
      <c r="U29" s="57">
        <f ca="1">ROUND('TUSD BE'!$AM$47*(1-CUSTOS!$M$31),2)</f>
        <v>458.78</v>
      </c>
      <c r="V29" s="57">
        <f>ROUND('TE BE'!$AA$37*(1-CUSTOS!$M$31),2)</f>
        <v>199.16</v>
      </c>
    </row>
    <row r="30" spans="12:22" ht="11.25" customHeight="1" x14ac:dyDescent="0.25">
      <c r="L30" s="147"/>
      <c r="M30" s="112" t="s">
        <v>639</v>
      </c>
      <c r="N30" s="112" t="s">
        <v>633</v>
      </c>
      <c r="O30" s="112" t="s">
        <v>633</v>
      </c>
      <c r="P30" s="112" t="s">
        <v>633</v>
      </c>
      <c r="Q30" s="57">
        <v>0</v>
      </c>
      <c r="R30" s="57">
        <f ca="1">ROUND(('TUSD BE'!$AM$49+'TUSD BF'!$AM$49+'TUSD CVA'!$AM$49)*(1-CUSTOS!$M$31),2)</f>
        <v>494.39</v>
      </c>
      <c r="S30" s="57">
        <f>ROUND(('TE BE'!$AA$39+'TE BF'!$AA$39+'TE CVA'!$AA$39)*(1-CUSTOS!$M$31),2)</f>
        <v>217.63</v>
      </c>
      <c r="T30" s="57">
        <v>0</v>
      </c>
      <c r="U30" s="57">
        <f ca="1">ROUND(('TUSD BE'!$AM$49)*(1-CUSTOS!$M$31),2)</f>
        <v>630.57000000000005</v>
      </c>
      <c r="V30" s="57">
        <f>ROUND(('TE BE'!$AA$39)*(1-CUSTOS!$M$31),2)</f>
        <v>199.16</v>
      </c>
    </row>
    <row r="31" spans="12:22" ht="11.25" customHeight="1" x14ac:dyDescent="0.25">
      <c r="L31" s="148"/>
      <c r="M31" s="112" t="s">
        <v>641</v>
      </c>
      <c r="N31" s="112" t="s">
        <v>633</v>
      </c>
      <c r="O31" s="112" t="s">
        <v>633</v>
      </c>
      <c r="P31" s="112" t="s">
        <v>633</v>
      </c>
      <c r="Q31" s="57">
        <v>0</v>
      </c>
      <c r="R31" s="57">
        <f ca="1">ROUND(('TUSD BE'!$AM$48+'TUSD BF'!$AM$48+'TUSD CVA'!$AM$48)*(1-CUSTOS!$M$31),2)</f>
        <v>494.39</v>
      </c>
      <c r="S31" s="57">
        <f>ROUND(('TE BE'!$AA$38+'TE BF'!$AA$38+'TE CVA'!$AA$38)*(1-CUSTOS!$M$31),2)</f>
        <v>217.63</v>
      </c>
      <c r="T31" s="57">
        <v>0</v>
      </c>
      <c r="U31" s="57">
        <f ca="1">ROUND(('TUSD BE'!$AM$48)*(1-CUSTOS!$M$31),2)</f>
        <v>630.57000000000005</v>
      </c>
      <c r="V31" s="57">
        <f>ROUND(('TE BE'!$AA$38)*(1-CUSTOS!$M$31),2)</f>
        <v>199.16</v>
      </c>
    </row>
    <row r="32" spans="12:22" ht="11.25" customHeight="1" x14ac:dyDescent="0.25">
      <c r="L32" s="146" t="s">
        <v>44</v>
      </c>
      <c r="M32" s="146" t="s">
        <v>641</v>
      </c>
      <c r="N32" s="146" t="s">
        <v>646</v>
      </c>
      <c r="O32" s="112" t="s">
        <v>647</v>
      </c>
      <c r="P32" s="112" t="s">
        <v>633</v>
      </c>
      <c r="Q32" s="57">
        <v>0</v>
      </c>
      <c r="R32" s="57">
        <f ca="1">ROUND(('TUSD BE'!$AM$50+'TUSD BF'!$AM$50+'TUSD CVA'!$AM$50),2)</f>
        <v>271.92</v>
      </c>
      <c r="S32" s="57">
        <f>ROUND(('TE BE'!$AA$40+'TE BF'!$AA$40+'TE CVA'!$AA$40),2)</f>
        <v>119.7</v>
      </c>
      <c r="T32" s="57">
        <v>0</v>
      </c>
      <c r="U32" s="57">
        <f ca="1">ROUND(('TUSD BE'!$AM$50),2)</f>
        <v>346.81</v>
      </c>
      <c r="V32" s="57">
        <f>ROUND(('TE BE'!$AA$40),2)</f>
        <v>109.54</v>
      </c>
    </row>
    <row r="33" spans="12:22" ht="11.25" customHeight="1" x14ac:dyDescent="0.25">
      <c r="L33" s="148"/>
      <c r="M33" s="148"/>
      <c r="N33" s="148"/>
      <c r="O33" s="112" t="s">
        <v>648</v>
      </c>
      <c r="P33" s="112" t="s">
        <v>633</v>
      </c>
      <c r="Q33" s="57">
        <v>0</v>
      </c>
      <c r="R33" s="57">
        <f ca="1">ROUND(('TUSD BE'!$AM$51+'TUSD BF'!$AM$51+'TUSD CVA'!$AM$51),2)</f>
        <v>296.64</v>
      </c>
      <c r="S33" s="57">
        <f>ROUND(('TE BE'!$AA$41+'TE BF'!$AA$41+'TE CVA'!$AA$41),2)</f>
        <v>130.58000000000001</v>
      </c>
      <c r="T33" s="57">
        <v>0</v>
      </c>
      <c r="U33" s="57">
        <f ca="1">ROUND(('TUSD BE'!$AM$51),2)</f>
        <v>378.34</v>
      </c>
      <c r="V33" s="57">
        <f>ROUND(('TE BE'!$AA$41),2)</f>
        <v>119.5</v>
      </c>
    </row>
    <row r="34" spans="12:22" ht="11.25" customHeight="1" x14ac:dyDescent="0.25">
      <c r="L34" s="146" t="s">
        <v>82</v>
      </c>
      <c r="M34" s="146" t="s">
        <v>649</v>
      </c>
      <c r="N34" s="112" t="s">
        <v>83</v>
      </c>
      <c r="O34" s="112" t="s">
        <v>633</v>
      </c>
      <c r="P34" s="112" t="s">
        <v>633</v>
      </c>
      <c r="Q34" s="57">
        <f ca="1">ROUND(('TUSD BE'!$AM$15+'TUSD BF'!$AM$15+'TUSD CVA'!$AM$15),2)</f>
        <v>5.29</v>
      </c>
      <c r="R34" s="57">
        <v>0</v>
      </c>
      <c r="S34" s="57">
        <v>0</v>
      </c>
      <c r="T34" s="57">
        <f ca="1">ROUND(('TUSD BE'!$AM$15),2)</f>
        <v>8.5399999999999991</v>
      </c>
      <c r="U34" s="57">
        <v>0</v>
      </c>
      <c r="V34" s="57">
        <v>0</v>
      </c>
    </row>
    <row r="35" spans="12:22" ht="11.25" customHeight="1" x14ac:dyDescent="0.25">
      <c r="L35" s="148"/>
      <c r="M35" s="148"/>
      <c r="N35" s="112" t="s">
        <v>84</v>
      </c>
      <c r="O35" s="112" t="s">
        <v>633</v>
      </c>
      <c r="P35" s="112" t="s">
        <v>633</v>
      </c>
      <c r="Q35" s="57">
        <f ca="1">ROUND(('TUSD BE'!$AM$16+'TUSD BF'!$AM$16+'TUSD CVA'!$AM$16),2)</f>
        <v>17.75</v>
      </c>
      <c r="R35" s="57">
        <v>0</v>
      </c>
      <c r="S35" s="57">
        <v>0</v>
      </c>
      <c r="T35" s="57">
        <f ca="1">ROUND(('TUSD BE'!$AM$16),2)</f>
        <v>28.66</v>
      </c>
      <c r="U35" s="57">
        <v>0</v>
      </c>
      <c r="V35" s="57">
        <v>0</v>
      </c>
    </row>
  </sheetData>
  <mergeCells count="51">
    <mergeCell ref="O5:O7"/>
    <mergeCell ref="O12:O14"/>
    <mergeCell ref="O17:O19"/>
    <mergeCell ref="O22:O24"/>
    <mergeCell ref="O27:O29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L27:L31"/>
    <mergeCell ref="L32:L33"/>
    <mergeCell ref="L34:L35"/>
    <mergeCell ref="M32:M33"/>
    <mergeCell ref="M34:M35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583A2-07EC-4D01-A40D-9669C20B27F8}">
  <sheetPr codeName="Planilha21"/>
  <dimension ref="A1:AN693"/>
  <sheetViews>
    <sheetView showGridLines="0" workbookViewId="0">
      <selection sqref="A1:O693 Q1:AJ13"/>
    </sheetView>
  </sheetViews>
  <sheetFormatPr defaultColWidth="9.140625"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0" width="10.140625" style="6" bestFit="1" customWidth="1"/>
    <col min="11" max="11" width="10.5703125" style="6" bestFit="1" customWidth="1"/>
    <col min="12" max="12" width="10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7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64" t="s">
        <v>0</v>
      </c>
      <c r="B1" s="64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74" t="s">
        <v>8</v>
      </c>
      <c r="J1" s="73" t="s">
        <v>596</v>
      </c>
      <c r="K1" s="73" t="s">
        <v>597</v>
      </c>
      <c r="L1" s="73" t="s">
        <v>598</v>
      </c>
      <c r="M1" s="73" t="s">
        <v>599</v>
      </c>
      <c r="N1" s="73" t="s">
        <v>600</v>
      </c>
      <c r="O1" s="73" t="s">
        <v>601</v>
      </c>
      <c r="P1" s="72"/>
      <c r="Q1" s="140" t="s">
        <v>602</v>
      </c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L1" s="64" t="s">
        <v>623</v>
      </c>
      <c r="AM1" s="64" t="s">
        <v>60</v>
      </c>
      <c r="AN1" s="64" t="s">
        <v>624</v>
      </c>
    </row>
    <row r="2" spans="1:40" ht="11.25" customHeight="1" x14ac:dyDescent="0.2">
      <c r="A2" s="65" t="s">
        <v>21</v>
      </c>
      <c r="B2" s="65" t="s">
        <v>33</v>
      </c>
      <c r="C2" s="65" t="s">
        <v>43</v>
      </c>
      <c r="D2" s="65" t="s">
        <v>42</v>
      </c>
      <c r="E2" s="65" t="s">
        <v>25</v>
      </c>
      <c r="F2" s="65" t="s">
        <v>25</v>
      </c>
      <c r="G2" s="65" t="s">
        <v>25</v>
      </c>
      <c r="H2" s="65" t="s">
        <v>36</v>
      </c>
      <c r="I2" s="75">
        <v>44287</v>
      </c>
      <c r="J2" s="76">
        <f ca="1">EFEITO!$J$2*EFEITO!$Y$2</f>
        <v>3494.5802961526697</v>
      </c>
      <c r="K2" s="76">
        <f ca="1">EFEITO!$L$2*EFEITO!$Z$2</f>
        <v>5076.2039977791719</v>
      </c>
      <c r="L2" s="76">
        <f>EFEITO!$N$2*EFEITO!$AA$2</f>
        <v>10693.873418195677</v>
      </c>
      <c r="M2" s="76">
        <f ca="1">$J$2-EFEITO!$K$2*EFEITO!$Y$2</f>
        <v>0</v>
      </c>
      <c r="N2" s="76">
        <f ca="1">$K$2-EFEITO!$M$2*EFEITO!$Z$2</f>
        <v>0</v>
      </c>
      <c r="O2" s="76">
        <f>$L$2-EFEITO!$O$2*EFEITO!$AA$2</f>
        <v>0</v>
      </c>
      <c r="P2" s="19"/>
      <c r="Q2" s="56" t="s">
        <v>63</v>
      </c>
      <c r="R2" s="56" t="s">
        <v>604</v>
      </c>
      <c r="S2" s="56" t="s">
        <v>605</v>
      </c>
      <c r="T2" s="56" t="s">
        <v>606</v>
      </c>
      <c r="U2" s="56" t="s">
        <v>607</v>
      </c>
      <c r="V2" s="56" t="s">
        <v>608</v>
      </c>
      <c r="W2" s="56" t="s">
        <v>609</v>
      </c>
      <c r="X2" s="77" t="s">
        <v>610</v>
      </c>
      <c r="Y2" s="77" t="s">
        <v>611</v>
      </c>
      <c r="Z2" s="77" t="s">
        <v>612</v>
      </c>
      <c r="AA2" s="77" t="s">
        <v>613</v>
      </c>
      <c r="AB2" s="77" t="s">
        <v>614</v>
      </c>
      <c r="AC2" s="77" t="s">
        <v>615</v>
      </c>
      <c r="AD2" s="77" t="s">
        <v>616</v>
      </c>
      <c r="AE2" s="77" t="s">
        <v>617</v>
      </c>
      <c r="AF2" s="77" t="s">
        <v>618</v>
      </c>
      <c r="AG2" s="77" t="s">
        <v>619</v>
      </c>
      <c r="AH2" s="77" t="s">
        <v>620</v>
      </c>
      <c r="AI2" s="77" t="s">
        <v>621</v>
      </c>
      <c r="AJ2" s="77" t="s">
        <v>622</v>
      </c>
      <c r="AL2" s="65"/>
      <c r="AM2" s="65"/>
      <c r="AN2" s="65"/>
    </row>
    <row r="3" spans="1:40" ht="11.25" customHeight="1" x14ac:dyDescent="0.2">
      <c r="A3" s="65" t="s">
        <v>21</v>
      </c>
      <c r="B3" s="65" t="s">
        <v>33</v>
      </c>
      <c r="C3" s="65" t="s">
        <v>43</v>
      </c>
      <c r="D3" s="65" t="s">
        <v>42</v>
      </c>
      <c r="E3" s="65" t="s">
        <v>25</v>
      </c>
      <c r="F3" s="65" t="s">
        <v>25</v>
      </c>
      <c r="G3" s="65" t="s">
        <v>25</v>
      </c>
      <c r="H3" s="65" t="s">
        <v>36</v>
      </c>
      <c r="I3" s="75">
        <v>44317</v>
      </c>
      <c r="J3" s="76">
        <f ca="1">EFEITO!$J$3*EFEITO!$Y$3</f>
        <v>3421.7765399828222</v>
      </c>
      <c r="K3" s="76">
        <f ca="1">EFEITO!$L$3*EFEITO!$Z$3</f>
        <v>4790.3588990398057</v>
      </c>
      <c r="L3" s="76">
        <f>EFEITO!$N$3*EFEITO!$AA$3</f>
        <v>10091.692870592042</v>
      </c>
      <c r="M3" s="76">
        <f ca="1">$J$3-EFEITO!$K$3*EFEITO!$Y$3</f>
        <v>0</v>
      </c>
      <c r="N3" s="76">
        <f ca="1">$K$3-EFEITO!$M$3*EFEITO!$Z$3</f>
        <v>0</v>
      </c>
      <c r="O3" s="76">
        <f>$L$3-EFEITO!$O$3*EFEITO!$AA$3</f>
        <v>0</v>
      </c>
      <c r="P3" s="19"/>
      <c r="Q3" s="76" t="s">
        <v>603</v>
      </c>
      <c r="R3" s="76">
        <f>SUMIF($B$2:$B$693,$Q$3,$J$2:$J$693)</f>
        <v>0</v>
      </c>
      <c r="S3" s="76">
        <f>SUMIF($B$2:$B$693,$Q$3,$K$2:$K$693)</f>
        <v>0</v>
      </c>
      <c r="T3" s="76">
        <f>SUMIF($B$2:$B$693,$Q$3,$L$2:$L$693)</f>
        <v>0</v>
      </c>
      <c r="U3" s="76">
        <f>SUMIF($B$2:$B$693,$Q$3,$M$2:$M$693)</f>
        <v>0</v>
      </c>
      <c r="V3" s="76">
        <f>SUMIF($B$2:$B$693,$Q$3,$N$2:$N$693)</f>
        <v>0</v>
      </c>
      <c r="W3" s="76">
        <f>SUMIF($B$2:$B$693,$Q$3,$O$2:$O$693)</f>
        <v>0</v>
      </c>
      <c r="X3" s="66">
        <f>$R$3-$U$3</f>
        <v>0</v>
      </c>
      <c r="Y3" s="66">
        <f>$S$3-$V$3</f>
        <v>0</v>
      </c>
      <c r="Z3" s="66">
        <f>$T$3-$W$3</f>
        <v>0</v>
      </c>
      <c r="AA3" s="66">
        <f>SUMIF(EFEITO!$B$2:$B$693,$Q$3,EFEITO!$AE$2:$AE$693)</f>
        <v>0</v>
      </c>
      <c r="AB3" s="66">
        <f>SUMIF(EFEITO!$B$2:$B$693,$Q$3,EFEITO!$AF$2:$AF$693)</f>
        <v>0</v>
      </c>
      <c r="AC3" s="66">
        <f>SUMIF(EFEITO!$B$2:$B$693,$Q$3,EFEITO!$AG$2:$AH$693)</f>
        <v>0</v>
      </c>
      <c r="AD3" s="66">
        <f>SUMIF(SUBSIDIO!$B$2:$B$693,$Q$3,SUBSIDIO!$AD$2:$AD$693)</f>
        <v>0</v>
      </c>
      <c r="AE3" s="66">
        <f>SUMIF(SUBSIDIO!$B$2:$B$693,$Q$3,SUBSIDIO!$AE$2:$AE$693)</f>
        <v>0</v>
      </c>
      <c r="AF3" s="66" t="str">
        <f>IF(ABS($X$3-$AA$3)&lt;0.01,"OK","ERRO")</f>
        <v>OK</v>
      </c>
      <c r="AG3" s="66" t="str">
        <f>IF(ABS($Y$3-$AB$3)&lt;0.01,"OK","ERRO")</f>
        <v>OK</v>
      </c>
      <c r="AH3" s="66" t="str">
        <f>IF(ABS($Z$3-$AC$3)&lt;0.01,"OK","ERRO")</f>
        <v>OK</v>
      </c>
      <c r="AI3" s="66" t="str">
        <f>IF(ABS($U$3-$AD$3)&lt;0.01,"OK","ERRO")</f>
        <v>OK</v>
      </c>
      <c r="AJ3" s="66" t="str">
        <f>IF(ABS(($V$3+$W$3)-$AE$3)&lt;0.01,"OK","ERRO")</f>
        <v>OK</v>
      </c>
    </row>
    <row r="4" spans="1:40" ht="11.25" customHeight="1" x14ac:dyDescent="0.2">
      <c r="A4" s="65" t="s">
        <v>21</v>
      </c>
      <c r="B4" s="65" t="s">
        <v>33</v>
      </c>
      <c r="C4" s="65" t="s">
        <v>43</v>
      </c>
      <c r="D4" s="65" t="s">
        <v>42</v>
      </c>
      <c r="E4" s="65" t="s">
        <v>25</v>
      </c>
      <c r="F4" s="65" t="s">
        <v>25</v>
      </c>
      <c r="G4" s="65" t="s">
        <v>25</v>
      </c>
      <c r="H4" s="65" t="s">
        <v>36</v>
      </c>
      <c r="I4" s="75">
        <v>44348</v>
      </c>
      <c r="J4" s="76">
        <f ca="1">EFEITO!$J$4*EFEITO!$Y$4</f>
        <v>3227.6331901965627</v>
      </c>
      <c r="K4" s="76">
        <f ca="1">EFEITO!$L$4*EFEITO!$Z$4</f>
        <v>4936.1223375368227</v>
      </c>
      <c r="L4" s="76">
        <f>EFEITO!$N$4*EFEITO!$AA$4</f>
        <v>10398.767952872029</v>
      </c>
      <c r="M4" s="76">
        <f ca="1">$J$4-EFEITO!$K$4*EFEITO!$Y$4</f>
        <v>0</v>
      </c>
      <c r="N4" s="76">
        <f ca="1">$K$4-EFEITO!$M$4*EFEITO!$Z$4</f>
        <v>0</v>
      </c>
      <c r="O4" s="76">
        <f>$L$4-EFEITO!$O$4*EFEITO!$AA$4</f>
        <v>0</v>
      </c>
      <c r="P4" s="19"/>
      <c r="Q4" s="76" t="s">
        <v>511</v>
      </c>
      <c r="R4" s="76">
        <f>SUMIF($B$2:$B$693,$Q$4,$J$2:$J$693)</f>
        <v>0</v>
      </c>
      <c r="S4" s="76">
        <f>SUMIF($B$2:$B$693,$Q$4,$K$2:$K$693)</f>
        <v>0</v>
      </c>
      <c r="T4" s="76">
        <f>SUMIF($B$2:$B$693,$Q$4,$L$2:$L$693)</f>
        <v>0</v>
      </c>
      <c r="U4" s="76">
        <f>SUMIF($B$2:$B$693,$Q$4,$M$2:$M$693)</f>
        <v>0</v>
      </c>
      <c r="V4" s="76">
        <f>SUMIF($B$2:$B$693,$Q$4,$N$2:$N$693)</f>
        <v>0</v>
      </c>
      <c r="W4" s="76">
        <f>SUMIF($B$2:$B$693,$Q$4,$O$2:$O$693)</f>
        <v>0</v>
      </c>
      <c r="X4" s="66">
        <f>$R$4-$U$4</f>
        <v>0</v>
      </c>
      <c r="Y4" s="66">
        <f>$S$4-$V$4</f>
        <v>0</v>
      </c>
      <c r="Z4" s="66">
        <f>$T$4-$W$4</f>
        <v>0</v>
      </c>
      <c r="AA4" s="66">
        <f>SUMIF(EFEITO!$B$2:$B$693,$Q$4,EFEITO!$AE$2:$AE$693)</f>
        <v>0</v>
      </c>
      <c r="AB4" s="66">
        <f>SUMIF(EFEITO!$B$2:$B$693,$Q$4,EFEITO!$AF$2:$AF$693)</f>
        <v>0</v>
      </c>
      <c r="AC4" s="66">
        <f>SUMIF(EFEITO!$B$2:$B$693,$Q$4,EFEITO!$AG$2:$AH$693)</f>
        <v>0</v>
      </c>
      <c r="AD4" s="66">
        <f>SUMIF(SUBSIDIO!$B$2:$B$693,$Q$4,SUBSIDIO!$AD$2:$AD$693)</f>
        <v>0</v>
      </c>
      <c r="AE4" s="66">
        <f>SUMIF(SUBSIDIO!$B$2:$B$693,$Q$4,SUBSIDIO!$AE$2:$AE$693)</f>
        <v>0</v>
      </c>
      <c r="AF4" s="66" t="str">
        <f>IF(ABS($X$4-$AA$4)&lt;0.01,"OK","ERRO")</f>
        <v>OK</v>
      </c>
      <c r="AG4" s="66" t="str">
        <f>IF(ABS($Y$4-$AB$4)&lt;0.01,"OK","ERRO")</f>
        <v>OK</v>
      </c>
      <c r="AH4" s="66" t="str">
        <f>IF(ABS($Z$4-$AC$4)&lt;0.01,"OK","ERRO")</f>
        <v>OK</v>
      </c>
      <c r="AI4" s="66" t="str">
        <f>IF(ABS($U$4-$AD$4)&lt;0.01,"OK","ERRO")</f>
        <v>OK</v>
      </c>
      <c r="AJ4" s="66" t="str">
        <f>IF(ABS(($V$4+$W$4)-$AE$4)&lt;0.01,"OK","ERRO")</f>
        <v>OK</v>
      </c>
    </row>
    <row r="5" spans="1:40" ht="11.25" customHeight="1" x14ac:dyDescent="0.2">
      <c r="A5" s="65" t="s">
        <v>21</v>
      </c>
      <c r="B5" s="65" t="s">
        <v>33</v>
      </c>
      <c r="C5" s="65" t="s">
        <v>43</v>
      </c>
      <c r="D5" s="65" t="s">
        <v>42</v>
      </c>
      <c r="E5" s="65" t="s">
        <v>25</v>
      </c>
      <c r="F5" s="65" t="s">
        <v>25</v>
      </c>
      <c r="G5" s="65" t="s">
        <v>25</v>
      </c>
      <c r="H5" s="65" t="s">
        <v>36</v>
      </c>
      <c r="I5" s="75">
        <v>44378</v>
      </c>
      <c r="J5" s="76">
        <f ca="1">EFEITO!$J$5*EFEITO!$Y$5</f>
        <v>3154.8294340267157</v>
      </c>
      <c r="K5" s="76">
        <f ca="1">EFEITO!$L$5*EFEITO!$Z$5</f>
        <v>4637.5707165188369</v>
      </c>
      <c r="L5" s="76">
        <f>EFEITO!$N$5*EFEITO!$AA$5</f>
        <v>9769.8189891660295</v>
      </c>
      <c r="M5" s="76">
        <f ca="1">$J$5-EFEITO!$K$5*EFEITO!$Y$5</f>
        <v>0</v>
      </c>
      <c r="N5" s="76">
        <f ca="1">$K$5-EFEITO!$M$5*EFEITO!$Z$5</f>
        <v>0</v>
      </c>
      <c r="O5" s="76">
        <f>$L$5-EFEITO!$O$5*EFEITO!$AA$5</f>
        <v>0</v>
      </c>
      <c r="P5" s="19"/>
      <c r="Q5" s="76" t="s">
        <v>512</v>
      </c>
      <c r="R5" s="76">
        <f>SUMIF($B$2:$B$693,$Q$5,$J$2:$J$693)</f>
        <v>0</v>
      </c>
      <c r="S5" s="76">
        <f>SUMIF($B$2:$B$693,$Q$5,$K$2:$K$693)</f>
        <v>0</v>
      </c>
      <c r="T5" s="76">
        <f>SUMIF($B$2:$B$693,$Q$5,$L$2:$L$693)</f>
        <v>0</v>
      </c>
      <c r="U5" s="76">
        <f>SUMIF($B$2:$B$693,$Q$5,$M$2:$M$693)</f>
        <v>0</v>
      </c>
      <c r="V5" s="76">
        <f>SUMIF($B$2:$B$693,$Q$5,$N$2:$N$693)</f>
        <v>0</v>
      </c>
      <c r="W5" s="76">
        <f>SUMIF($B$2:$B$693,$Q$5,$O$2:$O$693)</f>
        <v>0</v>
      </c>
      <c r="X5" s="66">
        <f>$R$5-$U$5</f>
        <v>0</v>
      </c>
      <c r="Y5" s="66">
        <f>$S$5-$V$5</f>
        <v>0</v>
      </c>
      <c r="Z5" s="66">
        <f>$T$5-$W$5</f>
        <v>0</v>
      </c>
      <c r="AA5" s="66">
        <f>SUMIF(EFEITO!$B$2:$B$693,$Q$5,EFEITO!$AE$2:$AE$693)</f>
        <v>0</v>
      </c>
      <c r="AB5" s="66">
        <f>SUMIF(EFEITO!$B$2:$B$693,$Q$5,EFEITO!$AF$2:$AF$693)</f>
        <v>0</v>
      </c>
      <c r="AC5" s="66">
        <f>SUMIF(EFEITO!$B$2:$B$693,$Q$5,EFEITO!$AG$2:$AH$693)</f>
        <v>0</v>
      </c>
      <c r="AD5" s="66">
        <f>SUMIF(SUBSIDIO!$B$2:$B$693,$Q$5,SUBSIDIO!$AD$2:$AD$693)</f>
        <v>0</v>
      </c>
      <c r="AE5" s="66">
        <f>SUMIF(SUBSIDIO!$B$2:$B$693,$Q$5,SUBSIDIO!$AE$2:$AE$693)</f>
        <v>0</v>
      </c>
      <c r="AF5" s="66" t="str">
        <f>IF(ABS($X$5-$AA$5)&lt;0.01,"OK","ERRO")</f>
        <v>OK</v>
      </c>
      <c r="AG5" s="66" t="str">
        <f>IF(ABS($Y$5-$AB$5)&lt;0.01,"OK","ERRO")</f>
        <v>OK</v>
      </c>
      <c r="AH5" s="66" t="str">
        <f>IF(ABS($Z$5-$AC$5)&lt;0.01,"OK","ERRO")</f>
        <v>OK</v>
      </c>
      <c r="AI5" s="66" t="str">
        <f>IF(ABS($U$5-$AD$5)&lt;0.01,"OK","ERRO")</f>
        <v>OK</v>
      </c>
      <c r="AJ5" s="66" t="str">
        <f>IF(ABS(($V$5+$W$5)-$AE$5)&lt;0.01,"OK","ERRO")</f>
        <v>OK</v>
      </c>
    </row>
    <row r="6" spans="1:40" ht="11.25" customHeight="1" x14ac:dyDescent="0.2">
      <c r="A6" s="65" t="s">
        <v>21</v>
      </c>
      <c r="B6" s="65" t="s">
        <v>33</v>
      </c>
      <c r="C6" s="65" t="s">
        <v>43</v>
      </c>
      <c r="D6" s="65" t="s">
        <v>42</v>
      </c>
      <c r="E6" s="65" t="s">
        <v>25</v>
      </c>
      <c r="F6" s="65" t="s">
        <v>25</v>
      </c>
      <c r="G6" s="65" t="s">
        <v>25</v>
      </c>
      <c r="H6" s="65" t="s">
        <v>36</v>
      </c>
      <c r="I6" s="75">
        <v>44409</v>
      </c>
      <c r="J6" s="76">
        <f ca="1">EFEITO!$J$6*EFEITO!$Y$6</f>
        <v>3251.9011089198452</v>
      </c>
      <c r="K6" s="76">
        <f ca="1">EFEITO!$L$6*EFEITO!$Z$6</f>
        <v>5090.1501807679015</v>
      </c>
      <c r="L6" s="76">
        <f>EFEITO!$N$6*EFEITO!$AA$6</f>
        <v>10723.253387088518</v>
      </c>
      <c r="M6" s="76">
        <f ca="1">$J$6-EFEITO!$K$6*EFEITO!$Y$6</f>
        <v>0</v>
      </c>
      <c r="N6" s="76">
        <f ca="1">$K$6-EFEITO!$M$6*EFEITO!$Z$6</f>
        <v>0</v>
      </c>
      <c r="O6" s="76">
        <f>$L$6-EFEITO!$O$6*EFEITO!$AA$6</f>
        <v>0</v>
      </c>
      <c r="P6" s="19"/>
      <c r="Q6" s="76" t="s">
        <v>513</v>
      </c>
      <c r="R6" s="76">
        <f>SUMIF($B$2:$B$693,$Q$6,$J$2:$J$693)</f>
        <v>0</v>
      </c>
      <c r="S6" s="76">
        <f>SUMIF($B$2:$B$693,$Q$6,$K$2:$K$693)</f>
        <v>0</v>
      </c>
      <c r="T6" s="76">
        <f>SUMIF($B$2:$B$693,$Q$6,$L$2:$L$693)</f>
        <v>0</v>
      </c>
      <c r="U6" s="76">
        <f>SUMIF($B$2:$B$693,$Q$6,$M$2:$M$693)</f>
        <v>0</v>
      </c>
      <c r="V6" s="76">
        <f>SUMIF($B$2:$B$693,$Q$6,$N$2:$N$693)</f>
        <v>0</v>
      </c>
      <c r="W6" s="76">
        <f>SUMIF($B$2:$B$693,$Q$6,$O$2:$O$693)</f>
        <v>0</v>
      </c>
      <c r="X6" s="66">
        <f>$R$6-$U$6</f>
        <v>0</v>
      </c>
      <c r="Y6" s="66">
        <f>$S$6-$V$6</f>
        <v>0</v>
      </c>
      <c r="Z6" s="66">
        <f>$T$6-$W$6</f>
        <v>0</v>
      </c>
      <c r="AA6" s="66">
        <f>SUMIF(EFEITO!$B$2:$B$693,$Q$6,EFEITO!$AE$2:$AE$693)</f>
        <v>0</v>
      </c>
      <c r="AB6" s="66">
        <f>SUMIF(EFEITO!$B$2:$B$693,$Q$6,EFEITO!$AF$2:$AF$693)</f>
        <v>0</v>
      </c>
      <c r="AC6" s="66">
        <f>SUMIF(EFEITO!$B$2:$B$693,$Q$6,EFEITO!$AG$2:$AH$693)</f>
        <v>0</v>
      </c>
      <c r="AD6" s="66">
        <f>SUMIF(SUBSIDIO!$B$2:$B$693,$Q$6,SUBSIDIO!$AD$2:$AD$693)</f>
        <v>0</v>
      </c>
      <c r="AE6" s="66">
        <f>SUMIF(SUBSIDIO!$B$2:$B$693,$Q$6,SUBSIDIO!$AE$2:$AE$693)</f>
        <v>0</v>
      </c>
      <c r="AF6" s="66" t="str">
        <f>IF(ABS($X$6-$AA$6)&lt;0.01,"OK","ERRO")</f>
        <v>OK</v>
      </c>
      <c r="AG6" s="66" t="str">
        <f>IF(ABS($Y$6-$AB$6)&lt;0.01,"OK","ERRO")</f>
        <v>OK</v>
      </c>
      <c r="AH6" s="66" t="str">
        <f>IF(ABS($Z$6-$AC$6)&lt;0.01,"OK","ERRO")</f>
        <v>OK</v>
      </c>
      <c r="AI6" s="66" t="str">
        <f>IF(ABS($U$6-$AD$6)&lt;0.01,"OK","ERRO")</f>
        <v>OK</v>
      </c>
      <c r="AJ6" s="66" t="str">
        <f>IF(ABS(($V$6+$W$6)-$AE$6)&lt;0.01,"OK","ERRO")</f>
        <v>OK</v>
      </c>
    </row>
    <row r="7" spans="1:40" ht="11.25" customHeight="1" x14ac:dyDescent="0.2">
      <c r="A7" s="65" t="s">
        <v>21</v>
      </c>
      <c r="B7" s="65" t="s">
        <v>33</v>
      </c>
      <c r="C7" s="65" t="s">
        <v>43</v>
      </c>
      <c r="D7" s="65" t="s">
        <v>42</v>
      </c>
      <c r="E7" s="65" t="s">
        <v>25</v>
      </c>
      <c r="F7" s="65" t="s">
        <v>25</v>
      </c>
      <c r="G7" s="65" t="s">
        <v>25</v>
      </c>
      <c r="H7" s="65" t="s">
        <v>36</v>
      </c>
      <c r="I7" s="75">
        <v>44440</v>
      </c>
      <c r="J7" s="76">
        <f ca="1">EFEITO!$J$7*EFEITO!$Y$7</f>
        <v>3494.5802961526697</v>
      </c>
      <c r="K7" s="76">
        <f ca="1">EFEITO!$L$7*EFEITO!$Z$7</f>
        <v>5047.6918014466582</v>
      </c>
      <c r="L7" s="76">
        <f>EFEITO!$N$7*EFEITO!$AA$7</f>
        <v>10633.807704014758</v>
      </c>
      <c r="M7" s="76">
        <f ca="1">$J$7-EFEITO!$K$7*EFEITO!$Y$7</f>
        <v>0</v>
      </c>
      <c r="N7" s="76">
        <f ca="1">$K$7-EFEITO!$M$7*EFEITO!$Z$7</f>
        <v>0</v>
      </c>
      <c r="O7" s="76">
        <f>$L$7-EFEITO!$O$7*EFEITO!$AA$7</f>
        <v>0</v>
      </c>
      <c r="P7" s="19"/>
      <c r="Q7" s="76" t="s">
        <v>33</v>
      </c>
      <c r="R7" s="76">
        <f ca="1">SUMIF($B$2:$B$693,$Q$7,$J$2:$J$693)</f>
        <v>15819647.573629346</v>
      </c>
      <c r="S7" s="76">
        <f ca="1">SUMIF($B$2:$B$693,$Q$7,$K$2:$K$693)</f>
        <v>15685288.917851724</v>
      </c>
      <c r="T7" s="76">
        <f>SUMIF($B$2:$B$693,$Q$7,$L$2:$L$693)</f>
        <v>16787394.527781848</v>
      </c>
      <c r="U7" s="76">
        <f ca="1">SUMIF($B$2:$B$693,$Q$7,$M$2:$M$693)</f>
        <v>909935.80505533738</v>
      </c>
      <c r="V7" s="76">
        <f ca="1">SUMIF($B$2:$B$693,$Q$7,$N$2:$N$693)</f>
        <v>3818864.856670842</v>
      </c>
      <c r="W7" s="76">
        <f>SUMIF($B$2:$B$693,$Q$7,$O$2:$O$693)</f>
        <v>4107593.0633859676</v>
      </c>
      <c r="X7" s="66">
        <f ca="1">$R$7-$U$7</f>
        <v>14909711.768574009</v>
      </c>
      <c r="Y7" s="66">
        <f ca="1">$S$7-$V$7</f>
        <v>11866424.061180882</v>
      </c>
      <c r="Z7" s="66">
        <f>$T$7-$W$7</f>
        <v>12679801.464395881</v>
      </c>
      <c r="AA7" s="66">
        <f ca="1">SUMIF(EFEITO!$B$2:$B$693,$Q$7,EFEITO!$AE$2:$AE$693)</f>
        <v>14909711.768574011</v>
      </c>
      <c r="AB7" s="66">
        <f ca="1">SUMIF(EFEITO!$B$2:$B$693,$Q$7,EFEITO!$AF$2:$AF$693)</f>
        <v>11866424.061180888</v>
      </c>
      <c r="AC7" s="66">
        <f>SUMIF(EFEITO!$B$2:$B$693,$Q$7,EFEITO!$AG$2:$AH$693)</f>
        <v>12679801.464395892</v>
      </c>
      <c r="AD7" s="66">
        <f ca="1">SUMIF(SUBSIDIO!$B$2:$B$693,$Q$7,SUBSIDIO!$AD$2:$AD$693)</f>
        <v>909935.80505533819</v>
      </c>
      <c r="AE7" s="66">
        <f ca="1">SUMIF(SUBSIDIO!$B$2:$B$693,$Q$7,SUBSIDIO!$AE$2:$AE$693)</f>
        <v>7926457.9200568106</v>
      </c>
      <c r="AF7" s="66" t="str">
        <f ca="1">IF(ABS($X$7-$AA$7)&lt;0.01,"OK","ERRO")</f>
        <v>OK</v>
      </c>
      <c r="AG7" s="66" t="str">
        <f ca="1">IF(ABS($Y$7-$AB$7)&lt;0.01,"OK","ERRO")</f>
        <v>OK</v>
      </c>
      <c r="AH7" s="66" t="str">
        <f>IF(ABS($Z$7-$AC$7)&lt;0.01,"OK","ERRO")</f>
        <v>OK</v>
      </c>
      <c r="AI7" s="66" t="str">
        <f ca="1">IF(ABS($U$7-$AD$7)&lt;0.01,"OK","ERRO")</f>
        <v>OK</v>
      </c>
      <c r="AJ7" s="66" t="str">
        <f ca="1">IF(ABS(($V$7+$W$7)-$AE$7)&lt;0.01,"OK","ERRO")</f>
        <v>OK</v>
      </c>
    </row>
    <row r="8" spans="1:40" ht="11.25" customHeight="1" x14ac:dyDescent="0.2">
      <c r="A8" s="65" t="s">
        <v>21</v>
      </c>
      <c r="B8" s="65" t="s">
        <v>33</v>
      </c>
      <c r="C8" s="65" t="s">
        <v>43</v>
      </c>
      <c r="D8" s="65" t="s">
        <v>42</v>
      </c>
      <c r="E8" s="65" t="s">
        <v>25</v>
      </c>
      <c r="F8" s="65" t="s">
        <v>25</v>
      </c>
      <c r="G8" s="65" t="s">
        <v>25</v>
      </c>
      <c r="H8" s="65" t="s">
        <v>36</v>
      </c>
      <c r="I8" s="75">
        <v>44470</v>
      </c>
      <c r="J8" s="76">
        <f ca="1">EFEITO!$J$8*EFEITO!$Y$8</f>
        <v>3543.1161335992342</v>
      </c>
      <c r="K8" s="76">
        <f ca="1">EFEITO!$L$8*EFEITO!$Z$8</f>
        <v>4903.2713287189263</v>
      </c>
      <c r="L8" s="76">
        <f>EFEITO!$N$8*EFEITO!$AA$8</f>
        <v>10329.561803924449</v>
      </c>
      <c r="M8" s="76">
        <f ca="1">$J$8-EFEITO!$K$8*EFEITO!$Y$8</f>
        <v>0</v>
      </c>
      <c r="N8" s="76">
        <f ca="1">$K$8-EFEITO!$M$8*EFEITO!$Z$8</f>
        <v>0</v>
      </c>
      <c r="O8" s="76">
        <f>$L$8-EFEITO!$O$8*EFEITO!$AA$8</f>
        <v>0</v>
      </c>
      <c r="P8" s="19"/>
      <c r="Q8" s="76" t="s">
        <v>514</v>
      </c>
      <c r="R8" s="76">
        <f>SUMIF($B$2:$B$693,$Q$8,$J$2:$J$693)</f>
        <v>0</v>
      </c>
      <c r="S8" s="76">
        <f>SUMIF($B$2:$B$693,$Q$8,$K$2:$K$693)</f>
        <v>0</v>
      </c>
      <c r="T8" s="76">
        <f>SUMIF($B$2:$B$693,$Q$8,$L$2:$L$693)</f>
        <v>0</v>
      </c>
      <c r="U8" s="76">
        <f>SUMIF($B$2:$B$693,$Q$8,$M$2:$M$693)</f>
        <v>0</v>
      </c>
      <c r="V8" s="76">
        <f>SUMIF($B$2:$B$693,$Q$8,$N$2:$N$693)</f>
        <v>0</v>
      </c>
      <c r="W8" s="76">
        <f>SUMIF($B$2:$B$693,$Q$8,$O$2:$O$693)</f>
        <v>0</v>
      </c>
      <c r="X8" s="66">
        <f>$R$8-$U$8</f>
        <v>0</v>
      </c>
      <c r="Y8" s="66">
        <f>$S$8-$V$8</f>
        <v>0</v>
      </c>
      <c r="Z8" s="66">
        <f>$T$8-$W$8</f>
        <v>0</v>
      </c>
      <c r="AA8" s="66">
        <f>SUMIF(EFEITO!$B$2:$B$693,$Q$8,EFEITO!$AE$2:$AE$693)</f>
        <v>0</v>
      </c>
      <c r="AB8" s="66">
        <f>SUMIF(EFEITO!$B$2:$B$693,$Q$8,EFEITO!$AF$2:$AF$693)</f>
        <v>0</v>
      </c>
      <c r="AC8" s="66">
        <f>SUMIF(EFEITO!$B$2:$B$693,$Q$8,EFEITO!$AG$2:$AH$693)</f>
        <v>0</v>
      </c>
      <c r="AD8" s="66">
        <f>SUMIF(SUBSIDIO!$B$2:$B$693,$Q$8,SUBSIDIO!$AD$2:$AD$693)</f>
        <v>0</v>
      </c>
      <c r="AE8" s="66">
        <f>SUMIF(SUBSIDIO!$B$2:$B$693,$Q$8,SUBSIDIO!$AE$2:$AE$693)</f>
        <v>0</v>
      </c>
      <c r="AF8" s="66" t="str">
        <f>IF(ABS($X$8-$AA$8)&lt;0.01,"OK","ERRO")</f>
        <v>OK</v>
      </c>
      <c r="AG8" s="66" t="str">
        <f>IF(ABS($Y$8-$AB$8)&lt;0.01,"OK","ERRO")</f>
        <v>OK</v>
      </c>
      <c r="AH8" s="66" t="str">
        <f>IF(ABS($Z$8-$AC$8)&lt;0.01,"OK","ERRO")</f>
        <v>OK</v>
      </c>
      <c r="AI8" s="66" t="str">
        <f>IF(ABS($U$8-$AD$8)&lt;0.01,"OK","ERRO")</f>
        <v>OK</v>
      </c>
      <c r="AJ8" s="66" t="str">
        <f>IF(ABS(($V$8+$W$8)-$AE$8)&lt;0.01,"OK","ERRO")</f>
        <v>OK</v>
      </c>
    </row>
    <row r="9" spans="1:40" ht="11.25" customHeight="1" x14ac:dyDescent="0.2">
      <c r="A9" s="65" t="s">
        <v>21</v>
      </c>
      <c r="B9" s="65" t="s">
        <v>33</v>
      </c>
      <c r="C9" s="65" t="s">
        <v>43</v>
      </c>
      <c r="D9" s="65" t="s">
        <v>42</v>
      </c>
      <c r="E9" s="65" t="s">
        <v>25</v>
      </c>
      <c r="F9" s="65" t="s">
        <v>25</v>
      </c>
      <c r="G9" s="65" t="s">
        <v>25</v>
      </c>
      <c r="H9" s="65" t="s">
        <v>36</v>
      </c>
      <c r="I9" s="75">
        <v>44501</v>
      </c>
      <c r="J9" s="76">
        <f ca="1">EFEITO!$J$9*EFEITO!$Y$9</f>
        <v>3300.4369463664102</v>
      </c>
      <c r="K9" s="76">
        <f ca="1">EFEITO!$L$9*EFEITO!$Z$9</f>
        <v>4978.6840219172418</v>
      </c>
      <c r="L9" s="76">
        <f>EFEITO!$N$9*EFEITO!$AA$9</f>
        <v>10488.431265344998</v>
      </c>
      <c r="M9" s="76">
        <f ca="1">$J$9-EFEITO!$K$9*EFEITO!$Y$9</f>
        <v>0</v>
      </c>
      <c r="N9" s="76">
        <f ca="1">$K$9-EFEITO!$M$9*EFEITO!$Z$9</f>
        <v>0</v>
      </c>
      <c r="O9" s="76">
        <f>$L$9-EFEITO!$O$9*EFEITO!$AA$9</f>
        <v>0</v>
      </c>
      <c r="P9" s="19"/>
      <c r="Q9" s="76" t="s">
        <v>22</v>
      </c>
      <c r="R9" s="76">
        <f>SUMIF($B$2:$B$693,$Q$9,$J$2:$J$693)</f>
        <v>0</v>
      </c>
      <c r="S9" s="76">
        <f ca="1">SUMIF($B$2:$B$693,$Q$9,$K$2:$K$693)</f>
        <v>11856190.718950603</v>
      </c>
      <c r="T9" s="76">
        <f>SUMIF($B$2:$B$693,$Q$9,$L$2:$L$693)</f>
        <v>5223197.8558147578</v>
      </c>
      <c r="U9" s="76">
        <f>SUMIF($B$2:$B$693,$Q$9,$M$2:$M$693)</f>
        <v>0</v>
      </c>
      <c r="V9" s="76">
        <f ca="1">SUMIF($B$2:$B$693,$Q$9,$N$2:$N$693)</f>
        <v>11415.576260199714</v>
      </c>
      <c r="W9" s="76">
        <f>SUMIF($B$2:$B$693,$Q$9,$O$2:$O$693)</f>
        <v>6263.1782426959844</v>
      </c>
      <c r="X9" s="66">
        <f>$R$9-$U$9</f>
        <v>0</v>
      </c>
      <c r="Y9" s="66">
        <f ca="1">$S$9-$V$9</f>
        <v>11844775.142690403</v>
      </c>
      <c r="Z9" s="66">
        <f>$T$9-$W$9</f>
        <v>5216934.6775720613</v>
      </c>
      <c r="AA9" s="66">
        <f>SUMIF(EFEITO!$B$2:$B$693,$Q$9,EFEITO!$AE$2:$AE$693)</f>
        <v>0</v>
      </c>
      <c r="AB9" s="66">
        <f ca="1">SUMIF(EFEITO!$B$2:$B$693,$Q$9,EFEITO!$AF$2:$AF$693)</f>
        <v>11844775.142690407</v>
      </c>
      <c r="AC9" s="66">
        <f>SUMIF(EFEITO!$B$2:$B$693,$Q$9,EFEITO!$AG$2:$AH$693)</f>
        <v>5216934.677572065</v>
      </c>
      <c r="AD9" s="66">
        <f>SUMIF(SUBSIDIO!$B$2:$B$693,$Q$9,SUBSIDIO!$AD$2:$AD$693)</f>
        <v>0</v>
      </c>
      <c r="AE9" s="66">
        <f ca="1">SUMIF(SUBSIDIO!$B$2:$B$693,$Q$9,SUBSIDIO!$AE$2:$AE$693)</f>
        <v>17678.754502895707</v>
      </c>
      <c r="AF9" s="66" t="str">
        <f>IF(ABS($X$9-$AA$9)&lt;0.01,"OK","ERRO")</f>
        <v>OK</v>
      </c>
      <c r="AG9" s="66" t="str">
        <f ca="1">IF(ABS($Y$9-$AB$9)&lt;0.01,"OK","ERRO")</f>
        <v>OK</v>
      </c>
      <c r="AH9" s="66" t="str">
        <f>IF(ABS($Z$9-$AC$9)&lt;0.01,"OK","ERRO")</f>
        <v>OK</v>
      </c>
      <c r="AI9" s="66" t="str">
        <f>IF(ABS($U$9-$AD$9)&lt;0.01,"OK","ERRO")</f>
        <v>OK</v>
      </c>
      <c r="AJ9" s="66" t="str">
        <f ca="1">IF(ABS(($V$9+$W$9)-$AE$9)&lt;0.01,"OK","ERRO")</f>
        <v>OK</v>
      </c>
    </row>
    <row r="10" spans="1:40" ht="11.25" customHeight="1" x14ac:dyDescent="0.2">
      <c r="A10" s="65" t="s">
        <v>21</v>
      </c>
      <c r="B10" s="65" t="s">
        <v>33</v>
      </c>
      <c r="C10" s="65" t="s">
        <v>43</v>
      </c>
      <c r="D10" s="65" t="s">
        <v>42</v>
      </c>
      <c r="E10" s="65" t="s">
        <v>25</v>
      </c>
      <c r="F10" s="65" t="s">
        <v>25</v>
      </c>
      <c r="G10" s="65" t="s">
        <v>25</v>
      </c>
      <c r="H10" s="65" t="s">
        <v>36</v>
      </c>
      <c r="I10" s="75">
        <v>44531</v>
      </c>
      <c r="J10" s="76">
        <f ca="1">EFEITO!$J$10*EFEITO!$Y$10</f>
        <v>3518.8482148759522</v>
      </c>
      <c r="K10" s="76">
        <f ca="1">EFEITO!$L$10*EFEITO!$Z$10</f>
        <v>4902.9614135413995</v>
      </c>
      <c r="L10" s="76">
        <f>EFEITO!$N$10*EFEITO!$AA$10</f>
        <v>10328.90891572683</v>
      </c>
      <c r="M10" s="76">
        <f ca="1">$J$10-EFEITO!$K$10*EFEITO!$Y$10</f>
        <v>0</v>
      </c>
      <c r="N10" s="76">
        <f ca="1">$K$10-EFEITO!$M$10*EFEITO!$Z$10</f>
        <v>0</v>
      </c>
      <c r="O10" s="76">
        <f>$L$10-EFEITO!$O$10*EFEITO!$AA$10</f>
        <v>0</v>
      </c>
      <c r="P10" s="19"/>
      <c r="Q10" s="76" t="s">
        <v>40</v>
      </c>
      <c r="R10" s="76">
        <f>SUMIF($B$2:$B$693,$Q$10,$J$2:$J$693)</f>
        <v>0</v>
      </c>
      <c r="S10" s="76">
        <f ca="1">SUMIF($B$2:$B$693,$Q$10,$K$2:$K$693)</f>
        <v>27640110.197647598</v>
      </c>
      <c r="T10" s="76">
        <f>SUMIF($B$2:$B$693,$Q$10,$L$2:$L$693)</f>
        <v>12167063.622695837</v>
      </c>
      <c r="U10" s="76">
        <f>SUMIF($B$2:$B$693,$Q$10,$M$2:$M$693)</f>
        <v>0</v>
      </c>
      <c r="V10" s="76">
        <f ca="1">SUMIF($B$2:$B$693,$Q$10,$N$2:$N$693)</f>
        <v>4369643.8142321371</v>
      </c>
      <c r="W10" s="76">
        <f>SUMIF($B$2:$B$693,$Q$10,$O$2:$O$693)</f>
        <v>1923499.3607516983</v>
      </c>
      <c r="X10" s="66">
        <f>$R$10-$U$10</f>
        <v>0</v>
      </c>
      <c r="Y10" s="66">
        <f ca="1">$S$10-$V$10</f>
        <v>23270466.383415461</v>
      </c>
      <c r="Z10" s="66">
        <f>$T$10-$W$10</f>
        <v>10243564.261944139</v>
      </c>
      <c r="AA10" s="66">
        <f>SUMIF(EFEITO!$B$2:$B$693,$Q$10,EFEITO!$AE$2:$AE$693)</f>
        <v>0</v>
      </c>
      <c r="AB10" s="66">
        <f ca="1">SUMIF(EFEITO!$B$2:$B$693,$Q$10,EFEITO!$AF$2:$AF$693)</f>
        <v>23270466.383415457</v>
      </c>
      <c r="AC10" s="66">
        <f>SUMIF(EFEITO!$B$2:$B$693,$Q$10,EFEITO!$AG$2:$AH$693)</f>
        <v>10243564.261944134</v>
      </c>
      <c r="AD10" s="66">
        <f>SUMIF(SUBSIDIO!$B$2:$B$693,$Q$10,SUBSIDIO!$AD$2:$AD$693)</f>
        <v>0</v>
      </c>
      <c r="AE10" s="66">
        <f ca="1">SUMIF(SUBSIDIO!$B$2:$B$693,$Q$10,SUBSIDIO!$AE$2:$AE$693)</f>
        <v>6293143.174983833</v>
      </c>
      <c r="AF10" s="66" t="str">
        <f>IF(ABS($X$10-$AA$10)&lt;0.01,"OK","ERRO")</f>
        <v>OK</v>
      </c>
      <c r="AG10" s="66" t="str">
        <f ca="1">IF(ABS($Y$10-$AB$10)&lt;0.01,"OK","ERRO")</f>
        <v>OK</v>
      </c>
      <c r="AH10" s="66" t="str">
        <f>IF(ABS($Z$10-$AC$10)&lt;0.01,"OK","ERRO")</f>
        <v>OK</v>
      </c>
      <c r="AI10" s="66" t="str">
        <f>IF(ABS($U$10-$AD$10)&lt;0.01,"OK","ERRO")</f>
        <v>OK</v>
      </c>
      <c r="AJ10" s="66" t="str">
        <f ca="1">IF(ABS(($V$10+$W$10)-$AE$10)&lt;0.01,"OK","ERRO")</f>
        <v>OK</v>
      </c>
    </row>
    <row r="11" spans="1:40" ht="11.25" customHeight="1" x14ac:dyDescent="0.2">
      <c r="A11" s="65" t="s">
        <v>21</v>
      </c>
      <c r="B11" s="65" t="s">
        <v>33</v>
      </c>
      <c r="C11" s="65" t="s">
        <v>43</v>
      </c>
      <c r="D11" s="65" t="s">
        <v>42</v>
      </c>
      <c r="E11" s="65" t="s">
        <v>25</v>
      </c>
      <c r="F11" s="65" t="s">
        <v>25</v>
      </c>
      <c r="G11" s="65" t="s">
        <v>25</v>
      </c>
      <c r="H11" s="65" t="s">
        <v>36</v>
      </c>
      <c r="I11" s="75">
        <v>44562</v>
      </c>
      <c r="J11" s="76">
        <f ca="1">EFEITO!$J$11*EFEITO!$Y$11</f>
        <v>3348.9727838129752</v>
      </c>
      <c r="K11" s="76">
        <f ca="1">EFEITO!$L$11*EFEITO!$Z$11</f>
        <v>5079.1998444952696</v>
      </c>
      <c r="L11" s="76">
        <f>EFEITO!$N$11*EFEITO!$AA$11</f>
        <v>10700.184670772658</v>
      </c>
      <c r="M11" s="76">
        <f ca="1">$J$11-EFEITO!$K$11*EFEITO!$Y$11</f>
        <v>0</v>
      </c>
      <c r="N11" s="76">
        <f ca="1">$K$11-EFEITO!$M$11*EFEITO!$Z$11</f>
        <v>0</v>
      </c>
      <c r="O11" s="76">
        <f>$L$11-EFEITO!$O$11*EFEITO!$AA$11</f>
        <v>0</v>
      </c>
      <c r="P11" s="19"/>
      <c r="Q11" s="76" t="s">
        <v>37</v>
      </c>
      <c r="R11" s="76">
        <f>SUMIF($B$2:$B$693,$Q$11,$J$2:$J$693)</f>
        <v>0</v>
      </c>
      <c r="S11" s="76">
        <f ca="1">SUMIF($B$2:$B$693,$Q$11,$K$2:$K$693)</f>
        <v>4623124.1482623871</v>
      </c>
      <c r="T11" s="76">
        <f>SUMIF($B$2:$B$693,$Q$11,$L$2:$L$693)</f>
        <v>2035080.3685405455</v>
      </c>
      <c r="U11" s="76">
        <f>SUMIF($B$2:$B$693,$Q$11,$M$2:$M$693)</f>
        <v>0</v>
      </c>
      <c r="V11" s="76">
        <f ca="1">SUMIF($B$2:$B$693,$Q$11,$N$2:$N$693)</f>
        <v>8812.1739784662823</v>
      </c>
      <c r="W11" s="76">
        <f>SUMIF($B$2:$B$693,$Q$11,$O$2:$O$693)</f>
        <v>3879.0829950956277</v>
      </c>
      <c r="X11" s="66">
        <f>$R$11-$U$11</f>
        <v>0</v>
      </c>
      <c r="Y11" s="66">
        <f ca="1">$S$11-$V$11</f>
        <v>4614311.9742839206</v>
      </c>
      <c r="Z11" s="66">
        <f>$T$11-$W$11</f>
        <v>2031201.2855454499</v>
      </c>
      <c r="AA11" s="66">
        <f>SUMIF(EFEITO!$B$2:$B$693,$Q$11,EFEITO!$AE$2:$AE$693)</f>
        <v>0</v>
      </c>
      <c r="AB11" s="66">
        <f ca="1">SUMIF(EFEITO!$B$2:$B$693,$Q$11,EFEITO!$AF$2:$AF$693)</f>
        <v>4614311.9742839187</v>
      </c>
      <c r="AC11" s="66">
        <f>SUMIF(EFEITO!$B$2:$B$693,$Q$11,EFEITO!$AG$2:$AH$693)</f>
        <v>2031201.2855454499</v>
      </c>
      <c r="AD11" s="66">
        <f>SUMIF(SUBSIDIO!$B$2:$B$693,$Q$11,SUBSIDIO!$AD$2:$AD$693)</f>
        <v>0</v>
      </c>
      <c r="AE11" s="66">
        <f ca="1">SUMIF(SUBSIDIO!$B$2:$B$693,$Q$11,SUBSIDIO!$AE$2:$AE$693)</f>
        <v>12691.256973561889</v>
      </c>
      <c r="AF11" s="66" t="str">
        <f>IF(ABS($X$11-$AA$11)&lt;0.01,"OK","ERRO")</f>
        <v>OK</v>
      </c>
      <c r="AG11" s="66" t="str">
        <f ca="1">IF(ABS($Y$11-$AB$11)&lt;0.01,"OK","ERRO")</f>
        <v>OK</v>
      </c>
      <c r="AH11" s="66" t="str">
        <f>IF(ABS($Z$11-$AC$11)&lt;0.01,"OK","ERRO")</f>
        <v>OK</v>
      </c>
      <c r="AI11" s="66" t="str">
        <f>IF(ABS($U$11-$AD$11)&lt;0.01,"OK","ERRO")</f>
        <v>OK</v>
      </c>
      <c r="AJ11" s="66" t="str">
        <f ca="1">IF(ABS(($V$11+$W$11)-$AE$11)&lt;0.01,"OK","ERRO")</f>
        <v>OK</v>
      </c>
    </row>
    <row r="12" spans="1:40" ht="11.25" customHeight="1" x14ac:dyDescent="0.2">
      <c r="A12" s="65" t="s">
        <v>21</v>
      </c>
      <c r="B12" s="65" t="s">
        <v>33</v>
      </c>
      <c r="C12" s="65" t="s">
        <v>43</v>
      </c>
      <c r="D12" s="65" t="s">
        <v>42</v>
      </c>
      <c r="E12" s="65" t="s">
        <v>25</v>
      </c>
      <c r="F12" s="65" t="s">
        <v>25</v>
      </c>
      <c r="G12" s="65" t="s">
        <v>25</v>
      </c>
      <c r="H12" s="65" t="s">
        <v>36</v>
      </c>
      <c r="I12" s="75">
        <v>44593</v>
      </c>
      <c r="J12" s="76">
        <f ca="1">EFEITO!$J$12*EFEITO!$Y$12</f>
        <v>3543.1161335992342</v>
      </c>
      <c r="K12" s="76">
        <f ca="1">EFEITO!$L$12*EFEITO!$Z$12</f>
        <v>5126.7201717161252</v>
      </c>
      <c r="L12" s="76">
        <f>EFEITO!$N$12*EFEITO!$AA$12</f>
        <v>10800.294194407523</v>
      </c>
      <c r="M12" s="76">
        <f ca="1">$J$12-EFEITO!$K$12*EFEITO!$Y$12</f>
        <v>0</v>
      </c>
      <c r="N12" s="76">
        <f ca="1">$K$12-EFEITO!$M$12*EFEITO!$Z$12</f>
        <v>0</v>
      </c>
      <c r="O12" s="76">
        <f>$L$12-EFEITO!$O$12*EFEITO!$AA$12</f>
        <v>0</v>
      </c>
      <c r="P12" s="19"/>
      <c r="Q12" s="76" t="s">
        <v>44</v>
      </c>
      <c r="R12" s="76">
        <f>SUMIF($B$2:$B$693,$Q$12,$J$2:$J$693)</f>
        <v>0</v>
      </c>
      <c r="S12" s="76">
        <f ca="1">SUMIF($B$2:$B$693,$Q$12,$K$2:$K$693)</f>
        <v>691855.17350270797</v>
      </c>
      <c r="T12" s="76">
        <f>SUMIF($B$2:$B$693,$Q$12,$L$2:$L$693)</f>
        <v>304551.8217367722</v>
      </c>
      <c r="U12" s="76">
        <f>SUMIF($B$2:$B$693,$Q$12,$M$2:$M$693)</f>
        <v>0</v>
      </c>
      <c r="V12" s="76">
        <f ca="1">SUMIF($B$2:$B$693,$Q$12,$N$2:$N$693)</f>
        <v>0</v>
      </c>
      <c r="W12" s="76">
        <f>SUMIF($B$2:$B$693,$Q$12,$O$2:$O$693)</f>
        <v>0</v>
      </c>
      <c r="X12" s="66">
        <f>$R$12-$U$12</f>
        <v>0</v>
      </c>
      <c r="Y12" s="66">
        <f ca="1">$S$12-$V$12</f>
        <v>691855.17350270797</v>
      </c>
      <c r="Z12" s="66">
        <f>$T$12-$W$12</f>
        <v>304551.8217367722</v>
      </c>
      <c r="AA12" s="66">
        <f>SUMIF(EFEITO!$B$2:$B$693,$Q$12,EFEITO!$AE$2:$AE$693)</f>
        <v>0</v>
      </c>
      <c r="AB12" s="66">
        <f ca="1">SUMIF(EFEITO!$B$2:$B$693,$Q$12,EFEITO!$AF$2:$AF$693)</f>
        <v>691855.17350270797</v>
      </c>
      <c r="AC12" s="66">
        <f>SUMIF(EFEITO!$B$2:$B$693,$Q$12,EFEITO!$AG$2:$AH$693)</f>
        <v>304551.8217367722</v>
      </c>
      <c r="AD12" s="66">
        <f>SUMIF(SUBSIDIO!$B$2:$B$693,$Q$12,SUBSIDIO!$AD$2:$AD$693)</f>
        <v>0</v>
      </c>
      <c r="AE12" s="66">
        <f>SUMIF(SUBSIDIO!$B$2:$B$693,$Q$12,SUBSIDIO!$AE$2:$AE$693)</f>
        <v>0</v>
      </c>
      <c r="AF12" s="66" t="str">
        <f>IF(ABS($X$12-$AA$12)&lt;0.01,"OK","ERRO")</f>
        <v>OK</v>
      </c>
      <c r="AG12" s="66" t="str">
        <f ca="1">IF(ABS($Y$12-$AB$12)&lt;0.01,"OK","ERRO")</f>
        <v>OK</v>
      </c>
      <c r="AH12" s="66" t="str">
        <f>IF(ABS($Z$12-$AC$12)&lt;0.01,"OK","ERRO")</f>
        <v>OK</v>
      </c>
      <c r="AI12" s="66" t="str">
        <f>IF(ABS($U$12-$AD$12)&lt;0.01,"OK","ERRO")</f>
        <v>OK</v>
      </c>
      <c r="AJ12" s="66" t="str">
        <f ca="1">IF(ABS(($V$12+$W$12)-$AE$12)&lt;0.01,"OK","ERRO")</f>
        <v>OK</v>
      </c>
    </row>
    <row r="13" spans="1:40" ht="11.25" customHeight="1" x14ac:dyDescent="0.2">
      <c r="A13" s="65" t="s">
        <v>54</v>
      </c>
      <c r="B13" s="65" t="s">
        <v>33</v>
      </c>
      <c r="C13" s="65" t="s">
        <v>43</v>
      </c>
      <c r="D13" s="65" t="s">
        <v>42</v>
      </c>
      <c r="E13" s="65" t="s">
        <v>25</v>
      </c>
      <c r="F13" s="65" t="s">
        <v>25</v>
      </c>
      <c r="G13" s="65" t="s">
        <v>25</v>
      </c>
      <c r="H13" s="65" t="s">
        <v>36</v>
      </c>
      <c r="I13" s="75">
        <v>44621</v>
      </c>
      <c r="J13" s="76">
        <f ca="1">EFEITO!$J$13*EFEITO!$Y$13</f>
        <v>3543.1161335992342</v>
      </c>
      <c r="K13" s="76">
        <f ca="1">EFEITO!$L$13*EFEITO!$Z$13</f>
        <v>5126.7201717161252</v>
      </c>
      <c r="L13" s="76">
        <f>EFEITO!$N$13*EFEITO!$AA$13</f>
        <v>10800.294194407523</v>
      </c>
      <c r="M13" s="76">
        <f ca="1">$J$13-EFEITO!$K$13*EFEITO!$Y$13</f>
        <v>0</v>
      </c>
      <c r="N13" s="76">
        <f ca="1">$K$13-EFEITO!$M$13*EFEITO!$Z$13</f>
        <v>0</v>
      </c>
      <c r="O13" s="76">
        <f>$L$13-EFEITO!$O$13*EFEITO!$AA$13</f>
        <v>0</v>
      </c>
      <c r="P13" s="19"/>
      <c r="Q13" s="76" t="s">
        <v>82</v>
      </c>
      <c r="R13" s="76">
        <f>SUMIF($B$2:$B$693,$Q$13,$J$2:$J$693)</f>
        <v>0</v>
      </c>
      <c r="S13" s="76">
        <f>SUMIF($B$2:$B$693,$Q$13,$K$2:$K$693)</f>
        <v>0</v>
      </c>
      <c r="T13" s="76">
        <f>SUMIF($B$2:$B$693,$Q$13,$L$2:$L$693)</f>
        <v>0</v>
      </c>
      <c r="U13" s="76">
        <f>SUMIF($B$2:$B$693,$Q$13,$M$2:$M$693)</f>
        <v>0</v>
      </c>
      <c r="V13" s="76">
        <f>SUMIF($B$2:$B$693,$Q$13,$N$2:$N$693)</f>
        <v>0</v>
      </c>
      <c r="W13" s="76">
        <f>SUMIF($B$2:$B$693,$Q$13,$O$2:$O$693)</f>
        <v>0</v>
      </c>
      <c r="X13" s="66">
        <f>$R$13-$U$13</f>
        <v>0</v>
      </c>
      <c r="Y13" s="66">
        <f>$S$13-$V$13</f>
        <v>0</v>
      </c>
      <c r="Z13" s="66">
        <f>$T$13-$W$13</f>
        <v>0</v>
      </c>
      <c r="AA13" s="66">
        <f>SUMIF(EFEITO!$B$2:$B$693,$Q$13,EFEITO!$AE$2:$AE$693)</f>
        <v>0</v>
      </c>
      <c r="AB13" s="66">
        <f>SUMIF(EFEITO!$B$2:$B$693,$Q$13,EFEITO!$AF$2:$AF$693)</f>
        <v>0</v>
      </c>
      <c r="AC13" s="66">
        <f>SUMIF(EFEITO!$B$2:$B$693,$Q$13,EFEITO!$AG$2:$AH$693)</f>
        <v>0</v>
      </c>
      <c r="AD13" s="66">
        <f>SUMIF(SUBSIDIO!$B$2:$B$693,$Q$13,SUBSIDIO!$AD$2:$AD$693)</f>
        <v>0</v>
      </c>
      <c r="AE13" s="66">
        <f>SUMIF(SUBSIDIO!$B$2:$B$693,$Q$13,SUBSIDIO!$AE$2:$AE$693)</f>
        <v>0</v>
      </c>
      <c r="AF13" s="66" t="str">
        <f>IF(ABS($X$13-$AA$13)&lt;0.01,"OK","ERRO")</f>
        <v>OK</v>
      </c>
      <c r="AG13" s="66" t="str">
        <f>IF(ABS($Y$13-$AB$13)&lt;0.01,"OK","ERRO")</f>
        <v>OK</v>
      </c>
      <c r="AH13" s="66" t="str">
        <f>IF(ABS($Z$13-$AC$13)&lt;0.01,"OK","ERRO")</f>
        <v>OK</v>
      </c>
      <c r="AI13" s="66" t="str">
        <f>IF(ABS($U$13-$AD$13)&lt;0.01,"OK","ERRO")</f>
        <v>OK</v>
      </c>
      <c r="AJ13" s="66" t="str">
        <f>IF(ABS(($V$13+$W$13)-$AE$13)&lt;0.01,"OK","ERRO")</f>
        <v>OK</v>
      </c>
    </row>
    <row r="14" spans="1:40" ht="11.25" customHeight="1" x14ac:dyDescent="0.2">
      <c r="A14" s="65" t="s">
        <v>21</v>
      </c>
      <c r="B14" s="65" t="s">
        <v>33</v>
      </c>
      <c r="C14" s="65" t="s">
        <v>43</v>
      </c>
      <c r="D14" s="65" t="s">
        <v>42</v>
      </c>
      <c r="E14" s="65" t="s">
        <v>25</v>
      </c>
      <c r="F14" s="65" t="s">
        <v>25</v>
      </c>
      <c r="G14" s="65" t="s">
        <v>25</v>
      </c>
      <c r="H14" s="65" t="s">
        <v>35</v>
      </c>
      <c r="I14" s="75">
        <v>44287</v>
      </c>
      <c r="J14" s="76">
        <f ca="1">EFEITO!$J$14*EFEITO!$Y$14</f>
        <v>13316.029656154307</v>
      </c>
      <c r="K14" s="76">
        <f ca="1">EFEITO!$L$14*EFEITO!$Z$14</f>
        <v>576.75214537834506</v>
      </c>
      <c r="L14" s="76">
        <f>EFEITO!$N$14*EFEITO!$AA$14</f>
        <v>1215.0249357683761</v>
      </c>
      <c r="M14" s="76">
        <f ca="1">$J$14-EFEITO!$K$14*EFEITO!$Y$14</f>
        <v>0</v>
      </c>
      <c r="N14" s="76">
        <f ca="1">$K$14-EFEITO!$M$14*EFEITO!$Z$14</f>
        <v>0</v>
      </c>
      <c r="O14" s="76">
        <f>$L$14-EFEITO!$O$14*EFEITO!$AA$14</f>
        <v>0</v>
      </c>
      <c r="P14" s="19"/>
      <c r="Q14" s="19"/>
      <c r="R14" s="19"/>
      <c r="S14" s="19"/>
      <c r="T14" s="19"/>
      <c r="U14" s="19"/>
      <c r="V14" s="19"/>
      <c r="W14" s="19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65" t="s">
        <v>21</v>
      </c>
      <c r="B15" s="65" t="s">
        <v>33</v>
      </c>
      <c r="C15" s="65" t="s">
        <v>43</v>
      </c>
      <c r="D15" s="65" t="s">
        <v>42</v>
      </c>
      <c r="E15" s="65" t="s">
        <v>25</v>
      </c>
      <c r="F15" s="65" t="s">
        <v>25</v>
      </c>
      <c r="G15" s="65" t="s">
        <v>25</v>
      </c>
      <c r="H15" s="65" t="s">
        <v>35</v>
      </c>
      <c r="I15" s="75">
        <v>44317</v>
      </c>
      <c r="J15" s="76">
        <f ca="1">EFEITO!$J$15*EFEITO!$Y$15</f>
        <v>12277.190463120993</v>
      </c>
      <c r="K15" s="76">
        <f ca="1">EFEITO!$L$15*EFEITO!$Z$15</f>
        <v>598.0329875685544</v>
      </c>
      <c r="L15" s="76">
        <f>EFEITO!$N$15*EFEITO!$AA$15</f>
        <v>1259.8565920048593</v>
      </c>
      <c r="M15" s="76">
        <f ca="1">$J$15-EFEITO!$K$15*EFEITO!$Y$15</f>
        <v>0</v>
      </c>
      <c r="N15" s="76">
        <f ca="1">$K$15-EFEITO!$M$15*EFEITO!$Z$15</f>
        <v>0</v>
      </c>
      <c r="O15" s="76">
        <f>$L$15-EFEITO!$O$15*EFEITO!$AA$15</f>
        <v>0</v>
      </c>
      <c r="P15" s="19"/>
      <c r="Q15" s="19"/>
      <c r="R15" s="19"/>
      <c r="S15" s="19"/>
      <c r="T15" s="19"/>
      <c r="U15" s="19"/>
      <c r="V15" s="19"/>
      <c r="W15" s="19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65" t="s">
        <v>21</v>
      </c>
      <c r="B16" s="65" t="s">
        <v>33</v>
      </c>
      <c r="C16" s="65" t="s">
        <v>43</v>
      </c>
      <c r="D16" s="65" t="s">
        <v>42</v>
      </c>
      <c r="E16" s="65" t="s">
        <v>25</v>
      </c>
      <c r="F16" s="65" t="s">
        <v>25</v>
      </c>
      <c r="G16" s="65" t="s">
        <v>25</v>
      </c>
      <c r="H16" s="65" t="s">
        <v>35</v>
      </c>
      <c r="I16" s="75">
        <v>44348</v>
      </c>
      <c r="J16" s="76">
        <f ca="1">EFEITO!$J$16*EFEITO!$Y$16</f>
        <v>12371.630389760385</v>
      </c>
      <c r="K16" s="76">
        <f ca="1">EFEITO!$L$16*EFEITO!$Z$16</f>
        <v>599.37595333783941</v>
      </c>
      <c r="L16" s="76">
        <f>EFEITO!$N$16*EFEITO!$AA$16</f>
        <v>1262.68577419454</v>
      </c>
      <c r="M16" s="76">
        <f ca="1">$J$16-EFEITO!$K$16*EFEITO!$Y$16</f>
        <v>0</v>
      </c>
      <c r="N16" s="76">
        <f ca="1">$K$16-EFEITO!$M$16*EFEITO!$Z$16</f>
        <v>0</v>
      </c>
      <c r="O16" s="76">
        <f>$L$16-EFEITO!$O$16*EFEITO!$AA$16</f>
        <v>0</v>
      </c>
      <c r="P16" s="19"/>
      <c r="Q16" s="19"/>
      <c r="R16" s="19"/>
      <c r="S16" s="19"/>
      <c r="T16" s="19"/>
      <c r="U16" s="19"/>
      <c r="V16" s="19"/>
      <c r="W16" s="19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65" t="s">
        <v>21</v>
      </c>
      <c r="B17" s="65" t="s">
        <v>33</v>
      </c>
      <c r="C17" s="65" t="s">
        <v>43</v>
      </c>
      <c r="D17" s="65" t="s">
        <v>42</v>
      </c>
      <c r="E17" s="65" t="s">
        <v>25</v>
      </c>
      <c r="F17" s="65" t="s">
        <v>25</v>
      </c>
      <c r="G17" s="65" t="s">
        <v>25</v>
      </c>
      <c r="H17" s="65" t="s">
        <v>35</v>
      </c>
      <c r="I17" s="75">
        <v>44378</v>
      </c>
      <c r="J17" s="76">
        <f ca="1">EFEITO!$J$17*EFEITO!$Y$17</f>
        <v>13032.709876236131</v>
      </c>
      <c r="K17" s="76">
        <f ca="1">EFEITO!$L$17*EFEITO!$Z$17</f>
        <v>553.81842224132322</v>
      </c>
      <c r="L17" s="76">
        <f>EFEITO!$N$17*EFEITO!$AA$17</f>
        <v>1166.7112091445931</v>
      </c>
      <c r="M17" s="76">
        <f ca="1">$J$17-EFEITO!$K$17*EFEITO!$Y$17</f>
        <v>0</v>
      </c>
      <c r="N17" s="76">
        <f ca="1">$K$17-EFEITO!$M$17*EFEITO!$Z$17</f>
        <v>0</v>
      </c>
      <c r="O17" s="76">
        <f>$L$17-EFEITO!$O$17*EFEITO!$AA$17</f>
        <v>0</v>
      </c>
      <c r="P17" s="19"/>
      <c r="Q17" s="19"/>
      <c r="R17" s="19"/>
      <c r="S17" s="19"/>
      <c r="T17" s="19"/>
      <c r="U17" s="19"/>
      <c r="V17" s="19"/>
      <c r="W17" s="19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65" t="s">
        <v>21</v>
      </c>
      <c r="B18" s="65" t="s">
        <v>33</v>
      </c>
      <c r="C18" s="65" t="s">
        <v>43</v>
      </c>
      <c r="D18" s="65" t="s">
        <v>42</v>
      </c>
      <c r="E18" s="65" t="s">
        <v>25</v>
      </c>
      <c r="F18" s="65" t="s">
        <v>25</v>
      </c>
      <c r="G18" s="65" t="s">
        <v>25</v>
      </c>
      <c r="H18" s="65" t="s">
        <v>35</v>
      </c>
      <c r="I18" s="75">
        <v>44409</v>
      </c>
      <c r="J18" s="76">
        <f ca="1">EFEITO!$J$18*EFEITO!$Y$18</f>
        <v>13882.669215990662</v>
      </c>
      <c r="K18" s="76">
        <f ca="1">EFEITO!$L$18*EFEITO!$Z$18</f>
        <v>618.5906943445334</v>
      </c>
      <c r="L18" s="76">
        <f>EFEITO!$N$18*EFEITO!$AA$18</f>
        <v>1303.164842446899</v>
      </c>
      <c r="M18" s="76">
        <f ca="1">$J$18-EFEITO!$K$18*EFEITO!$Y$18</f>
        <v>0</v>
      </c>
      <c r="N18" s="76">
        <f ca="1">$K$18-EFEITO!$M$18*EFEITO!$Z$18</f>
        <v>0</v>
      </c>
      <c r="O18" s="76">
        <f>$L$18-EFEITO!$O$18*EFEITO!$AA$18</f>
        <v>0</v>
      </c>
      <c r="P18" s="19"/>
      <c r="Q18" s="19"/>
      <c r="R18" s="19"/>
      <c r="S18" s="19"/>
      <c r="T18" s="19"/>
      <c r="U18" s="19"/>
      <c r="V18" s="19"/>
      <c r="W18" s="19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65" t="s">
        <v>21</v>
      </c>
      <c r="B19" s="65" t="s">
        <v>33</v>
      </c>
      <c r="C19" s="65" t="s">
        <v>43</v>
      </c>
      <c r="D19" s="65" t="s">
        <v>42</v>
      </c>
      <c r="E19" s="65" t="s">
        <v>25</v>
      </c>
      <c r="F19" s="65" t="s">
        <v>25</v>
      </c>
      <c r="G19" s="65" t="s">
        <v>25</v>
      </c>
      <c r="H19" s="65" t="s">
        <v>35</v>
      </c>
      <c r="I19" s="75">
        <v>44440</v>
      </c>
      <c r="J19" s="76">
        <f ca="1">EFEITO!$J$19*EFEITO!$Y$19</f>
        <v>13221.589729514915</v>
      </c>
      <c r="K19" s="76">
        <f ca="1">EFEITO!$L$19*EFEITO!$Z$19</f>
        <v>619.62374493629113</v>
      </c>
      <c r="L19" s="76">
        <f>EFEITO!$N$19*EFEITO!$AA$19</f>
        <v>1305.341136438961</v>
      </c>
      <c r="M19" s="76">
        <f ca="1">$J$19-EFEITO!$K$19*EFEITO!$Y$19</f>
        <v>0</v>
      </c>
      <c r="N19" s="76">
        <f ca="1">$K$19-EFEITO!$M$19*EFEITO!$Z$19</f>
        <v>0</v>
      </c>
      <c r="O19" s="76">
        <f>$L$19-EFEITO!$O$19*EFEITO!$AA$19</f>
        <v>0</v>
      </c>
      <c r="P19" s="19"/>
      <c r="Q19" s="19"/>
      <c r="R19" s="19"/>
      <c r="S19" s="19"/>
      <c r="T19" s="19"/>
      <c r="U19" s="19"/>
      <c r="V19" s="19"/>
      <c r="W19" s="19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65" t="s">
        <v>21</v>
      </c>
      <c r="B20" s="65" t="s">
        <v>33</v>
      </c>
      <c r="C20" s="65" t="s">
        <v>43</v>
      </c>
      <c r="D20" s="65" t="s">
        <v>42</v>
      </c>
      <c r="E20" s="65" t="s">
        <v>25</v>
      </c>
      <c r="F20" s="65" t="s">
        <v>25</v>
      </c>
      <c r="G20" s="65" t="s">
        <v>25</v>
      </c>
      <c r="H20" s="65" t="s">
        <v>35</v>
      </c>
      <c r="I20" s="75">
        <v>44470</v>
      </c>
      <c r="J20" s="76">
        <f ca="1">EFEITO!$J$20*EFEITO!$Y$20</f>
        <v>13788.229289351269</v>
      </c>
      <c r="K20" s="76">
        <f ca="1">EFEITO!$L$20*EFEITO!$Z$20</f>
        <v>530.5747839267741</v>
      </c>
      <c r="L20" s="76">
        <f>EFEITO!$N$20*EFEITO!$AA$20</f>
        <v>1117.7445943231917</v>
      </c>
      <c r="M20" s="76">
        <f ca="1">$J$20-EFEITO!$K$20*EFEITO!$Y$20</f>
        <v>0</v>
      </c>
      <c r="N20" s="76">
        <f ca="1">$K$20-EFEITO!$M$20*EFEITO!$Z$20</f>
        <v>0</v>
      </c>
      <c r="O20" s="76">
        <f>$L$20-EFEITO!$O$20*EFEITO!$AA$20</f>
        <v>0</v>
      </c>
      <c r="P20" s="19"/>
      <c r="Q20" s="19"/>
      <c r="R20" s="19"/>
      <c r="S20" s="19"/>
      <c r="T20" s="19"/>
      <c r="U20" s="19"/>
      <c r="V20" s="19"/>
      <c r="W20" s="19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65" t="s">
        <v>21</v>
      </c>
      <c r="B21" s="65" t="s">
        <v>33</v>
      </c>
      <c r="C21" s="65" t="s">
        <v>43</v>
      </c>
      <c r="D21" s="65" t="s">
        <v>42</v>
      </c>
      <c r="E21" s="65" t="s">
        <v>25</v>
      </c>
      <c r="F21" s="65" t="s">
        <v>25</v>
      </c>
      <c r="G21" s="65" t="s">
        <v>25</v>
      </c>
      <c r="H21" s="65" t="s">
        <v>35</v>
      </c>
      <c r="I21" s="75">
        <v>44501</v>
      </c>
      <c r="J21" s="76">
        <f ca="1">EFEITO!$J$21*EFEITO!$Y$21</f>
        <v>12749.390096317955</v>
      </c>
      <c r="K21" s="76">
        <f ca="1">EFEITO!$L$21*EFEITO!$Z$21</f>
        <v>556.71096389824493</v>
      </c>
      <c r="L21" s="76">
        <f>EFEITO!$N$21*EFEITO!$AA$21</f>
        <v>1172.8048323223677</v>
      </c>
      <c r="M21" s="76">
        <f ca="1">$J$21-EFEITO!$K$21*EFEITO!$Y$21</f>
        <v>0</v>
      </c>
      <c r="N21" s="76">
        <f ca="1">$K$21-EFEITO!$M$21*EFEITO!$Z$21</f>
        <v>0</v>
      </c>
      <c r="O21" s="76">
        <f>$L$21-EFEITO!$O$21*EFEITO!$AA$21</f>
        <v>0</v>
      </c>
      <c r="P21" s="19"/>
      <c r="Q21" s="19"/>
      <c r="R21" s="19"/>
      <c r="S21" s="19"/>
      <c r="T21" s="19"/>
      <c r="U21" s="19"/>
      <c r="V21" s="19"/>
      <c r="W21" s="19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65" t="s">
        <v>21</v>
      </c>
      <c r="B22" s="65" t="s">
        <v>33</v>
      </c>
      <c r="C22" s="65" t="s">
        <v>43</v>
      </c>
      <c r="D22" s="65" t="s">
        <v>42</v>
      </c>
      <c r="E22" s="65" t="s">
        <v>25</v>
      </c>
      <c r="F22" s="65" t="s">
        <v>25</v>
      </c>
      <c r="G22" s="65" t="s">
        <v>25</v>
      </c>
      <c r="H22" s="65" t="s">
        <v>35</v>
      </c>
      <c r="I22" s="75">
        <v>44531</v>
      </c>
      <c r="J22" s="76">
        <f ca="1">EFEITO!$J$22*EFEITO!$Y$22</f>
        <v>14071.549069269446</v>
      </c>
      <c r="K22" s="76">
        <f ca="1">EFEITO!$L$22*EFEITO!$Z$22</f>
        <v>583.57027928394609</v>
      </c>
      <c r="L22" s="76">
        <f>EFEITO!$N$22*EFEITO!$AA$22</f>
        <v>1229.3884761159873</v>
      </c>
      <c r="M22" s="76">
        <f ca="1">$J$22-EFEITO!$K$22*EFEITO!$Y$22</f>
        <v>0</v>
      </c>
      <c r="N22" s="76">
        <f ca="1">$K$22-EFEITO!$M$22*EFEITO!$Z$22</f>
        <v>0</v>
      </c>
      <c r="O22" s="76">
        <f>$L$22-EFEITO!$O$22*EFEITO!$AA$22</f>
        <v>0</v>
      </c>
      <c r="P22" s="19"/>
      <c r="Q22" s="19"/>
      <c r="R22" s="19"/>
      <c r="S22" s="19"/>
      <c r="T22" s="19"/>
      <c r="U22" s="19"/>
      <c r="V22" s="19"/>
      <c r="W22" s="19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65" t="s">
        <v>21</v>
      </c>
      <c r="B23" s="65" t="s">
        <v>33</v>
      </c>
      <c r="C23" s="65" t="s">
        <v>43</v>
      </c>
      <c r="D23" s="65" t="s">
        <v>42</v>
      </c>
      <c r="E23" s="65" t="s">
        <v>25</v>
      </c>
      <c r="F23" s="65" t="s">
        <v>25</v>
      </c>
      <c r="G23" s="65" t="s">
        <v>25</v>
      </c>
      <c r="H23" s="65" t="s">
        <v>35</v>
      </c>
      <c r="I23" s="75">
        <v>44562</v>
      </c>
      <c r="J23" s="76">
        <f ca="1">EFEITO!$J$23*EFEITO!$Y$23</f>
        <v>13221.589729514915</v>
      </c>
      <c r="K23" s="76">
        <f ca="1">EFEITO!$L$23*EFEITO!$Z$23</f>
        <v>529.95495357171944</v>
      </c>
      <c r="L23" s="76">
        <f>EFEITO!$N$23*EFEITO!$AA$23</f>
        <v>1116.4388179279545</v>
      </c>
      <c r="M23" s="76">
        <f ca="1">$J$23-EFEITO!$K$23*EFEITO!$Y$23</f>
        <v>0</v>
      </c>
      <c r="N23" s="76">
        <f ca="1">$K$23-EFEITO!$M$23*EFEITO!$Z$23</f>
        <v>0</v>
      </c>
      <c r="O23" s="76">
        <f>$L$23-EFEITO!$O$23*EFEITO!$AA$23</f>
        <v>0</v>
      </c>
      <c r="P23" s="19"/>
      <c r="Q23" s="19"/>
      <c r="R23" s="19"/>
      <c r="S23" s="19"/>
      <c r="T23" s="19"/>
      <c r="U23" s="19"/>
      <c r="V23" s="19"/>
      <c r="W23" s="19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65" t="s">
        <v>21</v>
      </c>
      <c r="B24" s="65" t="s">
        <v>33</v>
      </c>
      <c r="C24" s="65" t="s">
        <v>43</v>
      </c>
      <c r="D24" s="65" t="s">
        <v>42</v>
      </c>
      <c r="E24" s="65" t="s">
        <v>25</v>
      </c>
      <c r="F24" s="65" t="s">
        <v>25</v>
      </c>
      <c r="G24" s="65" t="s">
        <v>25</v>
      </c>
      <c r="H24" s="65" t="s">
        <v>35</v>
      </c>
      <c r="I24" s="75">
        <v>44593</v>
      </c>
      <c r="J24" s="76">
        <f ca="1">EFEITO!$J$24*EFEITO!$Y$24</f>
        <v>13316.029656154307</v>
      </c>
      <c r="K24" s="76">
        <f ca="1">EFEITO!$L$24*EFEITO!$Z$24</f>
        <v>591.11154860377758</v>
      </c>
      <c r="L24" s="76">
        <f>EFEITO!$N$24*EFEITO!$AA$24</f>
        <v>1245.275422258042</v>
      </c>
      <c r="M24" s="76">
        <f ca="1">$J$24-EFEITO!$K$24*EFEITO!$Y$24</f>
        <v>0</v>
      </c>
      <c r="N24" s="76">
        <f ca="1">$K$24-EFEITO!$M$24*EFEITO!$Z$24</f>
        <v>0</v>
      </c>
      <c r="O24" s="76">
        <f>$L$24-EFEITO!$O$24*EFEITO!$AA$24</f>
        <v>0</v>
      </c>
      <c r="P24" s="19"/>
      <c r="Q24" s="19"/>
      <c r="R24" s="19"/>
      <c r="S24" s="19"/>
      <c r="T24" s="19"/>
      <c r="U24" s="19"/>
      <c r="V24" s="19"/>
      <c r="W24" s="19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65" t="s">
        <v>54</v>
      </c>
      <c r="B25" s="65" t="s">
        <v>33</v>
      </c>
      <c r="C25" s="65" t="s">
        <v>43</v>
      </c>
      <c r="D25" s="65" t="s">
        <v>42</v>
      </c>
      <c r="E25" s="65" t="s">
        <v>25</v>
      </c>
      <c r="F25" s="65" t="s">
        <v>25</v>
      </c>
      <c r="G25" s="65" t="s">
        <v>25</v>
      </c>
      <c r="H25" s="65" t="s">
        <v>35</v>
      </c>
      <c r="I25" s="75">
        <v>44621</v>
      </c>
      <c r="J25" s="76">
        <f ca="1">EFEITO!$J$25*EFEITO!$Y$25</f>
        <v>13316.029656154307</v>
      </c>
      <c r="K25" s="76">
        <f ca="1">EFEITO!$L$25*EFEITO!$Z$25</f>
        <v>591.11154860377758</v>
      </c>
      <c r="L25" s="76">
        <f>EFEITO!$N$25*EFEITO!$AA$25</f>
        <v>1245.275422258042</v>
      </c>
      <c r="M25" s="76">
        <f ca="1">$J$25-EFEITO!$K$25*EFEITO!$Y$25</f>
        <v>0</v>
      </c>
      <c r="N25" s="76">
        <f ca="1">$K$25-EFEITO!$M$25*EFEITO!$Z$25</f>
        <v>0</v>
      </c>
      <c r="O25" s="76">
        <f>$L$25-EFEITO!$O$25*EFEITO!$AA$25</f>
        <v>0</v>
      </c>
      <c r="P25" s="19"/>
      <c r="Q25" s="19"/>
      <c r="R25" s="19"/>
      <c r="S25" s="19"/>
      <c r="T25" s="19"/>
      <c r="U25" s="19"/>
      <c r="V25" s="19"/>
      <c r="W25" s="19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65" t="s">
        <v>21</v>
      </c>
      <c r="B26" s="65" t="s">
        <v>33</v>
      </c>
      <c r="C26" s="65" t="s">
        <v>34</v>
      </c>
      <c r="D26" s="65" t="s">
        <v>39</v>
      </c>
      <c r="E26" s="65" t="s">
        <v>25</v>
      </c>
      <c r="F26" s="65" t="s">
        <v>25</v>
      </c>
      <c r="G26" s="65" t="s">
        <v>25</v>
      </c>
      <c r="H26" s="65" t="s">
        <v>36</v>
      </c>
      <c r="I26" s="75">
        <v>44287</v>
      </c>
      <c r="J26" s="76">
        <f>EFEITO!$J$26*EFEITO!$Y$26</f>
        <v>0</v>
      </c>
      <c r="K26" s="76">
        <f ca="1">EFEITO!$L$26*EFEITO!$Z$26</f>
        <v>30667.139866920206</v>
      </c>
      <c r="L26" s="76">
        <f>EFEITO!$N$26*EFEITO!$AA$26</f>
        <v>64605.463448361123</v>
      </c>
      <c r="M26" s="76">
        <f>$J$26-EFEITO!$K$26*EFEITO!$Y$26</f>
        <v>0</v>
      </c>
      <c r="N26" s="76">
        <f ca="1">$K$26-EFEITO!$M$26*EFEITO!$Z$26</f>
        <v>0</v>
      </c>
      <c r="O26" s="76">
        <f>$L$26-EFEITO!$O$26*EFEITO!$AA$26</f>
        <v>0</v>
      </c>
      <c r="P26" s="19"/>
      <c r="Q26" s="19"/>
      <c r="R26" s="19"/>
      <c r="S26" s="19"/>
      <c r="T26" s="19"/>
      <c r="U26" s="19"/>
      <c r="V26" s="19"/>
      <c r="W26" s="19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65" t="s">
        <v>28</v>
      </c>
      <c r="B27" s="65" t="s">
        <v>33</v>
      </c>
      <c r="C27" s="65" t="s">
        <v>34</v>
      </c>
      <c r="D27" s="65" t="s">
        <v>39</v>
      </c>
      <c r="E27" s="65" t="s">
        <v>25</v>
      </c>
      <c r="F27" s="65" t="s">
        <v>25</v>
      </c>
      <c r="G27" s="65" t="s">
        <v>25</v>
      </c>
      <c r="H27" s="65" t="s">
        <v>36</v>
      </c>
      <c r="I27" s="75">
        <v>44287</v>
      </c>
      <c r="J27" s="76">
        <f>EFEITO!$J$27*EFEITO!$Y$27</f>
        <v>0</v>
      </c>
      <c r="K27" s="76">
        <f ca="1">EFEITO!$L$27*EFEITO!$Z$27</f>
        <v>228.71740101516315</v>
      </c>
      <c r="L27" s="76">
        <f>EFEITO!$N$27*EFEITO!$AA$27</f>
        <v>481.83148984259083</v>
      </c>
      <c r="M27" s="76">
        <f>$J$27-EFEITO!$K$27*EFEITO!$Y$27</f>
        <v>0</v>
      </c>
      <c r="N27" s="76">
        <f ca="1">$K$27-EFEITO!$M$27*EFEITO!$Z$27</f>
        <v>0</v>
      </c>
      <c r="O27" s="76">
        <f>$L$27-EFEITO!$O$27*EFEITO!$AA$27</f>
        <v>0</v>
      </c>
      <c r="P27" s="19"/>
      <c r="Q27" s="19"/>
      <c r="R27" s="19"/>
      <c r="S27" s="19"/>
      <c r="T27" s="19"/>
      <c r="U27" s="19"/>
      <c r="V27" s="19"/>
      <c r="W27" s="19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65" t="s">
        <v>21</v>
      </c>
      <c r="B28" s="65" t="s">
        <v>33</v>
      </c>
      <c r="C28" s="65" t="s">
        <v>34</v>
      </c>
      <c r="D28" s="65" t="s">
        <v>39</v>
      </c>
      <c r="E28" s="65" t="s">
        <v>25</v>
      </c>
      <c r="F28" s="65" t="s">
        <v>25</v>
      </c>
      <c r="G28" s="65" t="s">
        <v>25</v>
      </c>
      <c r="H28" s="65" t="s">
        <v>36</v>
      </c>
      <c r="I28" s="75">
        <v>44317</v>
      </c>
      <c r="J28" s="76">
        <f>EFEITO!$J$28*EFEITO!$Y$28</f>
        <v>0</v>
      </c>
      <c r="K28" s="76">
        <f ca="1">EFEITO!$L$28*EFEITO!$Z$28</f>
        <v>20472.686712277318</v>
      </c>
      <c r="L28" s="76">
        <f>EFEITO!$N$28*EFEITO!$AA$28</f>
        <v>43129.141446492831</v>
      </c>
      <c r="M28" s="76">
        <f>$J$28-EFEITO!$K$28*EFEITO!$Y$28</f>
        <v>0</v>
      </c>
      <c r="N28" s="76">
        <f ca="1">$K$28-EFEITO!$M$28*EFEITO!$Z$28</f>
        <v>0</v>
      </c>
      <c r="O28" s="76">
        <f>$L$28-EFEITO!$O$28*EFEITO!$AA$28</f>
        <v>0</v>
      </c>
      <c r="P28" s="19"/>
      <c r="Q28" s="19"/>
      <c r="R28" s="19"/>
      <c r="S28" s="19"/>
      <c r="T28" s="19"/>
      <c r="U28" s="19"/>
      <c r="V28" s="19"/>
      <c r="W28" s="19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65" t="s">
        <v>21</v>
      </c>
      <c r="B29" s="65" t="s">
        <v>33</v>
      </c>
      <c r="C29" s="65" t="s">
        <v>34</v>
      </c>
      <c r="D29" s="65" t="s">
        <v>39</v>
      </c>
      <c r="E29" s="65" t="s">
        <v>25</v>
      </c>
      <c r="F29" s="65" t="s">
        <v>25</v>
      </c>
      <c r="G29" s="65" t="s">
        <v>25</v>
      </c>
      <c r="H29" s="65" t="s">
        <v>36</v>
      </c>
      <c r="I29" s="75">
        <v>44348</v>
      </c>
      <c r="J29" s="76">
        <f>EFEITO!$J$29*EFEITO!$Y$29</f>
        <v>0</v>
      </c>
      <c r="K29" s="76">
        <f ca="1">EFEITO!$L$29*EFEITO!$Z$29</f>
        <v>18496.15101506724</v>
      </c>
      <c r="L29" s="76">
        <f>EFEITO!$N$29*EFEITO!$AA$29</f>
        <v>38965.238151480051</v>
      </c>
      <c r="M29" s="76">
        <f>$J$29-EFEITO!$K$29*EFEITO!$Y$29</f>
        <v>0</v>
      </c>
      <c r="N29" s="76">
        <f ca="1">$K$29-EFEITO!$M$29*EFEITO!$Z$29</f>
        <v>0</v>
      </c>
      <c r="O29" s="76">
        <f>$L$29-EFEITO!$O$29*EFEITO!$AA$29</f>
        <v>0</v>
      </c>
      <c r="P29" s="19"/>
      <c r="Q29" s="19"/>
      <c r="R29" s="19"/>
      <c r="S29" s="19"/>
      <c r="T29" s="19"/>
      <c r="U29" s="19"/>
      <c r="V29" s="19"/>
      <c r="W29" s="19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65" t="s">
        <v>28</v>
      </c>
      <c r="B30" s="65" t="s">
        <v>33</v>
      </c>
      <c r="C30" s="65" t="s">
        <v>34</v>
      </c>
      <c r="D30" s="65" t="s">
        <v>39</v>
      </c>
      <c r="E30" s="65" t="s">
        <v>25</v>
      </c>
      <c r="F30" s="65" t="s">
        <v>25</v>
      </c>
      <c r="G30" s="65" t="s">
        <v>25</v>
      </c>
      <c r="H30" s="65" t="s">
        <v>36</v>
      </c>
      <c r="I30" s="75">
        <v>44348</v>
      </c>
      <c r="J30" s="76">
        <f>EFEITO!$J$30*EFEITO!$Y$30</f>
        <v>0</v>
      </c>
      <c r="K30" s="76">
        <f ca="1">EFEITO!$L$30*EFEITO!$Z$30</f>
        <v>753.30049150974241</v>
      </c>
      <c r="L30" s="76">
        <f>EFEITO!$N$30*EFEITO!$AA$30</f>
        <v>1586.9535790118214</v>
      </c>
      <c r="M30" s="76">
        <f>$J$30-EFEITO!$K$30*EFEITO!$Y$30</f>
        <v>0</v>
      </c>
      <c r="N30" s="76">
        <f ca="1">$K$30-EFEITO!$M$30*EFEITO!$Z$30</f>
        <v>0</v>
      </c>
      <c r="O30" s="76">
        <f>$L$30-EFEITO!$O$30*EFEITO!$AA$30</f>
        <v>0</v>
      </c>
      <c r="P30" s="19"/>
      <c r="Q30" s="19"/>
      <c r="R30" s="19"/>
      <c r="S30" s="19"/>
      <c r="T30" s="19"/>
      <c r="U30" s="19"/>
      <c r="V30" s="19"/>
      <c r="W30" s="19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65" t="s">
        <v>21</v>
      </c>
      <c r="B31" s="65" t="s">
        <v>33</v>
      </c>
      <c r="C31" s="65" t="s">
        <v>34</v>
      </c>
      <c r="D31" s="65" t="s">
        <v>39</v>
      </c>
      <c r="E31" s="65" t="s">
        <v>25</v>
      </c>
      <c r="F31" s="65" t="s">
        <v>25</v>
      </c>
      <c r="G31" s="65" t="s">
        <v>25</v>
      </c>
      <c r="H31" s="65" t="s">
        <v>36</v>
      </c>
      <c r="I31" s="75">
        <v>44378</v>
      </c>
      <c r="J31" s="76">
        <f>EFEITO!$J$31*EFEITO!$Y$31</f>
        <v>0</v>
      </c>
      <c r="K31" s="76">
        <f ca="1">EFEITO!$L$31*EFEITO!$Z$31</f>
        <v>24315.73821867528</v>
      </c>
      <c r="L31" s="76">
        <f>EFEITO!$N$31*EFEITO!$AA$31</f>
        <v>51225.172726363751</v>
      </c>
      <c r="M31" s="76">
        <f>$J$31-EFEITO!$K$31*EFEITO!$Y$31</f>
        <v>0</v>
      </c>
      <c r="N31" s="76">
        <f ca="1">$K$31-EFEITO!$M$31*EFEITO!$Z$31</f>
        <v>0</v>
      </c>
      <c r="O31" s="76">
        <f>$L$31-EFEITO!$O$31*EFEITO!$AA$31</f>
        <v>0</v>
      </c>
      <c r="P31" s="19"/>
      <c r="Q31" s="19"/>
      <c r="R31" s="19"/>
      <c r="S31" s="19"/>
      <c r="T31" s="19"/>
      <c r="U31" s="19"/>
      <c r="V31" s="19"/>
      <c r="W31" s="19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65" t="s">
        <v>28</v>
      </c>
      <c r="B32" s="65" t="s">
        <v>33</v>
      </c>
      <c r="C32" s="65" t="s">
        <v>34</v>
      </c>
      <c r="D32" s="65" t="s">
        <v>39</v>
      </c>
      <c r="E32" s="65" t="s">
        <v>25</v>
      </c>
      <c r="F32" s="65" t="s">
        <v>25</v>
      </c>
      <c r="G32" s="65" t="s">
        <v>25</v>
      </c>
      <c r="H32" s="65" t="s">
        <v>36</v>
      </c>
      <c r="I32" s="75">
        <v>44378</v>
      </c>
      <c r="J32" s="76">
        <f>EFEITO!$J$32*EFEITO!$Y$32</f>
        <v>0</v>
      </c>
      <c r="K32" s="76">
        <f ca="1">EFEITO!$L$32*EFEITO!$Z$32</f>
        <v>13.119742515323271</v>
      </c>
      <c r="L32" s="76">
        <f>EFEITO!$N$32*EFEITO!$AA$32</f>
        <v>27.638933699191075</v>
      </c>
      <c r="M32" s="76">
        <f>$J$32-EFEITO!$K$32*EFEITO!$Y$32</f>
        <v>0</v>
      </c>
      <c r="N32" s="76">
        <f ca="1">$K$32-EFEITO!$M$32*EFEITO!$Z$32</f>
        <v>0</v>
      </c>
      <c r="O32" s="76">
        <f>$L$32-EFEITO!$O$32*EFEITO!$AA$32</f>
        <v>0</v>
      </c>
      <c r="P32" s="19"/>
      <c r="Q32" s="19"/>
      <c r="R32" s="19"/>
      <c r="S32" s="19"/>
      <c r="T32" s="19"/>
      <c r="U32" s="19"/>
      <c r="V32" s="19"/>
      <c r="W32" s="19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65" t="s">
        <v>21</v>
      </c>
      <c r="B33" s="65" t="s">
        <v>33</v>
      </c>
      <c r="C33" s="65" t="s">
        <v>34</v>
      </c>
      <c r="D33" s="65" t="s">
        <v>39</v>
      </c>
      <c r="E33" s="65" t="s">
        <v>25</v>
      </c>
      <c r="F33" s="65" t="s">
        <v>25</v>
      </c>
      <c r="G33" s="65" t="s">
        <v>25</v>
      </c>
      <c r="H33" s="65" t="s">
        <v>36</v>
      </c>
      <c r="I33" s="75">
        <v>44409</v>
      </c>
      <c r="J33" s="76">
        <f>EFEITO!$J$33*EFEITO!$Y$33</f>
        <v>0</v>
      </c>
      <c r="K33" s="76">
        <f ca="1">EFEITO!$L$33*EFEITO!$Z$33</f>
        <v>28225.214878123261</v>
      </c>
      <c r="L33" s="76">
        <f>EFEITO!$N$33*EFEITO!$AA$33</f>
        <v>59461.139709924275</v>
      </c>
      <c r="M33" s="76">
        <f>$J$33-EFEITO!$K$33*EFEITO!$Y$33</f>
        <v>0</v>
      </c>
      <c r="N33" s="76">
        <f ca="1">$K$33-EFEITO!$M$33*EFEITO!$Z$33</f>
        <v>0</v>
      </c>
      <c r="O33" s="76">
        <f>$L$33-EFEITO!$O$33*EFEITO!$AA$33</f>
        <v>0</v>
      </c>
      <c r="P33" s="19"/>
      <c r="Q33" s="19"/>
      <c r="R33" s="19"/>
      <c r="S33" s="19"/>
      <c r="T33" s="19"/>
      <c r="U33" s="19"/>
      <c r="V33" s="19"/>
      <c r="W33" s="19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65" t="s">
        <v>28</v>
      </c>
      <c r="B34" s="65" t="s">
        <v>33</v>
      </c>
      <c r="C34" s="65" t="s">
        <v>34</v>
      </c>
      <c r="D34" s="65" t="s">
        <v>39</v>
      </c>
      <c r="E34" s="65" t="s">
        <v>25</v>
      </c>
      <c r="F34" s="65" t="s">
        <v>25</v>
      </c>
      <c r="G34" s="65" t="s">
        <v>25</v>
      </c>
      <c r="H34" s="65" t="s">
        <v>36</v>
      </c>
      <c r="I34" s="75">
        <v>44409</v>
      </c>
      <c r="J34" s="76">
        <f>EFEITO!$J$34*EFEITO!$Y$34</f>
        <v>0</v>
      </c>
      <c r="K34" s="76">
        <f ca="1">EFEITO!$L$34*EFEITO!$Z$34</f>
        <v>2493.3709082664759</v>
      </c>
      <c r="L34" s="76">
        <f>EFEITO!$N$34*EFEITO!$AA$34</f>
        <v>5252.703179241541</v>
      </c>
      <c r="M34" s="76">
        <f>$J$34-EFEITO!$K$34*EFEITO!$Y$34</f>
        <v>0</v>
      </c>
      <c r="N34" s="76">
        <f ca="1">$K$34-EFEITO!$M$34*EFEITO!$Z$34</f>
        <v>0</v>
      </c>
      <c r="O34" s="76">
        <f>$L$34-EFEITO!$O$34*EFEITO!$AA$34</f>
        <v>0</v>
      </c>
      <c r="P34" s="19"/>
      <c r="Q34" s="19"/>
      <c r="R34" s="19"/>
      <c r="S34" s="19"/>
      <c r="T34" s="19"/>
      <c r="U34" s="19"/>
      <c r="V34" s="19"/>
      <c r="W34" s="19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65" t="s">
        <v>21</v>
      </c>
      <c r="B35" s="65" t="s">
        <v>33</v>
      </c>
      <c r="C35" s="65" t="s">
        <v>34</v>
      </c>
      <c r="D35" s="65" t="s">
        <v>39</v>
      </c>
      <c r="E35" s="65" t="s">
        <v>25</v>
      </c>
      <c r="F35" s="65" t="s">
        <v>25</v>
      </c>
      <c r="G35" s="65" t="s">
        <v>25</v>
      </c>
      <c r="H35" s="65" t="s">
        <v>36</v>
      </c>
      <c r="I35" s="75">
        <v>44440</v>
      </c>
      <c r="J35" s="76">
        <f>EFEITO!$J$35*EFEITO!$Y$35</f>
        <v>0</v>
      </c>
      <c r="K35" s="76">
        <f ca="1">EFEITO!$L$35*EFEITO!$Z$35</f>
        <v>22948.495760483915</v>
      </c>
      <c r="L35" s="76">
        <f>EFEITO!$N$35*EFEITO!$AA$35</f>
        <v>48344.847627869312</v>
      </c>
      <c r="M35" s="76">
        <f>$J$35-EFEITO!$K$35*EFEITO!$Y$35</f>
        <v>0</v>
      </c>
      <c r="N35" s="76">
        <f ca="1">$K$35-EFEITO!$M$35*EFEITO!$Z$35</f>
        <v>0</v>
      </c>
      <c r="O35" s="76">
        <f>$L$35-EFEITO!$O$35*EFEITO!$AA$35</f>
        <v>0</v>
      </c>
      <c r="P35" s="19"/>
      <c r="Q35" s="19"/>
      <c r="R35" s="19"/>
      <c r="S35" s="19"/>
      <c r="T35" s="19"/>
      <c r="U35" s="19"/>
      <c r="V35" s="19"/>
      <c r="W35" s="19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65" t="s">
        <v>28</v>
      </c>
      <c r="B36" s="65" t="s">
        <v>33</v>
      </c>
      <c r="C36" s="65" t="s">
        <v>34</v>
      </c>
      <c r="D36" s="65" t="s">
        <v>39</v>
      </c>
      <c r="E36" s="65" t="s">
        <v>25</v>
      </c>
      <c r="F36" s="65" t="s">
        <v>25</v>
      </c>
      <c r="G36" s="65" t="s">
        <v>25</v>
      </c>
      <c r="H36" s="65" t="s">
        <v>36</v>
      </c>
      <c r="I36" s="75">
        <v>44440</v>
      </c>
      <c r="J36" s="76">
        <f>EFEITO!$J$36*EFEITO!$Y$36</f>
        <v>0</v>
      </c>
      <c r="K36" s="76">
        <f ca="1">EFEITO!$L$36*EFEITO!$Z$36</f>
        <v>1719.306099862403</v>
      </c>
      <c r="L36" s="76">
        <f>EFEITO!$N$36*EFEITO!$AA$36</f>
        <v>3622.0060909892682</v>
      </c>
      <c r="M36" s="76">
        <f>$J$36-EFEITO!$K$36*EFEITO!$Y$36</f>
        <v>0</v>
      </c>
      <c r="N36" s="76">
        <f ca="1">$K$36-EFEITO!$M$36*EFEITO!$Z$36</f>
        <v>0</v>
      </c>
      <c r="O36" s="76">
        <f>$L$36-EFEITO!$O$36*EFEITO!$AA$36</f>
        <v>0</v>
      </c>
      <c r="P36" s="19"/>
      <c r="Q36" s="19"/>
      <c r="R36" s="19"/>
      <c r="S36" s="19"/>
      <c r="T36" s="19"/>
      <c r="U36" s="19"/>
      <c r="V36" s="19"/>
      <c r="W36" s="19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65" t="s">
        <v>21</v>
      </c>
      <c r="B37" s="65" t="s">
        <v>33</v>
      </c>
      <c r="C37" s="65" t="s">
        <v>34</v>
      </c>
      <c r="D37" s="65" t="s">
        <v>39</v>
      </c>
      <c r="E37" s="65" t="s">
        <v>25</v>
      </c>
      <c r="F37" s="65" t="s">
        <v>25</v>
      </c>
      <c r="G37" s="65" t="s">
        <v>25</v>
      </c>
      <c r="H37" s="65" t="s">
        <v>36</v>
      </c>
      <c r="I37" s="75">
        <v>44470</v>
      </c>
      <c r="J37" s="76">
        <f>EFEITO!$J$37*EFEITO!$Y$37</f>
        <v>0</v>
      </c>
      <c r="K37" s="76">
        <f ca="1">EFEITO!$L$37*EFEITO!$Z$37</f>
        <v>22726.183273137649</v>
      </c>
      <c r="L37" s="76">
        <f>EFEITO!$N$37*EFEITO!$AA$37</f>
        <v>47876.50916077751</v>
      </c>
      <c r="M37" s="76">
        <f>$J$37-EFEITO!$K$37*EFEITO!$Y$37</f>
        <v>0</v>
      </c>
      <c r="N37" s="76">
        <f ca="1">$K$37-EFEITO!$M$37*EFEITO!$Z$37</f>
        <v>0</v>
      </c>
      <c r="O37" s="76">
        <f>$L$37-EFEITO!$O$37*EFEITO!$AA$37</f>
        <v>0</v>
      </c>
      <c r="P37" s="19"/>
      <c r="Q37" s="19"/>
      <c r="R37" s="19"/>
      <c r="S37" s="19"/>
      <c r="T37" s="19"/>
      <c r="U37" s="19"/>
      <c r="V37" s="19"/>
      <c r="W37" s="19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65" t="s">
        <v>28</v>
      </c>
      <c r="B38" s="65" t="s">
        <v>33</v>
      </c>
      <c r="C38" s="65" t="s">
        <v>34</v>
      </c>
      <c r="D38" s="65" t="s">
        <v>39</v>
      </c>
      <c r="E38" s="65" t="s">
        <v>25</v>
      </c>
      <c r="F38" s="65" t="s">
        <v>25</v>
      </c>
      <c r="G38" s="65" t="s">
        <v>25</v>
      </c>
      <c r="H38" s="65" t="s">
        <v>36</v>
      </c>
      <c r="I38" s="75">
        <v>44470</v>
      </c>
      <c r="J38" s="76">
        <f>EFEITO!$J$38*EFEITO!$Y$38</f>
        <v>0</v>
      </c>
      <c r="K38" s="76">
        <f ca="1">EFEITO!$L$38*EFEITO!$Z$38</f>
        <v>531.81444463688342</v>
      </c>
      <c r="L38" s="76">
        <f>EFEITO!$N$38*EFEITO!$AA$38</f>
        <v>1120.3561471136663</v>
      </c>
      <c r="M38" s="76">
        <f>$J$38-EFEITO!$K$38*EFEITO!$Y$38</f>
        <v>0</v>
      </c>
      <c r="N38" s="76">
        <f ca="1">$K$38-EFEITO!$M$38*EFEITO!$Z$38</f>
        <v>0</v>
      </c>
      <c r="O38" s="76">
        <f>$L$38-EFEITO!$O$38*EFEITO!$AA$38</f>
        <v>0</v>
      </c>
      <c r="P38" s="19"/>
      <c r="Q38" s="19"/>
      <c r="R38" s="19"/>
      <c r="S38" s="19"/>
      <c r="T38" s="19"/>
      <c r="U38" s="19"/>
      <c r="V38" s="19"/>
      <c r="W38" s="19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65" t="s">
        <v>21</v>
      </c>
      <c r="B39" s="65" t="s">
        <v>33</v>
      </c>
      <c r="C39" s="65" t="s">
        <v>34</v>
      </c>
      <c r="D39" s="65" t="s">
        <v>39</v>
      </c>
      <c r="E39" s="65" t="s">
        <v>25</v>
      </c>
      <c r="F39" s="65" t="s">
        <v>25</v>
      </c>
      <c r="G39" s="65" t="s">
        <v>25</v>
      </c>
      <c r="H39" s="65" t="s">
        <v>36</v>
      </c>
      <c r="I39" s="75">
        <v>44501</v>
      </c>
      <c r="J39" s="76">
        <f>EFEITO!$J$39*EFEITO!$Y$39</f>
        <v>0</v>
      </c>
      <c r="K39" s="76">
        <f ca="1">EFEITO!$L$39*EFEITO!$Z$39</f>
        <v>29532.333791874327</v>
      </c>
      <c r="L39" s="76">
        <f>EFEITO!$N$39*EFEITO!$AA$39</f>
        <v>62214.804498080695</v>
      </c>
      <c r="M39" s="76">
        <f>$J$39-EFEITO!$K$39*EFEITO!$Y$39</f>
        <v>0</v>
      </c>
      <c r="N39" s="76">
        <f ca="1">$K$39-EFEITO!$M$39*EFEITO!$Z$39</f>
        <v>0</v>
      </c>
      <c r="O39" s="76">
        <f>$L$39-EFEITO!$O$39*EFEITO!$AA$39</f>
        <v>0</v>
      </c>
      <c r="P39" s="19"/>
      <c r="Q39" s="19"/>
      <c r="R39" s="19"/>
      <c r="S39" s="19"/>
      <c r="T39" s="19"/>
      <c r="U39" s="19"/>
      <c r="V39" s="19"/>
      <c r="W39" s="19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65" t="s">
        <v>21</v>
      </c>
      <c r="B40" s="65" t="s">
        <v>33</v>
      </c>
      <c r="C40" s="65" t="s">
        <v>34</v>
      </c>
      <c r="D40" s="65" t="s">
        <v>39</v>
      </c>
      <c r="E40" s="65" t="s">
        <v>25</v>
      </c>
      <c r="F40" s="65" t="s">
        <v>25</v>
      </c>
      <c r="G40" s="65" t="s">
        <v>25</v>
      </c>
      <c r="H40" s="65" t="s">
        <v>36</v>
      </c>
      <c r="I40" s="75">
        <v>44531</v>
      </c>
      <c r="J40" s="76">
        <f>EFEITO!$J$40*EFEITO!$Y$40</f>
        <v>0</v>
      </c>
      <c r="K40" s="76">
        <f ca="1">EFEITO!$L$40*EFEITO!$Z$40</f>
        <v>30281.811996194567</v>
      </c>
      <c r="L40" s="76">
        <f>EFEITO!$N$40*EFEITO!$AA$40</f>
        <v>63793.705789321881</v>
      </c>
      <c r="M40" s="76">
        <f>$J$40-EFEITO!$K$40*EFEITO!$Y$40</f>
        <v>0</v>
      </c>
      <c r="N40" s="76">
        <f ca="1">$K$40-EFEITO!$M$40*EFEITO!$Z$40</f>
        <v>0</v>
      </c>
      <c r="O40" s="76">
        <f>$L$40-EFEITO!$O$40*EFEITO!$AA$40</f>
        <v>0</v>
      </c>
      <c r="P40" s="19"/>
      <c r="Q40" s="19"/>
      <c r="R40" s="19"/>
      <c r="S40" s="19"/>
      <c r="T40" s="19"/>
      <c r="U40" s="19"/>
      <c r="V40" s="19"/>
      <c r="W40" s="19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65" t="s">
        <v>21</v>
      </c>
      <c r="B41" s="65" t="s">
        <v>33</v>
      </c>
      <c r="C41" s="65" t="s">
        <v>34</v>
      </c>
      <c r="D41" s="65" t="s">
        <v>39</v>
      </c>
      <c r="E41" s="65" t="s">
        <v>25</v>
      </c>
      <c r="F41" s="65" t="s">
        <v>25</v>
      </c>
      <c r="G41" s="65" t="s">
        <v>25</v>
      </c>
      <c r="H41" s="65" t="s">
        <v>36</v>
      </c>
      <c r="I41" s="75">
        <v>44562</v>
      </c>
      <c r="J41" s="76">
        <f>EFEITO!$J$41*EFEITO!$Y$41</f>
        <v>0</v>
      </c>
      <c r="K41" s="76">
        <f ca="1">EFEITO!$L$41*EFEITO!$Z$41</f>
        <v>31239.036674517291</v>
      </c>
      <c r="L41" s="76">
        <f>EFEITO!$N$41*EFEITO!$AA$41</f>
        <v>65810.259802366811</v>
      </c>
      <c r="M41" s="76">
        <f>$J$41-EFEITO!$K$41*EFEITO!$Y$41</f>
        <v>0</v>
      </c>
      <c r="N41" s="76">
        <f ca="1">$K$41-EFEITO!$M$41*EFEITO!$Z$41</f>
        <v>0</v>
      </c>
      <c r="O41" s="76">
        <f>$L$41-EFEITO!$O$41*EFEITO!$AA$41</f>
        <v>0</v>
      </c>
      <c r="P41" s="19"/>
      <c r="Q41" s="19"/>
      <c r="R41" s="19"/>
      <c r="S41" s="19"/>
      <c r="T41" s="19"/>
      <c r="U41" s="19"/>
      <c r="V41" s="19"/>
      <c r="W41" s="19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65" t="s">
        <v>21</v>
      </c>
      <c r="B42" s="65" t="s">
        <v>33</v>
      </c>
      <c r="C42" s="65" t="s">
        <v>34</v>
      </c>
      <c r="D42" s="65" t="s">
        <v>39</v>
      </c>
      <c r="E42" s="65" t="s">
        <v>25</v>
      </c>
      <c r="F42" s="65" t="s">
        <v>25</v>
      </c>
      <c r="G42" s="65" t="s">
        <v>25</v>
      </c>
      <c r="H42" s="65" t="s">
        <v>36</v>
      </c>
      <c r="I42" s="75">
        <v>44593</v>
      </c>
      <c r="J42" s="76">
        <f>EFEITO!$J$42*EFEITO!$Y$42</f>
        <v>0</v>
      </c>
      <c r="K42" s="76">
        <f ca="1">EFEITO!$L$42*EFEITO!$Z$42</f>
        <v>35024.96048319104</v>
      </c>
      <c r="L42" s="76">
        <f>EFEITO!$N$42*EFEITO!$AA$42</f>
        <v>73785.942024476681</v>
      </c>
      <c r="M42" s="76">
        <f>$J$42-EFEITO!$K$42*EFEITO!$Y$42</f>
        <v>0</v>
      </c>
      <c r="N42" s="76">
        <f ca="1">$K$42-EFEITO!$M$42*EFEITO!$Z$42</f>
        <v>0</v>
      </c>
      <c r="O42" s="76">
        <f>$L$42-EFEITO!$O$42*EFEITO!$AA$42</f>
        <v>0</v>
      </c>
      <c r="P42" s="19"/>
      <c r="Q42" s="19"/>
      <c r="R42" s="19"/>
      <c r="S42" s="19"/>
      <c r="T42" s="19"/>
      <c r="U42" s="19"/>
      <c r="V42" s="19"/>
      <c r="W42" s="19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65" t="s">
        <v>54</v>
      </c>
      <c r="B43" s="65" t="s">
        <v>33</v>
      </c>
      <c r="C43" s="65" t="s">
        <v>34</v>
      </c>
      <c r="D43" s="65" t="s">
        <v>39</v>
      </c>
      <c r="E43" s="65" t="s">
        <v>25</v>
      </c>
      <c r="F43" s="65" t="s">
        <v>25</v>
      </c>
      <c r="G43" s="65" t="s">
        <v>25</v>
      </c>
      <c r="H43" s="65" t="s">
        <v>36</v>
      </c>
      <c r="I43" s="75">
        <v>44621</v>
      </c>
      <c r="J43" s="76">
        <f>EFEITO!$J$43*EFEITO!$Y$43</f>
        <v>0</v>
      </c>
      <c r="K43" s="76">
        <f ca="1">EFEITO!$L$43*EFEITO!$Z$43</f>
        <v>35024.96048319104</v>
      </c>
      <c r="L43" s="76">
        <f>EFEITO!$N$43*EFEITO!$AA$43</f>
        <v>73785.942024476681</v>
      </c>
      <c r="M43" s="76">
        <f>$J$43-EFEITO!$K$43*EFEITO!$Y$43</f>
        <v>0</v>
      </c>
      <c r="N43" s="76">
        <f ca="1">$K$43-EFEITO!$M$43*EFEITO!$Z$43</f>
        <v>0</v>
      </c>
      <c r="O43" s="76">
        <f>$L$43-EFEITO!$O$43*EFEITO!$AA$43</f>
        <v>0</v>
      </c>
      <c r="P43" s="19"/>
      <c r="Q43" s="19"/>
      <c r="R43" s="19"/>
      <c r="S43" s="19"/>
      <c r="T43" s="19"/>
      <c r="U43" s="19"/>
      <c r="V43" s="19"/>
      <c r="W43" s="19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65" t="s">
        <v>21</v>
      </c>
      <c r="B44" s="65" t="s">
        <v>33</v>
      </c>
      <c r="C44" s="65" t="s">
        <v>34</v>
      </c>
      <c r="D44" s="65" t="s">
        <v>39</v>
      </c>
      <c r="E44" s="65" t="s">
        <v>25</v>
      </c>
      <c r="F44" s="65" t="s">
        <v>25</v>
      </c>
      <c r="G44" s="65" t="s">
        <v>25</v>
      </c>
      <c r="H44" s="65" t="s">
        <v>25</v>
      </c>
      <c r="I44" s="75">
        <v>44287</v>
      </c>
      <c r="J44" s="76">
        <f ca="1">EFEITO!$J$44*EFEITO!$Y$44</f>
        <v>57733.378642688898</v>
      </c>
      <c r="K44" s="76">
        <f>EFEITO!$L$44*EFEITO!$Z$44</f>
        <v>0</v>
      </c>
      <c r="L44" s="76">
        <f>EFEITO!$N$44*EFEITO!$AA$44</f>
        <v>0</v>
      </c>
      <c r="M44" s="76">
        <f ca="1">$J$44-EFEITO!$K$44*EFEITO!$Y$44</f>
        <v>0</v>
      </c>
      <c r="N44" s="76">
        <f>$K$44-EFEITO!$M$44*EFEITO!$Z$44</f>
        <v>0</v>
      </c>
      <c r="O44" s="76">
        <f>$L$44-EFEITO!$O$44*EFEITO!$AA$44</f>
        <v>0</v>
      </c>
      <c r="P44" s="19"/>
      <c r="Q44" s="19"/>
      <c r="R44" s="19"/>
      <c r="S44" s="19"/>
      <c r="T44" s="19"/>
      <c r="U44" s="19"/>
      <c r="V44" s="19"/>
      <c r="W44" s="19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65" t="s">
        <v>28</v>
      </c>
      <c r="B45" s="65" t="s">
        <v>33</v>
      </c>
      <c r="C45" s="65" t="s">
        <v>34</v>
      </c>
      <c r="D45" s="65" t="s">
        <v>39</v>
      </c>
      <c r="E45" s="65" t="s">
        <v>25</v>
      </c>
      <c r="F45" s="65" t="s">
        <v>25</v>
      </c>
      <c r="G45" s="65" t="s">
        <v>25</v>
      </c>
      <c r="H45" s="65" t="s">
        <v>25</v>
      </c>
      <c r="I45" s="75">
        <v>44287</v>
      </c>
      <c r="J45" s="76">
        <f ca="1">EFEITO!$J$45*EFEITO!$Y$45</f>
        <v>8008.4131786832013</v>
      </c>
      <c r="K45" s="76">
        <f>EFEITO!$L$45*EFEITO!$Z$45</f>
        <v>0</v>
      </c>
      <c r="L45" s="76">
        <f>EFEITO!$N$45*EFEITO!$AA$45</f>
        <v>0</v>
      </c>
      <c r="M45" s="76">
        <f ca="1">$J$45-EFEITO!$K$45*EFEITO!$Y$45</f>
        <v>0</v>
      </c>
      <c r="N45" s="76">
        <f>$K$45-EFEITO!$M$45*EFEITO!$Z$45</f>
        <v>0</v>
      </c>
      <c r="O45" s="76">
        <f>$L$45-EFEITO!$O$45*EFEITO!$AA$45</f>
        <v>0</v>
      </c>
      <c r="P45" s="19"/>
      <c r="Q45" s="19"/>
      <c r="R45" s="19"/>
      <c r="S45" s="19"/>
      <c r="T45" s="19"/>
      <c r="U45" s="19"/>
      <c r="V45" s="19"/>
      <c r="W45" s="19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65" t="s">
        <v>21</v>
      </c>
      <c r="B46" s="65" t="s">
        <v>33</v>
      </c>
      <c r="C46" s="65" t="s">
        <v>34</v>
      </c>
      <c r="D46" s="65" t="s">
        <v>39</v>
      </c>
      <c r="E46" s="65" t="s">
        <v>25</v>
      </c>
      <c r="F46" s="65" t="s">
        <v>25</v>
      </c>
      <c r="G46" s="65" t="s">
        <v>25</v>
      </c>
      <c r="H46" s="65" t="s">
        <v>25</v>
      </c>
      <c r="I46" s="75">
        <v>44317</v>
      </c>
      <c r="J46" s="76">
        <f ca="1">EFEITO!$J$46*EFEITO!$Y$46</f>
        <v>50258.859675917905</v>
      </c>
      <c r="K46" s="76">
        <f>EFEITO!$L$46*EFEITO!$Z$46</f>
        <v>0</v>
      </c>
      <c r="L46" s="76">
        <f>EFEITO!$N$46*EFEITO!$AA$46</f>
        <v>0</v>
      </c>
      <c r="M46" s="76">
        <f ca="1">$J$46-EFEITO!$K$46*EFEITO!$Y$46</f>
        <v>0</v>
      </c>
      <c r="N46" s="76">
        <f>$K$46-EFEITO!$M$46*EFEITO!$Z$46</f>
        <v>0</v>
      </c>
      <c r="O46" s="76">
        <f>$L$46-EFEITO!$O$46*EFEITO!$AA$46</f>
        <v>0</v>
      </c>
      <c r="P46" s="19"/>
      <c r="Q46" s="19"/>
      <c r="R46" s="19"/>
      <c r="S46" s="19"/>
      <c r="T46" s="19"/>
      <c r="U46" s="19"/>
      <c r="V46" s="19"/>
      <c r="W46" s="19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65" t="s">
        <v>28</v>
      </c>
      <c r="B47" s="65" t="s">
        <v>33</v>
      </c>
      <c r="C47" s="65" t="s">
        <v>34</v>
      </c>
      <c r="D47" s="65" t="s">
        <v>39</v>
      </c>
      <c r="E47" s="65" t="s">
        <v>25</v>
      </c>
      <c r="F47" s="65" t="s">
        <v>25</v>
      </c>
      <c r="G47" s="65" t="s">
        <v>25</v>
      </c>
      <c r="H47" s="65" t="s">
        <v>25</v>
      </c>
      <c r="I47" s="75">
        <v>44317</v>
      </c>
      <c r="J47" s="76">
        <f ca="1">EFEITO!$J$47*EFEITO!$Y$47</f>
        <v>8008.4131786832013</v>
      </c>
      <c r="K47" s="76">
        <f>EFEITO!$L$47*EFEITO!$Z$47</f>
        <v>0</v>
      </c>
      <c r="L47" s="76">
        <f>EFEITO!$N$47*EFEITO!$AA$47</f>
        <v>0</v>
      </c>
      <c r="M47" s="76">
        <f ca="1">$J$47-EFEITO!$K$47*EFEITO!$Y$47</f>
        <v>0</v>
      </c>
      <c r="N47" s="76">
        <f>$K$47-EFEITO!$M$47*EFEITO!$Z$47</f>
        <v>0</v>
      </c>
      <c r="O47" s="76">
        <f>$L$47-EFEITO!$O$47*EFEITO!$AA$47</f>
        <v>0</v>
      </c>
      <c r="P47" s="19"/>
      <c r="Q47" s="19"/>
      <c r="R47" s="19"/>
      <c r="S47" s="19"/>
      <c r="T47" s="19"/>
      <c r="U47" s="19"/>
      <c r="V47" s="19"/>
      <c r="W47" s="19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65" t="s">
        <v>21</v>
      </c>
      <c r="B48" s="65" t="s">
        <v>33</v>
      </c>
      <c r="C48" s="65" t="s">
        <v>34</v>
      </c>
      <c r="D48" s="65" t="s">
        <v>39</v>
      </c>
      <c r="E48" s="65" t="s">
        <v>25</v>
      </c>
      <c r="F48" s="65" t="s">
        <v>25</v>
      </c>
      <c r="G48" s="65" t="s">
        <v>25</v>
      </c>
      <c r="H48" s="65" t="s">
        <v>25</v>
      </c>
      <c r="I48" s="75">
        <v>44348</v>
      </c>
      <c r="J48" s="76">
        <f ca="1">EFEITO!$J$48*EFEITO!$Y$48</f>
        <v>49506.554195496152</v>
      </c>
      <c r="K48" s="76">
        <f>EFEITO!$L$48*EFEITO!$Z$48</f>
        <v>0</v>
      </c>
      <c r="L48" s="76">
        <f>EFEITO!$N$48*EFEITO!$AA$48</f>
        <v>0</v>
      </c>
      <c r="M48" s="76">
        <f ca="1">$J$48-EFEITO!$K$48*EFEITO!$Y$48</f>
        <v>0</v>
      </c>
      <c r="N48" s="76">
        <f>$K$48-EFEITO!$M$48*EFEITO!$Z$48</f>
        <v>0</v>
      </c>
      <c r="O48" s="76">
        <f>$L$48-EFEITO!$O$48*EFEITO!$AA$48</f>
        <v>0</v>
      </c>
      <c r="P48" s="19"/>
      <c r="Q48" s="19"/>
      <c r="R48" s="19"/>
      <c r="S48" s="19"/>
      <c r="T48" s="19"/>
      <c r="U48" s="19"/>
      <c r="V48" s="19"/>
      <c r="W48" s="19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65" t="s">
        <v>28</v>
      </c>
      <c r="B49" s="65" t="s">
        <v>33</v>
      </c>
      <c r="C49" s="65" t="s">
        <v>34</v>
      </c>
      <c r="D49" s="65" t="s">
        <v>39</v>
      </c>
      <c r="E49" s="65" t="s">
        <v>25</v>
      </c>
      <c r="F49" s="65" t="s">
        <v>25</v>
      </c>
      <c r="G49" s="65" t="s">
        <v>25</v>
      </c>
      <c r="H49" s="65" t="s">
        <v>25</v>
      </c>
      <c r="I49" s="75">
        <v>44348</v>
      </c>
      <c r="J49" s="76">
        <f ca="1">EFEITO!$J$49*EFEITO!$Y$49</f>
        <v>8008.4131786832013</v>
      </c>
      <c r="K49" s="76">
        <f>EFEITO!$L$49*EFEITO!$Z$49</f>
        <v>0</v>
      </c>
      <c r="L49" s="76">
        <f>EFEITO!$N$49*EFEITO!$AA$49</f>
        <v>0</v>
      </c>
      <c r="M49" s="76">
        <f ca="1">$J$49-EFEITO!$K$49*EFEITO!$Y$49</f>
        <v>0</v>
      </c>
      <c r="N49" s="76">
        <f>$K$49-EFEITO!$M$49*EFEITO!$Z$49</f>
        <v>0</v>
      </c>
      <c r="O49" s="76">
        <f>$L$49-EFEITO!$O$49*EFEITO!$AA$49</f>
        <v>0</v>
      </c>
      <c r="P49" s="19"/>
      <c r="Q49" s="19"/>
      <c r="R49" s="19"/>
      <c r="S49" s="19"/>
      <c r="T49" s="19"/>
      <c r="U49" s="19"/>
      <c r="V49" s="19"/>
      <c r="W49" s="19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65" t="s">
        <v>21</v>
      </c>
      <c r="B50" s="65" t="s">
        <v>33</v>
      </c>
      <c r="C50" s="65" t="s">
        <v>34</v>
      </c>
      <c r="D50" s="65" t="s">
        <v>39</v>
      </c>
      <c r="E50" s="65" t="s">
        <v>25</v>
      </c>
      <c r="F50" s="65" t="s">
        <v>25</v>
      </c>
      <c r="G50" s="65" t="s">
        <v>25</v>
      </c>
      <c r="H50" s="65" t="s">
        <v>25</v>
      </c>
      <c r="I50" s="75">
        <v>44378</v>
      </c>
      <c r="J50" s="76">
        <f ca="1">EFEITO!$J$50*EFEITO!$Y$50</f>
        <v>50016.18048868508</v>
      </c>
      <c r="K50" s="76">
        <f>EFEITO!$L$50*EFEITO!$Z$50</f>
        <v>0</v>
      </c>
      <c r="L50" s="76">
        <f>EFEITO!$N$50*EFEITO!$AA$50</f>
        <v>0</v>
      </c>
      <c r="M50" s="76">
        <f ca="1">$J$50-EFEITO!$K$50*EFEITO!$Y$50</f>
        <v>0</v>
      </c>
      <c r="N50" s="76">
        <f>$K$50-EFEITO!$M$50*EFEITO!$Z$50</f>
        <v>0</v>
      </c>
      <c r="O50" s="76">
        <f>$L$50-EFEITO!$O$50*EFEITO!$AA$50</f>
        <v>0</v>
      </c>
      <c r="P50" s="19"/>
      <c r="Q50" s="19"/>
      <c r="R50" s="19"/>
      <c r="S50" s="19"/>
      <c r="T50" s="19"/>
      <c r="U50" s="19"/>
      <c r="V50" s="19"/>
      <c r="W50" s="19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65" t="s">
        <v>28</v>
      </c>
      <c r="B51" s="65" t="s">
        <v>33</v>
      </c>
      <c r="C51" s="65" t="s">
        <v>34</v>
      </c>
      <c r="D51" s="65" t="s">
        <v>39</v>
      </c>
      <c r="E51" s="65" t="s">
        <v>25</v>
      </c>
      <c r="F51" s="65" t="s">
        <v>25</v>
      </c>
      <c r="G51" s="65" t="s">
        <v>25</v>
      </c>
      <c r="H51" s="65" t="s">
        <v>25</v>
      </c>
      <c r="I51" s="75">
        <v>44378</v>
      </c>
      <c r="J51" s="76">
        <f ca="1">EFEITO!$J$51*EFEITO!$Y$51</f>
        <v>8008.4131786832013</v>
      </c>
      <c r="K51" s="76">
        <f>EFEITO!$L$51*EFEITO!$Z$51</f>
        <v>0</v>
      </c>
      <c r="L51" s="76">
        <f>EFEITO!$N$51*EFEITO!$AA$51</f>
        <v>0</v>
      </c>
      <c r="M51" s="76">
        <f ca="1">$J$51-EFEITO!$K$51*EFEITO!$Y$51</f>
        <v>0</v>
      </c>
      <c r="N51" s="76">
        <f>$K$51-EFEITO!$M$51*EFEITO!$Z$51</f>
        <v>0</v>
      </c>
      <c r="O51" s="76">
        <f>$L$51-EFEITO!$O$51*EFEITO!$AA$51</f>
        <v>0</v>
      </c>
      <c r="P51" s="19"/>
      <c r="Q51" s="19"/>
      <c r="R51" s="19"/>
      <c r="S51" s="19"/>
      <c r="T51" s="19"/>
      <c r="U51" s="19"/>
      <c r="V51" s="19"/>
      <c r="W51" s="19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65" t="s">
        <v>21</v>
      </c>
      <c r="B52" s="65" t="s">
        <v>33</v>
      </c>
      <c r="C52" s="65" t="s">
        <v>34</v>
      </c>
      <c r="D52" s="65" t="s">
        <v>39</v>
      </c>
      <c r="E52" s="65" t="s">
        <v>25</v>
      </c>
      <c r="F52" s="65" t="s">
        <v>25</v>
      </c>
      <c r="G52" s="65" t="s">
        <v>25</v>
      </c>
      <c r="H52" s="65" t="s">
        <v>25</v>
      </c>
      <c r="I52" s="75">
        <v>44409</v>
      </c>
      <c r="J52" s="76">
        <f ca="1">EFEITO!$J$52*EFEITO!$Y$52</f>
        <v>52078.953580164089</v>
      </c>
      <c r="K52" s="76">
        <f>EFEITO!$L$52*EFEITO!$Z$52</f>
        <v>0</v>
      </c>
      <c r="L52" s="76">
        <f>EFEITO!$N$52*EFEITO!$AA$52</f>
        <v>0</v>
      </c>
      <c r="M52" s="76">
        <f ca="1">$J$52-EFEITO!$K$52*EFEITO!$Y$52</f>
        <v>0</v>
      </c>
      <c r="N52" s="76">
        <f>$K$52-EFEITO!$M$52*EFEITO!$Z$52</f>
        <v>0</v>
      </c>
      <c r="O52" s="76">
        <f>$L$52-EFEITO!$O$52*EFEITO!$AA$52</f>
        <v>0</v>
      </c>
      <c r="P52" s="19"/>
      <c r="Q52" s="19"/>
      <c r="R52" s="19"/>
      <c r="S52" s="19"/>
      <c r="T52" s="19"/>
      <c r="U52" s="19"/>
      <c r="V52" s="19"/>
      <c r="W52" s="19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65" t="s">
        <v>28</v>
      </c>
      <c r="B53" s="65" t="s">
        <v>33</v>
      </c>
      <c r="C53" s="65" t="s">
        <v>34</v>
      </c>
      <c r="D53" s="65" t="s">
        <v>39</v>
      </c>
      <c r="E53" s="65" t="s">
        <v>25</v>
      </c>
      <c r="F53" s="65" t="s">
        <v>25</v>
      </c>
      <c r="G53" s="65" t="s">
        <v>25</v>
      </c>
      <c r="H53" s="65" t="s">
        <v>25</v>
      </c>
      <c r="I53" s="75">
        <v>44409</v>
      </c>
      <c r="J53" s="76">
        <f ca="1">EFEITO!$J$53*EFEITO!$Y$53</f>
        <v>8008.4131786832013</v>
      </c>
      <c r="K53" s="76">
        <f>EFEITO!$L$53*EFEITO!$Z$53</f>
        <v>0</v>
      </c>
      <c r="L53" s="76">
        <f>EFEITO!$N$53*EFEITO!$AA$53</f>
        <v>0</v>
      </c>
      <c r="M53" s="76">
        <f ca="1">$J$53-EFEITO!$K$53*EFEITO!$Y$53</f>
        <v>0</v>
      </c>
      <c r="N53" s="76">
        <f>$K$53-EFEITO!$M$53*EFEITO!$Z$53</f>
        <v>0</v>
      </c>
      <c r="O53" s="76">
        <f>$L$53-EFEITO!$O$53*EFEITO!$AA$53</f>
        <v>0</v>
      </c>
      <c r="P53" s="19"/>
      <c r="Q53" s="19"/>
      <c r="R53" s="19"/>
      <c r="S53" s="19"/>
      <c r="T53" s="19"/>
      <c r="U53" s="19"/>
      <c r="V53" s="19"/>
      <c r="W53" s="19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65" t="s">
        <v>21</v>
      </c>
      <c r="B54" s="65" t="s">
        <v>33</v>
      </c>
      <c r="C54" s="65" t="s">
        <v>34</v>
      </c>
      <c r="D54" s="65" t="s">
        <v>39</v>
      </c>
      <c r="E54" s="65" t="s">
        <v>25</v>
      </c>
      <c r="F54" s="65" t="s">
        <v>25</v>
      </c>
      <c r="G54" s="65" t="s">
        <v>25</v>
      </c>
      <c r="H54" s="65" t="s">
        <v>25</v>
      </c>
      <c r="I54" s="75">
        <v>44440</v>
      </c>
      <c r="J54" s="76">
        <f ca="1">EFEITO!$J$54*EFEITO!$Y$54</f>
        <v>49603.625870389282</v>
      </c>
      <c r="K54" s="76">
        <f>EFEITO!$L$54*EFEITO!$Z$54</f>
        <v>0</v>
      </c>
      <c r="L54" s="76">
        <f>EFEITO!$N$54*EFEITO!$AA$54</f>
        <v>0</v>
      </c>
      <c r="M54" s="76">
        <f ca="1">$J$54-EFEITO!$K$54*EFEITO!$Y$54</f>
        <v>0</v>
      </c>
      <c r="N54" s="76">
        <f>$K$54-EFEITO!$M$54*EFEITO!$Z$54</f>
        <v>0</v>
      </c>
      <c r="O54" s="76">
        <f>$L$54-EFEITO!$O$54*EFEITO!$AA$54</f>
        <v>0</v>
      </c>
      <c r="P54" s="19"/>
      <c r="Q54" s="19"/>
      <c r="R54" s="19"/>
      <c r="S54" s="19"/>
      <c r="T54" s="19"/>
      <c r="U54" s="19"/>
      <c r="V54" s="19"/>
      <c r="W54" s="19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65" t="s">
        <v>28</v>
      </c>
      <c r="B55" s="65" t="s">
        <v>33</v>
      </c>
      <c r="C55" s="65" t="s">
        <v>34</v>
      </c>
      <c r="D55" s="65" t="s">
        <v>39</v>
      </c>
      <c r="E55" s="65" t="s">
        <v>25</v>
      </c>
      <c r="F55" s="65" t="s">
        <v>25</v>
      </c>
      <c r="G55" s="65" t="s">
        <v>25</v>
      </c>
      <c r="H55" s="65" t="s">
        <v>25</v>
      </c>
      <c r="I55" s="75">
        <v>44440</v>
      </c>
      <c r="J55" s="76">
        <f ca="1">EFEITO!$J$55*EFEITO!$Y$55</f>
        <v>8008.4131786832013</v>
      </c>
      <c r="K55" s="76">
        <f>EFEITO!$L$55*EFEITO!$Z$55</f>
        <v>0</v>
      </c>
      <c r="L55" s="76">
        <f>EFEITO!$N$55*EFEITO!$AA$55</f>
        <v>0</v>
      </c>
      <c r="M55" s="76">
        <f ca="1">$J$55-EFEITO!$K$55*EFEITO!$Y$55</f>
        <v>0</v>
      </c>
      <c r="N55" s="76">
        <f>$K$55-EFEITO!$M$55*EFEITO!$Z$55</f>
        <v>0</v>
      </c>
      <c r="O55" s="76">
        <f>$L$55-EFEITO!$O$55*EFEITO!$AA$55</f>
        <v>0</v>
      </c>
      <c r="P55" s="19"/>
      <c r="Q55" s="19"/>
      <c r="R55" s="19"/>
      <c r="S55" s="19"/>
      <c r="T55" s="19"/>
      <c r="U55" s="19"/>
      <c r="V55" s="19"/>
      <c r="W55" s="19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65" t="s">
        <v>21</v>
      </c>
      <c r="B56" s="65" t="s">
        <v>33</v>
      </c>
      <c r="C56" s="65" t="s">
        <v>34</v>
      </c>
      <c r="D56" s="65" t="s">
        <v>39</v>
      </c>
      <c r="E56" s="65" t="s">
        <v>25</v>
      </c>
      <c r="F56" s="65" t="s">
        <v>25</v>
      </c>
      <c r="G56" s="65" t="s">
        <v>25</v>
      </c>
      <c r="H56" s="65" t="s">
        <v>25</v>
      </c>
      <c r="I56" s="75">
        <v>44470</v>
      </c>
      <c r="J56" s="76">
        <f ca="1">EFEITO!$J$56*EFEITO!$Y$56</f>
        <v>48802.784552520963</v>
      </c>
      <c r="K56" s="76">
        <f>EFEITO!$L$56*EFEITO!$Z$56</f>
        <v>0</v>
      </c>
      <c r="L56" s="76">
        <f>EFEITO!$N$56*EFEITO!$AA$56</f>
        <v>0</v>
      </c>
      <c r="M56" s="76">
        <f ca="1">$J$56-EFEITO!$K$56*EFEITO!$Y$56</f>
        <v>0</v>
      </c>
      <c r="N56" s="76">
        <f>$K$56-EFEITO!$M$56*EFEITO!$Z$56</f>
        <v>0</v>
      </c>
      <c r="O56" s="76">
        <f>$L$56-EFEITO!$O$56*EFEITO!$AA$56</f>
        <v>0</v>
      </c>
      <c r="P56" s="19"/>
      <c r="Q56" s="19"/>
      <c r="R56" s="19"/>
      <c r="S56" s="19"/>
      <c r="T56" s="19"/>
      <c r="U56" s="19"/>
      <c r="V56" s="19"/>
      <c r="W56" s="19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65" t="s">
        <v>28</v>
      </c>
      <c r="B57" s="65" t="s">
        <v>33</v>
      </c>
      <c r="C57" s="65" t="s">
        <v>34</v>
      </c>
      <c r="D57" s="65" t="s">
        <v>39</v>
      </c>
      <c r="E57" s="65" t="s">
        <v>25</v>
      </c>
      <c r="F57" s="65" t="s">
        <v>25</v>
      </c>
      <c r="G57" s="65" t="s">
        <v>25</v>
      </c>
      <c r="H57" s="65" t="s">
        <v>25</v>
      </c>
      <c r="I57" s="75">
        <v>44470</v>
      </c>
      <c r="J57" s="76">
        <f ca="1">EFEITO!$J$57*EFEITO!$Y$57</f>
        <v>8008.4131786832013</v>
      </c>
      <c r="K57" s="76">
        <f>EFEITO!$L$57*EFEITO!$Z$57</f>
        <v>0</v>
      </c>
      <c r="L57" s="76">
        <f>EFEITO!$N$57*EFEITO!$AA$57</f>
        <v>0</v>
      </c>
      <c r="M57" s="76">
        <f ca="1">$J$57-EFEITO!$K$57*EFEITO!$Y$57</f>
        <v>0</v>
      </c>
      <c r="N57" s="76">
        <f>$K$57-EFEITO!$M$57*EFEITO!$Z$57</f>
        <v>0</v>
      </c>
      <c r="O57" s="76">
        <f>$L$57-EFEITO!$O$57*EFEITO!$AA$57</f>
        <v>0</v>
      </c>
      <c r="P57" s="19"/>
      <c r="Q57" s="19"/>
      <c r="R57" s="19"/>
      <c r="S57" s="19"/>
      <c r="T57" s="19"/>
      <c r="U57" s="19"/>
      <c r="V57" s="19"/>
      <c r="W57" s="1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65" t="s">
        <v>21</v>
      </c>
      <c r="B58" s="65" t="s">
        <v>33</v>
      </c>
      <c r="C58" s="65" t="s">
        <v>34</v>
      </c>
      <c r="D58" s="65" t="s">
        <v>39</v>
      </c>
      <c r="E58" s="65" t="s">
        <v>25</v>
      </c>
      <c r="F58" s="65" t="s">
        <v>25</v>
      </c>
      <c r="G58" s="65" t="s">
        <v>25</v>
      </c>
      <c r="H58" s="65" t="s">
        <v>25</v>
      </c>
      <c r="I58" s="75">
        <v>44501</v>
      </c>
      <c r="J58" s="76">
        <f ca="1">EFEITO!$J$58*EFEITO!$Y$58</f>
        <v>50962.629318893101</v>
      </c>
      <c r="K58" s="76">
        <f>EFEITO!$L$58*EFEITO!$Z$58</f>
        <v>0</v>
      </c>
      <c r="L58" s="76">
        <f>EFEITO!$N$58*EFEITO!$AA$58</f>
        <v>0</v>
      </c>
      <c r="M58" s="76">
        <f ca="1">$J$58-EFEITO!$K$58*EFEITO!$Y$58</f>
        <v>0</v>
      </c>
      <c r="N58" s="76">
        <f>$K$58-EFEITO!$M$58*EFEITO!$Z$58</f>
        <v>0</v>
      </c>
      <c r="O58" s="76">
        <f>$L$58-EFEITO!$O$58*EFEITO!$AA$58</f>
        <v>0</v>
      </c>
      <c r="P58" s="19"/>
      <c r="Q58" s="19"/>
      <c r="R58" s="19"/>
      <c r="S58" s="19"/>
      <c r="T58" s="19"/>
      <c r="U58" s="19"/>
      <c r="V58" s="19"/>
      <c r="W58" s="19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65" t="s">
        <v>28</v>
      </c>
      <c r="B59" s="65" t="s">
        <v>33</v>
      </c>
      <c r="C59" s="65" t="s">
        <v>34</v>
      </c>
      <c r="D59" s="65" t="s">
        <v>39</v>
      </c>
      <c r="E59" s="65" t="s">
        <v>25</v>
      </c>
      <c r="F59" s="65" t="s">
        <v>25</v>
      </c>
      <c r="G59" s="65" t="s">
        <v>25</v>
      </c>
      <c r="H59" s="65" t="s">
        <v>25</v>
      </c>
      <c r="I59" s="75">
        <v>44501</v>
      </c>
      <c r="J59" s="76">
        <f ca="1">EFEITO!$J$59*EFEITO!$Y$59</f>
        <v>8008.4131786832013</v>
      </c>
      <c r="K59" s="76">
        <f>EFEITO!$L$59*EFEITO!$Z$59</f>
        <v>0</v>
      </c>
      <c r="L59" s="76">
        <f>EFEITO!$N$59*EFEITO!$AA$59</f>
        <v>0</v>
      </c>
      <c r="M59" s="76">
        <f ca="1">$J$59-EFEITO!$K$59*EFEITO!$Y$59</f>
        <v>0</v>
      </c>
      <c r="N59" s="76">
        <f>$K$59-EFEITO!$M$59*EFEITO!$Z$59</f>
        <v>0</v>
      </c>
      <c r="O59" s="76">
        <f>$L$59-EFEITO!$O$59*EFEITO!$AA$59</f>
        <v>0</v>
      </c>
      <c r="P59" s="19"/>
      <c r="Q59" s="19"/>
      <c r="R59" s="19"/>
      <c r="S59" s="19"/>
      <c r="T59" s="19"/>
      <c r="U59" s="19"/>
      <c r="V59" s="19"/>
      <c r="W59" s="19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65" t="s">
        <v>21</v>
      </c>
      <c r="B60" s="65" t="s">
        <v>33</v>
      </c>
      <c r="C60" s="65" t="s">
        <v>34</v>
      </c>
      <c r="D60" s="65" t="s">
        <v>39</v>
      </c>
      <c r="E60" s="65" t="s">
        <v>25</v>
      </c>
      <c r="F60" s="65" t="s">
        <v>25</v>
      </c>
      <c r="G60" s="65" t="s">
        <v>25</v>
      </c>
      <c r="H60" s="65" t="s">
        <v>25</v>
      </c>
      <c r="I60" s="75">
        <v>44531</v>
      </c>
      <c r="J60" s="76">
        <f ca="1">EFEITO!$J$60*EFEITO!$Y$60</f>
        <v>50525.806781874016</v>
      </c>
      <c r="K60" s="76">
        <f>EFEITO!$L$60*EFEITO!$Z$60</f>
        <v>0</v>
      </c>
      <c r="L60" s="76">
        <f>EFEITO!$N$60*EFEITO!$AA$60</f>
        <v>0</v>
      </c>
      <c r="M60" s="76">
        <f ca="1">$J$60-EFEITO!$K$60*EFEITO!$Y$60</f>
        <v>0</v>
      </c>
      <c r="N60" s="76">
        <f>$K$60-EFEITO!$M$60*EFEITO!$Z$60</f>
        <v>0</v>
      </c>
      <c r="O60" s="76">
        <f>$L$60-EFEITO!$O$60*EFEITO!$AA$60</f>
        <v>0</v>
      </c>
      <c r="P60" s="19"/>
      <c r="Q60" s="19"/>
      <c r="R60" s="19"/>
      <c r="S60" s="19"/>
      <c r="T60" s="19"/>
      <c r="U60" s="19"/>
      <c r="V60" s="19"/>
      <c r="W60" s="19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65" t="s">
        <v>28</v>
      </c>
      <c r="B61" s="65" t="s">
        <v>33</v>
      </c>
      <c r="C61" s="65" t="s">
        <v>34</v>
      </c>
      <c r="D61" s="65" t="s">
        <v>39</v>
      </c>
      <c r="E61" s="65" t="s">
        <v>25</v>
      </c>
      <c r="F61" s="65" t="s">
        <v>25</v>
      </c>
      <c r="G61" s="65" t="s">
        <v>25</v>
      </c>
      <c r="H61" s="65" t="s">
        <v>25</v>
      </c>
      <c r="I61" s="75">
        <v>44531</v>
      </c>
      <c r="J61" s="76">
        <f ca="1">EFEITO!$J$61*EFEITO!$Y$61</f>
        <v>8008.4131786832013</v>
      </c>
      <c r="K61" s="76">
        <f>EFEITO!$L$61*EFEITO!$Z$61</f>
        <v>0</v>
      </c>
      <c r="L61" s="76">
        <f>EFEITO!$N$61*EFEITO!$AA$61</f>
        <v>0</v>
      </c>
      <c r="M61" s="76">
        <f ca="1">$J$61-EFEITO!$K$61*EFEITO!$Y$61</f>
        <v>0</v>
      </c>
      <c r="N61" s="76">
        <f>$K$61-EFEITO!$M$61*EFEITO!$Z$61</f>
        <v>0</v>
      </c>
      <c r="O61" s="76">
        <f>$L$61-EFEITO!$O$61*EFEITO!$AA$61</f>
        <v>0</v>
      </c>
      <c r="P61" s="19"/>
      <c r="Q61" s="19"/>
      <c r="R61" s="19"/>
      <c r="S61" s="19"/>
      <c r="T61" s="19"/>
      <c r="U61" s="19"/>
      <c r="V61" s="19"/>
      <c r="W61" s="19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65" t="s">
        <v>21</v>
      </c>
      <c r="B62" s="65" t="s">
        <v>33</v>
      </c>
      <c r="C62" s="65" t="s">
        <v>34</v>
      </c>
      <c r="D62" s="65" t="s">
        <v>39</v>
      </c>
      <c r="E62" s="65" t="s">
        <v>25</v>
      </c>
      <c r="F62" s="65" t="s">
        <v>25</v>
      </c>
      <c r="G62" s="65" t="s">
        <v>25</v>
      </c>
      <c r="H62" s="65" t="s">
        <v>25</v>
      </c>
      <c r="I62" s="75">
        <v>44562</v>
      </c>
      <c r="J62" s="76">
        <f ca="1">EFEITO!$J$62*EFEITO!$Y$62</f>
        <v>51083.96891250951</v>
      </c>
      <c r="K62" s="76">
        <f>EFEITO!$L$62*EFEITO!$Z$62</f>
        <v>0</v>
      </c>
      <c r="L62" s="76">
        <f>EFEITO!$N$62*EFEITO!$AA$62</f>
        <v>0</v>
      </c>
      <c r="M62" s="76">
        <f ca="1">$J$62-EFEITO!$K$62*EFEITO!$Y$62</f>
        <v>0</v>
      </c>
      <c r="N62" s="76">
        <f>$K$62-EFEITO!$M$62*EFEITO!$Z$62</f>
        <v>0</v>
      </c>
      <c r="O62" s="76">
        <f>$L$62-EFEITO!$O$62*EFEITO!$AA$62</f>
        <v>0</v>
      </c>
      <c r="P62" s="19"/>
      <c r="Q62" s="19"/>
      <c r="R62" s="19"/>
      <c r="S62" s="19"/>
      <c r="T62" s="19"/>
      <c r="U62" s="19"/>
      <c r="V62" s="19"/>
      <c r="W62" s="19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65" t="s">
        <v>28</v>
      </c>
      <c r="B63" s="65" t="s">
        <v>33</v>
      </c>
      <c r="C63" s="65" t="s">
        <v>34</v>
      </c>
      <c r="D63" s="65" t="s">
        <v>39</v>
      </c>
      <c r="E63" s="65" t="s">
        <v>25</v>
      </c>
      <c r="F63" s="65" t="s">
        <v>25</v>
      </c>
      <c r="G63" s="65" t="s">
        <v>25</v>
      </c>
      <c r="H63" s="65" t="s">
        <v>25</v>
      </c>
      <c r="I63" s="75">
        <v>44562</v>
      </c>
      <c r="J63" s="76">
        <f ca="1">EFEITO!$J$63*EFEITO!$Y$63</f>
        <v>8008.4131786832013</v>
      </c>
      <c r="K63" s="76">
        <f>EFEITO!$L$63*EFEITO!$Z$63</f>
        <v>0</v>
      </c>
      <c r="L63" s="76">
        <f>EFEITO!$N$63*EFEITO!$AA$63</f>
        <v>0</v>
      </c>
      <c r="M63" s="76">
        <f ca="1">$J$63-EFEITO!$K$63*EFEITO!$Y$63</f>
        <v>0</v>
      </c>
      <c r="N63" s="76">
        <f>$K$63-EFEITO!$M$63*EFEITO!$Z$63</f>
        <v>0</v>
      </c>
      <c r="O63" s="76">
        <f>$L$63-EFEITO!$O$63*EFEITO!$AA$63</f>
        <v>0</v>
      </c>
      <c r="P63" s="19"/>
      <c r="Q63" s="19"/>
      <c r="R63" s="19"/>
      <c r="S63" s="19"/>
      <c r="T63" s="19"/>
      <c r="U63" s="19"/>
      <c r="V63" s="19"/>
      <c r="W63" s="19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65" t="s">
        <v>21</v>
      </c>
      <c r="B64" s="65" t="s">
        <v>33</v>
      </c>
      <c r="C64" s="65" t="s">
        <v>34</v>
      </c>
      <c r="D64" s="65" t="s">
        <v>39</v>
      </c>
      <c r="E64" s="65" t="s">
        <v>25</v>
      </c>
      <c r="F64" s="65" t="s">
        <v>25</v>
      </c>
      <c r="G64" s="65" t="s">
        <v>25</v>
      </c>
      <c r="H64" s="65" t="s">
        <v>25</v>
      </c>
      <c r="I64" s="75">
        <v>44593</v>
      </c>
      <c r="J64" s="76">
        <f ca="1">EFEITO!$J$64*EFEITO!$Y$64</f>
        <v>52806.991141862563</v>
      </c>
      <c r="K64" s="76">
        <f>EFEITO!$L$64*EFEITO!$Z$64</f>
        <v>0</v>
      </c>
      <c r="L64" s="76">
        <f>EFEITO!$N$64*EFEITO!$AA$64</f>
        <v>0</v>
      </c>
      <c r="M64" s="76">
        <f ca="1">$J$64-EFEITO!$K$64*EFEITO!$Y$64</f>
        <v>0</v>
      </c>
      <c r="N64" s="76">
        <f>$K$64-EFEITO!$M$64*EFEITO!$Z$64</f>
        <v>0</v>
      </c>
      <c r="O64" s="76">
        <f>$L$64-EFEITO!$O$64*EFEITO!$AA$64</f>
        <v>0</v>
      </c>
      <c r="P64" s="19"/>
      <c r="Q64" s="19"/>
      <c r="R64" s="19"/>
      <c r="S64" s="19"/>
      <c r="T64" s="19"/>
      <c r="U64" s="19"/>
      <c r="V64" s="19"/>
      <c r="W64" s="19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65" t="s">
        <v>28</v>
      </c>
      <c r="B65" s="65" t="s">
        <v>33</v>
      </c>
      <c r="C65" s="65" t="s">
        <v>34</v>
      </c>
      <c r="D65" s="65" t="s">
        <v>39</v>
      </c>
      <c r="E65" s="65" t="s">
        <v>25</v>
      </c>
      <c r="F65" s="65" t="s">
        <v>25</v>
      </c>
      <c r="G65" s="65" t="s">
        <v>25</v>
      </c>
      <c r="H65" s="65" t="s">
        <v>25</v>
      </c>
      <c r="I65" s="75">
        <v>44593</v>
      </c>
      <c r="J65" s="76">
        <f ca="1">EFEITO!$J$65*EFEITO!$Y$65</f>
        <v>8008.4131786832013</v>
      </c>
      <c r="K65" s="76">
        <f>EFEITO!$L$65*EFEITO!$Z$65</f>
        <v>0</v>
      </c>
      <c r="L65" s="76">
        <f>EFEITO!$N$65*EFEITO!$AA$65</f>
        <v>0</v>
      </c>
      <c r="M65" s="76">
        <f ca="1">$J$65-EFEITO!$K$65*EFEITO!$Y$65</f>
        <v>0</v>
      </c>
      <c r="N65" s="76">
        <f>$K$65-EFEITO!$M$65*EFEITO!$Z$65</f>
        <v>0</v>
      </c>
      <c r="O65" s="76">
        <f>$L$65-EFEITO!$O$65*EFEITO!$AA$65</f>
        <v>0</v>
      </c>
      <c r="P65" s="19"/>
      <c r="Q65" s="19"/>
      <c r="R65" s="19"/>
      <c r="S65" s="19"/>
      <c r="T65" s="19"/>
      <c r="U65" s="19"/>
      <c r="V65" s="19"/>
      <c r="W65" s="19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65" t="s">
        <v>54</v>
      </c>
      <c r="B66" s="65" t="s">
        <v>33</v>
      </c>
      <c r="C66" s="65" t="s">
        <v>34</v>
      </c>
      <c r="D66" s="65" t="s">
        <v>39</v>
      </c>
      <c r="E66" s="65" t="s">
        <v>25</v>
      </c>
      <c r="F66" s="65" t="s">
        <v>25</v>
      </c>
      <c r="G66" s="65" t="s">
        <v>25</v>
      </c>
      <c r="H66" s="65" t="s">
        <v>25</v>
      </c>
      <c r="I66" s="75">
        <v>44621</v>
      </c>
      <c r="J66" s="76">
        <f ca="1">EFEITO!$J$66*EFEITO!$Y$66</f>
        <v>52806.991141862563</v>
      </c>
      <c r="K66" s="76">
        <f>EFEITO!$L$66*EFEITO!$Z$66</f>
        <v>0</v>
      </c>
      <c r="L66" s="76">
        <f>EFEITO!$N$66*EFEITO!$AA$66</f>
        <v>0</v>
      </c>
      <c r="M66" s="76">
        <f ca="1">$J$66-EFEITO!$K$66*EFEITO!$Y$66</f>
        <v>0</v>
      </c>
      <c r="N66" s="76">
        <f>$K$66-EFEITO!$M$66*EFEITO!$Z$66</f>
        <v>0</v>
      </c>
      <c r="O66" s="76">
        <f>$L$66-EFEITO!$O$66*EFEITO!$AA$66</f>
        <v>0</v>
      </c>
      <c r="P66" s="19"/>
      <c r="Q66" s="19"/>
      <c r="R66" s="19"/>
      <c r="S66" s="19"/>
      <c r="T66" s="19"/>
      <c r="U66" s="19"/>
      <c r="V66" s="19"/>
      <c r="W66" s="19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65" t="s">
        <v>54</v>
      </c>
      <c r="B67" s="65" t="s">
        <v>33</v>
      </c>
      <c r="C67" s="65" t="s">
        <v>34</v>
      </c>
      <c r="D67" s="65" t="s">
        <v>39</v>
      </c>
      <c r="E67" s="65" t="s">
        <v>25</v>
      </c>
      <c r="F67" s="65" t="s">
        <v>25</v>
      </c>
      <c r="G67" s="65" t="s">
        <v>25</v>
      </c>
      <c r="H67" s="65" t="s">
        <v>25</v>
      </c>
      <c r="I67" s="75">
        <v>44621</v>
      </c>
      <c r="J67" s="76">
        <f ca="1">EFEITO!$J$67*EFEITO!$Y$67</f>
        <v>8008.4131786832013</v>
      </c>
      <c r="K67" s="76">
        <f>EFEITO!$L$67*EFEITO!$Z$67</f>
        <v>0</v>
      </c>
      <c r="L67" s="76">
        <f>EFEITO!$N$67*EFEITO!$AA$67</f>
        <v>0</v>
      </c>
      <c r="M67" s="76">
        <f ca="1">$J$67-EFEITO!$K$67*EFEITO!$Y$67</f>
        <v>0</v>
      </c>
      <c r="N67" s="76">
        <f>$K$67-EFEITO!$M$67*EFEITO!$Z$67</f>
        <v>0</v>
      </c>
      <c r="O67" s="76">
        <f>$L$67-EFEITO!$O$67*EFEITO!$AA$67</f>
        <v>0</v>
      </c>
      <c r="P67" s="19"/>
      <c r="Q67" s="19"/>
      <c r="R67" s="19"/>
      <c r="S67" s="19"/>
      <c r="T67" s="19"/>
      <c r="U67" s="19"/>
      <c r="V67" s="19"/>
      <c r="W67" s="19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65" t="s">
        <v>21</v>
      </c>
      <c r="B68" s="65" t="s">
        <v>33</v>
      </c>
      <c r="C68" s="65" t="s">
        <v>34</v>
      </c>
      <c r="D68" s="65" t="s">
        <v>39</v>
      </c>
      <c r="E68" s="65" t="s">
        <v>25</v>
      </c>
      <c r="F68" s="65" t="s">
        <v>25</v>
      </c>
      <c r="G68" s="65" t="s">
        <v>25</v>
      </c>
      <c r="H68" s="65" t="s">
        <v>35</v>
      </c>
      <c r="I68" s="75">
        <v>44287</v>
      </c>
      <c r="J68" s="76">
        <f>EFEITO!$J$68*EFEITO!$Y$68</f>
        <v>0</v>
      </c>
      <c r="K68" s="76">
        <f ca="1">EFEITO!$L$68*EFEITO!$Z$68</f>
        <v>60070.617660520074</v>
      </c>
      <c r="L68" s="76">
        <f>EFEITO!$N$68*EFEITO!$AA$68</f>
        <v>5507.5472057120351</v>
      </c>
      <c r="M68" s="76">
        <f>$J$68-EFEITO!$K$68*EFEITO!$Y$68</f>
        <v>0</v>
      </c>
      <c r="N68" s="76">
        <f ca="1">$K$68-EFEITO!$M$68*EFEITO!$Z$68</f>
        <v>0</v>
      </c>
      <c r="O68" s="76">
        <f>$L$68-EFEITO!$O$68*EFEITO!$AA$68</f>
        <v>0</v>
      </c>
      <c r="P68" s="19"/>
      <c r="Q68" s="19"/>
      <c r="R68" s="19"/>
      <c r="S68" s="19"/>
      <c r="T68" s="19"/>
      <c r="U68" s="19"/>
      <c r="V68" s="19"/>
      <c r="W68" s="19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65" t="s">
        <v>28</v>
      </c>
      <c r="B69" s="65" t="s">
        <v>33</v>
      </c>
      <c r="C69" s="65" t="s">
        <v>34</v>
      </c>
      <c r="D69" s="65" t="s">
        <v>39</v>
      </c>
      <c r="E69" s="65" t="s">
        <v>25</v>
      </c>
      <c r="F69" s="65" t="s">
        <v>25</v>
      </c>
      <c r="G69" s="65" t="s">
        <v>25</v>
      </c>
      <c r="H69" s="65" t="s">
        <v>35</v>
      </c>
      <c r="I69" s="75">
        <v>44287</v>
      </c>
      <c r="J69" s="76">
        <f>EFEITO!$J$69*EFEITO!$Y$69</f>
        <v>0</v>
      </c>
      <c r="K69" s="76">
        <f ca="1">EFEITO!$L$69*EFEITO!$Z$69</f>
        <v>4030.5017895271303</v>
      </c>
      <c r="L69" s="76">
        <f>EFEITO!$N$69*EFEITO!$AA$69</f>
        <v>369.53471985217669</v>
      </c>
      <c r="M69" s="76">
        <f>$J$69-EFEITO!$K$69*EFEITO!$Y$69</f>
        <v>0</v>
      </c>
      <c r="N69" s="76">
        <f ca="1">$K$69-EFEITO!$M$69*EFEITO!$Z$69</f>
        <v>0</v>
      </c>
      <c r="O69" s="76">
        <f>$L$69-EFEITO!$O$69*EFEITO!$AA$69</f>
        <v>0</v>
      </c>
      <c r="P69" s="19"/>
      <c r="Q69" s="19"/>
      <c r="R69" s="19"/>
      <c r="S69" s="19"/>
      <c r="T69" s="19"/>
      <c r="U69" s="19"/>
      <c r="V69" s="19"/>
      <c r="W69" s="19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65" t="s">
        <v>21</v>
      </c>
      <c r="B70" s="65" t="s">
        <v>33</v>
      </c>
      <c r="C70" s="65" t="s">
        <v>34</v>
      </c>
      <c r="D70" s="65" t="s">
        <v>39</v>
      </c>
      <c r="E70" s="65" t="s">
        <v>25</v>
      </c>
      <c r="F70" s="65" t="s">
        <v>25</v>
      </c>
      <c r="G70" s="65" t="s">
        <v>25</v>
      </c>
      <c r="H70" s="65" t="s">
        <v>35</v>
      </c>
      <c r="I70" s="75">
        <v>44317</v>
      </c>
      <c r="J70" s="76">
        <f>EFEITO!$J$70*EFEITO!$Y$70</f>
        <v>0</v>
      </c>
      <c r="K70" s="76">
        <f ca="1">EFEITO!$L$70*EFEITO!$Z$70</f>
        <v>44829.244285635679</v>
      </c>
      <c r="L70" s="76">
        <f>EFEITO!$N$70*EFEITO!$AA$70</f>
        <v>4110.148833408839</v>
      </c>
      <c r="M70" s="76">
        <f>$J$70-EFEITO!$K$70*EFEITO!$Y$70</f>
        <v>0</v>
      </c>
      <c r="N70" s="76">
        <f ca="1">$K$70-EFEITO!$M$70*EFEITO!$Z$70</f>
        <v>0</v>
      </c>
      <c r="O70" s="76">
        <f>$L$70-EFEITO!$O$70*EFEITO!$AA$70</f>
        <v>0</v>
      </c>
      <c r="P70" s="19"/>
      <c r="Q70" s="19"/>
      <c r="R70" s="19"/>
      <c r="S70" s="19"/>
      <c r="T70" s="19"/>
      <c r="U70" s="19"/>
      <c r="V70" s="19"/>
      <c r="W70" s="19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65" t="s">
        <v>28</v>
      </c>
      <c r="B71" s="65" t="s">
        <v>33</v>
      </c>
      <c r="C71" s="65" t="s">
        <v>34</v>
      </c>
      <c r="D71" s="65" t="s">
        <v>39</v>
      </c>
      <c r="E71" s="65" t="s">
        <v>25</v>
      </c>
      <c r="F71" s="65" t="s">
        <v>25</v>
      </c>
      <c r="G71" s="65" t="s">
        <v>25</v>
      </c>
      <c r="H71" s="65" t="s">
        <v>35</v>
      </c>
      <c r="I71" s="75">
        <v>44317</v>
      </c>
      <c r="J71" s="76">
        <f>EFEITO!$J$71*EFEITO!$Y$71</f>
        <v>0</v>
      </c>
      <c r="K71" s="76">
        <f ca="1">EFEITO!$L$71*EFEITO!$Z$71</f>
        <v>1587.9892209621028</v>
      </c>
      <c r="L71" s="76">
        <f>EFEITO!$N$71*EFEITO!$AA$71</f>
        <v>145.59406806896715</v>
      </c>
      <c r="M71" s="76">
        <f>$J$71-EFEITO!$K$71*EFEITO!$Y$71</f>
        <v>0</v>
      </c>
      <c r="N71" s="76">
        <f ca="1">$K$71-EFEITO!$M$71*EFEITO!$Z$71</f>
        <v>0</v>
      </c>
      <c r="O71" s="76">
        <f>$L$71-EFEITO!$O$71*EFEITO!$AA$71</f>
        <v>0</v>
      </c>
      <c r="P71" s="19"/>
      <c r="Q71" s="19"/>
      <c r="R71" s="19"/>
      <c r="S71" s="19"/>
      <c r="T71" s="19"/>
      <c r="U71" s="19"/>
      <c r="V71" s="19"/>
      <c r="W71" s="19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65" t="s">
        <v>21</v>
      </c>
      <c r="B72" s="65" t="s">
        <v>33</v>
      </c>
      <c r="C72" s="65" t="s">
        <v>34</v>
      </c>
      <c r="D72" s="65" t="s">
        <v>39</v>
      </c>
      <c r="E72" s="65" t="s">
        <v>25</v>
      </c>
      <c r="F72" s="65" t="s">
        <v>25</v>
      </c>
      <c r="G72" s="65" t="s">
        <v>25</v>
      </c>
      <c r="H72" s="65" t="s">
        <v>35</v>
      </c>
      <c r="I72" s="75">
        <v>44348</v>
      </c>
      <c r="J72" s="76">
        <f>EFEITO!$J$72*EFEITO!$Y$72</f>
        <v>0</v>
      </c>
      <c r="K72" s="76">
        <f ca="1">EFEITO!$L$72*EFEITO!$Z$72</f>
        <v>38752.633813792658</v>
      </c>
      <c r="L72" s="76">
        <f>EFEITO!$N$72*EFEITO!$AA$72</f>
        <v>3553.0175714408933</v>
      </c>
      <c r="M72" s="76">
        <f>$J$72-EFEITO!$K$72*EFEITO!$Y$72</f>
        <v>0</v>
      </c>
      <c r="N72" s="76">
        <f ca="1">$K$72-EFEITO!$M$72*EFEITO!$Z$72</f>
        <v>0</v>
      </c>
      <c r="O72" s="76">
        <f>$L$72-EFEITO!$O$72*EFEITO!$AA$72</f>
        <v>0</v>
      </c>
      <c r="P72" s="19"/>
      <c r="Q72" s="19"/>
      <c r="R72" s="19"/>
      <c r="S72" s="19"/>
      <c r="T72" s="19"/>
      <c r="U72" s="19"/>
      <c r="V72" s="19"/>
      <c r="W72" s="19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65" t="s">
        <v>28</v>
      </c>
      <c r="B73" s="65" t="s">
        <v>33</v>
      </c>
      <c r="C73" s="65" t="s">
        <v>34</v>
      </c>
      <c r="D73" s="65" t="s">
        <v>39</v>
      </c>
      <c r="E73" s="65" t="s">
        <v>25</v>
      </c>
      <c r="F73" s="65" t="s">
        <v>25</v>
      </c>
      <c r="G73" s="65" t="s">
        <v>25</v>
      </c>
      <c r="H73" s="65" t="s">
        <v>35</v>
      </c>
      <c r="I73" s="75">
        <v>44348</v>
      </c>
      <c r="J73" s="76">
        <f>EFEITO!$J$73*EFEITO!$Y$73</f>
        <v>0</v>
      </c>
      <c r="K73" s="76">
        <f ca="1">EFEITO!$L$73*EFEITO!$Z$73</f>
        <v>4229.8905706344794</v>
      </c>
      <c r="L73" s="76">
        <f>EFEITO!$N$73*EFEITO!$AA$73</f>
        <v>387.81558938549995</v>
      </c>
      <c r="M73" s="76">
        <f>$J$73-EFEITO!$K$73*EFEITO!$Y$73</f>
        <v>0</v>
      </c>
      <c r="N73" s="76">
        <f ca="1">$K$73-EFEITO!$M$73*EFEITO!$Z$73</f>
        <v>0</v>
      </c>
      <c r="O73" s="76">
        <f>$L$73-EFEITO!$O$73*EFEITO!$AA$73</f>
        <v>0</v>
      </c>
      <c r="P73" s="19"/>
      <c r="Q73" s="19"/>
      <c r="R73" s="19"/>
      <c r="S73" s="19"/>
      <c r="T73" s="19"/>
      <c r="U73" s="19"/>
      <c r="V73" s="19"/>
      <c r="W73" s="19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65" t="s">
        <v>21</v>
      </c>
      <c r="B74" s="65" t="s">
        <v>33</v>
      </c>
      <c r="C74" s="65" t="s">
        <v>34</v>
      </c>
      <c r="D74" s="65" t="s">
        <v>39</v>
      </c>
      <c r="E74" s="65" t="s">
        <v>25</v>
      </c>
      <c r="F74" s="65" t="s">
        <v>25</v>
      </c>
      <c r="G74" s="65" t="s">
        <v>25</v>
      </c>
      <c r="H74" s="65" t="s">
        <v>35</v>
      </c>
      <c r="I74" s="75">
        <v>44378</v>
      </c>
      <c r="J74" s="76">
        <f>EFEITO!$J$74*EFEITO!$Y$74</f>
        <v>0</v>
      </c>
      <c r="K74" s="76">
        <f ca="1">EFEITO!$L$74*EFEITO!$Z$74</f>
        <v>51682.046798218027</v>
      </c>
      <c r="L74" s="76">
        <f>EFEITO!$N$74*EFEITO!$AA$74</f>
        <v>4738.4449089172222</v>
      </c>
      <c r="M74" s="76">
        <f>$J$74-EFEITO!$K$74*EFEITO!$Y$74</f>
        <v>0</v>
      </c>
      <c r="N74" s="76">
        <f ca="1">$K$74-EFEITO!$M$74*EFEITO!$Z$74</f>
        <v>0</v>
      </c>
      <c r="O74" s="76">
        <f>$L$74-EFEITO!$O$74*EFEITO!$AA$74</f>
        <v>0</v>
      </c>
      <c r="P74" s="19"/>
      <c r="Q74" s="19"/>
      <c r="R74" s="19"/>
      <c r="S74" s="19"/>
      <c r="T74" s="19"/>
      <c r="U74" s="19"/>
      <c r="V74" s="19"/>
      <c r="W74" s="19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65" t="s">
        <v>28</v>
      </c>
      <c r="B75" s="65" t="s">
        <v>33</v>
      </c>
      <c r="C75" s="65" t="s">
        <v>34</v>
      </c>
      <c r="D75" s="65" t="s">
        <v>39</v>
      </c>
      <c r="E75" s="65" t="s">
        <v>25</v>
      </c>
      <c r="F75" s="65" t="s">
        <v>25</v>
      </c>
      <c r="G75" s="65" t="s">
        <v>25</v>
      </c>
      <c r="H75" s="65" t="s">
        <v>35</v>
      </c>
      <c r="I75" s="75">
        <v>44378</v>
      </c>
      <c r="J75" s="76">
        <f>EFEITO!$J$75*EFEITO!$Y$75</f>
        <v>0</v>
      </c>
      <c r="K75" s="76">
        <f ca="1">EFEITO!$L$75*EFEITO!$Z$75</f>
        <v>4153.9329397364418</v>
      </c>
      <c r="L75" s="76">
        <f>EFEITO!$N$75*EFEITO!$AA$75</f>
        <v>380.8514486109006</v>
      </c>
      <c r="M75" s="76">
        <f>$J$75-EFEITO!$K$75*EFEITO!$Y$75</f>
        <v>0</v>
      </c>
      <c r="N75" s="76">
        <f ca="1">$K$75-EFEITO!$M$75*EFEITO!$Z$75</f>
        <v>0</v>
      </c>
      <c r="O75" s="76">
        <f>$L$75-EFEITO!$O$75*EFEITO!$AA$75</f>
        <v>0</v>
      </c>
      <c r="P75" s="19"/>
      <c r="Q75" s="19"/>
      <c r="R75" s="19"/>
      <c r="S75" s="19"/>
      <c r="T75" s="19"/>
      <c r="U75" s="19"/>
      <c r="V75" s="19"/>
      <c r="W75" s="19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65" t="s">
        <v>21</v>
      </c>
      <c r="B76" s="65" t="s">
        <v>33</v>
      </c>
      <c r="C76" s="65" t="s">
        <v>34</v>
      </c>
      <c r="D76" s="65" t="s">
        <v>39</v>
      </c>
      <c r="E76" s="65" t="s">
        <v>25</v>
      </c>
      <c r="F76" s="65" t="s">
        <v>25</v>
      </c>
      <c r="G76" s="65" t="s">
        <v>25</v>
      </c>
      <c r="H76" s="65" t="s">
        <v>35</v>
      </c>
      <c r="I76" s="75">
        <v>44409</v>
      </c>
      <c r="J76" s="76">
        <f>EFEITO!$J$76*EFEITO!$Y$76</f>
        <v>0</v>
      </c>
      <c r="K76" s="76">
        <f ca="1">EFEITO!$L$76*EFEITO!$Z$76</f>
        <v>65798.297765425232</v>
      </c>
      <c r="L76" s="76">
        <f>EFEITO!$N$76*EFEITO!$AA$76</f>
        <v>6032.6869459966656</v>
      </c>
      <c r="M76" s="76">
        <f>$J$76-EFEITO!$K$76*EFEITO!$Y$76</f>
        <v>0</v>
      </c>
      <c r="N76" s="76">
        <f ca="1">$K$76-EFEITO!$M$76*EFEITO!$Z$76</f>
        <v>0</v>
      </c>
      <c r="O76" s="76">
        <f>$L$76-EFEITO!$O$76*EFEITO!$AA$76</f>
        <v>0</v>
      </c>
      <c r="P76" s="19"/>
      <c r="Q76" s="19"/>
      <c r="R76" s="19"/>
      <c r="S76" s="19"/>
      <c r="T76" s="19"/>
      <c r="U76" s="19"/>
      <c r="V76" s="19"/>
      <c r="W76" s="19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65" t="s">
        <v>28</v>
      </c>
      <c r="B77" s="65" t="s">
        <v>33</v>
      </c>
      <c r="C77" s="65" t="s">
        <v>34</v>
      </c>
      <c r="D77" s="65" t="s">
        <v>39</v>
      </c>
      <c r="E77" s="65" t="s">
        <v>25</v>
      </c>
      <c r="F77" s="65" t="s">
        <v>25</v>
      </c>
      <c r="G77" s="65" t="s">
        <v>25</v>
      </c>
      <c r="H77" s="65" t="s">
        <v>35</v>
      </c>
      <c r="I77" s="75">
        <v>44409</v>
      </c>
      <c r="J77" s="76">
        <f>EFEITO!$J$77*EFEITO!$Y$77</f>
        <v>0</v>
      </c>
      <c r="K77" s="76">
        <f ca="1">EFEITO!$L$77*EFEITO!$Z$77</f>
        <v>14429.576194661617</v>
      </c>
      <c r="L77" s="76">
        <f>EFEITO!$N$77*EFEITO!$AA$77</f>
        <v>1322.9691177746656</v>
      </c>
      <c r="M77" s="76">
        <f>$J$77-EFEITO!$K$77*EFEITO!$Y$77</f>
        <v>0</v>
      </c>
      <c r="N77" s="76">
        <f ca="1">$K$77-EFEITO!$M$77*EFEITO!$Z$77</f>
        <v>0</v>
      </c>
      <c r="O77" s="76">
        <f>$L$77-EFEITO!$O$77*EFEITO!$AA$77</f>
        <v>0</v>
      </c>
      <c r="P77" s="19"/>
      <c r="Q77" s="19"/>
      <c r="R77" s="19"/>
      <c r="S77" s="19"/>
      <c r="T77" s="19"/>
      <c r="U77" s="19"/>
      <c r="V77" s="19"/>
      <c r="W77" s="19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65" t="s">
        <v>21</v>
      </c>
      <c r="B78" s="65" t="s">
        <v>33</v>
      </c>
      <c r="C78" s="65" t="s">
        <v>34</v>
      </c>
      <c r="D78" s="65" t="s">
        <v>39</v>
      </c>
      <c r="E78" s="65" t="s">
        <v>25</v>
      </c>
      <c r="F78" s="65" t="s">
        <v>25</v>
      </c>
      <c r="G78" s="65" t="s">
        <v>25</v>
      </c>
      <c r="H78" s="65" t="s">
        <v>35</v>
      </c>
      <c r="I78" s="75">
        <v>44440</v>
      </c>
      <c r="J78" s="76">
        <f>EFEITO!$J$78*EFEITO!$Y$78</f>
        <v>0</v>
      </c>
      <c r="K78" s="76">
        <f ca="1">EFEITO!$L$78*EFEITO!$Z$78</f>
        <v>50796.665663062769</v>
      </c>
      <c r="L78" s="76">
        <f>EFEITO!$N$78*EFEITO!$AA$78</f>
        <v>4657.2691430132991</v>
      </c>
      <c r="M78" s="76">
        <f>$J$78-EFEITO!$K$78*EFEITO!$Y$78</f>
        <v>0</v>
      </c>
      <c r="N78" s="76">
        <f ca="1">$K$78-EFEITO!$M$78*EFEITO!$Z$78</f>
        <v>0</v>
      </c>
      <c r="O78" s="76">
        <f>$L$78-EFEITO!$O$78*EFEITO!$AA$78</f>
        <v>0</v>
      </c>
      <c r="P78" s="19"/>
      <c r="Q78" s="19"/>
      <c r="R78" s="19"/>
      <c r="S78" s="19"/>
      <c r="T78" s="19"/>
      <c r="U78" s="19"/>
      <c r="V78" s="19"/>
      <c r="W78" s="19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65" t="s">
        <v>28</v>
      </c>
      <c r="B79" s="65" t="s">
        <v>33</v>
      </c>
      <c r="C79" s="65" t="s">
        <v>34</v>
      </c>
      <c r="D79" s="65" t="s">
        <v>39</v>
      </c>
      <c r="E79" s="65" t="s">
        <v>25</v>
      </c>
      <c r="F79" s="65" t="s">
        <v>25</v>
      </c>
      <c r="G79" s="65" t="s">
        <v>25</v>
      </c>
      <c r="H79" s="65" t="s">
        <v>35</v>
      </c>
      <c r="I79" s="75">
        <v>44440</v>
      </c>
      <c r="J79" s="76">
        <f>EFEITO!$J$79*EFEITO!$Y$79</f>
        <v>0</v>
      </c>
      <c r="K79" s="76">
        <f ca="1">EFEITO!$L$79*EFEITO!$Z$79</f>
        <v>9758.1818944322931</v>
      </c>
      <c r="L79" s="76">
        <f>EFEITO!$N$79*EFEITO!$AA$79</f>
        <v>894.67446013680706</v>
      </c>
      <c r="M79" s="76">
        <f>$J$79-EFEITO!$K$79*EFEITO!$Y$79</f>
        <v>0</v>
      </c>
      <c r="N79" s="76">
        <f ca="1">$K$79-EFEITO!$M$79*EFEITO!$Z$79</f>
        <v>0</v>
      </c>
      <c r="O79" s="76">
        <f>$L$79-EFEITO!$O$79*EFEITO!$AA$79</f>
        <v>0</v>
      </c>
      <c r="P79" s="19"/>
      <c r="Q79" s="19"/>
      <c r="R79" s="19"/>
      <c r="S79" s="19"/>
      <c r="T79" s="19"/>
      <c r="U79" s="19"/>
      <c r="V79" s="19"/>
      <c r="W79" s="19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65" t="s">
        <v>21</v>
      </c>
      <c r="B80" s="65" t="s">
        <v>33</v>
      </c>
      <c r="C80" s="65" t="s">
        <v>34</v>
      </c>
      <c r="D80" s="65" t="s">
        <v>39</v>
      </c>
      <c r="E80" s="65" t="s">
        <v>25</v>
      </c>
      <c r="F80" s="65" t="s">
        <v>25</v>
      </c>
      <c r="G80" s="65" t="s">
        <v>25</v>
      </c>
      <c r="H80" s="65" t="s">
        <v>35</v>
      </c>
      <c r="I80" s="75">
        <v>44470</v>
      </c>
      <c r="J80" s="76">
        <f>EFEITO!$J$80*EFEITO!$Y$80</f>
        <v>0</v>
      </c>
      <c r="K80" s="76">
        <f ca="1">EFEITO!$L$80*EFEITO!$Z$80</f>
        <v>41228.377845875577</v>
      </c>
      <c r="L80" s="76">
        <f>EFEITO!$N$80*EFEITO!$AA$80</f>
        <v>3780.0050348129903</v>
      </c>
      <c r="M80" s="76">
        <f>$J$80-EFEITO!$K$80*EFEITO!$Y$80</f>
        <v>0</v>
      </c>
      <c r="N80" s="76">
        <f ca="1">$K$80-EFEITO!$M$80*EFEITO!$Z$80</f>
        <v>0</v>
      </c>
      <c r="O80" s="76">
        <f>$L$80-EFEITO!$O$80*EFEITO!$AA$80</f>
        <v>0</v>
      </c>
      <c r="P80" s="19"/>
      <c r="Q80" s="19"/>
      <c r="R80" s="19"/>
      <c r="S80" s="19"/>
      <c r="T80" s="19"/>
      <c r="U80" s="19"/>
      <c r="V80" s="19"/>
      <c r="W80" s="19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65" t="s">
        <v>28</v>
      </c>
      <c r="B81" s="65" t="s">
        <v>33</v>
      </c>
      <c r="C81" s="65" t="s">
        <v>34</v>
      </c>
      <c r="D81" s="65" t="s">
        <v>39</v>
      </c>
      <c r="E81" s="65" t="s">
        <v>25</v>
      </c>
      <c r="F81" s="65" t="s">
        <v>25</v>
      </c>
      <c r="G81" s="65" t="s">
        <v>25</v>
      </c>
      <c r="H81" s="65" t="s">
        <v>35</v>
      </c>
      <c r="I81" s="75">
        <v>44470</v>
      </c>
      <c r="J81" s="76">
        <f>EFEITO!$J$81*EFEITO!$Y$81</f>
        <v>0</v>
      </c>
      <c r="K81" s="76">
        <f ca="1">EFEITO!$L$81*EFEITO!$Z$81</f>
        <v>3942.6757788012742</v>
      </c>
      <c r="L81" s="76">
        <f>EFEITO!$N$81*EFEITO!$AA$81</f>
        <v>361.48243208154628</v>
      </c>
      <c r="M81" s="76">
        <f>$J$81-EFEITO!$K$81*EFEITO!$Y$81</f>
        <v>0</v>
      </c>
      <c r="N81" s="76">
        <f ca="1">$K$81-EFEITO!$M$81*EFEITO!$Z$81</f>
        <v>0</v>
      </c>
      <c r="O81" s="76">
        <f>$L$81-EFEITO!$O$81*EFEITO!$AA$81</f>
        <v>0</v>
      </c>
      <c r="P81" s="19"/>
      <c r="Q81" s="19"/>
      <c r="R81" s="19"/>
      <c r="S81" s="19"/>
      <c r="T81" s="19"/>
      <c r="U81" s="19"/>
      <c r="V81" s="19"/>
      <c r="W81" s="19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65" t="s">
        <v>21</v>
      </c>
      <c r="B82" s="65" t="s">
        <v>33</v>
      </c>
      <c r="C82" s="65" t="s">
        <v>34</v>
      </c>
      <c r="D82" s="65" t="s">
        <v>39</v>
      </c>
      <c r="E82" s="65" t="s">
        <v>25</v>
      </c>
      <c r="F82" s="65" t="s">
        <v>25</v>
      </c>
      <c r="G82" s="65" t="s">
        <v>25</v>
      </c>
      <c r="H82" s="65" t="s">
        <v>35</v>
      </c>
      <c r="I82" s="75">
        <v>44501</v>
      </c>
      <c r="J82" s="76">
        <f>EFEITO!$J$82*EFEITO!$Y$82</f>
        <v>0</v>
      </c>
      <c r="K82" s="76">
        <f ca="1">EFEITO!$L$82*EFEITO!$Z$82</f>
        <v>53540.635079254389</v>
      </c>
      <c r="L82" s="76">
        <f>EFEITO!$N$82*EFEITO!$AA$82</f>
        <v>4908.8487284957</v>
      </c>
      <c r="M82" s="76">
        <f>$J$82-EFEITO!$K$82*EFEITO!$Y$82</f>
        <v>0</v>
      </c>
      <c r="N82" s="76">
        <f ca="1">$K$82-EFEITO!$M$82*EFEITO!$Z$82</f>
        <v>0</v>
      </c>
      <c r="O82" s="76">
        <f>$L$82-EFEITO!$O$82*EFEITO!$AA$82</f>
        <v>0</v>
      </c>
      <c r="P82" s="19"/>
      <c r="Q82" s="19"/>
      <c r="R82" s="19"/>
      <c r="S82" s="19"/>
      <c r="T82" s="19"/>
      <c r="U82" s="19"/>
      <c r="V82" s="19"/>
      <c r="W82" s="19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65" t="s">
        <v>21</v>
      </c>
      <c r="B83" s="65" t="s">
        <v>33</v>
      </c>
      <c r="C83" s="65" t="s">
        <v>34</v>
      </c>
      <c r="D83" s="65" t="s">
        <v>39</v>
      </c>
      <c r="E83" s="65" t="s">
        <v>25</v>
      </c>
      <c r="F83" s="65" t="s">
        <v>25</v>
      </c>
      <c r="G83" s="65" t="s">
        <v>25</v>
      </c>
      <c r="H83" s="65" t="s">
        <v>35</v>
      </c>
      <c r="I83" s="75">
        <v>44531</v>
      </c>
      <c r="J83" s="76">
        <f>EFEITO!$J$83*EFEITO!$Y$83</f>
        <v>0</v>
      </c>
      <c r="K83" s="76">
        <f ca="1">EFEITO!$L$83*EFEITO!$Z$83</f>
        <v>59845.118443791529</v>
      </c>
      <c r="L83" s="76">
        <f>EFEITO!$N$83*EFEITO!$AA$83</f>
        <v>5486.8724127874439</v>
      </c>
      <c r="M83" s="76">
        <f>$J$83-EFEITO!$K$83*EFEITO!$Y$83</f>
        <v>0</v>
      </c>
      <c r="N83" s="76">
        <f ca="1">$K$83-EFEITO!$M$83*EFEITO!$Z$83</f>
        <v>0</v>
      </c>
      <c r="O83" s="76">
        <f>$L$83-EFEITO!$O$83*EFEITO!$AA$83</f>
        <v>0</v>
      </c>
      <c r="P83" s="19"/>
      <c r="Q83" s="19"/>
      <c r="R83" s="19"/>
      <c r="S83" s="19"/>
      <c r="T83" s="19"/>
      <c r="U83" s="19"/>
      <c r="V83" s="19"/>
      <c r="W83" s="19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65" t="s">
        <v>21</v>
      </c>
      <c r="B84" s="65" t="s">
        <v>33</v>
      </c>
      <c r="C84" s="65" t="s">
        <v>34</v>
      </c>
      <c r="D84" s="65" t="s">
        <v>39</v>
      </c>
      <c r="E84" s="65" t="s">
        <v>25</v>
      </c>
      <c r="F84" s="65" t="s">
        <v>25</v>
      </c>
      <c r="G84" s="65" t="s">
        <v>25</v>
      </c>
      <c r="H84" s="65" t="s">
        <v>35</v>
      </c>
      <c r="I84" s="75">
        <v>44562</v>
      </c>
      <c r="J84" s="76">
        <f>EFEITO!$J$84*EFEITO!$Y$84</f>
        <v>0</v>
      </c>
      <c r="K84" s="76">
        <f ca="1">EFEITO!$L$84*EFEITO!$Z$84</f>
        <v>57742.04153830211</v>
      </c>
      <c r="L84" s="76">
        <f>EFEITO!$N$84*EFEITO!$AA$84</f>
        <v>5294.0527650907252</v>
      </c>
      <c r="M84" s="76">
        <f>$J$84-EFEITO!$K$84*EFEITO!$Y$84</f>
        <v>0</v>
      </c>
      <c r="N84" s="76">
        <f ca="1">$K$84-EFEITO!$M$84*EFEITO!$Z$84</f>
        <v>0</v>
      </c>
      <c r="O84" s="76">
        <f>$L$84-EFEITO!$O$84*EFEITO!$AA$84</f>
        <v>0</v>
      </c>
      <c r="P84" s="19"/>
      <c r="Q84" s="19"/>
      <c r="R84" s="19"/>
      <c r="S84" s="19"/>
      <c r="T84" s="19"/>
      <c r="U84" s="19"/>
      <c r="V84" s="19"/>
      <c r="W84" s="19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65" t="s">
        <v>21</v>
      </c>
      <c r="B85" s="65" t="s">
        <v>33</v>
      </c>
      <c r="C85" s="65" t="s">
        <v>34</v>
      </c>
      <c r="D85" s="65" t="s">
        <v>39</v>
      </c>
      <c r="E85" s="65" t="s">
        <v>25</v>
      </c>
      <c r="F85" s="65" t="s">
        <v>25</v>
      </c>
      <c r="G85" s="65" t="s">
        <v>25</v>
      </c>
      <c r="H85" s="65" t="s">
        <v>35</v>
      </c>
      <c r="I85" s="75">
        <v>44593</v>
      </c>
      <c r="J85" s="76">
        <f>EFEITO!$J$85*EFEITO!$Y$85</f>
        <v>0</v>
      </c>
      <c r="K85" s="76">
        <f ca="1">EFEITO!$L$85*EFEITO!$Z$85</f>
        <v>82314.335133817323</v>
      </c>
      <c r="L85" s="76">
        <f>EFEITO!$N$85*EFEITO!$AA$85</f>
        <v>7546.9523056736061</v>
      </c>
      <c r="M85" s="76">
        <f>$J$85-EFEITO!$K$85*EFEITO!$Y$85</f>
        <v>0</v>
      </c>
      <c r="N85" s="76">
        <f ca="1">$K$85-EFEITO!$M$85*EFEITO!$Z$85</f>
        <v>0</v>
      </c>
      <c r="O85" s="76">
        <f>$L$85-EFEITO!$O$85*EFEITO!$AA$85</f>
        <v>0</v>
      </c>
      <c r="P85" s="19"/>
      <c r="Q85" s="19"/>
      <c r="R85" s="19"/>
      <c r="S85" s="19"/>
      <c r="T85" s="19"/>
      <c r="U85" s="19"/>
      <c r="V85" s="19"/>
      <c r="W85" s="19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65" t="s">
        <v>54</v>
      </c>
      <c r="B86" s="65" t="s">
        <v>33</v>
      </c>
      <c r="C86" s="65" t="s">
        <v>34</v>
      </c>
      <c r="D86" s="65" t="s">
        <v>39</v>
      </c>
      <c r="E86" s="65" t="s">
        <v>25</v>
      </c>
      <c r="F86" s="65" t="s">
        <v>25</v>
      </c>
      <c r="G86" s="65" t="s">
        <v>25</v>
      </c>
      <c r="H86" s="65" t="s">
        <v>35</v>
      </c>
      <c r="I86" s="75">
        <v>44621</v>
      </c>
      <c r="J86" s="76">
        <f>EFEITO!$J$86*EFEITO!$Y$86</f>
        <v>0</v>
      </c>
      <c r="K86" s="76">
        <f ca="1">EFEITO!$L$86*EFEITO!$Z$86</f>
        <v>82314.335133817323</v>
      </c>
      <c r="L86" s="76">
        <f>EFEITO!$N$86*EFEITO!$AA$86</f>
        <v>7546.9523056736061</v>
      </c>
      <c r="M86" s="76">
        <f>$J$86-EFEITO!$K$86*EFEITO!$Y$86</f>
        <v>0</v>
      </c>
      <c r="N86" s="76">
        <f ca="1">$K$86-EFEITO!$M$86*EFEITO!$Z$86</f>
        <v>0</v>
      </c>
      <c r="O86" s="76">
        <f>$L$86-EFEITO!$O$86*EFEITO!$AA$86</f>
        <v>0</v>
      </c>
      <c r="P86" s="19"/>
      <c r="Q86" s="19"/>
      <c r="R86" s="19"/>
      <c r="S86" s="19"/>
      <c r="T86" s="19"/>
      <c r="U86" s="19"/>
      <c r="V86" s="19"/>
      <c r="W86" s="19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65" t="s">
        <v>21</v>
      </c>
      <c r="B87" s="65" t="s">
        <v>33</v>
      </c>
      <c r="C87" s="65" t="s">
        <v>34</v>
      </c>
      <c r="D87" s="65" t="s">
        <v>38</v>
      </c>
      <c r="E87" s="65" t="s">
        <v>25</v>
      </c>
      <c r="F87" s="65" t="s">
        <v>55</v>
      </c>
      <c r="G87" s="65" t="s">
        <v>25</v>
      </c>
      <c r="H87" s="65" t="s">
        <v>36</v>
      </c>
      <c r="I87" s="75">
        <v>44287</v>
      </c>
      <c r="J87" s="76">
        <f>EFEITO!$J$87*EFEITO!$Y$87</f>
        <v>0</v>
      </c>
      <c r="K87" s="76">
        <f ca="1">EFEITO!$L$87*EFEITO!$Z$87</f>
        <v>18910.300997302918</v>
      </c>
      <c r="L87" s="76">
        <f>EFEITO!$N$87*EFEITO!$AA$87</f>
        <v>0</v>
      </c>
      <c r="M87" s="76">
        <f>$J$87-EFEITO!$K$87*EFEITO!$Y$87</f>
        <v>0</v>
      </c>
      <c r="N87" s="76">
        <f ca="1">$K$87-EFEITO!$M$87*EFEITO!$Z$87</f>
        <v>9455.1504986514592</v>
      </c>
      <c r="O87" s="76">
        <f>$L$87-EFEITO!$O$87*EFEITO!$AA$87</f>
        <v>0</v>
      </c>
      <c r="P87" s="19"/>
      <c r="Q87" s="19"/>
      <c r="R87" s="19"/>
      <c r="S87" s="19"/>
      <c r="T87" s="19"/>
      <c r="U87" s="19"/>
      <c r="V87" s="19"/>
      <c r="W87" s="19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65" t="s">
        <v>21</v>
      </c>
      <c r="B88" s="65" t="s">
        <v>33</v>
      </c>
      <c r="C88" s="65" t="s">
        <v>34</v>
      </c>
      <c r="D88" s="65" t="s">
        <v>38</v>
      </c>
      <c r="E88" s="65" t="s">
        <v>25</v>
      </c>
      <c r="F88" s="65" t="s">
        <v>55</v>
      </c>
      <c r="G88" s="65" t="s">
        <v>25</v>
      </c>
      <c r="H88" s="65" t="s">
        <v>36</v>
      </c>
      <c r="I88" s="75">
        <v>44317</v>
      </c>
      <c r="J88" s="76">
        <f>EFEITO!$J$88*EFEITO!$Y$88</f>
        <v>0</v>
      </c>
      <c r="K88" s="76">
        <f ca="1">EFEITO!$L$88*EFEITO!$Z$88</f>
        <v>17258.55640614147</v>
      </c>
      <c r="L88" s="76">
        <f>EFEITO!$N$88*EFEITO!$AA$88</f>
        <v>0</v>
      </c>
      <c r="M88" s="76">
        <f>$J$88-EFEITO!$K$88*EFEITO!$Y$88</f>
        <v>0</v>
      </c>
      <c r="N88" s="76">
        <f ca="1">$K$88-EFEITO!$M$88*EFEITO!$Z$88</f>
        <v>8629.2782030707349</v>
      </c>
      <c r="O88" s="76">
        <f>$L$88-EFEITO!$O$88*EFEITO!$AA$88</f>
        <v>0</v>
      </c>
      <c r="P88" s="19"/>
      <c r="Q88" s="19"/>
      <c r="R88" s="19"/>
      <c r="S88" s="19"/>
      <c r="T88" s="19"/>
      <c r="U88" s="19"/>
      <c r="V88" s="19"/>
      <c r="W88" s="19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65" t="s">
        <v>21</v>
      </c>
      <c r="B89" s="65" t="s">
        <v>33</v>
      </c>
      <c r="C89" s="65" t="s">
        <v>34</v>
      </c>
      <c r="D89" s="65" t="s">
        <v>38</v>
      </c>
      <c r="E89" s="65" t="s">
        <v>25</v>
      </c>
      <c r="F89" s="65" t="s">
        <v>55</v>
      </c>
      <c r="G89" s="65" t="s">
        <v>25</v>
      </c>
      <c r="H89" s="65" t="s">
        <v>36</v>
      </c>
      <c r="I89" s="75">
        <v>44348</v>
      </c>
      <c r="J89" s="76">
        <f>EFEITO!$J$89*EFEITO!$Y$89</f>
        <v>0</v>
      </c>
      <c r="K89" s="76">
        <f ca="1">EFEITO!$L$89*EFEITO!$Z$89</f>
        <v>124552.01730657353</v>
      </c>
      <c r="L89" s="76">
        <f>EFEITO!$N$89*EFEITO!$AA$89</f>
        <v>0</v>
      </c>
      <c r="M89" s="76">
        <f>$J$89-EFEITO!$K$89*EFEITO!$Y$89</f>
        <v>0</v>
      </c>
      <c r="N89" s="76">
        <f ca="1">$K$89-EFEITO!$M$89*EFEITO!$Z$89</f>
        <v>62276.008653286764</v>
      </c>
      <c r="O89" s="76">
        <f>$L$89-EFEITO!$O$89*EFEITO!$AA$89</f>
        <v>0</v>
      </c>
      <c r="P89" s="19"/>
      <c r="Q89" s="19"/>
      <c r="R89" s="19"/>
      <c r="S89" s="19"/>
      <c r="T89" s="19"/>
      <c r="U89" s="19"/>
      <c r="V89" s="19"/>
      <c r="W89" s="19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65" t="s">
        <v>21</v>
      </c>
      <c r="B90" s="65" t="s">
        <v>33</v>
      </c>
      <c r="C90" s="65" t="s">
        <v>34</v>
      </c>
      <c r="D90" s="65" t="s">
        <v>38</v>
      </c>
      <c r="E90" s="65" t="s">
        <v>25</v>
      </c>
      <c r="F90" s="65" t="s">
        <v>55</v>
      </c>
      <c r="G90" s="65" t="s">
        <v>25</v>
      </c>
      <c r="H90" s="65" t="s">
        <v>36</v>
      </c>
      <c r="I90" s="75">
        <v>44378</v>
      </c>
      <c r="J90" s="76">
        <f>EFEITO!$J$90*EFEITO!$Y$90</f>
        <v>0</v>
      </c>
      <c r="K90" s="76">
        <f ca="1">EFEITO!$L$90*EFEITO!$Z$90</f>
        <v>184160.99924711933</v>
      </c>
      <c r="L90" s="76">
        <f>EFEITO!$N$90*EFEITO!$AA$90</f>
        <v>0</v>
      </c>
      <c r="M90" s="76">
        <f>$J$90-EFEITO!$K$90*EFEITO!$Y$90</f>
        <v>0</v>
      </c>
      <c r="N90" s="76">
        <f ca="1">$K$90-EFEITO!$M$90*EFEITO!$Z$90</f>
        <v>92080.499623559663</v>
      </c>
      <c r="O90" s="76">
        <f>$L$90-EFEITO!$O$90*EFEITO!$AA$90</f>
        <v>0</v>
      </c>
      <c r="P90" s="19"/>
      <c r="Q90" s="19"/>
      <c r="R90" s="19"/>
      <c r="S90" s="19"/>
      <c r="T90" s="19"/>
      <c r="U90" s="19"/>
      <c r="V90" s="19"/>
      <c r="W90" s="19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65" t="s">
        <v>21</v>
      </c>
      <c r="B91" s="65" t="s">
        <v>33</v>
      </c>
      <c r="C91" s="65" t="s">
        <v>34</v>
      </c>
      <c r="D91" s="65" t="s">
        <v>38</v>
      </c>
      <c r="E91" s="65" t="s">
        <v>25</v>
      </c>
      <c r="F91" s="65" t="s">
        <v>55</v>
      </c>
      <c r="G91" s="65" t="s">
        <v>25</v>
      </c>
      <c r="H91" s="65" t="s">
        <v>36</v>
      </c>
      <c r="I91" s="75">
        <v>44409</v>
      </c>
      <c r="J91" s="76">
        <f>EFEITO!$J$91*EFEITO!$Y$91</f>
        <v>0</v>
      </c>
      <c r="K91" s="76">
        <f ca="1">EFEITO!$L$91*EFEITO!$Z$91</f>
        <v>142207.05852983161</v>
      </c>
      <c r="L91" s="76">
        <f>EFEITO!$N$91*EFEITO!$AA$91</f>
        <v>0</v>
      </c>
      <c r="M91" s="76">
        <f>$J$91-EFEITO!$K$91*EFEITO!$Y$91</f>
        <v>0</v>
      </c>
      <c r="N91" s="76">
        <f ca="1">$K$91-EFEITO!$M$91*EFEITO!$Z$91</f>
        <v>71103.529264915807</v>
      </c>
      <c r="O91" s="76">
        <f>$L$91-EFEITO!$O$91*EFEITO!$AA$91</f>
        <v>0</v>
      </c>
      <c r="P91" s="19"/>
      <c r="Q91" s="19"/>
      <c r="R91" s="19"/>
      <c r="S91" s="19"/>
      <c r="T91" s="19"/>
      <c r="U91" s="19"/>
      <c r="V91" s="19"/>
      <c r="W91" s="19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65" t="s">
        <v>21</v>
      </c>
      <c r="B92" s="65" t="s">
        <v>33</v>
      </c>
      <c r="C92" s="65" t="s">
        <v>34</v>
      </c>
      <c r="D92" s="65" t="s">
        <v>38</v>
      </c>
      <c r="E92" s="65" t="s">
        <v>25</v>
      </c>
      <c r="F92" s="65" t="s">
        <v>55</v>
      </c>
      <c r="G92" s="65" t="s">
        <v>25</v>
      </c>
      <c r="H92" s="65" t="s">
        <v>36</v>
      </c>
      <c r="I92" s="75">
        <v>44440</v>
      </c>
      <c r="J92" s="76">
        <f>EFEITO!$J$92*EFEITO!$Y$92</f>
        <v>0</v>
      </c>
      <c r="K92" s="76">
        <f ca="1">EFEITO!$L$92*EFEITO!$Z$92</f>
        <v>92108.340337007539</v>
      </c>
      <c r="L92" s="76">
        <f>EFEITO!$N$92*EFEITO!$AA$92</f>
        <v>0</v>
      </c>
      <c r="M92" s="76">
        <f>$J$92-EFEITO!$K$92*EFEITO!$Y$92</f>
        <v>0</v>
      </c>
      <c r="N92" s="76">
        <f ca="1">$K$92-EFEITO!$M$92*EFEITO!$Z$92</f>
        <v>46054.17016850377</v>
      </c>
      <c r="O92" s="76">
        <f>$L$92-EFEITO!$O$92*EFEITO!$AA$92</f>
        <v>0</v>
      </c>
      <c r="P92" s="19"/>
      <c r="Q92" s="19"/>
      <c r="R92" s="19"/>
      <c r="S92" s="19"/>
      <c r="T92" s="19"/>
      <c r="U92" s="19"/>
      <c r="V92" s="19"/>
      <c r="W92" s="19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65" t="s">
        <v>21</v>
      </c>
      <c r="B93" s="65" t="s">
        <v>33</v>
      </c>
      <c r="C93" s="65" t="s">
        <v>34</v>
      </c>
      <c r="D93" s="65" t="s">
        <v>38</v>
      </c>
      <c r="E93" s="65" t="s">
        <v>25</v>
      </c>
      <c r="F93" s="65" t="s">
        <v>55</v>
      </c>
      <c r="G93" s="65" t="s">
        <v>25</v>
      </c>
      <c r="H93" s="65" t="s">
        <v>36</v>
      </c>
      <c r="I93" s="75">
        <v>44470</v>
      </c>
      <c r="J93" s="76">
        <f>EFEITO!$J$93*EFEITO!$Y$93</f>
        <v>0</v>
      </c>
      <c r="K93" s="76">
        <f ca="1">EFEITO!$L$93*EFEITO!$Z$93</f>
        <v>75476.639029944665</v>
      </c>
      <c r="L93" s="76">
        <f>EFEITO!$N$93*EFEITO!$AA$93</f>
        <v>0</v>
      </c>
      <c r="M93" s="76">
        <f>$J$93-EFEITO!$K$93*EFEITO!$Y$93</f>
        <v>0</v>
      </c>
      <c r="N93" s="76">
        <f ca="1">$K$93-EFEITO!$M$93*EFEITO!$Z$93</f>
        <v>37738.319514972332</v>
      </c>
      <c r="O93" s="76">
        <f>$L$93-EFEITO!$O$93*EFEITO!$AA$93</f>
        <v>0</v>
      </c>
      <c r="P93" s="19"/>
      <c r="Q93" s="19"/>
      <c r="R93" s="19"/>
      <c r="S93" s="19"/>
      <c r="T93" s="19"/>
      <c r="U93" s="19"/>
      <c r="V93" s="19"/>
      <c r="W93" s="19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65" t="s">
        <v>21</v>
      </c>
      <c r="B94" s="65" t="s">
        <v>33</v>
      </c>
      <c r="C94" s="65" t="s">
        <v>34</v>
      </c>
      <c r="D94" s="65" t="s">
        <v>38</v>
      </c>
      <c r="E94" s="65" t="s">
        <v>25</v>
      </c>
      <c r="F94" s="65" t="s">
        <v>55</v>
      </c>
      <c r="G94" s="65" t="s">
        <v>25</v>
      </c>
      <c r="H94" s="65" t="s">
        <v>36</v>
      </c>
      <c r="I94" s="75">
        <v>44501</v>
      </c>
      <c r="J94" s="76">
        <f>EFEITO!$J$94*EFEITO!$Y$94</f>
        <v>0</v>
      </c>
      <c r="K94" s="76">
        <f ca="1">EFEITO!$L$94*EFEITO!$Z$94</f>
        <v>40587.008174273877</v>
      </c>
      <c r="L94" s="76">
        <f>EFEITO!$N$94*EFEITO!$AA$94</f>
        <v>0</v>
      </c>
      <c r="M94" s="76">
        <f>$J$94-EFEITO!$K$94*EFEITO!$Y$94</f>
        <v>0</v>
      </c>
      <c r="N94" s="76">
        <f ca="1">$K$94-EFEITO!$M$94*EFEITO!$Z$94</f>
        <v>20293.504087136938</v>
      </c>
      <c r="O94" s="76">
        <f>$L$94-EFEITO!$O$94*EFEITO!$AA$94</f>
        <v>0</v>
      </c>
      <c r="P94" s="19"/>
      <c r="Q94" s="19"/>
      <c r="R94" s="19"/>
      <c r="S94" s="19"/>
      <c r="T94" s="19"/>
      <c r="U94" s="19"/>
      <c r="V94" s="19"/>
      <c r="W94" s="19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65" t="s">
        <v>21</v>
      </c>
      <c r="B95" s="65" t="s">
        <v>33</v>
      </c>
      <c r="C95" s="65" t="s">
        <v>34</v>
      </c>
      <c r="D95" s="65" t="s">
        <v>38</v>
      </c>
      <c r="E95" s="65" t="s">
        <v>25</v>
      </c>
      <c r="F95" s="65" t="s">
        <v>55</v>
      </c>
      <c r="G95" s="65" t="s">
        <v>25</v>
      </c>
      <c r="H95" s="65" t="s">
        <v>36</v>
      </c>
      <c r="I95" s="75">
        <v>44531</v>
      </c>
      <c r="J95" s="76">
        <f>EFEITO!$J$95*EFEITO!$Y$95</f>
        <v>0</v>
      </c>
      <c r="K95" s="76">
        <f ca="1">EFEITO!$L$95*EFEITO!$Z$95</f>
        <v>69664.386485538096</v>
      </c>
      <c r="L95" s="76">
        <f>EFEITO!$N$95*EFEITO!$AA$95</f>
        <v>0</v>
      </c>
      <c r="M95" s="76">
        <f>$J$95-EFEITO!$K$95*EFEITO!$Y$95</f>
        <v>0</v>
      </c>
      <c r="N95" s="76">
        <f ca="1">$K$95-EFEITO!$M$95*EFEITO!$Z$95</f>
        <v>34832.193242769048</v>
      </c>
      <c r="O95" s="76">
        <f>$L$95-EFEITO!$O$95*EFEITO!$AA$95</f>
        <v>0</v>
      </c>
      <c r="P95" s="19"/>
      <c r="Q95" s="19"/>
      <c r="R95" s="19"/>
      <c r="S95" s="19"/>
      <c r="T95" s="19"/>
      <c r="U95" s="19"/>
      <c r="V95" s="19"/>
      <c r="W95" s="19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65" t="s">
        <v>21</v>
      </c>
      <c r="B96" s="65" t="s">
        <v>33</v>
      </c>
      <c r="C96" s="65" t="s">
        <v>34</v>
      </c>
      <c r="D96" s="65" t="s">
        <v>38</v>
      </c>
      <c r="E96" s="65" t="s">
        <v>25</v>
      </c>
      <c r="F96" s="65" t="s">
        <v>55</v>
      </c>
      <c r="G96" s="65" t="s">
        <v>25</v>
      </c>
      <c r="H96" s="65" t="s">
        <v>36</v>
      </c>
      <c r="I96" s="75">
        <v>44562</v>
      </c>
      <c r="J96" s="76">
        <f>EFEITO!$J$96*EFEITO!$Y$96</f>
        <v>0</v>
      </c>
      <c r="K96" s="76">
        <f ca="1">EFEITO!$L$96*EFEITO!$Z$96</f>
        <v>127550.65325926871</v>
      </c>
      <c r="L96" s="76">
        <f>EFEITO!$N$96*EFEITO!$AA$96</f>
        <v>0</v>
      </c>
      <c r="M96" s="76">
        <f>$J$96-EFEITO!$K$96*EFEITO!$Y$96</f>
        <v>0</v>
      </c>
      <c r="N96" s="76">
        <f ca="1">$K$96-EFEITO!$M$96*EFEITO!$Z$96</f>
        <v>63775.326629634357</v>
      </c>
      <c r="O96" s="76">
        <f>$L$96-EFEITO!$O$96*EFEITO!$AA$96</f>
        <v>0</v>
      </c>
      <c r="P96" s="19"/>
      <c r="Q96" s="19"/>
      <c r="R96" s="19"/>
      <c r="S96" s="19"/>
      <c r="T96" s="19"/>
      <c r="U96" s="19"/>
      <c r="V96" s="19"/>
      <c r="W96" s="19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65" t="s">
        <v>21</v>
      </c>
      <c r="B97" s="65" t="s">
        <v>33</v>
      </c>
      <c r="C97" s="65" t="s">
        <v>34</v>
      </c>
      <c r="D97" s="65" t="s">
        <v>38</v>
      </c>
      <c r="E97" s="65" t="s">
        <v>25</v>
      </c>
      <c r="F97" s="65" t="s">
        <v>55</v>
      </c>
      <c r="G97" s="65" t="s">
        <v>25</v>
      </c>
      <c r="H97" s="65" t="s">
        <v>36</v>
      </c>
      <c r="I97" s="75">
        <v>44593</v>
      </c>
      <c r="J97" s="76">
        <f>EFEITO!$J$97*EFEITO!$Y$97</f>
        <v>0</v>
      </c>
      <c r="K97" s="76">
        <f ca="1">EFEITO!$L$97*EFEITO!$Z$97</f>
        <v>36604.701448106978</v>
      </c>
      <c r="L97" s="76">
        <f>EFEITO!$N$97*EFEITO!$AA$97</f>
        <v>0</v>
      </c>
      <c r="M97" s="76">
        <f>$J$97-EFEITO!$K$97*EFEITO!$Y$97</f>
        <v>0</v>
      </c>
      <c r="N97" s="76">
        <f ca="1">$K$97-EFEITO!$M$97*EFEITO!$Z$97</f>
        <v>18302.350724053489</v>
      </c>
      <c r="O97" s="76">
        <f>$L$97-EFEITO!$O$97*EFEITO!$AA$97</f>
        <v>0</v>
      </c>
      <c r="P97" s="19"/>
      <c r="Q97" s="19"/>
      <c r="R97" s="19"/>
      <c r="S97" s="19"/>
      <c r="T97" s="19"/>
      <c r="U97" s="19"/>
      <c r="V97" s="19"/>
      <c r="W97" s="19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65" t="s">
        <v>54</v>
      </c>
      <c r="B98" s="65" t="s">
        <v>33</v>
      </c>
      <c r="C98" s="65" t="s">
        <v>34</v>
      </c>
      <c r="D98" s="65" t="s">
        <v>38</v>
      </c>
      <c r="E98" s="65" t="s">
        <v>25</v>
      </c>
      <c r="F98" s="65" t="s">
        <v>55</v>
      </c>
      <c r="G98" s="65" t="s">
        <v>25</v>
      </c>
      <c r="H98" s="65" t="s">
        <v>36</v>
      </c>
      <c r="I98" s="75">
        <v>44621</v>
      </c>
      <c r="J98" s="76">
        <f>EFEITO!$J$98*EFEITO!$Y$98</f>
        <v>0</v>
      </c>
      <c r="K98" s="76">
        <f ca="1">EFEITO!$L$98*EFEITO!$Z$98</f>
        <v>36604.701448106978</v>
      </c>
      <c r="L98" s="76">
        <f>EFEITO!$N$98*EFEITO!$AA$98</f>
        <v>0</v>
      </c>
      <c r="M98" s="76">
        <f>$J$98-EFEITO!$K$98*EFEITO!$Y$98</f>
        <v>0</v>
      </c>
      <c r="N98" s="76">
        <f ca="1">$K$98-EFEITO!$M$98*EFEITO!$Z$98</f>
        <v>18302.350724053489</v>
      </c>
      <c r="O98" s="76">
        <f>$L$98-EFEITO!$O$98*EFEITO!$AA$98</f>
        <v>0</v>
      </c>
      <c r="P98" s="19"/>
      <c r="Q98" s="19"/>
      <c r="R98" s="19"/>
      <c r="S98" s="19"/>
      <c r="T98" s="19"/>
      <c r="U98" s="19"/>
      <c r="V98" s="19"/>
      <c r="W98" s="19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65" t="s">
        <v>21</v>
      </c>
      <c r="B99" s="65" t="s">
        <v>33</v>
      </c>
      <c r="C99" s="65" t="s">
        <v>34</v>
      </c>
      <c r="D99" s="65" t="s">
        <v>38</v>
      </c>
      <c r="E99" s="65" t="s">
        <v>25</v>
      </c>
      <c r="F99" s="65" t="s">
        <v>55</v>
      </c>
      <c r="G99" s="65" t="s">
        <v>25</v>
      </c>
      <c r="H99" s="65" t="s">
        <v>25</v>
      </c>
      <c r="I99" s="75">
        <v>44287</v>
      </c>
      <c r="J99" s="76">
        <f ca="1">EFEITO!$J$99*EFEITO!$Y$99</f>
        <v>23903.899942433192</v>
      </c>
      <c r="K99" s="76">
        <f>EFEITO!$L$99*EFEITO!$Z$99</f>
        <v>0</v>
      </c>
      <c r="L99" s="76">
        <f>EFEITO!$N$99*EFEITO!$AA$99</f>
        <v>0</v>
      </c>
      <c r="M99" s="76">
        <f ca="1">$J$99-EFEITO!$K$99*EFEITO!$Y$99</f>
        <v>11951.949971216596</v>
      </c>
      <c r="N99" s="76">
        <f>$K$99-EFEITO!$M$99*EFEITO!$Z$99</f>
        <v>0</v>
      </c>
      <c r="O99" s="76">
        <f>$L$99-EFEITO!$O$99*EFEITO!$AA$99</f>
        <v>0</v>
      </c>
      <c r="P99" s="19"/>
      <c r="Q99" s="19"/>
      <c r="R99" s="19"/>
      <c r="S99" s="19"/>
      <c r="T99" s="19"/>
      <c r="U99" s="19"/>
      <c r="V99" s="19"/>
      <c r="W99" s="19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65" t="s">
        <v>21</v>
      </c>
      <c r="B100" s="65" t="s">
        <v>33</v>
      </c>
      <c r="C100" s="65" t="s">
        <v>34</v>
      </c>
      <c r="D100" s="65" t="s">
        <v>38</v>
      </c>
      <c r="E100" s="65" t="s">
        <v>25</v>
      </c>
      <c r="F100" s="65" t="s">
        <v>55</v>
      </c>
      <c r="G100" s="65" t="s">
        <v>25</v>
      </c>
      <c r="H100" s="65" t="s">
        <v>25</v>
      </c>
      <c r="I100" s="75">
        <v>44317</v>
      </c>
      <c r="J100" s="76">
        <f ca="1">EFEITO!$J$100*EFEITO!$Y$100</f>
        <v>32567.546926645016</v>
      </c>
      <c r="K100" s="76">
        <f>EFEITO!$L$100*EFEITO!$Z$100</f>
        <v>0</v>
      </c>
      <c r="L100" s="76">
        <f>EFEITO!$N$100*EFEITO!$AA$100</f>
        <v>0</v>
      </c>
      <c r="M100" s="76">
        <f ca="1">$J$100-EFEITO!$K$100*EFEITO!$Y$100</f>
        <v>16283.773463322508</v>
      </c>
      <c r="N100" s="76">
        <f>$K$100-EFEITO!$M$100*EFEITO!$Z$100</f>
        <v>0</v>
      </c>
      <c r="O100" s="76">
        <f>$L$100-EFEITO!$O$100*EFEITO!$AA$100</f>
        <v>0</v>
      </c>
      <c r="P100" s="19"/>
      <c r="Q100" s="19"/>
      <c r="R100" s="19"/>
      <c r="S100" s="19"/>
      <c r="T100" s="19"/>
      <c r="U100" s="19"/>
      <c r="V100" s="19"/>
      <c r="W100" s="19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65" t="s">
        <v>21</v>
      </c>
      <c r="B101" s="65" t="s">
        <v>33</v>
      </c>
      <c r="C101" s="65" t="s">
        <v>34</v>
      </c>
      <c r="D101" s="65" t="s">
        <v>38</v>
      </c>
      <c r="E101" s="65" t="s">
        <v>25</v>
      </c>
      <c r="F101" s="65" t="s">
        <v>55</v>
      </c>
      <c r="G101" s="65" t="s">
        <v>25</v>
      </c>
      <c r="H101" s="65" t="s">
        <v>25</v>
      </c>
      <c r="I101" s="75">
        <v>44348</v>
      </c>
      <c r="J101" s="76">
        <f ca="1">EFEITO!$J$101*EFEITO!$Y$101</f>
        <v>216906.65754869833</v>
      </c>
      <c r="K101" s="76">
        <f>EFEITO!$L$101*EFEITO!$Z$101</f>
        <v>0</v>
      </c>
      <c r="L101" s="76">
        <f>EFEITO!$N$101*EFEITO!$AA$101</f>
        <v>0</v>
      </c>
      <c r="M101" s="76">
        <f ca="1">$J$101-EFEITO!$K$101*EFEITO!$Y$101</f>
        <v>108453.32877434917</v>
      </c>
      <c r="N101" s="76">
        <f>$K$101-EFEITO!$M$101*EFEITO!$Z$101</f>
        <v>0</v>
      </c>
      <c r="O101" s="76">
        <f>$L$101-EFEITO!$O$101*EFEITO!$AA$101</f>
        <v>0</v>
      </c>
      <c r="P101" s="19"/>
      <c r="Q101" s="19"/>
      <c r="R101" s="19"/>
      <c r="S101" s="19"/>
      <c r="T101" s="19"/>
      <c r="U101" s="19"/>
      <c r="V101" s="19"/>
      <c r="W101" s="19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65" t="s">
        <v>21</v>
      </c>
      <c r="B102" s="65" t="s">
        <v>33</v>
      </c>
      <c r="C102" s="65" t="s">
        <v>34</v>
      </c>
      <c r="D102" s="65" t="s">
        <v>38</v>
      </c>
      <c r="E102" s="65" t="s">
        <v>25</v>
      </c>
      <c r="F102" s="65" t="s">
        <v>55</v>
      </c>
      <c r="G102" s="65" t="s">
        <v>25</v>
      </c>
      <c r="H102" s="65" t="s">
        <v>25</v>
      </c>
      <c r="I102" s="75">
        <v>44378</v>
      </c>
      <c r="J102" s="76">
        <f ca="1">EFEITO!$J$102*EFEITO!$Y$102</f>
        <v>60305.778027356835</v>
      </c>
      <c r="K102" s="76">
        <f>EFEITO!$L$102*EFEITO!$Z$102</f>
        <v>0</v>
      </c>
      <c r="L102" s="76">
        <f>EFEITO!$N$102*EFEITO!$AA$102</f>
        <v>0</v>
      </c>
      <c r="M102" s="76">
        <f ca="1">$J$102-EFEITO!$K$102*EFEITO!$Y$102</f>
        <v>30152.889013678418</v>
      </c>
      <c r="N102" s="76">
        <f>$K$102-EFEITO!$M$102*EFEITO!$Z$102</f>
        <v>0</v>
      </c>
      <c r="O102" s="76">
        <f>$L$102-EFEITO!$O$102*EFEITO!$AA$102</f>
        <v>0</v>
      </c>
      <c r="P102" s="19"/>
      <c r="Q102" s="19"/>
      <c r="R102" s="19"/>
      <c r="S102" s="19"/>
      <c r="T102" s="19"/>
      <c r="U102" s="19"/>
      <c r="V102" s="19"/>
      <c r="W102" s="19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65" t="s">
        <v>21</v>
      </c>
      <c r="B103" s="65" t="s">
        <v>33</v>
      </c>
      <c r="C103" s="65" t="s">
        <v>34</v>
      </c>
      <c r="D103" s="65" t="s">
        <v>38</v>
      </c>
      <c r="E103" s="65" t="s">
        <v>25</v>
      </c>
      <c r="F103" s="65" t="s">
        <v>55</v>
      </c>
      <c r="G103" s="65" t="s">
        <v>25</v>
      </c>
      <c r="H103" s="65" t="s">
        <v>25</v>
      </c>
      <c r="I103" s="75">
        <v>44409</v>
      </c>
      <c r="J103" s="76">
        <f ca="1">EFEITO!$J$103*EFEITO!$Y$103</f>
        <v>122577.25747129954</v>
      </c>
      <c r="K103" s="76">
        <f>EFEITO!$L$103*EFEITO!$Z$103</f>
        <v>0</v>
      </c>
      <c r="L103" s="76">
        <f>EFEITO!$N$103*EFEITO!$AA$103</f>
        <v>0</v>
      </c>
      <c r="M103" s="76">
        <f ca="1">$J$103-EFEITO!$K$103*EFEITO!$Y$103</f>
        <v>61288.628735649771</v>
      </c>
      <c r="N103" s="76">
        <f>$K$103-EFEITO!$M$103*EFEITO!$Z$103</f>
        <v>0</v>
      </c>
      <c r="O103" s="76">
        <f>$L$103-EFEITO!$O$103*EFEITO!$AA$103</f>
        <v>0</v>
      </c>
      <c r="P103" s="19"/>
      <c r="Q103" s="19"/>
      <c r="R103" s="19"/>
      <c r="S103" s="19"/>
      <c r="T103" s="19"/>
      <c r="U103" s="19"/>
      <c r="V103" s="19"/>
      <c r="W103" s="19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65" t="s">
        <v>21</v>
      </c>
      <c r="B104" s="65" t="s">
        <v>33</v>
      </c>
      <c r="C104" s="65" t="s">
        <v>34</v>
      </c>
      <c r="D104" s="65" t="s">
        <v>38</v>
      </c>
      <c r="E104" s="65" t="s">
        <v>25</v>
      </c>
      <c r="F104" s="65" t="s">
        <v>55</v>
      </c>
      <c r="G104" s="65" t="s">
        <v>25</v>
      </c>
      <c r="H104" s="65" t="s">
        <v>25</v>
      </c>
      <c r="I104" s="75">
        <v>44440</v>
      </c>
      <c r="J104" s="76">
        <f ca="1">EFEITO!$J$104*EFEITO!$Y$104</f>
        <v>119179.74885004001</v>
      </c>
      <c r="K104" s="76">
        <f>EFEITO!$L$104*EFEITO!$Z$104</f>
        <v>0</v>
      </c>
      <c r="L104" s="76">
        <f>EFEITO!$N$104*EFEITO!$AA$104</f>
        <v>0</v>
      </c>
      <c r="M104" s="76">
        <f ca="1">$J$104-EFEITO!$K$104*EFEITO!$Y$104</f>
        <v>59589.874425020003</v>
      </c>
      <c r="N104" s="76">
        <f>$K$104-EFEITO!$M$104*EFEITO!$Z$104</f>
        <v>0</v>
      </c>
      <c r="O104" s="76">
        <f>$L$104-EFEITO!$O$104*EFEITO!$AA$104</f>
        <v>0</v>
      </c>
      <c r="P104" s="19"/>
      <c r="Q104" s="19"/>
      <c r="R104" s="19"/>
      <c r="S104" s="19"/>
      <c r="T104" s="19"/>
      <c r="U104" s="19"/>
      <c r="V104" s="19"/>
      <c r="W104" s="19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65" t="s">
        <v>21</v>
      </c>
      <c r="B105" s="65" t="s">
        <v>33</v>
      </c>
      <c r="C105" s="65" t="s">
        <v>34</v>
      </c>
      <c r="D105" s="65" t="s">
        <v>38</v>
      </c>
      <c r="E105" s="65" t="s">
        <v>25</v>
      </c>
      <c r="F105" s="65" t="s">
        <v>55</v>
      </c>
      <c r="G105" s="65" t="s">
        <v>25</v>
      </c>
      <c r="H105" s="65" t="s">
        <v>25</v>
      </c>
      <c r="I105" s="75">
        <v>44470</v>
      </c>
      <c r="J105" s="76">
        <f ca="1">EFEITO!$J$105*EFEITO!$Y$105</f>
        <v>122019.09534066405</v>
      </c>
      <c r="K105" s="76">
        <f>EFEITO!$L$105*EFEITO!$Z$105</f>
        <v>0</v>
      </c>
      <c r="L105" s="76">
        <f>EFEITO!$N$105*EFEITO!$AA$105</f>
        <v>0</v>
      </c>
      <c r="M105" s="76">
        <f ca="1">$J$105-EFEITO!$K$105*EFEITO!$Y$105</f>
        <v>61009.547670332024</v>
      </c>
      <c r="N105" s="76">
        <f>$K$105-EFEITO!$M$105*EFEITO!$Z$105</f>
        <v>0</v>
      </c>
      <c r="O105" s="76">
        <f>$L$105-EFEITO!$O$105*EFEITO!$AA$105</f>
        <v>0</v>
      </c>
      <c r="P105" s="19"/>
      <c r="Q105" s="19"/>
      <c r="R105" s="19"/>
      <c r="S105" s="19"/>
      <c r="T105" s="19"/>
      <c r="U105" s="19"/>
      <c r="V105" s="19"/>
      <c r="W105" s="19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65" t="s">
        <v>21</v>
      </c>
      <c r="B106" s="65" t="s">
        <v>33</v>
      </c>
      <c r="C106" s="65" t="s">
        <v>34</v>
      </c>
      <c r="D106" s="65" t="s">
        <v>38</v>
      </c>
      <c r="E106" s="65" t="s">
        <v>25</v>
      </c>
      <c r="F106" s="65" t="s">
        <v>55</v>
      </c>
      <c r="G106" s="65" t="s">
        <v>25</v>
      </c>
      <c r="H106" s="65" t="s">
        <v>25</v>
      </c>
      <c r="I106" s="75">
        <v>44501</v>
      </c>
      <c r="J106" s="76">
        <f ca="1">EFEITO!$J$106*EFEITO!$Y$106</f>
        <v>121630.80864109153</v>
      </c>
      <c r="K106" s="76">
        <f>EFEITO!$L$106*EFEITO!$Z$106</f>
        <v>0</v>
      </c>
      <c r="L106" s="76">
        <f>EFEITO!$N$106*EFEITO!$AA$106</f>
        <v>0</v>
      </c>
      <c r="M106" s="76">
        <f ca="1">$J$106-EFEITO!$K$106*EFEITO!$Y$106</f>
        <v>60815.404320545764</v>
      </c>
      <c r="N106" s="76">
        <f>$K$106-EFEITO!$M$106*EFEITO!$Z$106</f>
        <v>0</v>
      </c>
      <c r="O106" s="76">
        <f>$L$106-EFEITO!$O$106*EFEITO!$AA$106</f>
        <v>0</v>
      </c>
      <c r="P106" s="19"/>
      <c r="Q106" s="19"/>
      <c r="R106" s="19"/>
      <c r="S106" s="19"/>
      <c r="T106" s="19"/>
      <c r="U106" s="19"/>
      <c r="V106" s="19"/>
      <c r="W106" s="19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65" t="s">
        <v>21</v>
      </c>
      <c r="B107" s="65" t="s">
        <v>33</v>
      </c>
      <c r="C107" s="65" t="s">
        <v>34</v>
      </c>
      <c r="D107" s="65" t="s">
        <v>38</v>
      </c>
      <c r="E107" s="65" t="s">
        <v>25</v>
      </c>
      <c r="F107" s="65" t="s">
        <v>55</v>
      </c>
      <c r="G107" s="65" t="s">
        <v>25</v>
      </c>
      <c r="H107" s="65" t="s">
        <v>25</v>
      </c>
      <c r="I107" s="75">
        <v>44531</v>
      </c>
      <c r="J107" s="76">
        <f ca="1">EFEITO!$J$107*EFEITO!$Y$107</f>
        <v>121558.00488492168</v>
      </c>
      <c r="K107" s="76">
        <f>EFEITO!$L$107*EFEITO!$Z$107</f>
        <v>0</v>
      </c>
      <c r="L107" s="76">
        <f>EFEITO!$N$107*EFEITO!$AA$107</f>
        <v>0</v>
      </c>
      <c r="M107" s="76">
        <f ca="1">$J$107-EFEITO!$K$107*EFEITO!$Y$107</f>
        <v>60779.002442460842</v>
      </c>
      <c r="N107" s="76">
        <f>$K$107-EFEITO!$M$107*EFEITO!$Z$107</f>
        <v>0</v>
      </c>
      <c r="O107" s="76">
        <f>$L$107-EFEITO!$O$107*EFEITO!$AA$107</f>
        <v>0</v>
      </c>
      <c r="P107" s="19"/>
      <c r="Q107" s="19"/>
      <c r="R107" s="19"/>
      <c r="S107" s="19"/>
      <c r="T107" s="19"/>
      <c r="U107" s="19"/>
      <c r="V107" s="19"/>
      <c r="W107" s="19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65" t="s">
        <v>21</v>
      </c>
      <c r="B108" s="65" t="s">
        <v>33</v>
      </c>
      <c r="C108" s="65" t="s">
        <v>34</v>
      </c>
      <c r="D108" s="65" t="s">
        <v>38</v>
      </c>
      <c r="E108" s="65" t="s">
        <v>25</v>
      </c>
      <c r="F108" s="65" t="s">
        <v>55</v>
      </c>
      <c r="G108" s="65" t="s">
        <v>25</v>
      </c>
      <c r="H108" s="65" t="s">
        <v>25</v>
      </c>
      <c r="I108" s="75">
        <v>44562</v>
      </c>
      <c r="J108" s="76">
        <f ca="1">EFEITO!$J$108*EFEITO!$Y$108</f>
        <v>120587.28813599038</v>
      </c>
      <c r="K108" s="76">
        <f>EFEITO!$L$108*EFEITO!$Z$108</f>
        <v>0</v>
      </c>
      <c r="L108" s="76">
        <f>EFEITO!$N$108*EFEITO!$AA$108</f>
        <v>0</v>
      </c>
      <c r="M108" s="76">
        <f ca="1">$J$108-EFEITO!$K$108*EFEITO!$Y$108</f>
        <v>60293.644067995192</v>
      </c>
      <c r="N108" s="76">
        <f>$K$108-EFEITO!$M$108*EFEITO!$Z$108</f>
        <v>0</v>
      </c>
      <c r="O108" s="76">
        <f>$L$108-EFEITO!$O$108*EFEITO!$AA$108</f>
        <v>0</v>
      </c>
      <c r="P108" s="19"/>
      <c r="Q108" s="19"/>
      <c r="R108" s="19"/>
      <c r="S108" s="19"/>
      <c r="T108" s="19"/>
      <c r="U108" s="19"/>
      <c r="V108" s="19"/>
      <c r="W108" s="19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65" t="s">
        <v>21</v>
      </c>
      <c r="B109" s="65" t="s">
        <v>33</v>
      </c>
      <c r="C109" s="65" t="s">
        <v>34</v>
      </c>
      <c r="D109" s="65" t="s">
        <v>38</v>
      </c>
      <c r="E109" s="65" t="s">
        <v>25</v>
      </c>
      <c r="F109" s="65" t="s">
        <v>55</v>
      </c>
      <c r="G109" s="65" t="s">
        <v>25</v>
      </c>
      <c r="H109" s="65" t="s">
        <v>25</v>
      </c>
      <c r="I109" s="75">
        <v>44593</v>
      </c>
      <c r="J109" s="76">
        <f ca="1">EFEITO!$J$109*EFEITO!$Y$109</f>
        <v>127964.73542786825</v>
      </c>
      <c r="K109" s="76">
        <f>EFEITO!$L$109*EFEITO!$Z$109</f>
        <v>0</v>
      </c>
      <c r="L109" s="76">
        <f>EFEITO!$N$109*EFEITO!$AA$109</f>
        <v>0</v>
      </c>
      <c r="M109" s="76">
        <f ca="1">$J$109-EFEITO!$K$109*EFEITO!$Y$109</f>
        <v>63982.367713934123</v>
      </c>
      <c r="N109" s="76">
        <f>$K$109-EFEITO!$M$109*EFEITO!$Z$109</f>
        <v>0</v>
      </c>
      <c r="O109" s="76">
        <f>$L$109-EFEITO!$O$109*EFEITO!$AA$109</f>
        <v>0</v>
      </c>
      <c r="P109" s="19"/>
      <c r="Q109" s="19"/>
      <c r="R109" s="19"/>
      <c r="S109" s="19"/>
      <c r="T109" s="19"/>
      <c r="U109" s="19"/>
      <c r="V109" s="19"/>
      <c r="W109" s="19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65" t="s">
        <v>54</v>
      </c>
      <c r="B110" s="65" t="s">
        <v>33</v>
      </c>
      <c r="C110" s="65" t="s">
        <v>34</v>
      </c>
      <c r="D110" s="65" t="s">
        <v>38</v>
      </c>
      <c r="E110" s="65" t="s">
        <v>25</v>
      </c>
      <c r="F110" s="65" t="s">
        <v>55</v>
      </c>
      <c r="G110" s="65" t="s">
        <v>25</v>
      </c>
      <c r="H110" s="65" t="s">
        <v>25</v>
      </c>
      <c r="I110" s="75">
        <v>44621</v>
      </c>
      <c r="J110" s="76">
        <f ca="1">EFEITO!$J$110*EFEITO!$Y$110</f>
        <v>127964.73542786825</v>
      </c>
      <c r="K110" s="76">
        <f>EFEITO!$L$110*EFEITO!$Z$110</f>
        <v>0</v>
      </c>
      <c r="L110" s="76">
        <f>EFEITO!$N$110*EFEITO!$AA$110</f>
        <v>0</v>
      </c>
      <c r="M110" s="76">
        <f ca="1">$J$110-EFEITO!$K$110*EFEITO!$Y$110</f>
        <v>63982.367713934123</v>
      </c>
      <c r="N110" s="76">
        <f>$K$110-EFEITO!$M$110*EFEITO!$Z$110</f>
        <v>0</v>
      </c>
      <c r="O110" s="76">
        <f>$L$110-EFEITO!$O$110*EFEITO!$AA$110</f>
        <v>0</v>
      </c>
      <c r="P110" s="19"/>
      <c r="Q110" s="19"/>
      <c r="R110" s="19"/>
      <c r="S110" s="19"/>
      <c r="T110" s="19"/>
      <c r="U110" s="19"/>
      <c r="V110" s="19"/>
      <c r="W110" s="19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65" t="s">
        <v>21</v>
      </c>
      <c r="B111" s="65" t="s">
        <v>33</v>
      </c>
      <c r="C111" s="65" t="s">
        <v>34</v>
      </c>
      <c r="D111" s="65" t="s">
        <v>38</v>
      </c>
      <c r="E111" s="65" t="s">
        <v>25</v>
      </c>
      <c r="F111" s="65" t="s">
        <v>55</v>
      </c>
      <c r="G111" s="65" t="s">
        <v>25</v>
      </c>
      <c r="H111" s="65" t="s">
        <v>35</v>
      </c>
      <c r="I111" s="75">
        <v>44287</v>
      </c>
      <c r="J111" s="76">
        <f>EFEITO!$J$111*EFEITO!$Y$111</f>
        <v>0</v>
      </c>
      <c r="K111" s="76">
        <f ca="1">EFEITO!$L$111*EFEITO!$Z$111</f>
        <v>47447.408875652422</v>
      </c>
      <c r="L111" s="76">
        <f>EFEITO!$N$111*EFEITO!$AA$111</f>
        <v>0</v>
      </c>
      <c r="M111" s="76">
        <f>$J$111-EFEITO!$K$111*EFEITO!$Y$111</f>
        <v>0</v>
      </c>
      <c r="N111" s="76">
        <f ca="1">$K$111-EFEITO!$M$111*EFEITO!$Z$111</f>
        <v>23723.704437826211</v>
      </c>
      <c r="O111" s="76">
        <f>$L$111-EFEITO!$O$111*EFEITO!$AA$111</f>
        <v>0</v>
      </c>
      <c r="P111" s="19"/>
      <c r="Q111" s="19"/>
      <c r="R111" s="19"/>
      <c r="S111" s="19"/>
      <c r="T111" s="19"/>
      <c r="U111" s="19"/>
      <c r="V111" s="19"/>
      <c r="W111" s="19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65" t="s">
        <v>21</v>
      </c>
      <c r="B112" s="65" t="s">
        <v>33</v>
      </c>
      <c r="C112" s="65" t="s">
        <v>34</v>
      </c>
      <c r="D112" s="65" t="s">
        <v>38</v>
      </c>
      <c r="E112" s="65" t="s">
        <v>25</v>
      </c>
      <c r="F112" s="65" t="s">
        <v>55</v>
      </c>
      <c r="G112" s="65" t="s">
        <v>25</v>
      </c>
      <c r="H112" s="65" t="s">
        <v>35</v>
      </c>
      <c r="I112" s="75">
        <v>44317</v>
      </c>
      <c r="J112" s="76">
        <f>EFEITO!$J$112*EFEITO!$Y$112</f>
        <v>0</v>
      </c>
      <c r="K112" s="76">
        <f ca="1">EFEITO!$L$112*EFEITO!$Z$112</f>
        <v>55202.208255148966</v>
      </c>
      <c r="L112" s="76">
        <f>EFEITO!$N$112*EFEITO!$AA$112</f>
        <v>0</v>
      </c>
      <c r="M112" s="76">
        <f>$J$112-EFEITO!$K$112*EFEITO!$Y$112</f>
        <v>0</v>
      </c>
      <c r="N112" s="76">
        <f ca="1">$K$112-EFEITO!$M$112*EFEITO!$Z$112</f>
        <v>27601.104127574483</v>
      </c>
      <c r="O112" s="76">
        <f>$L$112-EFEITO!$O$112*EFEITO!$AA$112</f>
        <v>0</v>
      </c>
      <c r="P112" s="19"/>
      <c r="Q112" s="19"/>
      <c r="R112" s="19"/>
      <c r="S112" s="19"/>
      <c r="T112" s="19"/>
      <c r="U112" s="19"/>
      <c r="V112" s="19"/>
      <c r="W112" s="19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65" t="s">
        <v>21</v>
      </c>
      <c r="B113" s="65" t="s">
        <v>33</v>
      </c>
      <c r="C113" s="65" t="s">
        <v>34</v>
      </c>
      <c r="D113" s="65" t="s">
        <v>38</v>
      </c>
      <c r="E113" s="65" t="s">
        <v>25</v>
      </c>
      <c r="F113" s="65" t="s">
        <v>55</v>
      </c>
      <c r="G113" s="65" t="s">
        <v>25</v>
      </c>
      <c r="H113" s="65" t="s">
        <v>35</v>
      </c>
      <c r="I113" s="75">
        <v>44348</v>
      </c>
      <c r="J113" s="76">
        <f>EFEITO!$J$113*EFEITO!$Y$113</f>
        <v>0</v>
      </c>
      <c r="K113" s="76">
        <f ca="1">EFEITO!$L$113*EFEITO!$Z$113</f>
        <v>255246.12392899374</v>
      </c>
      <c r="L113" s="76">
        <f>EFEITO!$N$113*EFEITO!$AA$113</f>
        <v>0</v>
      </c>
      <c r="M113" s="76">
        <f>$J$113-EFEITO!$K$113*EFEITO!$Y$113</f>
        <v>0</v>
      </c>
      <c r="N113" s="76">
        <f ca="1">$K$113-EFEITO!$M$113*EFEITO!$Z$113</f>
        <v>127623.06196449687</v>
      </c>
      <c r="O113" s="76">
        <f>$L$113-EFEITO!$O$113*EFEITO!$AA$113</f>
        <v>0</v>
      </c>
      <c r="P113" s="19"/>
      <c r="Q113" s="19"/>
      <c r="R113" s="19"/>
      <c r="S113" s="19"/>
      <c r="T113" s="19"/>
      <c r="U113" s="19"/>
      <c r="V113" s="19"/>
      <c r="W113" s="19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65" t="s">
        <v>21</v>
      </c>
      <c r="B114" s="65" t="s">
        <v>33</v>
      </c>
      <c r="C114" s="65" t="s">
        <v>34</v>
      </c>
      <c r="D114" s="65" t="s">
        <v>38</v>
      </c>
      <c r="E114" s="65" t="s">
        <v>25</v>
      </c>
      <c r="F114" s="65" t="s">
        <v>55</v>
      </c>
      <c r="G114" s="65" t="s">
        <v>25</v>
      </c>
      <c r="H114" s="65" t="s">
        <v>35</v>
      </c>
      <c r="I114" s="75">
        <v>44378</v>
      </c>
      <c r="J114" s="76">
        <f>EFEITO!$J$114*EFEITO!$Y$114</f>
        <v>0</v>
      </c>
      <c r="K114" s="76">
        <f ca="1">EFEITO!$L$114*EFEITO!$Z$114</f>
        <v>406332.97281308757</v>
      </c>
      <c r="L114" s="76">
        <f>EFEITO!$N$114*EFEITO!$AA$114</f>
        <v>0</v>
      </c>
      <c r="M114" s="76">
        <f>$J$114-EFEITO!$K$114*EFEITO!$Y$114</f>
        <v>0</v>
      </c>
      <c r="N114" s="76">
        <f ca="1">$K$114-EFEITO!$M$114*EFEITO!$Z$114</f>
        <v>203166.48640654379</v>
      </c>
      <c r="O114" s="76">
        <f>$L$114-EFEITO!$O$114*EFEITO!$AA$114</f>
        <v>0</v>
      </c>
      <c r="P114" s="19"/>
      <c r="Q114" s="19"/>
      <c r="R114" s="19"/>
      <c r="S114" s="19"/>
      <c r="T114" s="19"/>
      <c r="U114" s="19"/>
      <c r="V114" s="19"/>
      <c r="W114" s="19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65" t="s">
        <v>21</v>
      </c>
      <c r="B115" s="65" t="s">
        <v>33</v>
      </c>
      <c r="C115" s="65" t="s">
        <v>34</v>
      </c>
      <c r="D115" s="65" t="s">
        <v>38</v>
      </c>
      <c r="E115" s="65" t="s">
        <v>25</v>
      </c>
      <c r="F115" s="65" t="s">
        <v>55</v>
      </c>
      <c r="G115" s="65" t="s">
        <v>25</v>
      </c>
      <c r="H115" s="65" t="s">
        <v>35</v>
      </c>
      <c r="I115" s="75">
        <v>44409</v>
      </c>
      <c r="J115" s="76">
        <f>EFEITO!$J$115*EFEITO!$Y$115</f>
        <v>0</v>
      </c>
      <c r="K115" s="76">
        <f ca="1">EFEITO!$L$115*EFEITO!$Z$115</f>
        <v>293160.85012694245</v>
      </c>
      <c r="L115" s="76">
        <f>EFEITO!$N$115*EFEITO!$AA$115</f>
        <v>0</v>
      </c>
      <c r="M115" s="76">
        <f>$J$115-EFEITO!$K$115*EFEITO!$Y$115</f>
        <v>0</v>
      </c>
      <c r="N115" s="76">
        <f ca="1">$K$115-EFEITO!$M$115*EFEITO!$Z$115</f>
        <v>146580.42506347122</v>
      </c>
      <c r="O115" s="76">
        <f>$L$115-EFEITO!$O$115*EFEITO!$AA$115</f>
        <v>0</v>
      </c>
      <c r="P115" s="19"/>
      <c r="Q115" s="19"/>
      <c r="R115" s="19"/>
      <c r="S115" s="19"/>
      <c r="T115" s="19"/>
      <c r="U115" s="19"/>
      <c r="V115" s="19"/>
      <c r="W115" s="19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65" t="s">
        <v>21</v>
      </c>
      <c r="B116" s="65" t="s">
        <v>33</v>
      </c>
      <c r="C116" s="65" t="s">
        <v>34</v>
      </c>
      <c r="D116" s="65" t="s">
        <v>38</v>
      </c>
      <c r="E116" s="65" t="s">
        <v>25</v>
      </c>
      <c r="F116" s="65" t="s">
        <v>55</v>
      </c>
      <c r="G116" s="65" t="s">
        <v>25</v>
      </c>
      <c r="H116" s="65" t="s">
        <v>35</v>
      </c>
      <c r="I116" s="75">
        <v>44440</v>
      </c>
      <c r="J116" s="76">
        <f>EFEITO!$J$116*EFEITO!$Y$116</f>
        <v>0</v>
      </c>
      <c r="K116" s="76">
        <f ca="1">EFEITO!$L$116*EFEITO!$Z$116</f>
        <v>182970.06445354523</v>
      </c>
      <c r="L116" s="76">
        <f>EFEITO!$N$116*EFEITO!$AA$116</f>
        <v>0</v>
      </c>
      <c r="M116" s="76">
        <f>$J$116-EFEITO!$K$116*EFEITO!$Y$116</f>
        <v>0</v>
      </c>
      <c r="N116" s="76">
        <f ca="1">$K$116-EFEITO!$M$116*EFEITO!$Z$116</f>
        <v>91485.032226772615</v>
      </c>
      <c r="O116" s="76">
        <f>$L$116-EFEITO!$O$116*EFEITO!$AA$116</f>
        <v>0</v>
      </c>
      <c r="P116" s="19"/>
      <c r="Q116" s="19"/>
      <c r="R116" s="19"/>
      <c r="S116" s="19"/>
      <c r="T116" s="19"/>
      <c r="U116" s="19"/>
      <c r="V116" s="19"/>
      <c r="W116" s="19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65" t="s">
        <v>21</v>
      </c>
      <c r="B117" s="65" t="s">
        <v>33</v>
      </c>
      <c r="C117" s="65" t="s">
        <v>34</v>
      </c>
      <c r="D117" s="65" t="s">
        <v>38</v>
      </c>
      <c r="E117" s="65" t="s">
        <v>25</v>
      </c>
      <c r="F117" s="65" t="s">
        <v>55</v>
      </c>
      <c r="G117" s="65" t="s">
        <v>25</v>
      </c>
      <c r="H117" s="65" t="s">
        <v>35</v>
      </c>
      <c r="I117" s="75">
        <v>44470</v>
      </c>
      <c r="J117" s="76">
        <f>EFEITO!$J$117*EFEITO!$Y$117</f>
        <v>0</v>
      </c>
      <c r="K117" s="76">
        <f ca="1">EFEITO!$L$117*EFEITO!$Z$117</f>
        <v>146591.10660531625</v>
      </c>
      <c r="L117" s="76">
        <f>EFEITO!$N$117*EFEITO!$AA$117</f>
        <v>0</v>
      </c>
      <c r="M117" s="76">
        <f>$J$117-EFEITO!$K$117*EFEITO!$Y$117</f>
        <v>0</v>
      </c>
      <c r="N117" s="76">
        <f ca="1">$K$117-EFEITO!$M$117*EFEITO!$Z$117</f>
        <v>73295.553302658125</v>
      </c>
      <c r="O117" s="76">
        <f>$L$117-EFEITO!$O$117*EFEITO!$AA$117</f>
        <v>0</v>
      </c>
      <c r="P117" s="19"/>
      <c r="Q117" s="19"/>
      <c r="R117" s="19"/>
      <c r="S117" s="19"/>
      <c r="T117" s="19"/>
      <c r="U117" s="19"/>
      <c r="V117" s="19"/>
      <c r="W117" s="19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65" t="s">
        <v>21</v>
      </c>
      <c r="B118" s="65" t="s">
        <v>33</v>
      </c>
      <c r="C118" s="65" t="s">
        <v>34</v>
      </c>
      <c r="D118" s="65" t="s">
        <v>38</v>
      </c>
      <c r="E118" s="65" t="s">
        <v>25</v>
      </c>
      <c r="F118" s="65" t="s">
        <v>55</v>
      </c>
      <c r="G118" s="65" t="s">
        <v>25</v>
      </c>
      <c r="H118" s="65" t="s">
        <v>35</v>
      </c>
      <c r="I118" s="75">
        <v>44501</v>
      </c>
      <c r="J118" s="76">
        <f>EFEITO!$J$118*EFEITO!$Y$118</f>
        <v>0</v>
      </c>
      <c r="K118" s="76">
        <f ca="1">EFEITO!$L$118*EFEITO!$Z$118</f>
        <v>90774.116275086286</v>
      </c>
      <c r="L118" s="76">
        <f>EFEITO!$N$118*EFEITO!$AA$118</f>
        <v>0</v>
      </c>
      <c r="M118" s="76">
        <f>$J$118-EFEITO!$K$118*EFEITO!$Y$118</f>
        <v>0</v>
      </c>
      <c r="N118" s="76">
        <f ca="1">$K$118-EFEITO!$M$118*EFEITO!$Z$118</f>
        <v>45387.058137543143</v>
      </c>
      <c r="O118" s="76">
        <f>$L$118-EFEITO!$O$118*EFEITO!$AA$118</f>
        <v>0</v>
      </c>
      <c r="P118" s="19"/>
      <c r="Q118" s="19"/>
      <c r="R118" s="19"/>
      <c r="S118" s="19"/>
      <c r="T118" s="19"/>
      <c r="U118" s="19"/>
      <c r="V118" s="19"/>
      <c r="W118" s="19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65" t="s">
        <v>21</v>
      </c>
      <c r="B119" s="65" t="s">
        <v>33</v>
      </c>
      <c r="C119" s="65" t="s">
        <v>34</v>
      </c>
      <c r="D119" s="65" t="s">
        <v>38</v>
      </c>
      <c r="E119" s="65" t="s">
        <v>25</v>
      </c>
      <c r="F119" s="65" t="s">
        <v>55</v>
      </c>
      <c r="G119" s="65" t="s">
        <v>25</v>
      </c>
      <c r="H119" s="65" t="s">
        <v>35</v>
      </c>
      <c r="I119" s="75">
        <v>44531</v>
      </c>
      <c r="J119" s="76">
        <f>EFEITO!$J$119*EFEITO!$Y$119</f>
        <v>0</v>
      </c>
      <c r="K119" s="76">
        <f ca="1">EFEITO!$L$119*EFEITO!$Z$119</f>
        <v>164460.13927407964</v>
      </c>
      <c r="L119" s="76">
        <f>EFEITO!$N$119*EFEITO!$AA$119</f>
        <v>0</v>
      </c>
      <c r="M119" s="76">
        <f>$J$119-EFEITO!$K$119*EFEITO!$Y$119</f>
        <v>0</v>
      </c>
      <c r="N119" s="76">
        <f ca="1">$K$119-EFEITO!$M$119*EFEITO!$Z$119</f>
        <v>82230.069637039822</v>
      </c>
      <c r="O119" s="76">
        <f>$L$119-EFEITO!$O$119*EFEITO!$AA$119</f>
        <v>0</v>
      </c>
      <c r="P119" s="19"/>
      <c r="Q119" s="19"/>
      <c r="R119" s="19"/>
      <c r="S119" s="19"/>
      <c r="T119" s="19"/>
      <c r="U119" s="19"/>
      <c r="V119" s="19"/>
      <c r="W119" s="19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65" t="s">
        <v>21</v>
      </c>
      <c r="B120" s="65" t="s">
        <v>33</v>
      </c>
      <c r="C120" s="65" t="s">
        <v>34</v>
      </c>
      <c r="D120" s="65" t="s">
        <v>38</v>
      </c>
      <c r="E120" s="65" t="s">
        <v>25</v>
      </c>
      <c r="F120" s="65" t="s">
        <v>55</v>
      </c>
      <c r="G120" s="65" t="s">
        <v>25</v>
      </c>
      <c r="H120" s="65" t="s">
        <v>35</v>
      </c>
      <c r="I120" s="75">
        <v>44562</v>
      </c>
      <c r="J120" s="76">
        <f>EFEITO!$J$120*EFEITO!$Y$120</f>
        <v>0</v>
      </c>
      <c r="K120" s="76">
        <f ca="1">EFEITO!$L$120*EFEITO!$Z$120</f>
        <v>281684.12683344202</v>
      </c>
      <c r="L120" s="76">
        <f>EFEITO!$N$120*EFEITO!$AA$120</f>
        <v>0</v>
      </c>
      <c r="M120" s="76">
        <f>$J$120-EFEITO!$K$120*EFEITO!$Y$120</f>
        <v>0</v>
      </c>
      <c r="N120" s="76">
        <f ca="1">$K$120-EFEITO!$M$120*EFEITO!$Z$120</f>
        <v>140842.06341672101</v>
      </c>
      <c r="O120" s="76">
        <f>$L$120-EFEITO!$O$120*EFEITO!$AA$120</f>
        <v>0</v>
      </c>
      <c r="P120" s="19"/>
      <c r="Q120" s="19"/>
      <c r="R120" s="19"/>
      <c r="S120" s="19"/>
      <c r="T120" s="19"/>
      <c r="U120" s="19"/>
      <c r="V120" s="19"/>
      <c r="W120" s="19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65" t="s">
        <v>21</v>
      </c>
      <c r="B121" s="65" t="s">
        <v>33</v>
      </c>
      <c r="C121" s="65" t="s">
        <v>34</v>
      </c>
      <c r="D121" s="65" t="s">
        <v>38</v>
      </c>
      <c r="E121" s="65" t="s">
        <v>25</v>
      </c>
      <c r="F121" s="65" t="s">
        <v>55</v>
      </c>
      <c r="G121" s="65" t="s">
        <v>25</v>
      </c>
      <c r="H121" s="65" t="s">
        <v>35</v>
      </c>
      <c r="I121" s="75">
        <v>44593</v>
      </c>
      <c r="J121" s="76">
        <f>EFEITO!$J$121*EFEITO!$Y$121</f>
        <v>0</v>
      </c>
      <c r="K121" s="76">
        <f ca="1">EFEITO!$L$121*EFEITO!$Z$121</f>
        <v>375309.02794317028</v>
      </c>
      <c r="L121" s="76">
        <f>EFEITO!$N$121*EFEITO!$AA$121</f>
        <v>0</v>
      </c>
      <c r="M121" s="76">
        <f>$J$121-EFEITO!$K$121*EFEITO!$Y$121</f>
        <v>0</v>
      </c>
      <c r="N121" s="76">
        <f ca="1">$K$121-EFEITO!$M$121*EFEITO!$Z$121</f>
        <v>187654.51397158514</v>
      </c>
      <c r="O121" s="76">
        <f>$L$121-EFEITO!$O$121*EFEITO!$AA$121</f>
        <v>0</v>
      </c>
      <c r="P121" s="19"/>
      <c r="Q121" s="19"/>
      <c r="R121" s="19"/>
      <c r="S121" s="19"/>
      <c r="T121" s="19"/>
      <c r="U121" s="19"/>
      <c r="V121" s="19"/>
      <c r="W121" s="19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65" t="s">
        <v>54</v>
      </c>
      <c r="B122" s="65" t="s">
        <v>33</v>
      </c>
      <c r="C122" s="65" t="s">
        <v>34</v>
      </c>
      <c r="D122" s="65" t="s">
        <v>38</v>
      </c>
      <c r="E122" s="65" t="s">
        <v>25</v>
      </c>
      <c r="F122" s="65" t="s">
        <v>55</v>
      </c>
      <c r="G122" s="65" t="s">
        <v>25</v>
      </c>
      <c r="H122" s="65" t="s">
        <v>35</v>
      </c>
      <c r="I122" s="75">
        <v>44621</v>
      </c>
      <c r="J122" s="76">
        <f>EFEITO!$J$122*EFEITO!$Y$122</f>
        <v>0</v>
      </c>
      <c r="K122" s="76">
        <f ca="1">EFEITO!$L$122*EFEITO!$Z$122</f>
        <v>375309.02794317028</v>
      </c>
      <c r="L122" s="76">
        <f>EFEITO!$N$122*EFEITO!$AA$122</f>
        <v>0</v>
      </c>
      <c r="M122" s="76">
        <f>$J$122-EFEITO!$K$122*EFEITO!$Y$122</f>
        <v>0</v>
      </c>
      <c r="N122" s="76">
        <f ca="1">$K$122-EFEITO!$M$122*EFEITO!$Z$122</f>
        <v>187654.51397158514</v>
      </c>
      <c r="O122" s="76">
        <f>$L$122-EFEITO!$O$122*EFEITO!$AA$122</f>
        <v>0</v>
      </c>
      <c r="P122" s="19"/>
      <c r="Q122" s="19"/>
      <c r="R122" s="19"/>
      <c r="S122" s="19"/>
      <c r="T122" s="19"/>
      <c r="U122" s="19"/>
      <c r="V122" s="19"/>
      <c r="W122" s="19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65" t="s">
        <v>21</v>
      </c>
      <c r="B123" s="65" t="s">
        <v>33</v>
      </c>
      <c r="C123" s="65" t="s">
        <v>34</v>
      </c>
      <c r="D123" s="65" t="s">
        <v>38</v>
      </c>
      <c r="E123" s="65" t="s">
        <v>25</v>
      </c>
      <c r="F123" s="65" t="s">
        <v>25</v>
      </c>
      <c r="G123" s="65" t="s">
        <v>25</v>
      </c>
      <c r="H123" s="65" t="s">
        <v>36</v>
      </c>
      <c r="I123" s="75">
        <v>44287</v>
      </c>
      <c r="J123" s="76">
        <f>EFEITO!$J$123*EFEITO!$Y$123</f>
        <v>0</v>
      </c>
      <c r="K123" s="76">
        <f ca="1">EFEITO!$L$123*EFEITO!$Z$123</f>
        <v>120185.00254003603</v>
      </c>
      <c r="L123" s="76">
        <f>EFEITO!$N$123*EFEITO!$AA$123</f>
        <v>253189.8254071275</v>
      </c>
      <c r="M123" s="76">
        <f>$J$123-EFEITO!$K$123*EFEITO!$Y$123</f>
        <v>0</v>
      </c>
      <c r="N123" s="76">
        <f ca="1">$K$123-EFEITO!$M$123*EFEITO!$Z$123</f>
        <v>0</v>
      </c>
      <c r="O123" s="76">
        <f>$L$123-EFEITO!$O$123*EFEITO!$AA$123</f>
        <v>0</v>
      </c>
      <c r="P123" s="19"/>
      <c r="Q123" s="19"/>
      <c r="R123" s="19"/>
      <c r="S123" s="19"/>
      <c r="T123" s="19"/>
      <c r="U123" s="19"/>
      <c r="V123" s="19"/>
      <c r="W123" s="19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65" t="s">
        <v>21</v>
      </c>
      <c r="B124" s="65" t="s">
        <v>33</v>
      </c>
      <c r="C124" s="65" t="s">
        <v>34</v>
      </c>
      <c r="D124" s="65" t="s">
        <v>38</v>
      </c>
      <c r="E124" s="65" t="s">
        <v>25</v>
      </c>
      <c r="F124" s="65" t="s">
        <v>25</v>
      </c>
      <c r="G124" s="65" t="s">
        <v>25</v>
      </c>
      <c r="H124" s="65" t="s">
        <v>36</v>
      </c>
      <c r="I124" s="75">
        <v>44317</v>
      </c>
      <c r="J124" s="76">
        <f>EFEITO!$J$124*EFEITO!$Y$124</f>
        <v>0</v>
      </c>
      <c r="K124" s="76">
        <f ca="1">EFEITO!$L$124*EFEITO!$Z$124</f>
        <v>91859.478449453105</v>
      </c>
      <c r="L124" s="76">
        <f>EFEITO!$N$124*EFEITO!$AA$124</f>
        <v>193517.36755057401</v>
      </c>
      <c r="M124" s="76">
        <f>$J$124-EFEITO!$K$124*EFEITO!$Y$124</f>
        <v>0</v>
      </c>
      <c r="N124" s="76">
        <f ca="1">$K$124-EFEITO!$M$124*EFEITO!$Z$124</f>
        <v>0</v>
      </c>
      <c r="O124" s="76">
        <f>$L$124-EFEITO!$O$124*EFEITO!$AA$124</f>
        <v>0</v>
      </c>
      <c r="P124" s="19"/>
      <c r="Q124" s="19"/>
      <c r="R124" s="19"/>
      <c r="S124" s="19"/>
      <c r="T124" s="19"/>
      <c r="U124" s="19"/>
      <c r="V124" s="19"/>
      <c r="W124" s="19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65" t="s">
        <v>21</v>
      </c>
      <c r="B125" s="65" t="s">
        <v>33</v>
      </c>
      <c r="C125" s="65" t="s">
        <v>34</v>
      </c>
      <c r="D125" s="65" t="s">
        <v>38</v>
      </c>
      <c r="E125" s="65" t="s">
        <v>25</v>
      </c>
      <c r="F125" s="65" t="s">
        <v>25</v>
      </c>
      <c r="G125" s="65" t="s">
        <v>25</v>
      </c>
      <c r="H125" s="65" t="s">
        <v>36</v>
      </c>
      <c r="I125" s="75">
        <v>44348</v>
      </c>
      <c r="J125" s="76">
        <f>EFEITO!$J$125*EFEITO!$Y$125</f>
        <v>0</v>
      </c>
      <c r="K125" s="76">
        <f ca="1">EFEITO!$L$125*EFEITO!$Z$125</f>
        <v>38512.642586024347</v>
      </c>
      <c r="L125" s="76">
        <f>EFEITO!$N$125*EFEITO!$AA$125</f>
        <v>81133.328171078174</v>
      </c>
      <c r="M125" s="76">
        <f>$J$125-EFEITO!$K$125*EFEITO!$Y$125</f>
        <v>0</v>
      </c>
      <c r="N125" s="76">
        <f ca="1">$K$125-EFEITO!$M$125*EFEITO!$Z$125</f>
        <v>0</v>
      </c>
      <c r="O125" s="76">
        <f>$L$125-EFEITO!$O$125*EFEITO!$AA$125</f>
        <v>0</v>
      </c>
      <c r="P125" s="19"/>
      <c r="Q125" s="19"/>
      <c r="R125" s="19"/>
      <c r="S125" s="19"/>
      <c r="T125" s="19"/>
      <c r="U125" s="19"/>
      <c r="V125" s="19"/>
      <c r="W125" s="19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65" t="s">
        <v>21</v>
      </c>
      <c r="B126" s="65" t="s">
        <v>33</v>
      </c>
      <c r="C126" s="65" t="s">
        <v>34</v>
      </c>
      <c r="D126" s="65" t="s">
        <v>38</v>
      </c>
      <c r="E126" s="65" t="s">
        <v>25</v>
      </c>
      <c r="F126" s="65" t="s">
        <v>25</v>
      </c>
      <c r="G126" s="65" t="s">
        <v>25</v>
      </c>
      <c r="H126" s="65" t="s">
        <v>36</v>
      </c>
      <c r="I126" s="75">
        <v>44378</v>
      </c>
      <c r="J126" s="76">
        <f>EFEITO!$J$126*EFEITO!$Y$126</f>
        <v>0</v>
      </c>
      <c r="K126" s="76">
        <f ca="1">EFEITO!$L$126*EFEITO!$Z$126</f>
        <v>29970.863768075487</v>
      </c>
      <c r="L126" s="76">
        <f>EFEITO!$N$126*EFEITO!$AA$126</f>
        <v>63138.641297711139</v>
      </c>
      <c r="M126" s="76">
        <f>$J$126-EFEITO!$K$126*EFEITO!$Y$126</f>
        <v>0</v>
      </c>
      <c r="N126" s="76">
        <f ca="1">$K$126-EFEITO!$M$126*EFEITO!$Z$126</f>
        <v>0</v>
      </c>
      <c r="O126" s="76">
        <f>$L$126-EFEITO!$O$126*EFEITO!$AA$126</f>
        <v>0</v>
      </c>
      <c r="P126" s="19"/>
      <c r="Q126" s="19"/>
      <c r="R126" s="19"/>
      <c r="S126" s="19"/>
      <c r="T126" s="19"/>
      <c r="U126" s="19"/>
      <c r="V126" s="19"/>
      <c r="W126" s="19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65" t="s">
        <v>21</v>
      </c>
      <c r="B127" s="65" t="s">
        <v>33</v>
      </c>
      <c r="C127" s="65" t="s">
        <v>34</v>
      </c>
      <c r="D127" s="65" t="s">
        <v>38</v>
      </c>
      <c r="E127" s="65" t="s">
        <v>25</v>
      </c>
      <c r="F127" s="65" t="s">
        <v>25</v>
      </c>
      <c r="G127" s="65" t="s">
        <v>25</v>
      </c>
      <c r="H127" s="65" t="s">
        <v>36</v>
      </c>
      <c r="I127" s="75">
        <v>44409</v>
      </c>
      <c r="J127" s="76">
        <f>EFEITO!$J$127*EFEITO!$Y$127</f>
        <v>0</v>
      </c>
      <c r="K127" s="76">
        <f ca="1">EFEITO!$L$127*EFEITO!$Z$127</f>
        <v>24196.937400623141</v>
      </c>
      <c r="L127" s="76">
        <f>EFEITO!$N$127*EFEITO!$AA$127</f>
        <v>50974.898917276587</v>
      </c>
      <c r="M127" s="76">
        <f>$J$127-EFEITO!$K$127*EFEITO!$Y$127</f>
        <v>0</v>
      </c>
      <c r="N127" s="76">
        <f ca="1">$K$127-EFEITO!$M$127*EFEITO!$Z$127</f>
        <v>0</v>
      </c>
      <c r="O127" s="76">
        <f>$L$127-EFEITO!$O$127*EFEITO!$AA$127</f>
        <v>0</v>
      </c>
      <c r="P127" s="19"/>
      <c r="Q127" s="19"/>
      <c r="R127" s="19"/>
      <c r="S127" s="19"/>
      <c r="T127" s="19"/>
      <c r="U127" s="19"/>
      <c r="V127" s="19"/>
      <c r="W127" s="19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65" t="s">
        <v>28</v>
      </c>
      <c r="B128" s="65" t="s">
        <v>33</v>
      </c>
      <c r="C128" s="65" t="s">
        <v>34</v>
      </c>
      <c r="D128" s="65" t="s">
        <v>38</v>
      </c>
      <c r="E128" s="65" t="s">
        <v>25</v>
      </c>
      <c r="F128" s="65" t="s">
        <v>25</v>
      </c>
      <c r="G128" s="65" t="s">
        <v>25</v>
      </c>
      <c r="H128" s="65" t="s">
        <v>36</v>
      </c>
      <c r="I128" s="75">
        <v>44409</v>
      </c>
      <c r="J128" s="76">
        <f>EFEITO!$J$128*EFEITO!$Y$128</f>
        <v>0</v>
      </c>
      <c r="K128" s="76">
        <f ca="1">EFEITO!$L$128*EFEITO!$Z$128</f>
        <v>3667.1229906216172</v>
      </c>
      <c r="L128" s="76">
        <f>EFEITO!$N$128*EFEITO!$AA$128</f>
        <v>7725.4084130227138</v>
      </c>
      <c r="M128" s="76">
        <f>$J$128-EFEITO!$K$128*EFEITO!$Y$128</f>
        <v>0</v>
      </c>
      <c r="N128" s="76">
        <f ca="1">$K$128-EFEITO!$M$128*EFEITO!$Z$128</f>
        <v>0</v>
      </c>
      <c r="O128" s="76">
        <f>$L$128-EFEITO!$O$128*EFEITO!$AA$128</f>
        <v>0</v>
      </c>
      <c r="P128" s="19"/>
      <c r="Q128" s="19"/>
      <c r="R128" s="19"/>
      <c r="S128" s="19"/>
      <c r="T128" s="19"/>
      <c r="U128" s="19"/>
      <c r="V128" s="19"/>
      <c r="W128" s="19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65" t="s">
        <v>21</v>
      </c>
      <c r="B129" s="65" t="s">
        <v>33</v>
      </c>
      <c r="C129" s="65" t="s">
        <v>34</v>
      </c>
      <c r="D129" s="65" t="s">
        <v>38</v>
      </c>
      <c r="E129" s="65" t="s">
        <v>25</v>
      </c>
      <c r="F129" s="65" t="s">
        <v>25</v>
      </c>
      <c r="G129" s="65" t="s">
        <v>25</v>
      </c>
      <c r="H129" s="65" t="s">
        <v>36</v>
      </c>
      <c r="I129" s="75">
        <v>44440</v>
      </c>
      <c r="J129" s="76">
        <f>EFEITO!$J$129*EFEITO!$Y$129</f>
        <v>0</v>
      </c>
      <c r="K129" s="76">
        <f ca="1">EFEITO!$L$129*EFEITO!$Z$129</f>
        <v>25678.228644144561</v>
      </c>
      <c r="L129" s="76">
        <f>EFEITO!$N$129*EFEITO!$AA$129</f>
        <v>54095.486872494708</v>
      </c>
      <c r="M129" s="76">
        <f>$J$129-EFEITO!$K$129*EFEITO!$Y$129</f>
        <v>0</v>
      </c>
      <c r="N129" s="76">
        <f ca="1">$K$129-EFEITO!$M$129*EFEITO!$Z$129</f>
        <v>0</v>
      </c>
      <c r="O129" s="76">
        <f>$L$129-EFEITO!$O$129*EFEITO!$AA$129</f>
        <v>0</v>
      </c>
      <c r="P129" s="19"/>
      <c r="Q129" s="19"/>
      <c r="R129" s="19"/>
      <c r="S129" s="19"/>
      <c r="T129" s="19"/>
      <c r="U129" s="19"/>
      <c r="V129" s="19"/>
      <c r="W129" s="19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65" t="s">
        <v>28</v>
      </c>
      <c r="B130" s="65" t="s">
        <v>33</v>
      </c>
      <c r="C130" s="65" t="s">
        <v>34</v>
      </c>
      <c r="D130" s="65" t="s">
        <v>38</v>
      </c>
      <c r="E130" s="65" t="s">
        <v>25</v>
      </c>
      <c r="F130" s="65" t="s">
        <v>25</v>
      </c>
      <c r="G130" s="65" t="s">
        <v>25</v>
      </c>
      <c r="H130" s="65" t="s">
        <v>36</v>
      </c>
      <c r="I130" s="75">
        <v>44440</v>
      </c>
      <c r="J130" s="76">
        <f>EFEITO!$J$130*EFEITO!$Y$130</f>
        <v>0</v>
      </c>
      <c r="K130" s="76">
        <f ca="1">EFEITO!$L$130*EFEITO!$Z$130</f>
        <v>2580.4570731516533</v>
      </c>
      <c r="L130" s="76">
        <f>EFEITO!$N$130*EFEITO!$AA$130</f>
        <v>5436.1647627723924</v>
      </c>
      <c r="M130" s="76">
        <f>$J$130-EFEITO!$K$130*EFEITO!$Y$130</f>
        <v>0</v>
      </c>
      <c r="N130" s="76">
        <f ca="1">$K$130-EFEITO!$M$130*EFEITO!$Z$130</f>
        <v>0</v>
      </c>
      <c r="O130" s="76">
        <f>$L$130-EFEITO!$O$130*EFEITO!$AA$130</f>
        <v>0</v>
      </c>
      <c r="P130" s="19"/>
      <c r="Q130" s="19"/>
      <c r="R130" s="19"/>
      <c r="S130" s="19"/>
      <c r="T130" s="19"/>
      <c r="U130" s="19"/>
      <c r="V130" s="19"/>
      <c r="W130" s="19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65" t="s">
        <v>21</v>
      </c>
      <c r="B131" s="65" t="s">
        <v>33</v>
      </c>
      <c r="C131" s="65" t="s">
        <v>34</v>
      </c>
      <c r="D131" s="65" t="s">
        <v>38</v>
      </c>
      <c r="E131" s="65" t="s">
        <v>25</v>
      </c>
      <c r="F131" s="65" t="s">
        <v>25</v>
      </c>
      <c r="G131" s="65" t="s">
        <v>25</v>
      </c>
      <c r="H131" s="65" t="s">
        <v>36</v>
      </c>
      <c r="I131" s="75">
        <v>44470</v>
      </c>
      <c r="J131" s="76">
        <f>EFEITO!$J$131*EFEITO!$Y$131</f>
        <v>0</v>
      </c>
      <c r="K131" s="76">
        <f ca="1">EFEITO!$L$131*EFEITO!$Z$131</f>
        <v>25706.6375354179</v>
      </c>
      <c r="L131" s="76">
        <f>EFEITO!$N$131*EFEITO!$AA$131</f>
        <v>54155.33495727642</v>
      </c>
      <c r="M131" s="76">
        <f>$J$131-EFEITO!$K$131*EFEITO!$Y$131</f>
        <v>0</v>
      </c>
      <c r="N131" s="76">
        <f ca="1">$K$131-EFEITO!$M$131*EFEITO!$Z$131</f>
        <v>0</v>
      </c>
      <c r="O131" s="76">
        <f>$L$131-EFEITO!$O$131*EFEITO!$AA$131</f>
        <v>0</v>
      </c>
      <c r="P131" s="19"/>
      <c r="Q131" s="19"/>
      <c r="R131" s="19"/>
      <c r="S131" s="19"/>
      <c r="T131" s="19"/>
      <c r="U131" s="19"/>
      <c r="V131" s="19"/>
      <c r="W131" s="19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65" t="s">
        <v>28</v>
      </c>
      <c r="B132" s="65" t="s">
        <v>33</v>
      </c>
      <c r="C132" s="65" t="s">
        <v>34</v>
      </c>
      <c r="D132" s="65" t="s">
        <v>38</v>
      </c>
      <c r="E132" s="65" t="s">
        <v>25</v>
      </c>
      <c r="F132" s="65" t="s">
        <v>25</v>
      </c>
      <c r="G132" s="65" t="s">
        <v>25</v>
      </c>
      <c r="H132" s="65" t="s">
        <v>36</v>
      </c>
      <c r="I132" s="75">
        <v>44470</v>
      </c>
      <c r="J132" s="76">
        <f>EFEITO!$J$132*EFEITO!$Y$132</f>
        <v>0</v>
      </c>
      <c r="K132" s="76">
        <f ca="1">EFEITO!$L$132*EFEITO!$Z$132</f>
        <v>3050.5983974605997</v>
      </c>
      <c r="L132" s="76">
        <f>EFEITO!$N$132*EFEITO!$AA$132</f>
        <v>6426.5961585599407</v>
      </c>
      <c r="M132" s="76">
        <f>$J$132-EFEITO!$K$132*EFEITO!$Y$132</f>
        <v>0</v>
      </c>
      <c r="N132" s="76">
        <f ca="1">$K$132-EFEITO!$M$132*EFEITO!$Z$132</f>
        <v>0</v>
      </c>
      <c r="O132" s="76">
        <f>$L$132-EFEITO!$O$132*EFEITO!$AA$132</f>
        <v>0</v>
      </c>
      <c r="P132" s="19"/>
      <c r="Q132" s="19"/>
      <c r="R132" s="19"/>
      <c r="S132" s="19"/>
      <c r="T132" s="19"/>
      <c r="U132" s="19"/>
      <c r="V132" s="19"/>
      <c r="W132" s="19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65" t="s">
        <v>21</v>
      </c>
      <c r="B133" s="65" t="s">
        <v>33</v>
      </c>
      <c r="C133" s="65" t="s">
        <v>34</v>
      </c>
      <c r="D133" s="65" t="s">
        <v>38</v>
      </c>
      <c r="E133" s="65" t="s">
        <v>25</v>
      </c>
      <c r="F133" s="65" t="s">
        <v>25</v>
      </c>
      <c r="G133" s="65" t="s">
        <v>25</v>
      </c>
      <c r="H133" s="65" t="s">
        <v>36</v>
      </c>
      <c r="I133" s="75">
        <v>44501</v>
      </c>
      <c r="J133" s="76">
        <f>EFEITO!$J$133*EFEITO!$Y$133</f>
        <v>0</v>
      </c>
      <c r="K133" s="76">
        <f ca="1">EFEITO!$L$133*EFEITO!$Z$133</f>
        <v>22566.267041533552</v>
      </c>
      <c r="L133" s="76">
        <f>EFEITO!$N$133*EFEITO!$AA$133</f>
        <v>47539.61885080627</v>
      </c>
      <c r="M133" s="76">
        <f>$J$133-EFEITO!$K$133*EFEITO!$Y$133</f>
        <v>0</v>
      </c>
      <c r="N133" s="76">
        <f ca="1">$K$133-EFEITO!$M$133*EFEITO!$Z$133</f>
        <v>0</v>
      </c>
      <c r="O133" s="76">
        <f>$L$133-EFEITO!$O$133*EFEITO!$AA$133</f>
        <v>0</v>
      </c>
      <c r="P133" s="19"/>
      <c r="Q133" s="19"/>
      <c r="R133" s="19"/>
      <c r="S133" s="19"/>
      <c r="T133" s="19"/>
      <c r="U133" s="19"/>
      <c r="V133" s="19"/>
      <c r="W133" s="19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65" t="s">
        <v>28</v>
      </c>
      <c r="B134" s="65" t="s">
        <v>33</v>
      </c>
      <c r="C134" s="65" t="s">
        <v>34</v>
      </c>
      <c r="D134" s="65" t="s">
        <v>38</v>
      </c>
      <c r="E134" s="65" t="s">
        <v>25</v>
      </c>
      <c r="F134" s="65" t="s">
        <v>25</v>
      </c>
      <c r="G134" s="65" t="s">
        <v>25</v>
      </c>
      <c r="H134" s="65" t="s">
        <v>36</v>
      </c>
      <c r="I134" s="75">
        <v>44501</v>
      </c>
      <c r="J134" s="76">
        <f>EFEITO!$J$134*EFEITO!$Y$134</f>
        <v>0</v>
      </c>
      <c r="K134" s="76">
        <f ca="1">EFEITO!$L$134*EFEITO!$Z$134</f>
        <v>1754.7397351596935</v>
      </c>
      <c r="L134" s="76">
        <f>EFEITO!$N$134*EFEITO!$AA$134</f>
        <v>3696.6529749170045</v>
      </c>
      <c r="M134" s="76">
        <f>$J$134-EFEITO!$K$134*EFEITO!$Y$134</f>
        <v>0</v>
      </c>
      <c r="N134" s="76">
        <f ca="1">$K$134-EFEITO!$M$134*EFEITO!$Z$134</f>
        <v>0</v>
      </c>
      <c r="O134" s="76">
        <f>$L$134-EFEITO!$O$134*EFEITO!$AA$134</f>
        <v>0</v>
      </c>
      <c r="P134" s="19"/>
      <c r="Q134" s="19"/>
      <c r="R134" s="19"/>
      <c r="S134" s="19"/>
      <c r="T134" s="19"/>
      <c r="U134" s="19"/>
      <c r="V134" s="19"/>
      <c r="W134" s="19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65" t="s">
        <v>21</v>
      </c>
      <c r="B135" s="65" t="s">
        <v>33</v>
      </c>
      <c r="C135" s="65" t="s">
        <v>34</v>
      </c>
      <c r="D135" s="65" t="s">
        <v>38</v>
      </c>
      <c r="E135" s="65" t="s">
        <v>25</v>
      </c>
      <c r="F135" s="65" t="s">
        <v>25</v>
      </c>
      <c r="G135" s="65" t="s">
        <v>25</v>
      </c>
      <c r="H135" s="65" t="s">
        <v>36</v>
      </c>
      <c r="I135" s="75">
        <v>44531</v>
      </c>
      <c r="J135" s="76">
        <f>EFEITO!$J$135*EFEITO!$Y$135</f>
        <v>0</v>
      </c>
      <c r="K135" s="76">
        <f ca="1">EFEITO!$L$135*EFEITO!$Z$135</f>
        <v>24444.869542644996</v>
      </c>
      <c r="L135" s="76">
        <f>EFEITO!$N$135*EFEITO!$AA$135</f>
        <v>51497.209475371536</v>
      </c>
      <c r="M135" s="76">
        <f>$J$135-EFEITO!$K$135*EFEITO!$Y$135</f>
        <v>0</v>
      </c>
      <c r="N135" s="76">
        <f ca="1">$K$135-EFEITO!$M$135*EFEITO!$Z$135</f>
        <v>0</v>
      </c>
      <c r="O135" s="76">
        <f>$L$135-EFEITO!$O$135*EFEITO!$AA$135</f>
        <v>0</v>
      </c>
      <c r="P135" s="19"/>
      <c r="Q135" s="19"/>
      <c r="R135" s="19"/>
      <c r="S135" s="19"/>
      <c r="T135" s="19"/>
      <c r="U135" s="19"/>
      <c r="V135" s="19"/>
      <c r="W135" s="19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65" t="s">
        <v>28</v>
      </c>
      <c r="B136" s="65" t="s">
        <v>33</v>
      </c>
      <c r="C136" s="65" t="s">
        <v>34</v>
      </c>
      <c r="D136" s="65" t="s">
        <v>38</v>
      </c>
      <c r="E136" s="65" t="s">
        <v>25</v>
      </c>
      <c r="F136" s="65" t="s">
        <v>25</v>
      </c>
      <c r="G136" s="65" t="s">
        <v>25</v>
      </c>
      <c r="H136" s="65" t="s">
        <v>36</v>
      </c>
      <c r="I136" s="75">
        <v>44531</v>
      </c>
      <c r="J136" s="76">
        <f>EFEITO!$J$136*EFEITO!$Y$136</f>
        <v>0</v>
      </c>
      <c r="K136" s="76">
        <f ca="1">EFEITO!$L$136*EFEITO!$Z$136</f>
        <v>2930.9711389350537</v>
      </c>
      <c r="L136" s="76">
        <f>EFEITO!$N$136*EFEITO!$AA$136</f>
        <v>6174.5813142791267</v>
      </c>
      <c r="M136" s="76">
        <f>$J$136-EFEITO!$K$136*EFEITO!$Y$136</f>
        <v>0</v>
      </c>
      <c r="N136" s="76">
        <f ca="1">$K$136-EFEITO!$M$136*EFEITO!$Z$136</f>
        <v>0</v>
      </c>
      <c r="O136" s="76">
        <f>$L$136-EFEITO!$O$136*EFEITO!$AA$136</f>
        <v>0</v>
      </c>
      <c r="P136" s="19"/>
      <c r="Q136" s="19"/>
      <c r="R136" s="19"/>
      <c r="S136" s="19"/>
      <c r="T136" s="19"/>
      <c r="U136" s="19"/>
      <c r="V136" s="19"/>
      <c r="W136" s="19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65" t="s">
        <v>21</v>
      </c>
      <c r="B137" s="65" t="s">
        <v>33</v>
      </c>
      <c r="C137" s="65" t="s">
        <v>34</v>
      </c>
      <c r="D137" s="65" t="s">
        <v>38</v>
      </c>
      <c r="E137" s="65" t="s">
        <v>25</v>
      </c>
      <c r="F137" s="65" t="s">
        <v>25</v>
      </c>
      <c r="G137" s="65" t="s">
        <v>25</v>
      </c>
      <c r="H137" s="65" t="s">
        <v>36</v>
      </c>
      <c r="I137" s="75">
        <v>44562</v>
      </c>
      <c r="J137" s="76">
        <f>EFEITO!$J$137*EFEITO!$Y$137</f>
        <v>0</v>
      </c>
      <c r="K137" s="76">
        <f ca="1">EFEITO!$L$137*EFEITO!$Z$137</f>
        <v>20736.631138471421</v>
      </c>
      <c r="L137" s="76">
        <f>EFEITO!$N$137*EFEITO!$AA$137</f>
        <v>43685.184561464746</v>
      </c>
      <c r="M137" s="76">
        <f>$J$137-EFEITO!$K$137*EFEITO!$Y$137</f>
        <v>0</v>
      </c>
      <c r="N137" s="76">
        <f ca="1">$K$137-EFEITO!$M$137*EFEITO!$Z$137</f>
        <v>0</v>
      </c>
      <c r="O137" s="76">
        <f>$L$137-EFEITO!$O$137*EFEITO!$AA$137</f>
        <v>0</v>
      </c>
      <c r="P137" s="19"/>
      <c r="Q137" s="19"/>
      <c r="R137" s="19"/>
      <c r="S137" s="19"/>
      <c r="T137" s="19"/>
      <c r="U137" s="19"/>
      <c r="V137" s="19"/>
      <c r="W137" s="19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65" t="s">
        <v>28</v>
      </c>
      <c r="B138" s="65" t="s">
        <v>33</v>
      </c>
      <c r="C138" s="65" t="s">
        <v>34</v>
      </c>
      <c r="D138" s="65" t="s">
        <v>38</v>
      </c>
      <c r="E138" s="65" t="s">
        <v>25</v>
      </c>
      <c r="F138" s="65" t="s">
        <v>25</v>
      </c>
      <c r="G138" s="65" t="s">
        <v>25</v>
      </c>
      <c r="H138" s="65" t="s">
        <v>36</v>
      </c>
      <c r="I138" s="75">
        <v>44562</v>
      </c>
      <c r="J138" s="76">
        <f>EFEITO!$J$138*EFEITO!$Y$138</f>
        <v>0</v>
      </c>
      <c r="K138" s="76">
        <f ca="1">EFEITO!$L$138*EFEITO!$Z$138</f>
        <v>2813.3066765338472</v>
      </c>
      <c r="L138" s="76">
        <f>EFEITO!$N$138*EFEITO!$AA$138</f>
        <v>5926.7014285832329</v>
      </c>
      <c r="M138" s="76">
        <f>$J$138-EFEITO!$K$138*EFEITO!$Y$138</f>
        <v>0</v>
      </c>
      <c r="N138" s="76">
        <f ca="1">$K$138-EFEITO!$M$138*EFEITO!$Z$138</f>
        <v>0</v>
      </c>
      <c r="O138" s="76">
        <f>$L$138-EFEITO!$O$138*EFEITO!$AA$138</f>
        <v>0</v>
      </c>
      <c r="P138" s="19"/>
      <c r="Q138" s="19"/>
      <c r="R138" s="19"/>
      <c r="S138" s="19"/>
      <c r="T138" s="19"/>
      <c r="U138" s="19"/>
      <c r="V138" s="19"/>
      <c r="W138" s="19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65" t="s">
        <v>21</v>
      </c>
      <c r="B139" s="65" t="s">
        <v>33</v>
      </c>
      <c r="C139" s="65" t="s">
        <v>34</v>
      </c>
      <c r="D139" s="65" t="s">
        <v>38</v>
      </c>
      <c r="E139" s="65" t="s">
        <v>25</v>
      </c>
      <c r="F139" s="65" t="s">
        <v>25</v>
      </c>
      <c r="G139" s="65" t="s">
        <v>25</v>
      </c>
      <c r="H139" s="65" t="s">
        <v>36</v>
      </c>
      <c r="I139" s="75">
        <v>44593</v>
      </c>
      <c r="J139" s="76">
        <f>EFEITO!$J$139*EFEITO!$Y$139</f>
        <v>0</v>
      </c>
      <c r="K139" s="76">
        <f ca="1">EFEITO!$L$139*EFEITO!$Z$139</f>
        <v>24169.148339704858</v>
      </c>
      <c r="L139" s="76">
        <f>EFEITO!$N$139*EFEITO!$AA$139</f>
        <v>50916.356608890113</v>
      </c>
      <c r="M139" s="76">
        <f>$J$139-EFEITO!$K$139*EFEITO!$Y$139</f>
        <v>0</v>
      </c>
      <c r="N139" s="76">
        <f ca="1">$K$139-EFEITO!$M$139*EFEITO!$Z$139</f>
        <v>0</v>
      </c>
      <c r="O139" s="76">
        <f>$L$139-EFEITO!$O$139*EFEITO!$AA$139</f>
        <v>0</v>
      </c>
      <c r="P139" s="19"/>
      <c r="Q139" s="19"/>
      <c r="R139" s="19"/>
      <c r="S139" s="19"/>
      <c r="T139" s="19"/>
      <c r="U139" s="19"/>
      <c r="V139" s="19"/>
      <c r="W139" s="19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65" t="s">
        <v>28</v>
      </c>
      <c r="B140" s="65" t="s">
        <v>33</v>
      </c>
      <c r="C140" s="65" t="s">
        <v>34</v>
      </c>
      <c r="D140" s="65" t="s">
        <v>38</v>
      </c>
      <c r="E140" s="65" t="s">
        <v>25</v>
      </c>
      <c r="F140" s="65" t="s">
        <v>25</v>
      </c>
      <c r="G140" s="65" t="s">
        <v>25</v>
      </c>
      <c r="H140" s="65" t="s">
        <v>36</v>
      </c>
      <c r="I140" s="75">
        <v>44593</v>
      </c>
      <c r="J140" s="76">
        <f>EFEITO!$J$140*EFEITO!$Y$140</f>
        <v>0</v>
      </c>
      <c r="K140" s="76">
        <f ca="1">EFEITO!$L$140*EFEITO!$Z$140</f>
        <v>3241.4028417582535</v>
      </c>
      <c r="L140" s="76">
        <f>EFEITO!$N$140*EFEITO!$AA$140</f>
        <v>6828.5576588938447</v>
      </c>
      <c r="M140" s="76">
        <f>$J$140-EFEITO!$K$140*EFEITO!$Y$140</f>
        <v>0</v>
      </c>
      <c r="N140" s="76">
        <f ca="1">$K$140-EFEITO!$M$140*EFEITO!$Z$140</f>
        <v>0</v>
      </c>
      <c r="O140" s="76">
        <f>$L$140-EFEITO!$O$140*EFEITO!$AA$140</f>
        <v>0</v>
      </c>
      <c r="P140" s="19"/>
      <c r="Q140" s="19"/>
      <c r="R140" s="19"/>
      <c r="S140" s="19"/>
      <c r="T140" s="19"/>
      <c r="U140" s="19"/>
      <c r="V140" s="19"/>
      <c r="W140" s="19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65" t="s">
        <v>54</v>
      </c>
      <c r="B141" s="65" t="s">
        <v>33</v>
      </c>
      <c r="C141" s="65" t="s">
        <v>34</v>
      </c>
      <c r="D141" s="65" t="s">
        <v>38</v>
      </c>
      <c r="E141" s="65" t="s">
        <v>25</v>
      </c>
      <c r="F141" s="65" t="s">
        <v>25</v>
      </c>
      <c r="G141" s="65" t="s">
        <v>25</v>
      </c>
      <c r="H141" s="65" t="s">
        <v>36</v>
      </c>
      <c r="I141" s="75">
        <v>44621</v>
      </c>
      <c r="J141" s="76">
        <f>EFEITO!$J$141*EFEITO!$Y$141</f>
        <v>0</v>
      </c>
      <c r="K141" s="76">
        <f ca="1">EFEITO!$L$141*EFEITO!$Z$141</f>
        <v>24169.148339704858</v>
      </c>
      <c r="L141" s="76">
        <f>EFEITO!$N$141*EFEITO!$AA$141</f>
        <v>50916.356608890113</v>
      </c>
      <c r="M141" s="76">
        <f>$J$141-EFEITO!$K$141*EFEITO!$Y$141</f>
        <v>0</v>
      </c>
      <c r="N141" s="76">
        <f ca="1">$K$141-EFEITO!$M$141*EFEITO!$Z$141</f>
        <v>0</v>
      </c>
      <c r="O141" s="76">
        <f>$L$141-EFEITO!$O$141*EFEITO!$AA$141</f>
        <v>0</v>
      </c>
      <c r="P141" s="19"/>
      <c r="Q141" s="19"/>
      <c r="R141" s="19"/>
      <c r="S141" s="19"/>
      <c r="T141" s="19"/>
      <c r="U141" s="19"/>
      <c r="V141" s="19"/>
      <c r="W141" s="19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65" t="s">
        <v>54</v>
      </c>
      <c r="B142" s="65" t="s">
        <v>33</v>
      </c>
      <c r="C142" s="65" t="s">
        <v>34</v>
      </c>
      <c r="D142" s="65" t="s">
        <v>38</v>
      </c>
      <c r="E142" s="65" t="s">
        <v>25</v>
      </c>
      <c r="F142" s="65" t="s">
        <v>25</v>
      </c>
      <c r="G142" s="65" t="s">
        <v>25</v>
      </c>
      <c r="H142" s="65" t="s">
        <v>36</v>
      </c>
      <c r="I142" s="75">
        <v>44621</v>
      </c>
      <c r="J142" s="76">
        <f>EFEITO!$J$142*EFEITO!$Y$142</f>
        <v>0</v>
      </c>
      <c r="K142" s="76">
        <f ca="1">EFEITO!$L$142*EFEITO!$Z$142</f>
        <v>3241.4028417582535</v>
      </c>
      <c r="L142" s="76">
        <f>EFEITO!$N$142*EFEITO!$AA$142</f>
        <v>6828.5576588938447</v>
      </c>
      <c r="M142" s="76">
        <f>$J$142-EFEITO!$K$142*EFEITO!$Y$142</f>
        <v>0</v>
      </c>
      <c r="N142" s="76">
        <f ca="1">$K$142-EFEITO!$M$142*EFEITO!$Z$142</f>
        <v>0</v>
      </c>
      <c r="O142" s="76">
        <f>$L$142-EFEITO!$O$142*EFEITO!$AA$142</f>
        <v>0</v>
      </c>
      <c r="P142" s="19"/>
      <c r="Q142" s="19"/>
      <c r="R142" s="19"/>
      <c r="S142" s="19"/>
      <c r="T142" s="19"/>
      <c r="U142" s="19"/>
      <c r="V142" s="19"/>
      <c r="W142" s="19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65" t="s">
        <v>21</v>
      </c>
      <c r="B143" s="65" t="s">
        <v>33</v>
      </c>
      <c r="C143" s="65" t="s">
        <v>34</v>
      </c>
      <c r="D143" s="65" t="s">
        <v>38</v>
      </c>
      <c r="E143" s="65" t="s">
        <v>25</v>
      </c>
      <c r="F143" s="65" t="s">
        <v>25</v>
      </c>
      <c r="G143" s="65" t="s">
        <v>25</v>
      </c>
      <c r="H143" s="65" t="s">
        <v>25</v>
      </c>
      <c r="I143" s="75">
        <v>44287</v>
      </c>
      <c r="J143" s="76">
        <f ca="1">EFEITO!$J$143*EFEITO!$Y$143</f>
        <v>177665.43297315066</v>
      </c>
      <c r="K143" s="76">
        <f>EFEITO!$L$143*EFEITO!$Z$143</f>
        <v>0</v>
      </c>
      <c r="L143" s="76">
        <f>EFEITO!$N$143*EFEITO!$AA$143</f>
        <v>0</v>
      </c>
      <c r="M143" s="76">
        <f ca="1">$J$143-EFEITO!$K$143*EFEITO!$Y$143</f>
        <v>0</v>
      </c>
      <c r="N143" s="76">
        <f>$K$143-EFEITO!$M$143*EFEITO!$Z$143</f>
        <v>0</v>
      </c>
      <c r="O143" s="76">
        <f>$L$143-EFEITO!$O$143*EFEITO!$AA$143</f>
        <v>0</v>
      </c>
      <c r="P143" s="19"/>
      <c r="Q143" s="19"/>
      <c r="R143" s="19"/>
      <c r="S143" s="19"/>
      <c r="T143" s="19"/>
      <c r="U143" s="19"/>
      <c r="V143" s="19"/>
      <c r="W143" s="19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65" t="s">
        <v>21</v>
      </c>
      <c r="B144" s="65" t="s">
        <v>33</v>
      </c>
      <c r="C144" s="65" t="s">
        <v>34</v>
      </c>
      <c r="D144" s="65" t="s">
        <v>38</v>
      </c>
      <c r="E144" s="65" t="s">
        <v>25</v>
      </c>
      <c r="F144" s="65" t="s">
        <v>25</v>
      </c>
      <c r="G144" s="65" t="s">
        <v>25</v>
      </c>
      <c r="H144" s="65" t="s">
        <v>25</v>
      </c>
      <c r="I144" s="75">
        <v>44317</v>
      </c>
      <c r="J144" s="76">
        <f ca="1">EFEITO!$J$144*EFEITO!$Y$144</f>
        <v>170336.52151871935</v>
      </c>
      <c r="K144" s="76">
        <f>EFEITO!$L$144*EFEITO!$Z$144</f>
        <v>0</v>
      </c>
      <c r="L144" s="76">
        <f>EFEITO!$N$144*EFEITO!$AA$144</f>
        <v>0</v>
      </c>
      <c r="M144" s="76">
        <f ca="1">$J$144-EFEITO!$K$144*EFEITO!$Y$144</f>
        <v>0</v>
      </c>
      <c r="N144" s="76">
        <f>$K$144-EFEITO!$M$144*EFEITO!$Z$144</f>
        <v>0</v>
      </c>
      <c r="O144" s="76">
        <f>$L$144-EFEITO!$O$144*EFEITO!$AA$144</f>
        <v>0</v>
      </c>
      <c r="P144" s="19"/>
      <c r="Q144" s="19"/>
      <c r="R144" s="19"/>
      <c r="S144" s="19"/>
      <c r="T144" s="19"/>
      <c r="U144" s="19"/>
      <c r="V144" s="19"/>
      <c r="W144" s="19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65" t="s">
        <v>21</v>
      </c>
      <c r="B145" s="65" t="s">
        <v>33</v>
      </c>
      <c r="C145" s="65" t="s">
        <v>34</v>
      </c>
      <c r="D145" s="65" t="s">
        <v>38</v>
      </c>
      <c r="E145" s="65" t="s">
        <v>25</v>
      </c>
      <c r="F145" s="65" t="s">
        <v>25</v>
      </c>
      <c r="G145" s="65" t="s">
        <v>25</v>
      </c>
      <c r="H145" s="65" t="s">
        <v>25</v>
      </c>
      <c r="I145" s="75">
        <v>44348</v>
      </c>
      <c r="J145" s="76">
        <f ca="1">EFEITO!$J$145*EFEITO!$Y$145</f>
        <v>106827.37821988924</v>
      </c>
      <c r="K145" s="76">
        <f>EFEITO!$L$145*EFEITO!$Z$145</f>
        <v>0</v>
      </c>
      <c r="L145" s="76">
        <f>EFEITO!$N$145*EFEITO!$AA$145</f>
        <v>0</v>
      </c>
      <c r="M145" s="76">
        <f ca="1">$J$145-EFEITO!$K$145*EFEITO!$Y$145</f>
        <v>0</v>
      </c>
      <c r="N145" s="76">
        <f>$K$145-EFEITO!$M$145*EFEITO!$Z$145</f>
        <v>0</v>
      </c>
      <c r="O145" s="76">
        <f>$L$145-EFEITO!$O$145*EFEITO!$AA$145</f>
        <v>0</v>
      </c>
      <c r="P145" s="19"/>
      <c r="Q145" s="19"/>
      <c r="R145" s="19"/>
      <c r="S145" s="19"/>
      <c r="T145" s="19"/>
      <c r="U145" s="19"/>
      <c r="V145" s="19"/>
      <c r="W145" s="19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65" t="s">
        <v>21</v>
      </c>
      <c r="B146" s="65" t="s">
        <v>33</v>
      </c>
      <c r="C146" s="65" t="s">
        <v>34</v>
      </c>
      <c r="D146" s="65" t="s">
        <v>38</v>
      </c>
      <c r="E146" s="65" t="s">
        <v>25</v>
      </c>
      <c r="F146" s="65" t="s">
        <v>25</v>
      </c>
      <c r="G146" s="65" t="s">
        <v>25</v>
      </c>
      <c r="H146" s="65" t="s">
        <v>25</v>
      </c>
      <c r="I146" s="75">
        <v>44378</v>
      </c>
      <c r="J146" s="76">
        <f ca="1">EFEITO!$J$146*EFEITO!$Y$146</f>
        <v>56786.929812480877</v>
      </c>
      <c r="K146" s="76">
        <f>EFEITO!$L$146*EFEITO!$Z$146</f>
        <v>0</v>
      </c>
      <c r="L146" s="76">
        <f>EFEITO!$N$146*EFEITO!$AA$146</f>
        <v>0</v>
      </c>
      <c r="M146" s="76">
        <f ca="1">$J$146-EFEITO!$K$146*EFEITO!$Y$146</f>
        <v>0</v>
      </c>
      <c r="N146" s="76">
        <f>$K$146-EFEITO!$M$146*EFEITO!$Z$146</f>
        <v>0</v>
      </c>
      <c r="O146" s="76">
        <f>$L$146-EFEITO!$O$146*EFEITO!$AA$146</f>
        <v>0</v>
      </c>
      <c r="P146" s="19"/>
      <c r="Q146" s="19"/>
      <c r="R146" s="19"/>
      <c r="S146" s="19"/>
      <c r="T146" s="19"/>
      <c r="U146" s="19"/>
      <c r="V146" s="19"/>
      <c r="W146" s="19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65" t="s">
        <v>21</v>
      </c>
      <c r="B147" s="65" t="s">
        <v>33</v>
      </c>
      <c r="C147" s="65" t="s">
        <v>34</v>
      </c>
      <c r="D147" s="65" t="s">
        <v>38</v>
      </c>
      <c r="E147" s="65" t="s">
        <v>25</v>
      </c>
      <c r="F147" s="65" t="s">
        <v>25</v>
      </c>
      <c r="G147" s="65" t="s">
        <v>25</v>
      </c>
      <c r="H147" s="65" t="s">
        <v>25</v>
      </c>
      <c r="I147" s="75">
        <v>44409</v>
      </c>
      <c r="J147" s="76">
        <f ca="1">EFEITO!$J$147*EFEITO!$Y$147</f>
        <v>49603.625870389282</v>
      </c>
      <c r="K147" s="76">
        <f>EFEITO!$L$147*EFEITO!$Z$147</f>
        <v>0</v>
      </c>
      <c r="L147" s="76">
        <f>EFEITO!$N$147*EFEITO!$AA$147</f>
        <v>0</v>
      </c>
      <c r="M147" s="76">
        <f ca="1">$J$147-EFEITO!$K$147*EFEITO!$Y$147</f>
        <v>0</v>
      </c>
      <c r="N147" s="76">
        <f>$K$147-EFEITO!$M$147*EFEITO!$Z$147</f>
        <v>0</v>
      </c>
      <c r="O147" s="76">
        <f>$L$147-EFEITO!$O$147*EFEITO!$AA$147</f>
        <v>0</v>
      </c>
      <c r="P147" s="19"/>
      <c r="Q147" s="19"/>
      <c r="R147" s="19"/>
      <c r="S147" s="19"/>
      <c r="T147" s="19"/>
      <c r="U147" s="19"/>
      <c r="V147" s="19"/>
      <c r="W147" s="19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65" t="s">
        <v>28</v>
      </c>
      <c r="B148" s="65" t="s">
        <v>33</v>
      </c>
      <c r="C148" s="65" t="s">
        <v>34</v>
      </c>
      <c r="D148" s="65" t="s">
        <v>38</v>
      </c>
      <c r="E148" s="65" t="s">
        <v>25</v>
      </c>
      <c r="F148" s="65" t="s">
        <v>25</v>
      </c>
      <c r="G148" s="65" t="s">
        <v>25</v>
      </c>
      <c r="H148" s="65" t="s">
        <v>25</v>
      </c>
      <c r="I148" s="75">
        <v>44409</v>
      </c>
      <c r="J148" s="76">
        <f ca="1">EFEITO!$J$148*EFEITO!$Y$148</f>
        <v>6552.3380552862554</v>
      </c>
      <c r="K148" s="76">
        <f>EFEITO!$L$148*EFEITO!$Z$148</f>
        <v>0</v>
      </c>
      <c r="L148" s="76">
        <f>EFEITO!$N$148*EFEITO!$AA$148</f>
        <v>0</v>
      </c>
      <c r="M148" s="76">
        <f ca="1">$J$148-EFEITO!$K$148*EFEITO!$Y$148</f>
        <v>0</v>
      </c>
      <c r="N148" s="76">
        <f>$K$148-EFEITO!$M$148*EFEITO!$Z$148</f>
        <v>0</v>
      </c>
      <c r="O148" s="76">
        <f>$L$148-EFEITO!$O$148*EFEITO!$AA$148</f>
        <v>0</v>
      </c>
      <c r="P148" s="19"/>
      <c r="Q148" s="19"/>
      <c r="R148" s="19"/>
      <c r="S148" s="19"/>
      <c r="T148" s="19"/>
      <c r="U148" s="19"/>
      <c r="V148" s="19"/>
      <c r="W148" s="19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65" t="s">
        <v>21</v>
      </c>
      <c r="B149" s="65" t="s">
        <v>33</v>
      </c>
      <c r="C149" s="65" t="s">
        <v>34</v>
      </c>
      <c r="D149" s="65" t="s">
        <v>38</v>
      </c>
      <c r="E149" s="65" t="s">
        <v>25</v>
      </c>
      <c r="F149" s="65" t="s">
        <v>25</v>
      </c>
      <c r="G149" s="65" t="s">
        <v>25</v>
      </c>
      <c r="H149" s="65" t="s">
        <v>25</v>
      </c>
      <c r="I149" s="75">
        <v>44440</v>
      </c>
      <c r="J149" s="76">
        <f ca="1">EFEITO!$J$149*EFEITO!$Y$149</f>
        <v>50817.021806553406</v>
      </c>
      <c r="K149" s="76">
        <f>EFEITO!$L$149*EFEITO!$Z$149</f>
        <v>0</v>
      </c>
      <c r="L149" s="76">
        <f>EFEITO!$N$149*EFEITO!$AA$149</f>
        <v>0</v>
      </c>
      <c r="M149" s="76">
        <f ca="1">$J$149-EFEITO!$K$149*EFEITO!$Y$149</f>
        <v>0</v>
      </c>
      <c r="N149" s="76">
        <f>$K$149-EFEITO!$M$149*EFEITO!$Z$149</f>
        <v>0</v>
      </c>
      <c r="O149" s="76">
        <f>$L$149-EFEITO!$O$149*EFEITO!$AA$149</f>
        <v>0</v>
      </c>
      <c r="P149" s="19"/>
      <c r="Q149" s="19"/>
      <c r="R149" s="19"/>
      <c r="S149" s="19"/>
      <c r="T149" s="19"/>
      <c r="U149" s="19"/>
      <c r="V149" s="19"/>
      <c r="W149" s="19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65" t="s">
        <v>28</v>
      </c>
      <c r="B150" s="65" t="s">
        <v>33</v>
      </c>
      <c r="C150" s="65" t="s">
        <v>34</v>
      </c>
      <c r="D150" s="65" t="s">
        <v>38</v>
      </c>
      <c r="E150" s="65" t="s">
        <v>25</v>
      </c>
      <c r="F150" s="65" t="s">
        <v>25</v>
      </c>
      <c r="G150" s="65" t="s">
        <v>25</v>
      </c>
      <c r="H150" s="65" t="s">
        <v>25</v>
      </c>
      <c r="I150" s="75">
        <v>44440</v>
      </c>
      <c r="J150" s="76">
        <f ca="1">EFEITO!$J$150*EFEITO!$Y$150</f>
        <v>6552.3380552862554</v>
      </c>
      <c r="K150" s="76">
        <f>EFEITO!$L$150*EFEITO!$Z$150</f>
        <v>0</v>
      </c>
      <c r="L150" s="76">
        <f>EFEITO!$N$150*EFEITO!$AA$150</f>
        <v>0</v>
      </c>
      <c r="M150" s="76">
        <f ca="1">$J$150-EFEITO!$K$150*EFEITO!$Y$150</f>
        <v>0</v>
      </c>
      <c r="N150" s="76">
        <f>$K$150-EFEITO!$M$150*EFEITO!$Z$150</f>
        <v>0</v>
      </c>
      <c r="O150" s="76">
        <f>$L$150-EFEITO!$O$150*EFEITO!$AA$150</f>
        <v>0</v>
      </c>
      <c r="P150" s="19"/>
      <c r="Q150" s="19"/>
      <c r="R150" s="19"/>
      <c r="S150" s="19"/>
      <c r="T150" s="19"/>
      <c r="U150" s="19"/>
      <c r="V150" s="19"/>
      <c r="W150" s="19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65" t="s">
        <v>21</v>
      </c>
      <c r="B151" s="65" t="s">
        <v>33</v>
      </c>
      <c r="C151" s="65" t="s">
        <v>34</v>
      </c>
      <c r="D151" s="65" t="s">
        <v>38</v>
      </c>
      <c r="E151" s="65" t="s">
        <v>25</v>
      </c>
      <c r="F151" s="65" t="s">
        <v>25</v>
      </c>
      <c r="G151" s="65" t="s">
        <v>25</v>
      </c>
      <c r="H151" s="65" t="s">
        <v>25</v>
      </c>
      <c r="I151" s="75">
        <v>44470</v>
      </c>
      <c r="J151" s="76">
        <f ca="1">EFEITO!$J$151*EFEITO!$Y$151</f>
        <v>52127.489417610654</v>
      </c>
      <c r="K151" s="76">
        <f>EFEITO!$L$151*EFEITO!$Z$151</f>
        <v>0</v>
      </c>
      <c r="L151" s="76">
        <f>EFEITO!$N$151*EFEITO!$AA$151</f>
        <v>0</v>
      </c>
      <c r="M151" s="76">
        <f ca="1">$J$151-EFEITO!$K$151*EFEITO!$Y$151</f>
        <v>0</v>
      </c>
      <c r="N151" s="76">
        <f>$K$151-EFEITO!$M$151*EFEITO!$Z$151</f>
        <v>0</v>
      </c>
      <c r="O151" s="76">
        <f>$L$151-EFEITO!$O$151*EFEITO!$AA$151</f>
        <v>0</v>
      </c>
      <c r="P151" s="19"/>
      <c r="Q151" s="19"/>
      <c r="R151" s="19"/>
      <c r="S151" s="19"/>
      <c r="T151" s="19"/>
      <c r="U151" s="19"/>
      <c r="V151" s="19"/>
      <c r="W151" s="19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65" t="s">
        <v>28</v>
      </c>
      <c r="B152" s="65" t="s">
        <v>33</v>
      </c>
      <c r="C152" s="65" t="s">
        <v>34</v>
      </c>
      <c r="D152" s="65" t="s">
        <v>38</v>
      </c>
      <c r="E152" s="65" t="s">
        <v>25</v>
      </c>
      <c r="F152" s="65" t="s">
        <v>25</v>
      </c>
      <c r="G152" s="65" t="s">
        <v>25</v>
      </c>
      <c r="H152" s="65" t="s">
        <v>25</v>
      </c>
      <c r="I152" s="75">
        <v>44470</v>
      </c>
      <c r="J152" s="76">
        <f ca="1">EFEITO!$J$152*EFEITO!$Y$152</f>
        <v>6552.3380552862554</v>
      </c>
      <c r="K152" s="76">
        <f>EFEITO!$L$152*EFEITO!$Z$152</f>
        <v>0</v>
      </c>
      <c r="L152" s="76">
        <f>EFEITO!$N$152*EFEITO!$AA$152</f>
        <v>0</v>
      </c>
      <c r="M152" s="76">
        <f ca="1">$J$152-EFEITO!$K$152*EFEITO!$Y$152</f>
        <v>0</v>
      </c>
      <c r="N152" s="76">
        <f>$K$152-EFEITO!$M$152*EFEITO!$Z$152</f>
        <v>0</v>
      </c>
      <c r="O152" s="76">
        <f>$L$152-EFEITO!$O$152*EFEITO!$AA$152</f>
        <v>0</v>
      </c>
      <c r="P152" s="19"/>
      <c r="Q152" s="19"/>
      <c r="R152" s="19"/>
      <c r="S152" s="19"/>
      <c r="T152" s="19"/>
      <c r="U152" s="19"/>
      <c r="V152" s="19"/>
      <c r="W152" s="19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65" t="s">
        <v>21</v>
      </c>
      <c r="B153" s="65" t="s">
        <v>33</v>
      </c>
      <c r="C153" s="65" t="s">
        <v>34</v>
      </c>
      <c r="D153" s="65" t="s">
        <v>38</v>
      </c>
      <c r="E153" s="65" t="s">
        <v>25</v>
      </c>
      <c r="F153" s="65" t="s">
        <v>25</v>
      </c>
      <c r="G153" s="65" t="s">
        <v>25</v>
      </c>
      <c r="H153" s="65" t="s">
        <v>25</v>
      </c>
      <c r="I153" s="75">
        <v>44501</v>
      </c>
      <c r="J153" s="76">
        <f ca="1">EFEITO!$J$153*EFEITO!$Y$153</f>
        <v>50889.82556272325</v>
      </c>
      <c r="K153" s="76">
        <f>EFEITO!$L$153*EFEITO!$Z$153</f>
        <v>0</v>
      </c>
      <c r="L153" s="76">
        <f>EFEITO!$N$153*EFEITO!$AA$153</f>
        <v>0</v>
      </c>
      <c r="M153" s="76">
        <f ca="1">$J$153-EFEITO!$K$153*EFEITO!$Y$153</f>
        <v>0</v>
      </c>
      <c r="N153" s="76">
        <f>$K$153-EFEITO!$M$153*EFEITO!$Z$153</f>
        <v>0</v>
      </c>
      <c r="O153" s="76">
        <f>$L$153-EFEITO!$O$153*EFEITO!$AA$153</f>
        <v>0</v>
      </c>
      <c r="P153" s="19"/>
      <c r="Q153" s="19"/>
      <c r="R153" s="19"/>
      <c r="S153" s="19"/>
      <c r="T153" s="19"/>
      <c r="U153" s="19"/>
      <c r="V153" s="19"/>
      <c r="W153" s="19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65" t="s">
        <v>28</v>
      </c>
      <c r="B154" s="65" t="s">
        <v>33</v>
      </c>
      <c r="C154" s="65" t="s">
        <v>34</v>
      </c>
      <c r="D154" s="65" t="s">
        <v>38</v>
      </c>
      <c r="E154" s="65" t="s">
        <v>25</v>
      </c>
      <c r="F154" s="65" t="s">
        <v>25</v>
      </c>
      <c r="G154" s="65" t="s">
        <v>25</v>
      </c>
      <c r="H154" s="65" t="s">
        <v>25</v>
      </c>
      <c r="I154" s="75">
        <v>44501</v>
      </c>
      <c r="J154" s="76">
        <f ca="1">EFEITO!$J$154*EFEITO!$Y$154</f>
        <v>6552.3380552862554</v>
      </c>
      <c r="K154" s="76">
        <f>EFEITO!$L$154*EFEITO!$Z$154</f>
        <v>0</v>
      </c>
      <c r="L154" s="76">
        <f>EFEITO!$N$154*EFEITO!$AA$154</f>
        <v>0</v>
      </c>
      <c r="M154" s="76">
        <f ca="1">$J$154-EFEITO!$K$154*EFEITO!$Y$154</f>
        <v>0</v>
      </c>
      <c r="N154" s="76">
        <f>$K$154-EFEITO!$M$154*EFEITO!$Z$154</f>
        <v>0</v>
      </c>
      <c r="O154" s="76">
        <f>$L$154-EFEITO!$O$154*EFEITO!$AA$154</f>
        <v>0</v>
      </c>
      <c r="P154" s="19"/>
      <c r="Q154" s="19"/>
      <c r="R154" s="19"/>
      <c r="S154" s="19"/>
      <c r="T154" s="19"/>
      <c r="U154" s="19"/>
      <c r="V154" s="19"/>
      <c r="W154" s="19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65" t="s">
        <v>21</v>
      </c>
      <c r="B155" s="65" t="s">
        <v>33</v>
      </c>
      <c r="C155" s="65" t="s">
        <v>34</v>
      </c>
      <c r="D155" s="65" t="s">
        <v>38</v>
      </c>
      <c r="E155" s="65" t="s">
        <v>25</v>
      </c>
      <c r="F155" s="65" t="s">
        <v>25</v>
      </c>
      <c r="G155" s="65" t="s">
        <v>25</v>
      </c>
      <c r="H155" s="65" t="s">
        <v>25</v>
      </c>
      <c r="I155" s="75">
        <v>44531</v>
      </c>
      <c r="J155" s="76">
        <f ca="1">EFEITO!$J$155*EFEITO!$Y$155</f>
        <v>47856.33572231295</v>
      </c>
      <c r="K155" s="76">
        <f>EFEITO!$L$155*EFEITO!$Z$155</f>
        <v>0</v>
      </c>
      <c r="L155" s="76">
        <f>EFEITO!$N$155*EFEITO!$AA$155</f>
        <v>0</v>
      </c>
      <c r="M155" s="76">
        <f ca="1">$J$155-EFEITO!$K$155*EFEITO!$Y$155</f>
        <v>0</v>
      </c>
      <c r="N155" s="76">
        <f>$K$155-EFEITO!$M$155*EFEITO!$Z$155</f>
        <v>0</v>
      </c>
      <c r="O155" s="76">
        <f>$L$155-EFEITO!$O$155*EFEITO!$AA$155</f>
        <v>0</v>
      </c>
      <c r="P155" s="19"/>
      <c r="Q155" s="19"/>
      <c r="R155" s="19"/>
      <c r="S155" s="19"/>
      <c r="T155" s="19"/>
      <c r="U155" s="19"/>
      <c r="V155" s="19"/>
      <c r="W155" s="19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65" t="s">
        <v>28</v>
      </c>
      <c r="B156" s="65" t="s">
        <v>33</v>
      </c>
      <c r="C156" s="65" t="s">
        <v>34</v>
      </c>
      <c r="D156" s="65" t="s">
        <v>38</v>
      </c>
      <c r="E156" s="65" t="s">
        <v>25</v>
      </c>
      <c r="F156" s="65" t="s">
        <v>25</v>
      </c>
      <c r="G156" s="65" t="s">
        <v>25</v>
      </c>
      <c r="H156" s="65" t="s">
        <v>25</v>
      </c>
      <c r="I156" s="75">
        <v>44531</v>
      </c>
      <c r="J156" s="76">
        <f ca="1">EFEITO!$J$156*EFEITO!$Y$156</f>
        <v>6552.3380552862554</v>
      </c>
      <c r="K156" s="76">
        <f>EFEITO!$L$156*EFEITO!$Z$156</f>
        <v>0</v>
      </c>
      <c r="L156" s="76">
        <f>EFEITO!$N$156*EFEITO!$AA$156</f>
        <v>0</v>
      </c>
      <c r="M156" s="76">
        <f ca="1">$J$156-EFEITO!$K$156*EFEITO!$Y$156</f>
        <v>0</v>
      </c>
      <c r="N156" s="76">
        <f>$K$156-EFEITO!$M$156*EFEITO!$Z$156</f>
        <v>0</v>
      </c>
      <c r="O156" s="76">
        <f>$L$156-EFEITO!$O$156*EFEITO!$AA$156</f>
        <v>0</v>
      </c>
      <c r="P156" s="19"/>
      <c r="Q156" s="19"/>
      <c r="R156" s="19"/>
      <c r="S156" s="19"/>
      <c r="T156" s="19"/>
      <c r="U156" s="19"/>
      <c r="V156" s="19"/>
      <c r="W156" s="19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65" t="s">
        <v>21</v>
      </c>
      <c r="B157" s="65" t="s">
        <v>33</v>
      </c>
      <c r="C157" s="65" t="s">
        <v>34</v>
      </c>
      <c r="D157" s="65" t="s">
        <v>38</v>
      </c>
      <c r="E157" s="65" t="s">
        <v>25</v>
      </c>
      <c r="F157" s="65" t="s">
        <v>25</v>
      </c>
      <c r="G157" s="65" t="s">
        <v>25</v>
      </c>
      <c r="H157" s="65" t="s">
        <v>25</v>
      </c>
      <c r="I157" s="75">
        <v>44562</v>
      </c>
      <c r="J157" s="76">
        <f ca="1">EFEITO!$J$157*EFEITO!$Y$157</f>
        <v>55476.46220142363</v>
      </c>
      <c r="K157" s="76">
        <f>EFEITO!$L$157*EFEITO!$Z$157</f>
        <v>0</v>
      </c>
      <c r="L157" s="76">
        <f>EFEITO!$N$157*EFEITO!$AA$157</f>
        <v>0</v>
      </c>
      <c r="M157" s="76">
        <f ca="1">$J$157-EFEITO!$K$157*EFEITO!$Y$157</f>
        <v>0</v>
      </c>
      <c r="N157" s="76">
        <f>$K$157-EFEITO!$M$157*EFEITO!$Z$157</f>
        <v>0</v>
      </c>
      <c r="O157" s="76">
        <f>$L$157-EFEITO!$O$157*EFEITO!$AA$157</f>
        <v>0</v>
      </c>
      <c r="P157" s="19"/>
      <c r="Q157" s="19"/>
      <c r="R157" s="19"/>
      <c r="S157" s="19"/>
      <c r="T157" s="19"/>
      <c r="U157" s="19"/>
      <c r="V157" s="19"/>
      <c r="W157" s="19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65" t="s">
        <v>28</v>
      </c>
      <c r="B158" s="65" t="s">
        <v>33</v>
      </c>
      <c r="C158" s="65" t="s">
        <v>34</v>
      </c>
      <c r="D158" s="65" t="s">
        <v>38</v>
      </c>
      <c r="E158" s="65" t="s">
        <v>25</v>
      </c>
      <c r="F158" s="65" t="s">
        <v>25</v>
      </c>
      <c r="G158" s="65" t="s">
        <v>25</v>
      </c>
      <c r="H158" s="65" t="s">
        <v>25</v>
      </c>
      <c r="I158" s="75">
        <v>44562</v>
      </c>
      <c r="J158" s="76">
        <f ca="1">EFEITO!$J$158*EFEITO!$Y$158</f>
        <v>6552.3380552862554</v>
      </c>
      <c r="K158" s="76">
        <f>EFEITO!$L$158*EFEITO!$Z$158</f>
        <v>0</v>
      </c>
      <c r="L158" s="76">
        <f>EFEITO!$N$158*EFEITO!$AA$158</f>
        <v>0</v>
      </c>
      <c r="M158" s="76">
        <f ca="1">$J$158-EFEITO!$K$158*EFEITO!$Y$158</f>
        <v>0</v>
      </c>
      <c r="N158" s="76">
        <f>$K$158-EFEITO!$M$158*EFEITO!$Z$158</f>
        <v>0</v>
      </c>
      <c r="O158" s="76">
        <f>$L$158-EFEITO!$O$158*EFEITO!$AA$158</f>
        <v>0</v>
      </c>
      <c r="P158" s="19"/>
      <c r="Q158" s="19"/>
      <c r="R158" s="19"/>
      <c r="S158" s="19"/>
      <c r="T158" s="19"/>
      <c r="U158" s="19"/>
      <c r="V158" s="19"/>
      <c r="W158" s="19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65" t="s">
        <v>21</v>
      </c>
      <c r="B159" s="65" t="s">
        <v>33</v>
      </c>
      <c r="C159" s="65" t="s">
        <v>34</v>
      </c>
      <c r="D159" s="65" t="s">
        <v>38</v>
      </c>
      <c r="E159" s="65" t="s">
        <v>25</v>
      </c>
      <c r="F159" s="65" t="s">
        <v>25</v>
      </c>
      <c r="G159" s="65" t="s">
        <v>25</v>
      </c>
      <c r="H159" s="65" t="s">
        <v>25</v>
      </c>
      <c r="I159" s="75">
        <v>44593</v>
      </c>
      <c r="J159" s="76">
        <f ca="1">EFEITO!$J$159*EFEITO!$Y$159</f>
        <v>55719.141388656455</v>
      </c>
      <c r="K159" s="76">
        <f>EFEITO!$L$159*EFEITO!$Z$159</f>
        <v>0</v>
      </c>
      <c r="L159" s="76">
        <f>EFEITO!$N$159*EFEITO!$AA$159</f>
        <v>0</v>
      </c>
      <c r="M159" s="76">
        <f ca="1">$J$159-EFEITO!$K$159*EFEITO!$Y$159</f>
        <v>0</v>
      </c>
      <c r="N159" s="76">
        <f>$K$159-EFEITO!$M$159*EFEITO!$Z$159</f>
        <v>0</v>
      </c>
      <c r="O159" s="76">
        <f>$L$159-EFEITO!$O$159*EFEITO!$AA$159</f>
        <v>0</v>
      </c>
      <c r="P159" s="19"/>
      <c r="Q159" s="19"/>
      <c r="R159" s="19"/>
      <c r="S159" s="19"/>
      <c r="T159" s="19"/>
      <c r="U159" s="19"/>
      <c r="V159" s="19"/>
      <c r="W159" s="19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65" t="s">
        <v>28</v>
      </c>
      <c r="B160" s="65" t="s">
        <v>33</v>
      </c>
      <c r="C160" s="65" t="s">
        <v>34</v>
      </c>
      <c r="D160" s="65" t="s">
        <v>38</v>
      </c>
      <c r="E160" s="65" t="s">
        <v>25</v>
      </c>
      <c r="F160" s="65" t="s">
        <v>25</v>
      </c>
      <c r="G160" s="65" t="s">
        <v>25</v>
      </c>
      <c r="H160" s="65" t="s">
        <v>25</v>
      </c>
      <c r="I160" s="75">
        <v>44593</v>
      </c>
      <c r="J160" s="76">
        <f ca="1">EFEITO!$J$160*EFEITO!$Y$160</f>
        <v>6552.3380552862554</v>
      </c>
      <c r="K160" s="76">
        <f>EFEITO!$L$160*EFEITO!$Z$160</f>
        <v>0</v>
      </c>
      <c r="L160" s="76">
        <f>EFEITO!$N$160*EFEITO!$AA$160</f>
        <v>0</v>
      </c>
      <c r="M160" s="76">
        <f ca="1">$J$160-EFEITO!$K$160*EFEITO!$Y$160</f>
        <v>0</v>
      </c>
      <c r="N160" s="76">
        <f>$K$160-EFEITO!$M$160*EFEITO!$Z$160</f>
        <v>0</v>
      </c>
      <c r="O160" s="76">
        <f>$L$160-EFEITO!$O$160*EFEITO!$AA$160</f>
        <v>0</v>
      </c>
      <c r="P160" s="19"/>
      <c r="Q160" s="19"/>
      <c r="R160" s="19"/>
      <c r="S160" s="19"/>
      <c r="T160" s="19"/>
      <c r="U160" s="19"/>
      <c r="V160" s="19"/>
      <c r="W160" s="19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65" t="s">
        <v>54</v>
      </c>
      <c r="B161" s="65" t="s">
        <v>33</v>
      </c>
      <c r="C161" s="65" t="s">
        <v>34</v>
      </c>
      <c r="D161" s="65" t="s">
        <v>38</v>
      </c>
      <c r="E161" s="65" t="s">
        <v>25</v>
      </c>
      <c r="F161" s="65" t="s">
        <v>25</v>
      </c>
      <c r="G161" s="65" t="s">
        <v>25</v>
      </c>
      <c r="H161" s="65" t="s">
        <v>25</v>
      </c>
      <c r="I161" s="75">
        <v>44621</v>
      </c>
      <c r="J161" s="76">
        <f ca="1">EFEITO!$J$161*EFEITO!$Y$161</f>
        <v>55719.141388656455</v>
      </c>
      <c r="K161" s="76">
        <f>EFEITO!$L$161*EFEITO!$Z$161</f>
        <v>0</v>
      </c>
      <c r="L161" s="76">
        <f>EFEITO!$N$161*EFEITO!$AA$161</f>
        <v>0</v>
      </c>
      <c r="M161" s="76">
        <f ca="1">$J$161-EFEITO!$K$161*EFEITO!$Y$161</f>
        <v>0</v>
      </c>
      <c r="N161" s="76">
        <f>$K$161-EFEITO!$M$161*EFEITO!$Z$161</f>
        <v>0</v>
      </c>
      <c r="O161" s="76">
        <f>$L$161-EFEITO!$O$161*EFEITO!$AA$161</f>
        <v>0</v>
      </c>
      <c r="P161" s="19"/>
      <c r="Q161" s="19"/>
      <c r="R161" s="19"/>
      <c r="S161" s="19"/>
      <c r="T161" s="19"/>
      <c r="U161" s="19"/>
      <c r="V161" s="19"/>
      <c r="W161" s="19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65" t="s">
        <v>54</v>
      </c>
      <c r="B162" s="65" t="s">
        <v>33</v>
      </c>
      <c r="C162" s="65" t="s">
        <v>34</v>
      </c>
      <c r="D162" s="65" t="s">
        <v>38</v>
      </c>
      <c r="E162" s="65" t="s">
        <v>25</v>
      </c>
      <c r="F162" s="65" t="s">
        <v>25</v>
      </c>
      <c r="G162" s="65" t="s">
        <v>25</v>
      </c>
      <c r="H162" s="65" t="s">
        <v>25</v>
      </c>
      <c r="I162" s="75">
        <v>44621</v>
      </c>
      <c r="J162" s="76">
        <f ca="1">EFEITO!$J$162*EFEITO!$Y$162</f>
        <v>6552.3380552862554</v>
      </c>
      <c r="K162" s="76">
        <f>EFEITO!$L$162*EFEITO!$Z$162</f>
        <v>0</v>
      </c>
      <c r="L162" s="76">
        <f>EFEITO!$N$162*EFEITO!$AA$162</f>
        <v>0</v>
      </c>
      <c r="M162" s="76">
        <f ca="1">$J$162-EFEITO!$K$162*EFEITO!$Y$162</f>
        <v>0</v>
      </c>
      <c r="N162" s="76">
        <f>$K$162-EFEITO!$M$162*EFEITO!$Z$162</f>
        <v>0</v>
      </c>
      <c r="O162" s="76">
        <f>$L$162-EFEITO!$O$162*EFEITO!$AA$162</f>
        <v>0</v>
      </c>
      <c r="P162" s="19"/>
      <c r="Q162" s="19"/>
      <c r="R162" s="19"/>
      <c r="S162" s="19"/>
      <c r="T162" s="19"/>
      <c r="U162" s="19"/>
      <c r="V162" s="19"/>
      <c r="W162" s="19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65" t="s">
        <v>21</v>
      </c>
      <c r="B163" s="65" t="s">
        <v>33</v>
      </c>
      <c r="C163" s="65" t="s">
        <v>34</v>
      </c>
      <c r="D163" s="65" t="s">
        <v>38</v>
      </c>
      <c r="E163" s="65" t="s">
        <v>25</v>
      </c>
      <c r="F163" s="65" t="s">
        <v>25</v>
      </c>
      <c r="G163" s="65" t="s">
        <v>25</v>
      </c>
      <c r="H163" s="65" t="s">
        <v>35</v>
      </c>
      <c r="I163" s="75">
        <v>44287</v>
      </c>
      <c r="J163" s="76">
        <f>EFEITO!$J$163*EFEITO!$Y$163</f>
        <v>0</v>
      </c>
      <c r="K163" s="76">
        <f ca="1">EFEITO!$L$163*EFEITO!$Z$163</f>
        <v>199236.86584555314</v>
      </c>
      <c r="L163" s="76">
        <f>EFEITO!$N$163*EFEITO!$AA$163</f>
        <v>18266.941251774031</v>
      </c>
      <c r="M163" s="76">
        <f>$J$163-EFEITO!$K$163*EFEITO!$Y$163</f>
        <v>0</v>
      </c>
      <c r="N163" s="76">
        <f ca="1">$K$163-EFEITO!$M$163*EFEITO!$Z$163</f>
        <v>0</v>
      </c>
      <c r="O163" s="76">
        <f>$L$163-EFEITO!$O$163*EFEITO!$AA$163</f>
        <v>0</v>
      </c>
      <c r="P163" s="19"/>
      <c r="Q163" s="19"/>
      <c r="R163" s="19"/>
      <c r="S163" s="19"/>
      <c r="T163" s="19"/>
      <c r="U163" s="19"/>
      <c r="V163" s="19"/>
      <c r="W163" s="19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65" t="s">
        <v>21</v>
      </c>
      <c r="B164" s="65" t="s">
        <v>33</v>
      </c>
      <c r="C164" s="65" t="s">
        <v>34</v>
      </c>
      <c r="D164" s="65" t="s">
        <v>38</v>
      </c>
      <c r="E164" s="65" t="s">
        <v>25</v>
      </c>
      <c r="F164" s="65" t="s">
        <v>25</v>
      </c>
      <c r="G164" s="65" t="s">
        <v>25</v>
      </c>
      <c r="H164" s="65" t="s">
        <v>35</v>
      </c>
      <c r="I164" s="75">
        <v>44317</v>
      </c>
      <c r="J164" s="76">
        <f>EFEITO!$J$164*EFEITO!$Y$164</f>
        <v>0</v>
      </c>
      <c r="K164" s="76">
        <f ca="1">EFEITO!$L$164*EFEITO!$Z$164</f>
        <v>142489.39453682222</v>
      </c>
      <c r="L164" s="76">
        <f>EFEITO!$N$164*EFEITO!$AA$164</f>
        <v>13064.075204950717</v>
      </c>
      <c r="M164" s="76">
        <f>$J$164-EFEITO!$K$164*EFEITO!$Y$164</f>
        <v>0</v>
      </c>
      <c r="N164" s="76">
        <f ca="1">$K$164-EFEITO!$M$164*EFEITO!$Z$164</f>
        <v>0</v>
      </c>
      <c r="O164" s="76">
        <f>$L$164-EFEITO!$O$164*EFEITO!$AA$164</f>
        <v>0</v>
      </c>
      <c r="P164" s="19"/>
      <c r="Q164" s="19"/>
      <c r="R164" s="19"/>
      <c r="S164" s="19"/>
      <c r="T164" s="19"/>
      <c r="U164" s="19"/>
      <c r="V164" s="19"/>
      <c r="W164" s="19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65" t="s">
        <v>21</v>
      </c>
      <c r="B165" s="65" t="s">
        <v>33</v>
      </c>
      <c r="C165" s="65" t="s">
        <v>34</v>
      </c>
      <c r="D165" s="65" t="s">
        <v>38</v>
      </c>
      <c r="E165" s="65" t="s">
        <v>25</v>
      </c>
      <c r="F165" s="65" t="s">
        <v>25</v>
      </c>
      <c r="G165" s="65" t="s">
        <v>25</v>
      </c>
      <c r="H165" s="65" t="s">
        <v>35</v>
      </c>
      <c r="I165" s="75">
        <v>44348</v>
      </c>
      <c r="J165" s="76">
        <f>EFEITO!$J$165*EFEITO!$Y$165</f>
        <v>0</v>
      </c>
      <c r="K165" s="76">
        <f ca="1">EFEITO!$L$165*EFEITO!$Z$165</f>
        <v>71867.78720937157</v>
      </c>
      <c r="L165" s="76">
        <f>EFEITO!$N$165*EFEITO!$AA$165</f>
        <v>6589.165319766993</v>
      </c>
      <c r="M165" s="76">
        <f>$J$165-EFEITO!$K$165*EFEITO!$Y$165</f>
        <v>0</v>
      </c>
      <c r="N165" s="76">
        <f ca="1">$K$165-EFEITO!$M$165*EFEITO!$Z$165</f>
        <v>0</v>
      </c>
      <c r="O165" s="76">
        <f>$L$165-EFEITO!$O$165*EFEITO!$AA$165</f>
        <v>0</v>
      </c>
      <c r="P165" s="19"/>
      <c r="Q165" s="19"/>
      <c r="R165" s="19"/>
      <c r="S165" s="19"/>
      <c r="T165" s="19"/>
      <c r="U165" s="19"/>
      <c r="V165" s="19"/>
      <c r="W165" s="19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65" t="s">
        <v>21</v>
      </c>
      <c r="B166" s="65" t="s">
        <v>33</v>
      </c>
      <c r="C166" s="65" t="s">
        <v>34</v>
      </c>
      <c r="D166" s="65" t="s">
        <v>38</v>
      </c>
      <c r="E166" s="65" t="s">
        <v>25</v>
      </c>
      <c r="F166" s="65" t="s">
        <v>25</v>
      </c>
      <c r="G166" s="65" t="s">
        <v>25</v>
      </c>
      <c r="H166" s="65" t="s">
        <v>35</v>
      </c>
      <c r="I166" s="75">
        <v>44378</v>
      </c>
      <c r="J166" s="76">
        <f>EFEITO!$J$166*EFEITO!$Y$166</f>
        <v>0</v>
      </c>
      <c r="K166" s="76">
        <f ca="1">EFEITO!$L$166*EFEITO!$Z$166</f>
        <v>50967.57033258336</v>
      </c>
      <c r="L166" s="76">
        <f>EFEITO!$N$166*EFEITO!$AA$166</f>
        <v>4672.9384597561475</v>
      </c>
      <c r="M166" s="76">
        <f>$J$166-EFEITO!$K$166*EFEITO!$Y$166</f>
        <v>0</v>
      </c>
      <c r="N166" s="76">
        <f ca="1">$K$166-EFEITO!$M$166*EFEITO!$Z$166</f>
        <v>0</v>
      </c>
      <c r="O166" s="76">
        <f>$L$166-EFEITO!$O$166*EFEITO!$AA$166</f>
        <v>0</v>
      </c>
      <c r="P166" s="19"/>
      <c r="Q166" s="19"/>
      <c r="R166" s="19"/>
      <c r="S166" s="19"/>
      <c r="T166" s="19"/>
      <c r="U166" s="19"/>
      <c r="V166" s="19"/>
      <c r="W166" s="19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65" t="s">
        <v>21</v>
      </c>
      <c r="B167" s="65" t="s">
        <v>33</v>
      </c>
      <c r="C167" s="65" t="s">
        <v>34</v>
      </c>
      <c r="D167" s="65" t="s">
        <v>38</v>
      </c>
      <c r="E167" s="65" t="s">
        <v>25</v>
      </c>
      <c r="F167" s="65" t="s">
        <v>25</v>
      </c>
      <c r="G167" s="65" t="s">
        <v>25</v>
      </c>
      <c r="H167" s="65" t="s">
        <v>35</v>
      </c>
      <c r="I167" s="75">
        <v>44409</v>
      </c>
      <c r="J167" s="76">
        <f>EFEITO!$J$167*EFEITO!$Y$167</f>
        <v>0</v>
      </c>
      <c r="K167" s="76">
        <f ca="1">EFEITO!$L$167*EFEITO!$Z$167</f>
        <v>38334.866843853444</v>
      </c>
      <c r="L167" s="76">
        <f>EFEITO!$N$167*EFEITO!$AA$167</f>
        <v>3514.7147971805966</v>
      </c>
      <c r="M167" s="76">
        <f>$J$167-EFEITO!$K$167*EFEITO!$Y$167</f>
        <v>0</v>
      </c>
      <c r="N167" s="76">
        <f ca="1">$K$167-EFEITO!$M$167*EFEITO!$Z$167</f>
        <v>0</v>
      </c>
      <c r="O167" s="76">
        <f>$L$167-EFEITO!$O$167*EFEITO!$AA$167</f>
        <v>0</v>
      </c>
      <c r="P167" s="19"/>
      <c r="Q167" s="19"/>
      <c r="R167" s="19"/>
      <c r="S167" s="19"/>
      <c r="T167" s="19"/>
      <c r="U167" s="19"/>
      <c r="V167" s="19"/>
      <c r="W167" s="19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65" t="s">
        <v>28</v>
      </c>
      <c r="B168" s="65" t="s">
        <v>33</v>
      </c>
      <c r="C168" s="65" t="s">
        <v>34</v>
      </c>
      <c r="D168" s="65" t="s">
        <v>38</v>
      </c>
      <c r="E168" s="65" t="s">
        <v>25</v>
      </c>
      <c r="F168" s="65" t="s">
        <v>25</v>
      </c>
      <c r="G168" s="65" t="s">
        <v>25</v>
      </c>
      <c r="H168" s="65" t="s">
        <v>35</v>
      </c>
      <c r="I168" s="75">
        <v>44409</v>
      </c>
      <c r="J168" s="76">
        <f>EFEITO!$J$168*EFEITO!$Y$168</f>
        <v>0</v>
      </c>
      <c r="K168" s="76">
        <f ca="1">EFEITO!$L$168*EFEITO!$Z$168</f>
        <v>15134.557956434031</v>
      </c>
      <c r="L168" s="76">
        <f>EFEITO!$N$168*EFEITO!$AA$168</f>
        <v>1387.6050493389157</v>
      </c>
      <c r="M168" s="76">
        <f>$J$168-EFEITO!$K$168*EFEITO!$Y$168</f>
        <v>0</v>
      </c>
      <c r="N168" s="76">
        <f ca="1">$K$168-EFEITO!$M$168*EFEITO!$Z$168</f>
        <v>0</v>
      </c>
      <c r="O168" s="76">
        <f>$L$168-EFEITO!$O$168*EFEITO!$AA$168</f>
        <v>0</v>
      </c>
      <c r="P168" s="19"/>
      <c r="Q168" s="19"/>
      <c r="R168" s="19"/>
      <c r="S168" s="19"/>
      <c r="T168" s="19"/>
      <c r="U168" s="19"/>
      <c r="V168" s="19"/>
      <c r="W168" s="19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65" t="s">
        <v>21</v>
      </c>
      <c r="B169" s="65" t="s">
        <v>33</v>
      </c>
      <c r="C169" s="65" t="s">
        <v>34</v>
      </c>
      <c r="D169" s="65" t="s">
        <v>38</v>
      </c>
      <c r="E169" s="65" t="s">
        <v>25</v>
      </c>
      <c r="F169" s="65" t="s">
        <v>25</v>
      </c>
      <c r="G169" s="65" t="s">
        <v>25</v>
      </c>
      <c r="H169" s="65" t="s">
        <v>35</v>
      </c>
      <c r="I169" s="75">
        <v>44440</v>
      </c>
      <c r="J169" s="76">
        <f>EFEITO!$J$169*EFEITO!$Y$169</f>
        <v>0</v>
      </c>
      <c r="K169" s="76">
        <f ca="1">EFEITO!$L$169*EFEITO!$Z$169</f>
        <v>45733.614828515441</v>
      </c>
      <c r="L169" s="76">
        <f>EFEITO!$N$169*EFEITO!$AA$169</f>
        <v>4193.0656345064126</v>
      </c>
      <c r="M169" s="76">
        <f>$J$169-EFEITO!$K$169*EFEITO!$Y$169</f>
        <v>0</v>
      </c>
      <c r="N169" s="76">
        <f ca="1">$K$169-EFEITO!$M$169*EFEITO!$Z$169</f>
        <v>0</v>
      </c>
      <c r="O169" s="76">
        <f>$L$169-EFEITO!$O$169*EFEITO!$AA$169</f>
        <v>0</v>
      </c>
      <c r="P169" s="19"/>
      <c r="Q169" s="19"/>
      <c r="R169" s="19"/>
      <c r="S169" s="19"/>
      <c r="T169" s="19"/>
      <c r="U169" s="19"/>
      <c r="V169" s="19"/>
      <c r="W169" s="19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65" t="s">
        <v>28</v>
      </c>
      <c r="B170" s="65" t="s">
        <v>33</v>
      </c>
      <c r="C170" s="65" t="s">
        <v>34</v>
      </c>
      <c r="D170" s="65" t="s">
        <v>38</v>
      </c>
      <c r="E170" s="65" t="s">
        <v>25</v>
      </c>
      <c r="F170" s="65" t="s">
        <v>25</v>
      </c>
      <c r="G170" s="65" t="s">
        <v>25</v>
      </c>
      <c r="H170" s="65" t="s">
        <v>35</v>
      </c>
      <c r="I170" s="75">
        <v>44440</v>
      </c>
      <c r="J170" s="76">
        <f>EFEITO!$J$170*EFEITO!$Y$170</f>
        <v>0</v>
      </c>
      <c r="K170" s="76">
        <f ca="1">EFEITO!$L$170*EFEITO!$Z$170</f>
        <v>15623.535205340149</v>
      </c>
      <c r="L170" s="76">
        <f>EFEITO!$N$170*EFEITO!$AA$170</f>
        <v>1432.4367055753987</v>
      </c>
      <c r="M170" s="76">
        <f>$J$170-EFEITO!$K$170*EFEITO!$Y$170</f>
        <v>0</v>
      </c>
      <c r="N170" s="76">
        <f ca="1">$K$170-EFEITO!$M$170*EFEITO!$Z$170</f>
        <v>0</v>
      </c>
      <c r="O170" s="76">
        <f>$L$170-EFEITO!$O$170*EFEITO!$AA$170</f>
        <v>0</v>
      </c>
      <c r="P170" s="19"/>
      <c r="Q170" s="19"/>
      <c r="R170" s="19"/>
      <c r="S170" s="19"/>
      <c r="T170" s="19"/>
      <c r="U170" s="19"/>
      <c r="V170" s="19"/>
      <c r="W170" s="19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65" t="s">
        <v>21</v>
      </c>
      <c r="B171" s="65" t="s">
        <v>33</v>
      </c>
      <c r="C171" s="65" t="s">
        <v>34</v>
      </c>
      <c r="D171" s="65" t="s">
        <v>38</v>
      </c>
      <c r="E171" s="65" t="s">
        <v>25</v>
      </c>
      <c r="F171" s="65" t="s">
        <v>25</v>
      </c>
      <c r="G171" s="65" t="s">
        <v>25</v>
      </c>
      <c r="H171" s="65" t="s">
        <v>35</v>
      </c>
      <c r="I171" s="75">
        <v>44470</v>
      </c>
      <c r="J171" s="76">
        <f>EFEITO!$J$171*EFEITO!$Y$171</f>
        <v>0</v>
      </c>
      <c r="K171" s="76">
        <f ca="1">EFEITO!$L$171*EFEITO!$Z$171</f>
        <v>34292.496674498499</v>
      </c>
      <c r="L171" s="76">
        <f>EFEITO!$N$171*EFEITO!$AA$171</f>
        <v>3144.091930332389</v>
      </c>
      <c r="M171" s="76">
        <f>$J$171-EFEITO!$K$171*EFEITO!$Y$171</f>
        <v>0</v>
      </c>
      <c r="N171" s="76">
        <f ca="1">$K$171-EFEITO!$M$171*EFEITO!$Z$171</f>
        <v>0</v>
      </c>
      <c r="O171" s="76">
        <f>$L$171-EFEITO!$O$171*EFEITO!$AA$171</f>
        <v>0</v>
      </c>
      <c r="P171" s="19"/>
      <c r="Q171" s="19"/>
      <c r="R171" s="19"/>
      <c r="S171" s="19"/>
      <c r="T171" s="19"/>
      <c r="U171" s="19"/>
      <c r="V171" s="19"/>
      <c r="W171" s="19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65" t="s">
        <v>28</v>
      </c>
      <c r="B172" s="65" t="s">
        <v>33</v>
      </c>
      <c r="C172" s="65" t="s">
        <v>34</v>
      </c>
      <c r="D172" s="65" t="s">
        <v>38</v>
      </c>
      <c r="E172" s="65" t="s">
        <v>25</v>
      </c>
      <c r="F172" s="65" t="s">
        <v>25</v>
      </c>
      <c r="G172" s="65" t="s">
        <v>25</v>
      </c>
      <c r="H172" s="65" t="s">
        <v>35</v>
      </c>
      <c r="I172" s="75">
        <v>44470</v>
      </c>
      <c r="J172" s="76">
        <f>EFEITO!$J$172*EFEITO!$Y$172</f>
        <v>0</v>
      </c>
      <c r="K172" s="76">
        <f ca="1">EFEITO!$L$172*EFEITO!$Z$172</f>
        <v>12414.325299898053</v>
      </c>
      <c r="L172" s="76">
        <f>EFEITO!$N$172*EFEITO!$AA$172</f>
        <v>1138.2017578485775</v>
      </c>
      <c r="M172" s="76">
        <f>$J$172-EFEITO!$K$172*EFEITO!$Y$172</f>
        <v>0</v>
      </c>
      <c r="N172" s="76">
        <f ca="1">$K$172-EFEITO!$M$172*EFEITO!$Z$172</f>
        <v>0</v>
      </c>
      <c r="O172" s="76">
        <f>$L$172-EFEITO!$O$172*EFEITO!$AA$172</f>
        <v>0</v>
      </c>
      <c r="P172" s="19"/>
      <c r="Q172" s="19"/>
      <c r="R172" s="19"/>
      <c r="S172" s="19"/>
      <c r="T172" s="19"/>
      <c r="U172" s="19"/>
      <c r="V172" s="19"/>
      <c r="W172" s="19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65" t="s">
        <v>21</v>
      </c>
      <c r="B173" s="65" t="s">
        <v>33</v>
      </c>
      <c r="C173" s="65" t="s">
        <v>34</v>
      </c>
      <c r="D173" s="65" t="s">
        <v>38</v>
      </c>
      <c r="E173" s="65" t="s">
        <v>25</v>
      </c>
      <c r="F173" s="65" t="s">
        <v>25</v>
      </c>
      <c r="G173" s="65" t="s">
        <v>25</v>
      </c>
      <c r="H173" s="65" t="s">
        <v>35</v>
      </c>
      <c r="I173" s="75">
        <v>44501</v>
      </c>
      <c r="J173" s="76">
        <f>EFEITO!$J$173*EFEITO!$Y$173</f>
        <v>0</v>
      </c>
      <c r="K173" s="76">
        <f ca="1">EFEITO!$L$173*EFEITO!$Z$173</f>
        <v>39804.172266537367</v>
      </c>
      <c r="L173" s="76">
        <f>EFEITO!$N$173*EFEITO!$AA$173</f>
        <v>3649.4273952892527</v>
      </c>
      <c r="M173" s="76">
        <f>$J$173-EFEITO!$K$173*EFEITO!$Y$173</f>
        <v>0</v>
      </c>
      <c r="N173" s="76">
        <f ca="1">$K$173-EFEITO!$M$173*EFEITO!$Z$173</f>
        <v>0</v>
      </c>
      <c r="O173" s="76">
        <f>$L$173-EFEITO!$O$173*EFEITO!$AA$173</f>
        <v>0</v>
      </c>
      <c r="P173" s="19"/>
      <c r="Q173" s="19"/>
      <c r="R173" s="19"/>
      <c r="S173" s="19"/>
      <c r="T173" s="19"/>
      <c r="U173" s="19"/>
      <c r="V173" s="19"/>
      <c r="W173" s="19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65" t="s">
        <v>28</v>
      </c>
      <c r="B174" s="65" t="s">
        <v>33</v>
      </c>
      <c r="C174" s="65" t="s">
        <v>34</v>
      </c>
      <c r="D174" s="65" t="s">
        <v>38</v>
      </c>
      <c r="E174" s="65" t="s">
        <v>25</v>
      </c>
      <c r="F174" s="65" t="s">
        <v>25</v>
      </c>
      <c r="G174" s="65" t="s">
        <v>25</v>
      </c>
      <c r="H174" s="65" t="s">
        <v>35</v>
      </c>
      <c r="I174" s="75">
        <v>44501</v>
      </c>
      <c r="J174" s="76">
        <f>EFEITO!$J$174*EFEITO!$Y$174</f>
        <v>0</v>
      </c>
      <c r="K174" s="76">
        <f ca="1">EFEITO!$L$174*EFEITO!$Z$174</f>
        <v>13366.169362089089</v>
      </c>
      <c r="L174" s="76">
        <f>EFEITO!$N$174*EFEITO!$AA$174</f>
        <v>1225.4711469302752</v>
      </c>
      <c r="M174" s="76">
        <f>$J$174-EFEITO!$K$174*EFEITO!$Y$174</f>
        <v>0</v>
      </c>
      <c r="N174" s="76">
        <f ca="1">$K$174-EFEITO!$M$174*EFEITO!$Z$174</f>
        <v>0</v>
      </c>
      <c r="O174" s="76">
        <f>$L$174-EFEITO!$O$174*EFEITO!$AA$174</f>
        <v>0</v>
      </c>
      <c r="P174" s="19"/>
      <c r="Q174" s="19"/>
      <c r="R174" s="19"/>
      <c r="S174" s="19"/>
      <c r="T174" s="19"/>
      <c r="U174" s="19"/>
      <c r="V174" s="19"/>
      <c r="W174" s="19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65" t="s">
        <v>21</v>
      </c>
      <c r="B175" s="65" t="s">
        <v>33</v>
      </c>
      <c r="C175" s="65" t="s">
        <v>34</v>
      </c>
      <c r="D175" s="65" t="s">
        <v>38</v>
      </c>
      <c r="E175" s="65" t="s">
        <v>25</v>
      </c>
      <c r="F175" s="65" t="s">
        <v>25</v>
      </c>
      <c r="G175" s="65" t="s">
        <v>25</v>
      </c>
      <c r="H175" s="65" t="s">
        <v>35</v>
      </c>
      <c r="I175" s="75">
        <v>44531</v>
      </c>
      <c r="J175" s="76">
        <f>EFEITO!$J$175*EFEITO!$Y$175</f>
        <v>0</v>
      </c>
      <c r="K175" s="76">
        <f ca="1">EFEITO!$L$175*EFEITO!$Z$175</f>
        <v>45379.937109646453</v>
      </c>
      <c r="L175" s="76">
        <f>EFEITO!$N$175*EFEITO!$AA$175</f>
        <v>4160.6388540246844</v>
      </c>
      <c r="M175" s="76">
        <f>$J$175-EFEITO!$K$175*EFEITO!$Y$175</f>
        <v>0</v>
      </c>
      <c r="N175" s="76">
        <f ca="1">$K$175-EFEITO!$M$175*EFEITO!$Z$175</f>
        <v>0</v>
      </c>
      <c r="O175" s="76">
        <f>$L$175-EFEITO!$O$175*EFEITO!$AA$175</f>
        <v>0</v>
      </c>
      <c r="P175" s="19"/>
      <c r="Q175" s="19"/>
      <c r="R175" s="19"/>
      <c r="S175" s="19"/>
      <c r="T175" s="19"/>
      <c r="U175" s="19"/>
      <c r="V175" s="19"/>
      <c r="W175" s="19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65" t="s">
        <v>28</v>
      </c>
      <c r="B176" s="65" t="s">
        <v>33</v>
      </c>
      <c r="C176" s="65" t="s">
        <v>34</v>
      </c>
      <c r="D176" s="65" t="s">
        <v>38</v>
      </c>
      <c r="E176" s="65" t="s">
        <v>25</v>
      </c>
      <c r="F176" s="65" t="s">
        <v>25</v>
      </c>
      <c r="G176" s="65" t="s">
        <v>25</v>
      </c>
      <c r="H176" s="65" t="s">
        <v>35</v>
      </c>
      <c r="I176" s="75">
        <v>44531</v>
      </c>
      <c r="J176" s="76">
        <f>EFEITO!$J$176*EFEITO!$Y$176</f>
        <v>0</v>
      </c>
      <c r="K176" s="76">
        <f ca="1">EFEITO!$L$176*EFEITO!$Z$176</f>
        <v>16060.291583003866</v>
      </c>
      <c r="L176" s="76">
        <f>EFEITO!$N$176*EFEITO!$AA$176</f>
        <v>1472.4805150293448</v>
      </c>
      <c r="M176" s="76">
        <f>$J$176-EFEITO!$K$176*EFEITO!$Y$176</f>
        <v>0</v>
      </c>
      <c r="N176" s="76">
        <f ca="1">$K$176-EFEITO!$M$176*EFEITO!$Z$176</f>
        <v>0</v>
      </c>
      <c r="O176" s="76">
        <f>$L$176-EFEITO!$O$176*EFEITO!$AA$176</f>
        <v>0</v>
      </c>
      <c r="P176" s="19"/>
      <c r="Q176" s="19"/>
      <c r="R176" s="19"/>
      <c r="S176" s="19"/>
      <c r="T176" s="19"/>
      <c r="U176" s="19"/>
      <c r="V176" s="19"/>
      <c r="W176" s="19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65" t="s">
        <v>21</v>
      </c>
      <c r="B177" s="65" t="s">
        <v>33</v>
      </c>
      <c r="C177" s="65" t="s">
        <v>34</v>
      </c>
      <c r="D177" s="65" t="s">
        <v>38</v>
      </c>
      <c r="E177" s="65" t="s">
        <v>25</v>
      </c>
      <c r="F177" s="65" t="s">
        <v>25</v>
      </c>
      <c r="G177" s="65" t="s">
        <v>25</v>
      </c>
      <c r="H177" s="65" t="s">
        <v>35</v>
      </c>
      <c r="I177" s="75">
        <v>44562</v>
      </c>
      <c r="J177" s="76">
        <f>EFEITO!$J$177*EFEITO!$Y$177</f>
        <v>0</v>
      </c>
      <c r="K177" s="76">
        <f ca="1">EFEITO!$L$177*EFEITO!$Z$177</f>
        <v>41036.110092664916</v>
      </c>
      <c r="L177" s="76">
        <f>EFEITO!$N$177*EFEITO!$AA$177</f>
        <v>3762.3770534772857</v>
      </c>
      <c r="M177" s="76">
        <f>$J$177-EFEITO!$K$177*EFEITO!$Y$177</f>
        <v>0</v>
      </c>
      <c r="N177" s="76">
        <f ca="1">$K$177-EFEITO!$M$177*EFEITO!$Z$177</f>
        <v>0</v>
      </c>
      <c r="O177" s="76">
        <f>$L$177-EFEITO!$O$177*EFEITO!$AA$177</f>
        <v>0</v>
      </c>
      <c r="P177" s="19"/>
      <c r="Q177" s="19"/>
      <c r="R177" s="19"/>
      <c r="S177" s="19"/>
      <c r="T177" s="19"/>
      <c r="U177" s="19"/>
      <c r="V177" s="19"/>
      <c r="W177" s="19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65" t="s">
        <v>28</v>
      </c>
      <c r="B178" s="65" t="s">
        <v>33</v>
      </c>
      <c r="C178" s="65" t="s">
        <v>34</v>
      </c>
      <c r="D178" s="65" t="s">
        <v>38</v>
      </c>
      <c r="E178" s="65" t="s">
        <v>25</v>
      </c>
      <c r="F178" s="65" t="s">
        <v>25</v>
      </c>
      <c r="G178" s="65" t="s">
        <v>25</v>
      </c>
      <c r="H178" s="65" t="s">
        <v>35</v>
      </c>
      <c r="I178" s="75">
        <v>44562</v>
      </c>
      <c r="J178" s="76">
        <f>EFEITO!$J$178*EFEITO!$Y$178</f>
        <v>0</v>
      </c>
      <c r="K178" s="76">
        <f ca="1">EFEITO!$L$178*EFEITO!$Z$178</f>
        <v>14078.272151758192</v>
      </c>
      <c r="L178" s="76">
        <f>EFEITO!$N$178*EFEITO!$AA$178</f>
        <v>1290.7599666921437</v>
      </c>
      <c r="M178" s="76">
        <f>$J$178-EFEITO!$K$178*EFEITO!$Y$178</f>
        <v>0</v>
      </c>
      <c r="N178" s="76">
        <f ca="1">$K$178-EFEITO!$M$178*EFEITO!$Z$178</f>
        <v>0</v>
      </c>
      <c r="O178" s="76">
        <f>$L$178-EFEITO!$O$178*EFEITO!$AA$178</f>
        <v>0</v>
      </c>
      <c r="P178" s="19"/>
      <c r="Q178" s="19"/>
      <c r="R178" s="19"/>
      <c r="S178" s="19"/>
      <c r="T178" s="19"/>
      <c r="U178" s="19"/>
      <c r="V178" s="19"/>
      <c r="W178" s="19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65" t="s">
        <v>21</v>
      </c>
      <c r="B179" s="65" t="s">
        <v>33</v>
      </c>
      <c r="C179" s="65" t="s">
        <v>34</v>
      </c>
      <c r="D179" s="65" t="s">
        <v>38</v>
      </c>
      <c r="E179" s="65" t="s">
        <v>25</v>
      </c>
      <c r="F179" s="65" t="s">
        <v>25</v>
      </c>
      <c r="G179" s="65" t="s">
        <v>25</v>
      </c>
      <c r="H179" s="65" t="s">
        <v>35</v>
      </c>
      <c r="I179" s="75">
        <v>44593</v>
      </c>
      <c r="J179" s="76">
        <f>EFEITO!$J$179*EFEITO!$Y$179</f>
        <v>0</v>
      </c>
      <c r="K179" s="76">
        <f ca="1">EFEITO!$L$179*EFEITO!$Z$179</f>
        <v>46186.986937938105</v>
      </c>
      <c r="L179" s="76">
        <f>EFEITO!$N$179*EFEITO!$AA$179</f>
        <v>4234.632849754802</v>
      </c>
      <c r="M179" s="76">
        <f>$J$179-EFEITO!$K$179*EFEITO!$Y$179</f>
        <v>0</v>
      </c>
      <c r="N179" s="76">
        <f ca="1">$K$179-EFEITO!$M$179*EFEITO!$Z$179</f>
        <v>0</v>
      </c>
      <c r="O179" s="76">
        <f>$L$179-EFEITO!$O$179*EFEITO!$AA$179</f>
        <v>0</v>
      </c>
      <c r="P179" s="19"/>
      <c r="Q179" s="19"/>
      <c r="R179" s="19"/>
      <c r="S179" s="19"/>
      <c r="T179" s="19"/>
      <c r="U179" s="19"/>
      <c r="V179" s="19"/>
      <c r="W179" s="19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65" t="s">
        <v>28</v>
      </c>
      <c r="B180" s="65" t="s">
        <v>33</v>
      </c>
      <c r="C180" s="65" t="s">
        <v>34</v>
      </c>
      <c r="D180" s="65" t="s">
        <v>38</v>
      </c>
      <c r="E180" s="65" t="s">
        <v>25</v>
      </c>
      <c r="F180" s="65" t="s">
        <v>25</v>
      </c>
      <c r="G180" s="65" t="s">
        <v>25</v>
      </c>
      <c r="H180" s="65" t="s">
        <v>35</v>
      </c>
      <c r="I180" s="75">
        <v>44593</v>
      </c>
      <c r="J180" s="76">
        <f>EFEITO!$J$180*EFEITO!$Y$180</f>
        <v>0</v>
      </c>
      <c r="K180" s="76">
        <f ca="1">EFEITO!$L$180*EFEITO!$Z$180</f>
        <v>20990.41656347963</v>
      </c>
      <c r="L180" s="76">
        <f>EFEITO!$N$180*EFEITO!$AA$180</f>
        <v>1924.4967771806823</v>
      </c>
      <c r="M180" s="76">
        <f>$J$180-EFEITO!$K$180*EFEITO!$Y$180</f>
        <v>0</v>
      </c>
      <c r="N180" s="76">
        <f ca="1">$K$180-EFEITO!$M$180*EFEITO!$Z$180</f>
        <v>0</v>
      </c>
      <c r="O180" s="76">
        <f>$L$180-EFEITO!$O$180*EFEITO!$AA$180</f>
        <v>0</v>
      </c>
      <c r="P180" s="19"/>
      <c r="Q180" s="19"/>
      <c r="R180" s="19"/>
      <c r="S180" s="19"/>
      <c r="T180" s="19"/>
      <c r="U180" s="19"/>
      <c r="V180" s="19"/>
      <c r="W180" s="19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65" t="s">
        <v>54</v>
      </c>
      <c r="B181" s="65" t="s">
        <v>33</v>
      </c>
      <c r="C181" s="65" t="s">
        <v>34</v>
      </c>
      <c r="D181" s="65" t="s">
        <v>38</v>
      </c>
      <c r="E181" s="65" t="s">
        <v>25</v>
      </c>
      <c r="F181" s="65" t="s">
        <v>25</v>
      </c>
      <c r="G181" s="65" t="s">
        <v>25</v>
      </c>
      <c r="H181" s="65" t="s">
        <v>35</v>
      </c>
      <c r="I181" s="75">
        <v>44621</v>
      </c>
      <c r="J181" s="76">
        <f>EFEITO!$J$181*EFEITO!$Y$181</f>
        <v>0</v>
      </c>
      <c r="K181" s="76">
        <f ca="1">EFEITO!$L$181*EFEITO!$Z$181</f>
        <v>46186.986937938105</v>
      </c>
      <c r="L181" s="76">
        <f>EFEITO!$N$181*EFEITO!$AA$181</f>
        <v>4234.632849754802</v>
      </c>
      <c r="M181" s="76">
        <f>$J$181-EFEITO!$K$181*EFEITO!$Y$181</f>
        <v>0</v>
      </c>
      <c r="N181" s="76">
        <f ca="1">$K$181-EFEITO!$M$181*EFEITO!$Z$181</f>
        <v>0</v>
      </c>
      <c r="O181" s="76">
        <f>$L$181-EFEITO!$O$181*EFEITO!$AA$181</f>
        <v>0</v>
      </c>
      <c r="P181" s="19"/>
      <c r="Q181" s="19"/>
      <c r="R181" s="19"/>
      <c r="S181" s="19"/>
      <c r="T181" s="19"/>
      <c r="U181" s="19"/>
      <c r="V181" s="19"/>
      <c r="W181" s="19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65" t="s">
        <v>54</v>
      </c>
      <c r="B182" s="65" t="s">
        <v>33</v>
      </c>
      <c r="C182" s="65" t="s">
        <v>34</v>
      </c>
      <c r="D182" s="65" t="s">
        <v>38</v>
      </c>
      <c r="E182" s="65" t="s">
        <v>25</v>
      </c>
      <c r="F182" s="65" t="s">
        <v>25</v>
      </c>
      <c r="G182" s="65" t="s">
        <v>25</v>
      </c>
      <c r="H182" s="65" t="s">
        <v>35</v>
      </c>
      <c r="I182" s="75">
        <v>44621</v>
      </c>
      <c r="J182" s="76">
        <f>EFEITO!$J$182*EFEITO!$Y$182</f>
        <v>0</v>
      </c>
      <c r="K182" s="76">
        <f ca="1">EFEITO!$L$182*EFEITO!$Z$182</f>
        <v>20990.41656347963</v>
      </c>
      <c r="L182" s="76">
        <f>EFEITO!$N$182*EFEITO!$AA$182</f>
        <v>1924.4967771806823</v>
      </c>
      <c r="M182" s="76">
        <f>$J$182-EFEITO!$K$182*EFEITO!$Y$182</f>
        <v>0</v>
      </c>
      <c r="N182" s="76">
        <f ca="1">$K$182-EFEITO!$M$182*EFEITO!$Z$182</f>
        <v>0</v>
      </c>
      <c r="O182" s="76">
        <f>$L$182-EFEITO!$O$182*EFEITO!$AA$182</f>
        <v>0</v>
      </c>
      <c r="P182" s="19"/>
      <c r="Q182" s="19"/>
      <c r="R182" s="19"/>
      <c r="S182" s="19"/>
      <c r="T182" s="19"/>
      <c r="U182" s="19"/>
      <c r="V182" s="19"/>
      <c r="W182" s="19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65" t="s">
        <v>21</v>
      </c>
      <c r="B183" s="65" t="s">
        <v>33</v>
      </c>
      <c r="C183" s="65" t="s">
        <v>34</v>
      </c>
      <c r="D183" s="65" t="s">
        <v>42</v>
      </c>
      <c r="E183" s="65" t="s">
        <v>25</v>
      </c>
      <c r="F183" s="65" t="s">
        <v>25</v>
      </c>
      <c r="G183" s="65" t="s">
        <v>25</v>
      </c>
      <c r="H183" s="65" t="s">
        <v>36</v>
      </c>
      <c r="I183" s="75">
        <v>44287</v>
      </c>
      <c r="J183" s="76">
        <f>EFEITO!$J$183*EFEITO!$Y$183</f>
        <v>0</v>
      </c>
      <c r="K183" s="76">
        <f ca="1">EFEITO!$L$183*EFEITO!$Z$183</f>
        <v>6872.9888920234062</v>
      </c>
      <c r="L183" s="76">
        <f>EFEITO!$N$183*EFEITO!$AA$183</f>
        <v>14479.101558589618</v>
      </c>
      <c r="M183" s="76">
        <f>$J$183-EFEITO!$K$183*EFEITO!$Y$183</f>
        <v>0</v>
      </c>
      <c r="N183" s="76">
        <f ca="1">$K$183-EFEITO!$M$183*EFEITO!$Z$183</f>
        <v>0</v>
      </c>
      <c r="O183" s="76">
        <f>$L$183-EFEITO!$O$183*EFEITO!$AA$183</f>
        <v>0</v>
      </c>
      <c r="P183" s="19"/>
      <c r="Q183" s="19"/>
      <c r="R183" s="19"/>
      <c r="S183" s="19"/>
      <c r="T183" s="19"/>
      <c r="U183" s="19"/>
      <c r="V183" s="19"/>
      <c r="W183" s="19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65" t="s">
        <v>21</v>
      </c>
      <c r="B184" s="65" t="s">
        <v>33</v>
      </c>
      <c r="C184" s="65" t="s">
        <v>34</v>
      </c>
      <c r="D184" s="65" t="s">
        <v>42</v>
      </c>
      <c r="E184" s="65" t="s">
        <v>25</v>
      </c>
      <c r="F184" s="65" t="s">
        <v>25</v>
      </c>
      <c r="G184" s="65" t="s">
        <v>25</v>
      </c>
      <c r="H184" s="65" t="s">
        <v>36</v>
      </c>
      <c r="I184" s="75">
        <v>44317</v>
      </c>
      <c r="J184" s="76">
        <f>EFEITO!$J$184*EFEITO!$Y$184</f>
        <v>0</v>
      </c>
      <c r="K184" s="76">
        <f ca="1">EFEITO!$L$184*EFEITO!$Z$184</f>
        <v>6557.9084615372958</v>
      </c>
      <c r="L184" s="76">
        <f>EFEITO!$N$184*EFEITO!$AA$184</f>
        <v>13815.331891010619</v>
      </c>
      <c r="M184" s="76">
        <f>$J$184-EFEITO!$K$184*EFEITO!$Y$184</f>
        <v>0</v>
      </c>
      <c r="N184" s="76">
        <f ca="1">$K$184-EFEITO!$M$184*EFEITO!$Z$184</f>
        <v>0</v>
      </c>
      <c r="O184" s="76">
        <f>$L$184-EFEITO!$O$184*EFEITO!$AA$184</f>
        <v>0</v>
      </c>
      <c r="P184" s="19"/>
      <c r="Q184" s="19"/>
      <c r="R184" s="19"/>
      <c r="S184" s="19"/>
      <c r="T184" s="19"/>
      <c r="U184" s="19"/>
      <c r="V184" s="19"/>
      <c r="W184" s="19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65" t="s">
        <v>21</v>
      </c>
      <c r="B185" s="65" t="s">
        <v>33</v>
      </c>
      <c r="C185" s="65" t="s">
        <v>34</v>
      </c>
      <c r="D185" s="65" t="s">
        <v>42</v>
      </c>
      <c r="E185" s="65" t="s">
        <v>25</v>
      </c>
      <c r="F185" s="65" t="s">
        <v>25</v>
      </c>
      <c r="G185" s="65" t="s">
        <v>25</v>
      </c>
      <c r="H185" s="65" t="s">
        <v>36</v>
      </c>
      <c r="I185" s="75">
        <v>44348</v>
      </c>
      <c r="J185" s="76">
        <f>EFEITO!$J$185*EFEITO!$Y$185</f>
        <v>0</v>
      </c>
      <c r="K185" s="76">
        <f ca="1">EFEITO!$L$185*EFEITO!$Z$185</f>
        <v>6838.1750870811693</v>
      </c>
      <c r="L185" s="76">
        <f>EFEITO!$N$185*EFEITO!$AA$185</f>
        <v>14405.760451057118</v>
      </c>
      <c r="M185" s="76">
        <f>$J$185-EFEITO!$K$185*EFEITO!$Y$185</f>
        <v>0</v>
      </c>
      <c r="N185" s="76">
        <f ca="1">$K$185-EFEITO!$M$185*EFEITO!$Z$185</f>
        <v>0</v>
      </c>
      <c r="O185" s="76">
        <f>$L$185-EFEITO!$O$185*EFEITO!$AA$185</f>
        <v>0</v>
      </c>
      <c r="P185" s="19"/>
      <c r="Q185" s="19"/>
      <c r="R185" s="19"/>
      <c r="S185" s="19"/>
      <c r="T185" s="19"/>
      <c r="U185" s="19"/>
      <c r="V185" s="19"/>
      <c r="W185" s="19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65" t="s">
        <v>21</v>
      </c>
      <c r="B186" s="65" t="s">
        <v>33</v>
      </c>
      <c r="C186" s="65" t="s">
        <v>34</v>
      </c>
      <c r="D186" s="65" t="s">
        <v>42</v>
      </c>
      <c r="E186" s="65" t="s">
        <v>25</v>
      </c>
      <c r="F186" s="65" t="s">
        <v>25</v>
      </c>
      <c r="G186" s="65" t="s">
        <v>25</v>
      </c>
      <c r="H186" s="65" t="s">
        <v>36</v>
      </c>
      <c r="I186" s="75">
        <v>44378</v>
      </c>
      <c r="J186" s="76">
        <f>EFEITO!$J$186*EFEITO!$Y$186</f>
        <v>0</v>
      </c>
      <c r="K186" s="76">
        <f ca="1">EFEITO!$L$186*EFEITO!$Z$186</f>
        <v>6568.2389674548731</v>
      </c>
      <c r="L186" s="76">
        <f>EFEITO!$N$186*EFEITO!$AA$186</f>
        <v>13837.094830931243</v>
      </c>
      <c r="M186" s="76">
        <f>$J$186-EFEITO!$K$186*EFEITO!$Y$186</f>
        <v>0</v>
      </c>
      <c r="N186" s="76">
        <f ca="1">$K$186-EFEITO!$M$186*EFEITO!$Z$186</f>
        <v>0</v>
      </c>
      <c r="O186" s="76">
        <f>$L$186-EFEITO!$O$186*EFEITO!$AA$186</f>
        <v>0</v>
      </c>
      <c r="P186" s="19"/>
      <c r="Q186" s="19"/>
      <c r="R186" s="19"/>
      <c r="S186" s="19"/>
      <c r="T186" s="19"/>
      <c r="U186" s="19"/>
      <c r="V186" s="19"/>
      <c r="W186" s="19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65" t="s">
        <v>21</v>
      </c>
      <c r="B187" s="65" t="s">
        <v>33</v>
      </c>
      <c r="C187" s="65" t="s">
        <v>34</v>
      </c>
      <c r="D187" s="65" t="s">
        <v>42</v>
      </c>
      <c r="E187" s="65" t="s">
        <v>25</v>
      </c>
      <c r="F187" s="65" t="s">
        <v>25</v>
      </c>
      <c r="G187" s="65" t="s">
        <v>25</v>
      </c>
      <c r="H187" s="65" t="s">
        <v>36</v>
      </c>
      <c r="I187" s="75">
        <v>44409</v>
      </c>
      <c r="J187" s="76">
        <f>EFEITO!$J$187*EFEITO!$Y$187</f>
        <v>0</v>
      </c>
      <c r="K187" s="76">
        <f ca="1">EFEITO!$L$187*EFEITO!$Z$187</f>
        <v>6924.2282013745889</v>
      </c>
      <c r="L187" s="76">
        <f>EFEITO!$N$187*EFEITO!$AA$187</f>
        <v>14587.045740595906</v>
      </c>
      <c r="M187" s="76">
        <f>$J$187-EFEITO!$K$187*EFEITO!$Y$187</f>
        <v>0</v>
      </c>
      <c r="N187" s="76">
        <f ca="1">$K$187-EFEITO!$M$187*EFEITO!$Z$187</f>
        <v>0</v>
      </c>
      <c r="O187" s="76">
        <f>$L$187-EFEITO!$O$187*EFEITO!$AA$187</f>
        <v>0</v>
      </c>
      <c r="P187" s="19"/>
      <c r="Q187" s="19"/>
      <c r="R187" s="19"/>
      <c r="S187" s="19"/>
      <c r="T187" s="19"/>
      <c r="U187" s="19"/>
      <c r="V187" s="19"/>
      <c r="W187" s="19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65" t="s">
        <v>21</v>
      </c>
      <c r="B188" s="65" t="s">
        <v>33</v>
      </c>
      <c r="C188" s="65" t="s">
        <v>34</v>
      </c>
      <c r="D188" s="65" t="s">
        <v>42</v>
      </c>
      <c r="E188" s="65" t="s">
        <v>25</v>
      </c>
      <c r="F188" s="65" t="s">
        <v>25</v>
      </c>
      <c r="G188" s="65" t="s">
        <v>25</v>
      </c>
      <c r="H188" s="65" t="s">
        <v>36</v>
      </c>
      <c r="I188" s="75">
        <v>44440</v>
      </c>
      <c r="J188" s="76">
        <f>EFEITO!$J$188*EFEITO!$Y$188</f>
        <v>0</v>
      </c>
      <c r="K188" s="76">
        <f ca="1">EFEITO!$L$188*EFEITO!$Z$188</f>
        <v>6792.4109458663024</v>
      </c>
      <c r="L188" s="76">
        <f>EFEITO!$N$188*EFEITO!$AA$188</f>
        <v>14309.35062720876</v>
      </c>
      <c r="M188" s="76">
        <f>$J$188-EFEITO!$K$188*EFEITO!$Y$188</f>
        <v>0</v>
      </c>
      <c r="N188" s="76">
        <f ca="1">$K$188-EFEITO!$M$188*EFEITO!$Z$188</f>
        <v>0</v>
      </c>
      <c r="O188" s="76">
        <f>$L$188-EFEITO!$O$188*EFEITO!$AA$188</f>
        <v>0</v>
      </c>
      <c r="P188" s="19"/>
      <c r="Q188" s="19"/>
      <c r="R188" s="19"/>
      <c r="S188" s="19"/>
      <c r="T188" s="19"/>
      <c r="U188" s="19"/>
      <c r="V188" s="19"/>
      <c r="W188" s="19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65" t="s">
        <v>21</v>
      </c>
      <c r="B189" s="65" t="s">
        <v>33</v>
      </c>
      <c r="C189" s="65" t="s">
        <v>34</v>
      </c>
      <c r="D189" s="65" t="s">
        <v>42</v>
      </c>
      <c r="E189" s="65" t="s">
        <v>25</v>
      </c>
      <c r="F189" s="65" t="s">
        <v>25</v>
      </c>
      <c r="G189" s="65" t="s">
        <v>25</v>
      </c>
      <c r="H189" s="65" t="s">
        <v>36</v>
      </c>
      <c r="I189" s="75">
        <v>44470</v>
      </c>
      <c r="J189" s="76">
        <f>EFEITO!$J$189*EFEITO!$Y$189</f>
        <v>0</v>
      </c>
      <c r="K189" s="76">
        <f ca="1">EFEITO!$L$189*EFEITO!$Z$189</f>
        <v>6734.353502609516</v>
      </c>
      <c r="L189" s="76">
        <f>EFEITO!$N$189*EFEITO!$AA$189</f>
        <v>14187.042904854856</v>
      </c>
      <c r="M189" s="76">
        <f>$J$189-EFEITO!$K$189*EFEITO!$Y$189</f>
        <v>0</v>
      </c>
      <c r="N189" s="76">
        <f ca="1">$K$189-EFEITO!$M$189*EFEITO!$Z$189</f>
        <v>0</v>
      </c>
      <c r="O189" s="76">
        <f>$L$189-EFEITO!$O$189*EFEITO!$AA$189</f>
        <v>0</v>
      </c>
      <c r="P189" s="19"/>
      <c r="Q189" s="19"/>
      <c r="R189" s="19"/>
      <c r="S189" s="19"/>
      <c r="T189" s="19"/>
      <c r="U189" s="19"/>
      <c r="V189" s="19"/>
      <c r="W189" s="19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65" t="s">
        <v>21</v>
      </c>
      <c r="B190" s="65" t="s">
        <v>33</v>
      </c>
      <c r="C190" s="65" t="s">
        <v>34</v>
      </c>
      <c r="D190" s="65" t="s">
        <v>42</v>
      </c>
      <c r="E190" s="65" t="s">
        <v>25</v>
      </c>
      <c r="F190" s="65" t="s">
        <v>25</v>
      </c>
      <c r="G190" s="65" t="s">
        <v>25</v>
      </c>
      <c r="H190" s="65" t="s">
        <v>36</v>
      </c>
      <c r="I190" s="75">
        <v>44501</v>
      </c>
      <c r="J190" s="76">
        <f>EFEITO!$J$190*EFEITO!$Y$190</f>
        <v>0</v>
      </c>
      <c r="K190" s="76">
        <f ca="1">EFEITO!$L$190*EFEITO!$Z$190</f>
        <v>7095.5079894880218</v>
      </c>
      <c r="L190" s="76">
        <f>EFEITO!$N$190*EFEITO!$AA$190</f>
        <v>14947.875284479835</v>
      </c>
      <c r="M190" s="76">
        <f>$J$190-EFEITO!$K$190*EFEITO!$Y$190</f>
        <v>0</v>
      </c>
      <c r="N190" s="76">
        <f ca="1">$K$190-EFEITO!$M$190*EFEITO!$Z$190</f>
        <v>0</v>
      </c>
      <c r="O190" s="76">
        <f>$L$190-EFEITO!$O$190*EFEITO!$AA$190</f>
        <v>0</v>
      </c>
      <c r="P190" s="19"/>
      <c r="Q190" s="19"/>
      <c r="R190" s="19"/>
      <c r="S190" s="19"/>
      <c r="T190" s="19"/>
      <c r="U190" s="19"/>
      <c r="V190" s="19"/>
      <c r="W190" s="19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65" t="s">
        <v>21</v>
      </c>
      <c r="B191" s="65" t="s">
        <v>33</v>
      </c>
      <c r="C191" s="65" t="s">
        <v>34</v>
      </c>
      <c r="D191" s="65" t="s">
        <v>42</v>
      </c>
      <c r="E191" s="65" t="s">
        <v>25</v>
      </c>
      <c r="F191" s="65" t="s">
        <v>25</v>
      </c>
      <c r="G191" s="65" t="s">
        <v>25</v>
      </c>
      <c r="H191" s="65" t="s">
        <v>36</v>
      </c>
      <c r="I191" s="75">
        <v>44531</v>
      </c>
      <c r="J191" s="76">
        <f>EFEITO!$J$191*EFEITO!$Y$191</f>
        <v>0</v>
      </c>
      <c r="K191" s="76">
        <f ca="1">EFEITO!$L$191*EFEITO!$Z$191</f>
        <v>6803.3612821389333</v>
      </c>
      <c r="L191" s="76">
        <f>EFEITO!$N$191*EFEITO!$AA$191</f>
        <v>14332.419343524618</v>
      </c>
      <c r="M191" s="76">
        <f>$J$191-EFEITO!$K$191*EFEITO!$Y$191</f>
        <v>0</v>
      </c>
      <c r="N191" s="76">
        <f ca="1">$K$191-EFEITO!$M$191*EFEITO!$Z$191</f>
        <v>0</v>
      </c>
      <c r="O191" s="76">
        <f>$L$191-EFEITO!$O$191*EFEITO!$AA$191</f>
        <v>0</v>
      </c>
      <c r="P191" s="19"/>
      <c r="Q191" s="19"/>
      <c r="R191" s="19"/>
      <c r="S191" s="19"/>
      <c r="T191" s="19"/>
      <c r="U191" s="19"/>
      <c r="V191" s="19"/>
      <c r="W191" s="19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65" t="s">
        <v>21</v>
      </c>
      <c r="B192" s="65" t="s">
        <v>33</v>
      </c>
      <c r="C192" s="65" t="s">
        <v>34</v>
      </c>
      <c r="D192" s="65" t="s">
        <v>42</v>
      </c>
      <c r="E192" s="65" t="s">
        <v>25</v>
      </c>
      <c r="F192" s="65" t="s">
        <v>25</v>
      </c>
      <c r="G192" s="65" t="s">
        <v>25</v>
      </c>
      <c r="H192" s="65" t="s">
        <v>36</v>
      </c>
      <c r="I192" s="75">
        <v>44562</v>
      </c>
      <c r="J192" s="76">
        <f>EFEITO!$J$192*EFEITO!$Y$192</f>
        <v>0</v>
      </c>
      <c r="K192" s="76">
        <f ca="1">EFEITO!$L$192*EFEITO!$Z$192</f>
        <v>7209.2468596405488</v>
      </c>
      <c r="L192" s="76">
        <f>EFEITO!$N$192*EFEITO!$AA$192</f>
        <v>15187.485253005892</v>
      </c>
      <c r="M192" s="76">
        <f>$J$192-EFEITO!$K$192*EFEITO!$Y$192</f>
        <v>0</v>
      </c>
      <c r="N192" s="76">
        <f ca="1">$K$192-EFEITO!$M$192*EFEITO!$Z$192</f>
        <v>0</v>
      </c>
      <c r="O192" s="76">
        <f>$L$192-EFEITO!$O$192*EFEITO!$AA$192</f>
        <v>0</v>
      </c>
      <c r="P192" s="19"/>
      <c r="Q192" s="19"/>
      <c r="R192" s="19"/>
      <c r="S192" s="19"/>
      <c r="T192" s="19"/>
      <c r="U192" s="19"/>
      <c r="V192" s="19"/>
      <c r="W192" s="19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65" t="s">
        <v>21</v>
      </c>
      <c r="B193" s="65" t="s">
        <v>33</v>
      </c>
      <c r="C193" s="65" t="s">
        <v>34</v>
      </c>
      <c r="D193" s="65" t="s">
        <v>42</v>
      </c>
      <c r="E193" s="65" t="s">
        <v>25</v>
      </c>
      <c r="F193" s="65" t="s">
        <v>25</v>
      </c>
      <c r="G193" s="65" t="s">
        <v>25</v>
      </c>
      <c r="H193" s="65" t="s">
        <v>36</v>
      </c>
      <c r="I193" s="75">
        <v>44593</v>
      </c>
      <c r="J193" s="76">
        <f>EFEITO!$J$193*EFEITO!$Y$193</f>
        <v>0</v>
      </c>
      <c r="K193" s="76">
        <f ca="1">EFEITO!$L$193*EFEITO!$Z$193</f>
        <v>7178.7718671836956</v>
      </c>
      <c r="L193" s="76">
        <f>EFEITO!$N$193*EFEITO!$AA$193</f>
        <v>15123.284580240053</v>
      </c>
      <c r="M193" s="76">
        <f>$J$193-EFEITO!$K$193*EFEITO!$Y$193</f>
        <v>0</v>
      </c>
      <c r="N193" s="76">
        <f ca="1">$K$193-EFEITO!$M$193*EFEITO!$Z$193</f>
        <v>0</v>
      </c>
      <c r="O193" s="76">
        <f>$L$193-EFEITO!$O$193*EFEITO!$AA$193</f>
        <v>0</v>
      </c>
      <c r="P193" s="19"/>
      <c r="Q193" s="19"/>
      <c r="R193" s="19"/>
      <c r="S193" s="19"/>
      <c r="T193" s="19"/>
      <c r="U193" s="19"/>
      <c r="V193" s="19"/>
      <c r="W193" s="19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65" t="s">
        <v>54</v>
      </c>
      <c r="B194" s="65" t="s">
        <v>33</v>
      </c>
      <c r="C194" s="65" t="s">
        <v>34</v>
      </c>
      <c r="D194" s="65" t="s">
        <v>42</v>
      </c>
      <c r="E194" s="65" t="s">
        <v>25</v>
      </c>
      <c r="F194" s="65" t="s">
        <v>25</v>
      </c>
      <c r="G194" s="65" t="s">
        <v>25</v>
      </c>
      <c r="H194" s="65" t="s">
        <v>36</v>
      </c>
      <c r="I194" s="75">
        <v>44621</v>
      </c>
      <c r="J194" s="76">
        <f>EFEITO!$J$194*EFEITO!$Y$194</f>
        <v>0</v>
      </c>
      <c r="K194" s="76">
        <f ca="1">EFEITO!$L$194*EFEITO!$Z$194</f>
        <v>7178.7718671836956</v>
      </c>
      <c r="L194" s="76">
        <f>EFEITO!$N$194*EFEITO!$AA$194</f>
        <v>15123.284580240053</v>
      </c>
      <c r="M194" s="76">
        <f>$J$194-EFEITO!$K$194*EFEITO!$Y$194</f>
        <v>0</v>
      </c>
      <c r="N194" s="76">
        <f ca="1">$K$194-EFEITO!$M$194*EFEITO!$Z$194</f>
        <v>0</v>
      </c>
      <c r="O194" s="76">
        <f>$L$194-EFEITO!$O$194*EFEITO!$AA$194</f>
        <v>0</v>
      </c>
      <c r="P194" s="19"/>
      <c r="Q194" s="19"/>
      <c r="R194" s="19"/>
      <c r="S194" s="19"/>
      <c r="T194" s="19"/>
      <c r="U194" s="19"/>
      <c r="V194" s="19"/>
      <c r="W194" s="19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65" t="s">
        <v>21</v>
      </c>
      <c r="B195" s="65" t="s">
        <v>33</v>
      </c>
      <c r="C195" s="65" t="s">
        <v>34</v>
      </c>
      <c r="D195" s="65" t="s">
        <v>42</v>
      </c>
      <c r="E195" s="65" t="s">
        <v>25</v>
      </c>
      <c r="F195" s="65" t="s">
        <v>25</v>
      </c>
      <c r="G195" s="65" t="s">
        <v>25</v>
      </c>
      <c r="H195" s="65" t="s">
        <v>25</v>
      </c>
      <c r="I195" s="75">
        <v>44287</v>
      </c>
      <c r="J195" s="76">
        <f ca="1">EFEITO!$J$195*EFEITO!$Y$195</f>
        <v>4368.2253701908367</v>
      </c>
      <c r="K195" s="76">
        <f>EFEITO!$L$195*EFEITO!$Z$195</f>
        <v>0</v>
      </c>
      <c r="L195" s="76">
        <f>EFEITO!$N$195*EFEITO!$AA$195</f>
        <v>0</v>
      </c>
      <c r="M195" s="76">
        <f ca="1">$J$195-EFEITO!$K$195*EFEITO!$Y$195</f>
        <v>0</v>
      </c>
      <c r="N195" s="76">
        <f>$K$195-EFEITO!$M$195*EFEITO!$Z$195</f>
        <v>0</v>
      </c>
      <c r="O195" s="76">
        <f>$L$195-EFEITO!$O$195*EFEITO!$AA$195</f>
        <v>0</v>
      </c>
      <c r="P195" s="19"/>
      <c r="Q195" s="19"/>
      <c r="R195" s="19"/>
      <c r="S195" s="19"/>
      <c r="T195" s="19"/>
      <c r="U195" s="19"/>
      <c r="V195" s="19"/>
      <c r="W195" s="19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65" t="s">
        <v>21</v>
      </c>
      <c r="B196" s="65" t="s">
        <v>33</v>
      </c>
      <c r="C196" s="65" t="s">
        <v>34</v>
      </c>
      <c r="D196" s="65" t="s">
        <v>42</v>
      </c>
      <c r="E196" s="65" t="s">
        <v>25</v>
      </c>
      <c r="F196" s="65" t="s">
        <v>25</v>
      </c>
      <c r="G196" s="65" t="s">
        <v>25</v>
      </c>
      <c r="H196" s="65" t="s">
        <v>25</v>
      </c>
      <c r="I196" s="75">
        <v>44317</v>
      </c>
      <c r="J196" s="76">
        <f ca="1">EFEITO!$J$196*EFEITO!$Y$196</f>
        <v>4368.2253701908367</v>
      </c>
      <c r="K196" s="76">
        <f>EFEITO!$L$196*EFEITO!$Z$196</f>
        <v>0</v>
      </c>
      <c r="L196" s="76">
        <f>EFEITO!$N$196*EFEITO!$AA$196</f>
        <v>0</v>
      </c>
      <c r="M196" s="76">
        <f ca="1">$J$196-EFEITO!$K$196*EFEITO!$Y$196</f>
        <v>0</v>
      </c>
      <c r="N196" s="76">
        <f>$K$196-EFEITO!$M$196*EFEITO!$Z$196</f>
        <v>0</v>
      </c>
      <c r="O196" s="76">
        <f>$L$196-EFEITO!$O$196*EFEITO!$AA$196</f>
        <v>0</v>
      </c>
      <c r="P196" s="19"/>
      <c r="Q196" s="19"/>
      <c r="R196" s="19"/>
      <c r="S196" s="19"/>
      <c r="T196" s="19"/>
      <c r="U196" s="19"/>
      <c r="V196" s="19"/>
      <c r="W196" s="19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65" t="s">
        <v>21</v>
      </c>
      <c r="B197" s="65" t="s">
        <v>33</v>
      </c>
      <c r="C197" s="65" t="s">
        <v>34</v>
      </c>
      <c r="D197" s="65" t="s">
        <v>42</v>
      </c>
      <c r="E197" s="65" t="s">
        <v>25</v>
      </c>
      <c r="F197" s="65" t="s">
        <v>25</v>
      </c>
      <c r="G197" s="65" t="s">
        <v>25</v>
      </c>
      <c r="H197" s="65" t="s">
        <v>25</v>
      </c>
      <c r="I197" s="75">
        <v>44348</v>
      </c>
      <c r="J197" s="76">
        <f ca="1">EFEITO!$J$197*EFEITO!$Y$197</f>
        <v>4368.2253701908367</v>
      </c>
      <c r="K197" s="76">
        <f>EFEITO!$L$197*EFEITO!$Z$197</f>
        <v>0</v>
      </c>
      <c r="L197" s="76">
        <f>EFEITO!$N$197*EFEITO!$AA$197</f>
        <v>0</v>
      </c>
      <c r="M197" s="76">
        <f ca="1">$J$197-EFEITO!$K$197*EFEITO!$Y$197</f>
        <v>0</v>
      </c>
      <c r="N197" s="76">
        <f>$K$197-EFEITO!$M$197*EFEITO!$Z$197</f>
        <v>0</v>
      </c>
      <c r="O197" s="76">
        <f>$L$197-EFEITO!$O$197*EFEITO!$AA$197</f>
        <v>0</v>
      </c>
      <c r="P197" s="19"/>
      <c r="Q197" s="19"/>
      <c r="R197" s="19"/>
      <c r="S197" s="19"/>
      <c r="T197" s="19"/>
      <c r="U197" s="19"/>
      <c r="V197" s="19"/>
      <c r="W197" s="19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65" t="s">
        <v>21</v>
      </c>
      <c r="B198" s="65" t="s">
        <v>33</v>
      </c>
      <c r="C198" s="65" t="s">
        <v>34</v>
      </c>
      <c r="D198" s="65" t="s">
        <v>42</v>
      </c>
      <c r="E198" s="65" t="s">
        <v>25</v>
      </c>
      <c r="F198" s="65" t="s">
        <v>25</v>
      </c>
      <c r="G198" s="65" t="s">
        <v>25</v>
      </c>
      <c r="H198" s="65" t="s">
        <v>25</v>
      </c>
      <c r="I198" s="75">
        <v>44378</v>
      </c>
      <c r="J198" s="76">
        <f ca="1">EFEITO!$J$198*EFEITO!$Y$198</f>
        <v>4368.2253701908367</v>
      </c>
      <c r="K198" s="76">
        <f>EFEITO!$L$198*EFEITO!$Z$198</f>
        <v>0</v>
      </c>
      <c r="L198" s="76">
        <f>EFEITO!$N$198*EFEITO!$AA$198</f>
        <v>0</v>
      </c>
      <c r="M198" s="76">
        <f ca="1">$J$198-EFEITO!$K$198*EFEITO!$Y$198</f>
        <v>0</v>
      </c>
      <c r="N198" s="76">
        <f>$K$198-EFEITO!$M$198*EFEITO!$Z$198</f>
        <v>0</v>
      </c>
      <c r="O198" s="76">
        <f>$L$198-EFEITO!$O$198*EFEITO!$AA$198</f>
        <v>0</v>
      </c>
      <c r="P198" s="19"/>
      <c r="Q198" s="19"/>
      <c r="R198" s="19"/>
      <c r="S198" s="19"/>
      <c r="T198" s="19"/>
      <c r="U198" s="19"/>
      <c r="V198" s="19"/>
      <c r="W198" s="19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65" t="s">
        <v>21</v>
      </c>
      <c r="B199" s="65" t="s">
        <v>33</v>
      </c>
      <c r="C199" s="65" t="s">
        <v>34</v>
      </c>
      <c r="D199" s="65" t="s">
        <v>42</v>
      </c>
      <c r="E199" s="65" t="s">
        <v>25</v>
      </c>
      <c r="F199" s="65" t="s">
        <v>25</v>
      </c>
      <c r="G199" s="65" t="s">
        <v>25</v>
      </c>
      <c r="H199" s="65" t="s">
        <v>25</v>
      </c>
      <c r="I199" s="75">
        <v>44409</v>
      </c>
      <c r="J199" s="76">
        <f ca="1">EFEITO!$J$199*EFEITO!$Y$199</f>
        <v>4368.2253701908367</v>
      </c>
      <c r="K199" s="76">
        <f>EFEITO!$L$199*EFEITO!$Z$199</f>
        <v>0</v>
      </c>
      <c r="L199" s="76">
        <f>EFEITO!$N$199*EFEITO!$AA$199</f>
        <v>0</v>
      </c>
      <c r="M199" s="76">
        <f ca="1">$J$199-EFEITO!$K$199*EFEITO!$Y$199</f>
        <v>0</v>
      </c>
      <c r="N199" s="76">
        <f>$K$199-EFEITO!$M$199*EFEITO!$Z$199</f>
        <v>0</v>
      </c>
      <c r="O199" s="76">
        <f>$L$199-EFEITO!$O$199*EFEITO!$AA$199</f>
        <v>0</v>
      </c>
      <c r="P199" s="19"/>
      <c r="Q199" s="19"/>
      <c r="R199" s="19"/>
      <c r="S199" s="19"/>
      <c r="T199" s="19"/>
      <c r="U199" s="19"/>
      <c r="V199" s="19"/>
      <c r="W199" s="19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65" t="s">
        <v>21</v>
      </c>
      <c r="B200" s="65" t="s">
        <v>33</v>
      </c>
      <c r="C200" s="65" t="s">
        <v>34</v>
      </c>
      <c r="D200" s="65" t="s">
        <v>42</v>
      </c>
      <c r="E200" s="65" t="s">
        <v>25</v>
      </c>
      <c r="F200" s="65" t="s">
        <v>25</v>
      </c>
      <c r="G200" s="65" t="s">
        <v>25</v>
      </c>
      <c r="H200" s="65" t="s">
        <v>25</v>
      </c>
      <c r="I200" s="75">
        <v>44440</v>
      </c>
      <c r="J200" s="76">
        <f ca="1">EFEITO!$J$200*EFEITO!$Y$200</f>
        <v>4368.2253701908367</v>
      </c>
      <c r="K200" s="76">
        <f>EFEITO!$L$200*EFEITO!$Z$200</f>
        <v>0</v>
      </c>
      <c r="L200" s="76">
        <f>EFEITO!$N$200*EFEITO!$AA$200</f>
        <v>0</v>
      </c>
      <c r="M200" s="76">
        <f ca="1">$J$200-EFEITO!$K$200*EFEITO!$Y$200</f>
        <v>0</v>
      </c>
      <c r="N200" s="76">
        <f>$K$200-EFEITO!$M$200*EFEITO!$Z$200</f>
        <v>0</v>
      </c>
      <c r="O200" s="76">
        <f>$L$200-EFEITO!$O$200*EFEITO!$AA$200</f>
        <v>0</v>
      </c>
      <c r="P200" s="19"/>
      <c r="Q200" s="19"/>
      <c r="R200" s="19"/>
      <c r="S200" s="19"/>
      <c r="T200" s="19"/>
      <c r="U200" s="19"/>
      <c r="V200" s="19"/>
      <c r="W200" s="19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65" t="s">
        <v>21</v>
      </c>
      <c r="B201" s="65" t="s">
        <v>33</v>
      </c>
      <c r="C201" s="65" t="s">
        <v>34</v>
      </c>
      <c r="D201" s="65" t="s">
        <v>42</v>
      </c>
      <c r="E201" s="65" t="s">
        <v>25</v>
      </c>
      <c r="F201" s="65" t="s">
        <v>25</v>
      </c>
      <c r="G201" s="65" t="s">
        <v>25</v>
      </c>
      <c r="H201" s="65" t="s">
        <v>25</v>
      </c>
      <c r="I201" s="75">
        <v>44470</v>
      </c>
      <c r="J201" s="76">
        <f ca="1">EFEITO!$J$201*EFEITO!$Y$201</f>
        <v>4368.2253701908367</v>
      </c>
      <c r="K201" s="76">
        <f>EFEITO!$L$201*EFEITO!$Z$201</f>
        <v>0</v>
      </c>
      <c r="L201" s="76">
        <f>EFEITO!$N$201*EFEITO!$AA$201</f>
        <v>0</v>
      </c>
      <c r="M201" s="76">
        <f ca="1">$J$201-EFEITO!$K$201*EFEITO!$Y$201</f>
        <v>0</v>
      </c>
      <c r="N201" s="76">
        <f>$K$201-EFEITO!$M$201*EFEITO!$Z$201</f>
        <v>0</v>
      </c>
      <c r="O201" s="76">
        <f>$L$201-EFEITO!$O$201*EFEITO!$AA$201</f>
        <v>0</v>
      </c>
      <c r="P201" s="19"/>
      <c r="Q201" s="19"/>
      <c r="R201" s="19"/>
      <c r="S201" s="19"/>
      <c r="T201" s="19"/>
      <c r="U201" s="19"/>
      <c r="V201" s="19"/>
      <c r="W201" s="19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65" t="s">
        <v>21</v>
      </c>
      <c r="B202" s="65" t="s">
        <v>33</v>
      </c>
      <c r="C202" s="65" t="s">
        <v>34</v>
      </c>
      <c r="D202" s="65" t="s">
        <v>42</v>
      </c>
      <c r="E202" s="65" t="s">
        <v>25</v>
      </c>
      <c r="F202" s="65" t="s">
        <v>25</v>
      </c>
      <c r="G202" s="65" t="s">
        <v>25</v>
      </c>
      <c r="H202" s="65" t="s">
        <v>25</v>
      </c>
      <c r="I202" s="75">
        <v>44501</v>
      </c>
      <c r="J202" s="76">
        <f ca="1">EFEITO!$J$202*EFEITO!$Y$202</f>
        <v>4368.2253701908367</v>
      </c>
      <c r="K202" s="76">
        <f>EFEITO!$L$202*EFEITO!$Z$202</f>
        <v>0</v>
      </c>
      <c r="L202" s="76">
        <f>EFEITO!$N$202*EFEITO!$AA$202</f>
        <v>0</v>
      </c>
      <c r="M202" s="76">
        <f ca="1">$J$202-EFEITO!$K$202*EFEITO!$Y$202</f>
        <v>0</v>
      </c>
      <c r="N202" s="76">
        <f>$K$202-EFEITO!$M$202*EFEITO!$Z$202</f>
        <v>0</v>
      </c>
      <c r="O202" s="76">
        <f>$L$202-EFEITO!$O$202*EFEITO!$AA$202</f>
        <v>0</v>
      </c>
      <c r="P202" s="19"/>
      <c r="Q202" s="19"/>
      <c r="R202" s="19"/>
      <c r="S202" s="19"/>
      <c r="T202" s="19"/>
      <c r="U202" s="19"/>
      <c r="V202" s="19"/>
      <c r="W202" s="19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65" t="s">
        <v>21</v>
      </c>
      <c r="B203" s="65" t="s">
        <v>33</v>
      </c>
      <c r="C203" s="65" t="s">
        <v>34</v>
      </c>
      <c r="D203" s="65" t="s">
        <v>42</v>
      </c>
      <c r="E203" s="65" t="s">
        <v>25</v>
      </c>
      <c r="F203" s="65" t="s">
        <v>25</v>
      </c>
      <c r="G203" s="65" t="s">
        <v>25</v>
      </c>
      <c r="H203" s="65" t="s">
        <v>25</v>
      </c>
      <c r="I203" s="75">
        <v>44531</v>
      </c>
      <c r="J203" s="76">
        <f ca="1">EFEITO!$J$203*EFEITO!$Y$203</f>
        <v>4368.2253701908367</v>
      </c>
      <c r="K203" s="76">
        <f>EFEITO!$L$203*EFEITO!$Z$203</f>
        <v>0</v>
      </c>
      <c r="L203" s="76">
        <f>EFEITO!$N$203*EFEITO!$AA$203</f>
        <v>0</v>
      </c>
      <c r="M203" s="76">
        <f ca="1">$J$203-EFEITO!$K$203*EFEITO!$Y$203</f>
        <v>0</v>
      </c>
      <c r="N203" s="76">
        <f>$K$203-EFEITO!$M$203*EFEITO!$Z$203</f>
        <v>0</v>
      </c>
      <c r="O203" s="76">
        <f>$L$203-EFEITO!$O$203*EFEITO!$AA$203</f>
        <v>0</v>
      </c>
      <c r="P203" s="19"/>
      <c r="Q203" s="19"/>
      <c r="R203" s="19"/>
      <c r="S203" s="19"/>
      <c r="T203" s="19"/>
      <c r="U203" s="19"/>
      <c r="V203" s="19"/>
      <c r="W203" s="19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65" t="s">
        <v>21</v>
      </c>
      <c r="B204" s="65" t="s">
        <v>33</v>
      </c>
      <c r="C204" s="65" t="s">
        <v>34</v>
      </c>
      <c r="D204" s="65" t="s">
        <v>42</v>
      </c>
      <c r="E204" s="65" t="s">
        <v>25</v>
      </c>
      <c r="F204" s="65" t="s">
        <v>25</v>
      </c>
      <c r="G204" s="65" t="s">
        <v>25</v>
      </c>
      <c r="H204" s="65" t="s">
        <v>25</v>
      </c>
      <c r="I204" s="75">
        <v>44562</v>
      </c>
      <c r="J204" s="76">
        <f ca="1">EFEITO!$J$204*EFEITO!$Y$204</f>
        <v>4368.2253701908367</v>
      </c>
      <c r="K204" s="76">
        <f>EFEITO!$L$204*EFEITO!$Z$204</f>
        <v>0</v>
      </c>
      <c r="L204" s="76">
        <f>EFEITO!$N$204*EFEITO!$AA$204</f>
        <v>0</v>
      </c>
      <c r="M204" s="76">
        <f ca="1">$J$204-EFEITO!$K$204*EFEITO!$Y$204</f>
        <v>0</v>
      </c>
      <c r="N204" s="76">
        <f>$K$204-EFEITO!$M$204*EFEITO!$Z$204</f>
        <v>0</v>
      </c>
      <c r="O204" s="76">
        <f>$L$204-EFEITO!$O$204*EFEITO!$AA$204</f>
        <v>0</v>
      </c>
      <c r="P204" s="19"/>
      <c r="Q204" s="19"/>
      <c r="R204" s="19"/>
      <c r="S204" s="19"/>
      <c r="T204" s="19"/>
      <c r="U204" s="19"/>
      <c r="V204" s="19"/>
      <c r="W204" s="19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65" t="s">
        <v>21</v>
      </c>
      <c r="B205" s="65" t="s">
        <v>33</v>
      </c>
      <c r="C205" s="65" t="s">
        <v>34</v>
      </c>
      <c r="D205" s="65" t="s">
        <v>42</v>
      </c>
      <c r="E205" s="65" t="s">
        <v>25</v>
      </c>
      <c r="F205" s="65" t="s">
        <v>25</v>
      </c>
      <c r="G205" s="65" t="s">
        <v>25</v>
      </c>
      <c r="H205" s="65" t="s">
        <v>25</v>
      </c>
      <c r="I205" s="75">
        <v>44593</v>
      </c>
      <c r="J205" s="76">
        <f ca="1">EFEITO!$J$205*EFEITO!$Y$205</f>
        <v>4368.2253701908367</v>
      </c>
      <c r="K205" s="76">
        <f>EFEITO!$L$205*EFEITO!$Z$205</f>
        <v>0</v>
      </c>
      <c r="L205" s="76">
        <f>EFEITO!$N$205*EFEITO!$AA$205</f>
        <v>0</v>
      </c>
      <c r="M205" s="76">
        <f ca="1">$J$205-EFEITO!$K$205*EFEITO!$Y$205</f>
        <v>0</v>
      </c>
      <c r="N205" s="76">
        <f>$K$205-EFEITO!$M$205*EFEITO!$Z$205</f>
        <v>0</v>
      </c>
      <c r="O205" s="76">
        <f>$L$205-EFEITO!$O$205*EFEITO!$AA$205</f>
        <v>0</v>
      </c>
      <c r="P205" s="19"/>
      <c r="Q205" s="19"/>
      <c r="R205" s="19"/>
      <c r="S205" s="19"/>
      <c r="T205" s="19"/>
      <c r="U205" s="19"/>
      <c r="V205" s="19"/>
      <c r="W205" s="19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65" t="s">
        <v>54</v>
      </c>
      <c r="B206" s="65" t="s">
        <v>33</v>
      </c>
      <c r="C206" s="65" t="s">
        <v>34</v>
      </c>
      <c r="D206" s="65" t="s">
        <v>42</v>
      </c>
      <c r="E206" s="65" t="s">
        <v>25</v>
      </c>
      <c r="F206" s="65" t="s">
        <v>25</v>
      </c>
      <c r="G206" s="65" t="s">
        <v>25</v>
      </c>
      <c r="H206" s="65" t="s">
        <v>25</v>
      </c>
      <c r="I206" s="75">
        <v>44621</v>
      </c>
      <c r="J206" s="76">
        <f ca="1">EFEITO!$J$206*EFEITO!$Y$206</f>
        <v>4368.2253701908367</v>
      </c>
      <c r="K206" s="76">
        <f>EFEITO!$L$206*EFEITO!$Z$206</f>
        <v>0</v>
      </c>
      <c r="L206" s="76">
        <f>EFEITO!$N$206*EFEITO!$AA$206</f>
        <v>0</v>
      </c>
      <c r="M206" s="76">
        <f ca="1">$J$206-EFEITO!$K$206*EFEITO!$Y$206</f>
        <v>0</v>
      </c>
      <c r="N206" s="76">
        <f>$K$206-EFEITO!$M$206*EFEITO!$Z$206</f>
        <v>0</v>
      </c>
      <c r="O206" s="76">
        <f>$L$206-EFEITO!$O$206*EFEITO!$AA$206</f>
        <v>0</v>
      </c>
      <c r="P206" s="19"/>
      <c r="Q206" s="19"/>
      <c r="R206" s="19"/>
      <c r="S206" s="19"/>
      <c r="T206" s="19"/>
      <c r="U206" s="19"/>
      <c r="V206" s="19"/>
      <c r="W206" s="19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65" t="s">
        <v>21</v>
      </c>
      <c r="B207" s="65" t="s">
        <v>33</v>
      </c>
      <c r="C207" s="65" t="s">
        <v>34</v>
      </c>
      <c r="D207" s="65" t="s">
        <v>42</v>
      </c>
      <c r="E207" s="65" t="s">
        <v>25</v>
      </c>
      <c r="F207" s="65" t="s">
        <v>25</v>
      </c>
      <c r="G207" s="65" t="s">
        <v>25</v>
      </c>
      <c r="H207" s="65" t="s">
        <v>35</v>
      </c>
      <c r="I207" s="75">
        <v>44287</v>
      </c>
      <c r="J207" s="76">
        <f>EFEITO!$J$207*EFEITO!$Y$207</f>
        <v>0</v>
      </c>
      <c r="K207" s="76">
        <f ca="1">EFEITO!$L$207*EFEITO!$Z$207</f>
        <v>14849.716840566389</v>
      </c>
      <c r="L207" s="76">
        <f>EFEITO!$N$207*EFEITO!$AA$207</f>
        <v>1361.4895214341682</v>
      </c>
      <c r="M207" s="76">
        <f>$J$207-EFEITO!$K$207*EFEITO!$Y$207</f>
        <v>0</v>
      </c>
      <c r="N207" s="76">
        <f ca="1">$K$207-EFEITO!$M$207*EFEITO!$Z$207</f>
        <v>0</v>
      </c>
      <c r="O207" s="76">
        <f>$L$207-EFEITO!$O$207*EFEITO!$AA$207</f>
        <v>0</v>
      </c>
      <c r="P207" s="19"/>
      <c r="Q207" s="19"/>
      <c r="R207" s="19"/>
      <c r="S207" s="19"/>
      <c r="T207" s="19"/>
      <c r="U207" s="19"/>
      <c r="V207" s="19"/>
      <c r="W207" s="19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65" t="s">
        <v>21</v>
      </c>
      <c r="B208" s="65" t="s">
        <v>33</v>
      </c>
      <c r="C208" s="65" t="s">
        <v>34</v>
      </c>
      <c r="D208" s="65" t="s">
        <v>42</v>
      </c>
      <c r="E208" s="65" t="s">
        <v>25</v>
      </c>
      <c r="F208" s="65" t="s">
        <v>25</v>
      </c>
      <c r="G208" s="65" t="s">
        <v>25</v>
      </c>
      <c r="H208" s="65" t="s">
        <v>35</v>
      </c>
      <c r="I208" s="75">
        <v>44317</v>
      </c>
      <c r="J208" s="76">
        <f>EFEITO!$J$208*EFEITO!$Y$208</f>
        <v>0</v>
      </c>
      <c r="K208" s="76">
        <f ca="1">EFEITO!$L$208*EFEITO!$Z$208</f>
        <v>15808.681930654117</v>
      </c>
      <c r="L208" s="76">
        <f>EFEITO!$N$208*EFEITO!$AA$208</f>
        <v>1449.4117987134846</v>
      </c>
      <c r="M208" s="76">
        <f>$J$208-EFEITO!$K$208*EFEITO!$Y$208</f>
        <v>0</v>
      </c>
      <c r="N208" s="76">
        <f ca="1">$K$208-EFEITO!$M$208*EFEITO!$Z$208</f>
        <v>0</v>
      </c>
      <c r="O208" s="76">
        <f>$L$208-EFEITO!$O$208*EFEITO!$AA$208</f>
        <v>0</v>
      </c>
      <c r="P208" s="19"/>
      <c r="Q208" s="19"/>
      <c r="R208" s="19"/>
      <c r="S208" s="19"/>
      <c r="T208" s="19"/>
      <c r="U208" s="19"/>
      <c r="V208" s="19"/>
      <c r="W208" s="19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65" t="s">
        <v>21</v>
      </c>
      <c r="B209" s="65" t="s">
        <v>33</v>
      </c>
      <c r="C209" s="65" t="s">
        <v>34</v>
      </c>
      <c r="D209" s="65" t="s">
        <v>42</v>
      </c>
      <c r="E209" s="65" t="s">
        <v>25</v>
      </c>
      <c r="F209" s="65" t="s">
        <v>25</v>
      </c>
      <c r="G209" s="65" t="s">
        <v>25</v>
      </c>
      <c r="H209" s="65" t="s">
        <v>35</v>
      </c>
      <c r="I209" s="75">
        <v>44348</v>
      </c>
      <c r="J209" s="76">
        <f>EFEITO!$J$209*EFEITO!$Y$209</f>
        <v>0</v>
      </c>
      <c r="K209" s="76">
        <f ca="1">EFEITO!$L$209*EFEITO!$Z$209</f>
        <v>16760.525992845152</v>
      </c>
      <c r="L209" s="76">
        <f>EFEITO!$N$209*EFEITO!$AA$209</f>
        <v>1536.6811877951825</v>
      </c>
      <c r="M209" s="76">
        <f>$J$209-EFEITO!$K$209*EFEITO!$Y$209</f>
        <v>0</v>
      </c>
      <c r="N209" s="76">
        <f ca="1">$K$209-EFEITO!$M$209*EFEITO!$Z$209</f>
        <v>0</v>
      </c>
      <c r="O209" s="76">
        <f>$L$209-EFEITO!$O$209*EFEITO!$AA$209</f>
        <v>0</v>
      </c>
      <c r="P209" s="19"/>
      <c r="Q209" s="19"/>
      <c r="R209" s="19"/>
      <c r="S209" s="19"/>
      <c r="T209" s="19"/>
      <c r="U209" s="19"/>
      <c r="V209" s="19"/>
      <c r="W209" s="19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65" t="s">
        <v>21</v>
      </c>
      <c r="B210" s="65" t="s">
        <v>33</v>
      </c>
      <c r="C210" s="65" t="s">
        <v>34</v>
      </c>
      <c r="D210" s="65" t="s">
        <v>42</v>
      </c>
      <c r="E210" s="65" t="s">
        <v>25</v>
      </c>
      <c r="F210" s="65" t="s">
        <v>25</v>
      </c>
      <c r="G210" s="65" t="s">
        <v>25</v>
      </c>
      <c r="H210" s="65" t="s">
        <v>35</v>
      </c>
      <c r="I210" s="75">
        <v>44378</v>
      </c>
      <c r="J210" s="76">
        <f>EFEITO!$J$210*EFEITO!$Y$210</f>
        <v>0</v>
      </c>
      <c r="K210" s="76">
        <f ca="1">EFEITO!$L$210*EFEITO!$Z$210</f>
        <v>15875.144857689898</v>
      </c>
      <c r="L210" s="76">
        <f>EFEITO!$N$210*EFEITO!$AA$210</f>
        <v>1455.5054218912589</v>
      </c>
      <c r="M210" s="76">
        <f>$J$210-EFEITO!$K$210*EFEITO!$Y$210</f>
        <v>0</v>
      </c>
      <c r="N210" s="76">
        <f ca="1">$K$210-EFEITO!$M$210*EFEITO!$Z$210</f>
        <v>0</v>
      </c>
      <c r="O210" s="76">
        <f>$L$210-EFEITO!$O$210*EFEITO!$AA$210</f>
        <v>0</v>
      </c>
      <c r="P210" s="19"/>
      <c r="Q210" s="19"/>
      <c r="R210" s="19"/>
      <c r="S210" s="19"/>
      <c r="T210" s="19"/>
      <c r="U210" s="19"/>
      <c r="V210" s="19"/>
      <c r="W210" s="19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65" t="s">
        <v>21</v>
      </c>
      <c r="B211" s="65" t="s">
        <v>33</v>
      </c>
      <c r="C211" s="65" t="s">
        <v>34</v>
      </c>
      <c r="D211" s="65" t="s">
        <v>42</v>
      </c>
      <c r="E211" s="65" t="s">
        <v>25</v>
      </c>
      <c r="F211" s="65" t="s">
        <v>25</v>
      </c>
      <c r="G211" s="65" t="s">
        <v>25</v>
      </c>
      <c r="H211" s="65" t="s">
        <v>35</v>
      </c>
      <c r="I211" s="75">
        <v>44409</v>
      </c>
      <c r="J211" s="76">
        <f>EFEITO!$J$211*EFEITO!$Y$211</f>
        <v>0</v>
      </c>
      <c r="K211" s="76">
        <f ca="1">EFEITO!$L$211*EFEITO!$Z$211</f>
        <v>17016.882997126027</v>
      </c>
      <c r="L211" s="76">
        <f>EFEITO!$N$211*EFEITO!$AA$211</f>
        <v>1560.1851629094551</v>
      </c>
      <c r="M211" s="76">
        <f>$J$211-EFEITO!$K$211*EFEITO!$Y$211</f>
        <v>0</v>
      </c>
      <c r="N211" s="76">
        <f ca="1">$K$211-EFEITO!$M$211*EFEITO!$Z$211</f>
        <v>0</v>
      </c>
      <c r="O211" s="76">
        <f>$L$211-EFEITO!$O$211*EFEITO!$AA$211</f>
        <v>0</v>
      </c>
      <c r="P211" s="19"/>
      <c r="Q211" s="19"/>
      <c r="R211" s="19"/>
      <c r="S211" s="19"/>
      <c r="T211" s="19"/>
      <c r="U211" s="19"/>
      <c r="V211" s="19"/>
      <c r="W211" s="19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65" t="s">
        <v>21</v>
      </c>
      <c r="B212" s="65" t="s">
        <v>33</v>
      </c>
      <c r="C212" s="65" t="s">
        <v>34</v>
      </c>
      <c r="D212" s="65" t="s">
        <v>42</v>
      </c>
      <c r="E212" s="65" t="s">
        <v>25</v>
      </c>
      <c r="F212" s="65" t="s">
        <v>25</v>
      </c>
      <c r="G212" s="65" t="s">
        <v>25</v>
      </c>
      <c r="H212" s="65" t="s">
        <v>35</v>
      </c>
      <c r="I212" s="75">
        <v>44440</v>
      </c>
      <c r="J212" s="76">
        <f>EFEITO!$J$212*EFEITO!$Y$212</f>
        <v>0</v>
      </c>
      <c r="K212" s="76">
        <f ca="1">EFEITO!$L$212*EFEITO!$Z$212</f>
        <v>16902.946550778976</v>
      </c>
      <c r="L212" s="76">
        <f>EFEITO!$N$212*EFEITO!$AA$212</f>
        <v>1549.7389517475563</v>
      </c>
      <c r="M212" s="76">
        <f>$J$212-EFEITO!$K$212*EFEITO!$Y$212</f>
        <v>0</v>
      </c>
      <c r="N212" s="76">
        <f ca="1">$K$212-EFEITO!$M$212*EFEITO!$Z$212</f>
        <v>0</v>
      </c>
      <c r="O212" s="76">
        <f>$L$212-EFEITO!$O$212*EFEITO!$AA$212</f>
        <v>0</v>
      </c>
      <c r="P212" s="19"/>
      <c r="Q212" s="19"/>
      <c r="R212" s="19"/>
      <c r="S212" s="19"/>
      <c r="T212" s="19"/>
      <c r="U212" s="19"/>
      <c r="V212" s="19"/>
      <c r="W212" s="19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65" t="s">
        <v>21</v>
      </c>
      <c r="B213" s="65" t="s">
        <v>33</v>
      </c>
      <c r="C213" s="65" t="s">
        <v>34</v>
      </c>
      <c r="D213" s="65" t="s">
        <v>42</v>
      </c>
      <c r="E213" s="65" t="s">
        <v>25</v>
      </c>
      <c r="F213" s="65" t="s">
        <v>25</v>
      </c>
      <c r="G213" s="65" t="s">
        <v>25</v>
      </c>
      <c r="H213" s="65" t="s">
        <v>35</v>
      </c>
      <c r="I213" s="75">
        <v>44470</v>
      </c>
      <c r="J213" s="76">
        <f>EFEITO!$J$213*EFEITO!$Y$213</f>
        <v>0</v>
      </c>
      <c r="K213" s="76">
        <f ca="1">EFEITO!$L$213*EFEITO!$Z$213</f>
        <v>14683.559522976931</v>
      </c>
      <c r="L213" s="76">
        <f>EFEITO!$N$213*EFEITO!$AA$213</f>
        <v>1346.2554634897322</v>
      </c>
      <c r="M213" s="76">
        <f>$J$213-EFEITO!$K$213*EFEITO!$Y$213</f>
        <v>0</v>
      </c>
      <c r="N213" s="76">
        <f ca="1">$K$213-EFEITO!$M$213*EFEITO!$Z$213</f>
        <v>0</v>
      </c>
      <c r="O213" s="76">
        <f>$L$213-EFEITO!$O$213*EFEITO!$AA$213</f>
        <v>0</v>
      </c>
      <c r="P213" s="19"/>
      <c r="Q213" s="19"/>
      <c r="R213" s="19"/>
      <c r="S213" s="19"/>
      <c r="T213" s="19"/>
      <c r="U213" s="19"/>
      <c r="V213" s="19"/>
      <c r="W213" s="19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65" t="s">
        <v>21</v>
      </c>
      <c r="B214" s="65" t="s">
        <v>33</v>
      </c>
      <c r="C214" s="65" t="s">
        <v>34</v>
      </c>
      <c r="D214" s="65" t="s">
        <v>42</v>
      </c>
      <c r="E214" s="65" t="s">
        <v>25</v>
      </c>
      <c r="F214" s="65" t="s">
        <v>25</v>
      </c>
      <c r="G214" s="65" t="s">
        <v>25</v>
      </c>
      <c r="H214" s="65" t="s">
        <v>35</v>
      </c>
      <c r="I214" s="75">
        <v>44501</v>
      </c>
      <c r="J214" s="76">
        <f>EFEITO!$J$214*EFEITO!$Y$214</f>
        <v>0</v>
      </c>
      <c r="K214" s="76">
        <f ca="1">EFEITO!$L$214*EFEITO!$Z$214</f>
        <v>16489.926932770893</v>
      </c>
      <c r="L214" s="76">
        <f>EFEITO!$N$214*EFEITO!$AA$214</f>
        <v>1511.8714362856724</v>
      </c>
      <c r="M214" s="76">
        <f>$J$214-EFEITO!$K$214*EFEITO!$Y$214</f>
        <v>0</v>
      </c>
      <c r="N214" s="76">
        <f ca="1">$K$214-EFEITO!$M$214*EFEITO!$Z$214</f>
        <v>0</v>
      </c>
      <c r="O214" s="76">
        <f>$L$214-EFEITO!$O$214*EFEITO!$AA$214</f>
        <v>0</v>
      </c>
      <c r="P214" s="19"/>
      <c r="Q214" s="19"/>
      <c r="R214" s="19"/>
      <c r="S214" s="19"/>
      <c r="T214" s="19"/>
      <c r="U214" s="19"/>
      <c r="V214" s="19"/>
      <c r="W214" s="19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65" t="s">
        <v>21</v>
      </c>
      <c r="B215" s="65" t="s">
        <v>33</v>
      </c>
      <c r="C215" s="65" t="s">
        <v>34</v>
      </c>
      <c r="D215" s="65" t="s">
        <v>42</v>
      </c>
      <c r="E215" s="65" t="s">
        <v>25</v>
      </c>
      <c r="F215" s="65" t="s">
        <v>25</v>
      </c>
      <c r="G215" s="65" t="s">
        <v>25</v>
      </c>
      <c r="H215" s="65" t="s">
        <v>35</v>
      </c>
      <c r="I215" s="75">
        <v>44531</v>
      </c>
      <c r="J215" s="76">
        <f>EFEITO!$J$215*EFEITO!$Y$215</f>
        <v>0</v>
      </c>
      <c r="K215" s="76">
        <f ca="1">EFEITO!$L$215*EFEITO!$Z$215</f>
        <v>17641.159776069278</v>
      </c>
      <c r="L215" s="76">
        <f>EFEITO!$N$215*EFEITO!$AA$215</f>
        <v>1617.4216949006934</v>
      </c>
      <c r="M215" s="76">
        <f>$J$215-EFEITO!$K$215*EFEITO!$Y$215</f>
        <v>0</v>
      </c>
      <c r="N215" s="76">
        <f ca="1">$K$215-EFEITO!$M$215*EFEITO!$Z$215</f>
        <v>0</v>
      </c>
      <c r="O215" s="76">
        <f>$L$215-EFEITO!$O$215*EFEITO!$AA$215</f>
        <v>0</v>
      </c>
      <c r="P215" s="19"/>
      <c r="Q215" s="19"/>
      <c r="R215" s="19"/>
      <c r="S215" s="19"/>
      <c r="T215" s="19"/>
      <c r="U215" s="19"/>
      <c r="V215" s="19"/>
      <c r="W215" s="19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65" t="s">
        <v>21</v>
      </c>
      <c r="B216" s="65" t="s">
        <v>33</v>
      </c>
      <c r="C216" s="65" t="s">
        <v>34</v>
      </c>
      <c r="D216" s="65" t="s">
        <v>42</v>
      </c>
      <c r="E216" s="65" t="s">
        <v>25</v>
      </c>
      <c r="F216" s="65" t="s">
        <v>25</v>
      </c>
      <c r="G216" s="65" t="s">
        <v>25</v>
      </c>
      <c r="H216" s="65" t="s">
        <v>35</v>
      </c>
      <c r="I216" s="75">
        <v>44562</v>
      </c>
      <c r="J216" s="76">
        <f>EFEITO!$J$216*EFEITO!$Y$216</f>
        <v>0</v>
      </c>
      <c r="K216" s="76">
        <f ca="1">EFEITO!$L$216*EFEITO!$Z$216</f>
        <v>15708.987540100443</v>
      </c>
      <c r="L216" s="76">
        <f>EFEITO!$N$216*EFEITO!$AA$216</f>
        <v>1440.2713639468232</v>
      </c>
      <c r="M216" s="76">
        <f>$J$216-EFEITO!$K$216*EFEITO!$Y$216</f>
        <v>0</v>
      </c>
      <c r="N216" s="76">
        <f ca="1">$K$216-EFEITO!$M$216*EFEITO!$Z$216</f>
        <v>0</v>
      </c>
      <c r="O216" s="76">
        <f>$L$216-EFEITO!$O$216*EFEITO!$AA$216</f>
        <v>0</v>
      </c>
      <c r="P216" s="19"/>
      <c r="Q216" s="19"/>
      <c r="R216" s="19"/>
      <c r="S216" s="19"/>
      <c r="T216" s="19"/>
      <c r="U216" s="19"/>
      <c r="V216" s="19"/>
      <c r="W216" s="19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65" t="s">
        <v>21</v>
      </c>
      <c r="B217" s="65" t="s">
        <v>33</v>
      </c>
      <c r="C217" s="65" t="s">
        <v>34</v>
      </c>
      <c r="D217" s="65" t="s">
        <v>42</v>
      </c>
      <c r="E217" s="65" t="s">
        <v>25</v>
      </c>
      <c r="F217" s="65" t="s">
        <v>25</v>
      </c>
      <c r="G217" s="65" t="s">
        <v>25</v>
      </c>
      <c r="H217" s="65" t="s">
        <v>35</v>
      </c>
      <c r="I217" s="75">
        <v>44593</v>
      </c>
      <c r="J217" s="76">
        <f>EFEITO!$J$217*EFEITO!$Y$217</f>
        <v>0</v>
      </c>
      <c r="K217" s="76">
        <f ca="1">EFEITO!$L$217*EFEITO!$Z$217</f>
        <v>17453.639374789745</v>
      </c>
      <c r="L217" s="76">
        <f>EFEITO!$N$217*EFEITO!$AA$217</f>
        <v>1600.2289723634012</v>
      </c>
      <c r="M217" s="76">
        <f>$J$217-EFEITO!$K$217*EFEITO!$Y$217</f>
        <v>0</v>
      </c>
      <c r="N217" s="76">
        <f ca="1">$K$217-EFEITO!$M$217*EFEITO!$Z$217</f>
        <v>0</v>
      </c>
      <c r="O217" s="76">
        <f>$L$217-EFEITO!$O$217*EFEITO!$AA$217</f>
        <v>0</v>
      </c>
      <c r="P217" s="19"/>
      <c r="Q217" s="19"/>
      <c r="R217" s="19"/>
      <c r="S217" s="19"/>
      <c r="T217" s="19"/>
      <c r="U217" s="19"/>
      <c r="V217" s="19"/>
      <c r="W217" s="19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65" t="s">
        <v>54</v>
      </c>
      <c r="B218" s="65" t="s">
        <v>33</v>
      </c>
      <c r="C218" s="65" t="s">
        <v>34</v>
      </c>
      <c r="D218" s="65" t="s">
        <v>42</v>
      </c>
      <c r="E218" s="65" t="s">
        <v>25</v>
      </c>
      <c r="F218" s="65" t="s">
        <v>25</v>
      </c>
      <c r="G218" s="65" t="s">
        <v>25</v>
      </c>
      <c r="H218" s="65" t="s">
        <v>35</v>
      </c>
      <c r="I218" s="75">
        <v>44621</v>
      </c>
      <c r="J218" s="76">
        <f>EFEITO!$J$218*EFEITO!$Y$218</f>
        <v>0</v>
      </c>
      <c r="K218" s="76">
        <f ca="1">EFEITO!$L$218*EFEITO!$Z$218</f>
        <v>17453.639374789745</v>
      </c>
      <c r="L218" s="76">
        <f>EFEITO!$N$218*EFEITO!$AA$218</f>
        <v>1600.2289723634012</v>
      </c>
      <c r="M218" s="76">
        <f>$J$218-EFEITO!$K$218*EFEITO!$Y$218</f>
        <v>0</v>
      </c>
      <c r="N218" s="76">
        <f ca="1">$K$218-EFEITO!$M$218*EFEITO!$Z$218</f>
        <v>0</v>
      </c>
      <c r="O218" s="76">
        <f>$L$218-EFEITO!$O$218*EFEITO!$AA$218</f>
        <v>0</v>
      </c>
      <c r="P218" s="19"/>
      <c r="Q218" s="19"/>
      <c r="R218" s="19"/>
      <c r="S218" s="19"/>
      <c r="T218" s="19"/>
      <c r="U218" s="19"/>
      <c r="V218" s="19"/>
      <c r="W218" s="19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65" t="s">
        <v>21</v>
      </c>
      <c r="B219" s="65" t="s">
        <v>33</v>
      </c>
      <c r="C219" s="65" t="s">
        <v>34</v>
      </c>
      <c r="D219" s="65" t="s">
        <v>24</v>
      </c>
      <c r="E219" s="65" t="s">
        <v>24</v>
      </c>
      <c r="F219" s="65" t="s">
        <v>25</v>
      </c>
      <c r="G219" s="65" t="s">
        <v>25</v>
      </c>
      <c r="H219" s="65" t="s">
        <v>36</v>
      </c>
      <c r="I219" s="75">
        <v>44287</v>
      </c>
      <c r="J219" s="76">
        <f>EFEITO!$J$219*EFEITO!$Y$219</f>
        <v>0</v>
      </c>
      <c r="K219" s="76">
        <f ca="1">EFEITO!$L$219*EFEITO!$Z$219</f>
        <v>1560.2163087317113</v>
      </c>
      <c r="L219" s="76">
        <f>EFEITO!$N$219*EFEITO!$AA$219</f>
        <v>3286.8568162116753</v>
      </c>
      <c r="M219" s="76">
        <f>$J$219-EFEITO!$K$219*EFEITO!$Y$219</f>
        <v>0</v>
      </c>
      <c r="N219" s="76">
        <f ca="1">$K$219-EFEITO!$M$219*EFEITO!$Z$219</f>
        <v>0</v>
      </c>
      <c r="O219" s="76">
        <f>$L$219-EFEITO!$O$219*EFEITO!$AA$219</f>
        <v>0</v>
      </c>
      <c r="P219" s="19"/>
      <c r="Q219" s="19"/>
      <c r="R219" s="19"/>
      <c r="S219" s="19"/>
      <c r="T219" s="19"/>
      <c r="U219" s="19"/>
      <c r="V219" s="19"/>
      <c r="W219" s="19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65" t="s">
        <v>21</v>
      </c>
      <c r="B220" s="65" t="s">
        <v>33</v>
      </c>
      <c r="C220" s="65" t="s">
        <v>34</v>
      </c>
      <c r="D220" s="65" t="s">
        <v>24</v>
      </c>
      <c r="E220" s="65" t="s">
        <v>24</v>
      </c>
      <c r="F220" s="65" t="s">
        <v>25</v>
      </c>
      <c r="G220" s="65" t="s">
        <v>25</v>
      </c>
      <c r="H220" s="65" t="s">
        <v>36</v>
      </c>
      <c r="I220" s="75">
        <v>44317</v>
      </c>
      <c r="J220" s="76">
        <f>EFEITO!$J$220*EFEITO!$Y$220</f>
        <v>0</v>
      </c>
      <c r="K220" s="76">
        <f ca="1">EFEITO!$L$220*EFEITO!$Z$220</f>
        <v>1128.4011613769769</v>
      </c>
      <c r="L220" s="76">
        <f>EFEITO!$N$220*EFEITO!$AA$220</f>
        <v>2377.1659275296383</v>
      </c>
      <c r="M220" s="76">
        <f>$J$220-EFEITO!$K$220*EFEITO!$Y$220</f>
        <v>0</v>
      </c>
      <c r="N220" s="76">
        <f ca="1">$K$220-EFEITO!$M$220*EFEITO!$Z$220</f>
        <v>0</v>
      </c>
      <c r="O220" s="76">
        <f>$L$220-EFEITO!$O$220*EFEITO!$AA$220</f>
        <v>0</v>
      </c>
      <c r="P220" s="19"/>
      <c r="Q220" s="19"/>
      <c r="R220" s="19"/>
      <c r="S220" s="19"/>
      <c r="T220" s="19"/>
      <c r="U220" s="19"/>
      <c r="V220" s="19"/>
      <c r="W220" s="19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65" t="s">
        <v>21</v>
      </c>
      <c r="B221" s="65" t="s">
        <v>33</v>
      </c>
      <c r="C221" s="65" t="s">
        <v>34</v>
      </c>
      <c r="D221" s="65" t="s">
        <v>24</v>
      </c>
      <c r="E221" s="65" t="s">
        <v>24</v>
      </c>
      <c r="F221" s="65" t="s">
        <v>25</v>
      </c>
      <c r="G221" s="65" t="s">
        <v>25</v>
      </c>
      <c r="H221" s="65" t="s">
        <v>36</v>
      </c>
      <c r="I221" s="75">
        <v>44348</v>
      </c>
      <c r="J221" s="76">
        <f>EFEITO!$J$221*EFEITO!$Y$221</f>
        <v>0</v>
      </c>
      <c r="K221" s="76">
        <f ca="1">EFEITO!$L$221*EFEITO!$Z$221</f>
        <v>1161.8720005499276</v>
      </c>
      <c r="L221" s="76">
        <f>EFEITO!$N$221*EFEITO!$AA$221</f>
        <v>2447.6778528724567</v>
      </c>
      <c r="M221" s="76">
        <f>$J$221-EFEITO!$K$221*EFEITO!$Y$221</f>
        <v>0</v>
      </c>
      <c r="N221" s="76">
        <f ca="1">$K$221-EFEITO!$M$221*EFEITO!$Z$221</f>
        <v>0</v>
      </c>
      <c r="O221" s="76">
        <f>$L$221-EFEITO!$O$221*EFEITO!$AA$221</f>
        <v>0</v>
      </c>
      <c r="P221" s="19"/>
      <c r="Q221" s="19"/>
      <c r="R221" s="19"/>
      <c r="S221" s="19"/>
      <c r="T221" s="19"/>
      <c r="U221" s="19"/>
      <c r="V221" s="19"/>
      <c r="W221" s="19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65" t="s">
        <v>21</v>
      </c>
      <c r="B222" s="65" t="s">
        <v>33</v>
      </c>
      <c r="C222" s="65" t="s">
        <v>34</v>
      </c>
      <c r="D222" s="65" t="s">
        <v>24</v>
      </c>
      <c r="E222" s="65" t="s">
        <v>24</v>
      </c>
      <c r="F222" s="65" t="s">
        <v>25</v>
      </c>
      <c r="G222" s="65" t="s">
        <v>25</v>
      </c>
      <c r="H222" s="65" t="s">
        <v>36</v>
      </c>
      <c r="I222" s="75">
        <v>44378</v>
      </c>
      <c r="J222" s="76">
        <f>EFEITO!$J$222*EFEITO!$Y$222</f>
        <v>0</v>
      </c>
      <c r="K222" s="76">
        <f ca="1">EFEITO!$L$222*EFEITO!$Z$222</f>
        <v>1885.4206350170473</v>
      </c>
      <c r="L222" s="76">
        <f>EFEITO!$N$222*EFEITO!$AA$222</f>
        <v>3971.9541649128842</v>
      </c>
      <c r="M222" s="76">
        <f>$J$222-EFEITO!$K$222*EFEITO!$Y$222</f>
        <v>0</v>
      </c>
      <c r="N222" s="76">
        <f ca="1">$K$222-EFEITO!$M$222*EFEITO!$Z$222</f>
        <v>0</v>
      </c>
      <c r="O222" s="76">
        <f>$L$222-EFEITO!$O$222*EFEITO!$AA$222</f>
        <v>0</v>
      </c>
      <c r="P222" s="19"/>
      <c r="Q222" s="19"/>
      <c r="R222" s="19"/>
      <c r="S222" s="19"/>
      <c r="T222" s="19"/>
      <c r="U222" s="19"/>
      <c r="V222" s="19"/>
      <c r="W222" s="19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65" t="s">
        <v>21</v>
      </c>
      <c r="B223" s="65" t="s">
        <v>33</v>
      </c>
      <c r="C223" s="65" t="s">
        <v>34</v>
      </c>
      <c r="D223" s="65" t="s">
        <v>24</v>
      </c>
      <c r="E223" s="65" t="s">
        <v>24</v>
      </c>
      <c r="F223" s="65" t="s">
        <v>25</v>
      </c>
      <c r="G223" s="65" t="s">
        <v>25</v>
      </c>
      <c r="H223" s="65" t="s">
        <v>36</v>
      </c>
      <c r="I223" s="75">
        <v>44409</v>
      </c>
      <c r="J223" s="76">
        <f>EFEITO!$J$223*EFEITO!$Y$223</f>
        <v>0</v>
      </c>
      <c r="K223" s="76">
        <f ca="1">EFEITO!$L$223*EFEITO!$Z$223</f>
        <v>1136.4589559926874</v>
      </c>
      <c r="L223" s="76">
        <f>EFEITO!$N$223*EFEITO!$AA$223</f>
        <v>2394.1410206677242</v>
      </c>
      <c r="M223" s="76">
        <f>$J$223-EFEITO!$K$223*EFEITO!$Y$223</f>
        <v>0</v>
      </c>
      <c r="N223" s="76">
        <f ca="1">$K$223-EFEITO!$M$223*EFEITO!$Z$223</f>
        <v>0</v>
      </c>
      <c r="O223" s="76">
        <f>$L$223-EFEITO!$O$223*EFEITO!$AA$223</f>
        <v>0</v>
      </c>
      <c r="P223" s="19"/>
      <c r="Q223" s="19"/>
      <c r="R223" s="19"/>
      <c r="S223" s="19"/>
      <c r="T223" s="19"/>
      <c r="U223" s="19"/>
      <c r="V223" s="19"/>
      <c r="W223" s="19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65" t="s">
        <v>21</v>
      </c>
      <c r="B224" s="65" t="s">
        <v>33</v>
      </c>
      <c r="C224" s="65" t="s">
        <v>34</v>
      </c>
      <c r="D224" s="65" t="s">
        <v>24</v>
      </c>
      <c r="E224" s="65" t="s">
        <v>24</v>
      </c>
      <c r="F224" s="65" t="s">
        <v>25</v>
      </c>
      <c r="G224" s="65" t="s">
        <v>25</v>
      </c>
      <c r="H224" s="65" t="s">
        <v>36</v>
      </c>
      <c r="I224" s="75">
        <v>44440</v>
      </c>
      <c r="J224" s="76">
        <f>EFEITO!$J$224*EFEITO!$Y$224</f>
        <v>0</v>
      </c>
      <c r="K224" s="76">
        <f ca="1">EFEITO!$L$224*EFEITO!$Z$224</f>
        <v>2086.3489751139273</v>
      </c>
      <c r="L224" s="76">
        <f>EFEITO!$N$224*EFEITO!$AA$224</f>
        <v>4395.2433463689995</v>
      </c>
      <c r="M224" s="76">
        <f>$J$224-EFEITO!$K$224*EFEITO!$Y$224</f>
        <v>0</v>
      </c>
      <c r="N224" s="76">
        <f ca="1">$K$224-EFEITO!$M$224*EFEITO!$Z$224</f>
        <v>0</v>
      </c>
      <c r="O224" s="76">
        <f>$L$224-EFEITO!$O$224*EFEITO!$AA$224</f>
        <v>0</v>
      </c>
      <c r="P224" s="19"/>
      <c r="Q224" s="19"/>
      <c r="R224" s="19"/>
      <c r="S224" s="19"/>
      <c r="T224" s="19"/>
      <c r="U224" s="19"/>
      <c r="V224" s="19"/>
      <c r="W224" s="19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65" t="s">
        <v>21</v>
      </c>
      <c r="B225" s="65" t="s">
        <v>33</v>
      </c>
      <c r="C225" s="65" t="s">
        <v>34</v>
      </c>
      <c r="D225" s="65" t="s">
        <v>24</v>
      </c>
      <c r="E225" s="65" t="s">
        <v>24</v>
      </c>
      <c r="F225" s="65" t="s">
        <v>25</v>
      </c>
      <c r="G225" s="65" t="s">
        <v>25</v>
      </c>
      <c r="H225" s="65" t="s">
        <v>36</v>
      </c>
      <c r="I225" s="75">
        <v>44470</v>
      </c>
      <c r="J225" s="76">
        <f>EFEITO!$J$225*EFEITO!$Y$225</f>
        <v>0</v>
      </c>
      <c r="K225" s="76">
        <f ca="1">EFEITO!$L$225*EFEITO!$Z$225</f>
        <v>1746.4753304256315</v>
      </c>
      <c r="L225" s="76">
        <f>EFEITO!$N$225*EFEITO!$AA$225</f>
        <v>3679.242622980506</v>
      </c>
      <c r="M225" s="76">
        <f>$J$225-EFEITO!$K$225*EFEITO!$Y$225</f>
        <v>0</v>
      </c>
      <c r="N225" s="76">
        <f ca="1">$K$225-EFEITO!$M$225*EFEITO!$Z$225</f>
        <v>0</v>
      </c>
      <c r="O225" s="76">
        <f>$L$225-EFEITO!$O$225*EFEITO!$AA$225</f>
        <v>0</v>
      </c>
      <c r="P225" s="19"/>
      <c r="Q225" s="19"/>
      <c r="R225" s="19"/>
      <c r="S225" s="19"/>
      <c r="T225" s="19"/>
      <c r="U225" s="19"/>
      <c r="V225" s="19"/>
      <c r="W225" s="19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65" t="s">
        <v>21</v>
      </c>
      <c r="B226" s="65" t="s">
        <v>33</v>
      </c>
      <c r="C226" s="65" t="s">
        <v>34</v>
      </c>
      <c r="D226" s="65" t="s">
        <v>24</v>
      </c>
      <c r="E226" s="65" t="s">
        <v>24</v>
      </c>
      <c r="F226" s="65" t="s">
        <v>25</v>
      </c>
      <c r="G226" s="65" t="s">
        <v>25</v>
      </c>
      <c r="H226" s="65" t="s">
        <v>36</v>
      </c>
      <c r="I226" s="75">
        <v>44501</v>
      </c>
      <c r="J226" s="76">
        <f>EFEITO!$J$226*EFEITO!$Y$226</f>
        <v>0</v>
      </c>
      <c r="K226" s="76">
        <f ca="1">EFEITO!$L$226*EFEITO!$Z$226</f>
        <v>1460.5269266270896</v>
      </c>
      <c r="L226" s="76">
        <f>EFEITO!$N$226*EFEITO!$AA$226</f>
        <v>3076.8444459776647</v>
      </c>
      <c r="M226" s="76">
        <f>$J$226-EFEITO!$K$226*EFEITO!$Y$226</f>
        <v>0</v>
      </c>
      <c r="N226" s="76">
        <f ca="1">$K$226-EFEITO!$M$226*EFEITO!$Z$226</f>
        <v>0</v>
      </c>
      <c r="O226" s="76">
        <f>$L$226-EFEITO!$O$226*EFEITO!$AA$226</f>
        <v>0</v>
      </c>
      <c r="P226" s="19"/>
      <c r="Q226" s="19"/>
      <c r="R226" s="19"/>
      <c r="S226" s="19"/>
      <c r="T226" s="19"/>
      <c r="U226" s="19"/>
      <c r="V226" s="19"/>
      <c r="W226" s="19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65" t="s">
        <v>21</v>
      </c>
      <c r="B227" s="65" t="s">
        <v>33</v>
      </c>
      <c r="C227" s="65" t="s">
        <v>34</v>
      </c>
      <c r="D227" s="65" t="s">
        <v>24</v>
      </c>
      <c r="E227" s="65" t="s">
        <v>24</v>
      </c>
      <c r="F227" s="65" t="s">
        <v>25</v>
      </c>
      <c r="G227" s="65" t="s">
        <v>25</v>
      </c>
      <c r="H227" s="65" t="s">
        <v>36</v>
      </c>
      <c r="I227" s="75">
        <v>44531</v>
      </c>
      <c r="J227" s="76">
        <f>EFEITO!$J$227*EFEITO!$Y$227</f>
        <v>0</v>
      </c>
      <c r="K227" s="76">
        <f ca="1">EFEITO!$L$227*EFEITO!$Z$227</f>
        <v>2062.2788963259718</v>
      </c>
      <c r="L227" s="76">
        <f>EFEITO!$N$227*EFEITO!$AA$227</f>
        <v>4344.535696353948</v>
      </c>
      <c r="M227" s="76">
        <f>$J$227-EFEITO!$K$227*EFEITO!$Y$227</f>
        <v>0</v>
      </c>
      <c r="N227" s="76">
        <f ca="1">$K$227-EFEITO!$M$227*EFEITO!$Z$227</f>
        <v>0</v>
      </c>
      <c r="O227" s="76">
        <f>$L$227-EFEITO!$O$227*EFEITO!$AA$227</f>
        <v>0</v>
      </c>
      <c r="P227" s="19"/>
      <c r="Q227" s="19"/>
      <c r="R227" s="19"/>
      <c r="S227" s="19"/>
      <c r="T227" s="19"/>
      <c r="U227" s="19"/>
      <c r="V227" s="19"/>
      <c r="W227" s="19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65" t="s">
        <v>21</v>
      </c>
      <c r="B228" s="65" t="s">
        <v>33</v>
      </c>
      <c r="C228" s="65" t="s">
        <v>34</v>
      </c>
      <c r="D228" s="65" t="s">
        <v>24</v>
      </c>
      <c r="E228" s="65" t="s">
        <v>24</v>
      </c>
      <c r="F228" s="65" t="s">
        <v>25</v>
      </c>
      <c r="G228" s="65" t="s">
        <v>25</v>
      </c>
      <c r="H228" s="65" t="s">
        <v>36</v>
      </c>
      <c r="I228" s="75">
        <v>44562</v>
      </c>
      <c r="J228" s="76">
        <f>EFEITO!$J$228*EFEITO!$Y$228</f>
        <v>0</v>
      </c>
      <c r="K228" s="76">
        <f ca="1">EFEITO!$L$228*EFEITO!$Z$228</f>
        <v>1926.9492688057082</v>
      </c>
      <c r="L228" s="76">
        <f>EFEITO!$N$228*EFEITO!$AA$228</f>
        <v>4059.4411833937879</v>
      </c>
      <c r="M228" s="76">
        <f>$J$228-EFEITO!$K$228*EFEITO!$Y$228</f>
        <v>0</v>
      </c>
      <c r="N228" s="76">
        <f ca="1">$K$228-EFEITO!$M$228*EFEITO!$Z$228</f>
        <v>0</v>
      </c>
      <c r="O228" s="76">
        <f>$L$228-EFEITO!$O$228*EFEITO!$AA$228</f>
        <v>0</v>
      </c>
      <c r="P228" s="19"/>
      <c r="Q228" s="19"/>
      <c r="R228" s="19"/>
      <c r="S228" s="19"/>
      <c r="T228" s="19"/>
      <c r="U228" s="19"/>
      <c r="V228" s="19"/>
      <c r="W228" s="19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65" t="s">
        <v>21</v>
      </c>
      <c r="B229" s="65" t="s">
        <v>33</v>
      </c>
      <c r="C229" s="65" t="s">
        <v>34</v>
      </c>
      <c r="D229" s="65" t="s">
        <v>24</v>
      </c>
      <c r="E229" s="65" t="s">
        <v>24</v>
      </c>
      <c r="F229" s="65" t="s">
        <v>25</v>
      </c>
      <c r="G229" s="65" t="s">
        <v>25</v>
      </c>
      <c r="H229" s="65" t="s">
        <v>36</v>
      </c>
      <c r="I229" s="75">
        <v>44593</v>
      </c>
      <c r="J229" s="76">
        <f>EFEITO!$J$229*EFEITO!$Y$229</f>
        <v>0</v>
      </c>
      <c r="K229" s="76">
        <f ca="1">EFEITO!$L$229*EFEITO!$Z$229</f>
        <v>1054.5380440662987</v>
      </c>
      <c r="L229" s="76">
        <f>EFEITO!$N$229*EFEITO!$AA$229</f>
        <v>2221.560907097185</v>
      </c>
      <c r="M229" s="76">
        <f>$J$229-EFEITO!$K$229*EFEITO!$Y$229</f>
        <v>0</v>
      </c>
      <c r="N229" s="76">
        <f ca="1">$K$229-EFEITO!$M$229*EFEITO!$Z$229</f>
        <v>0</v>
      </c>
      <c r="O229" s="76">
        <f>$L$229-EFEITO!$O$229*EFEITO!$AA$229</f>
        <v>0</v>
      </c>
      <c r="P229" s="19"/>
      <c r="Q229" s="19"/>
      <c r="R229" s="19"/>
      <c r="S229" s="19"/>
      <c r="T229" s="19"/>
      <c r="U229" s="19"/>
      <c r="V229" s="19"/>
      <c r="W229" s="19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65" t="s">
        <v>54</v>
      </c>
      <c r="B230" s="65" t="s">
        <v>33</v>
      </c>
      <c r="C230" s="65" t="s">
        <v>34</v>
      </c>
      <c r="D230" s="65" t="s">
        <v>24</v>
      </c>
      <c r="E230" s="65" t="s">
        <v>24</v>
      </c>
      <c r="F230" s="65" t="s">
        <v>25</v>
      </c>
      <c r="G230" s="65" t="s">
        <v>25</v>
      </c>
      <c r="H230" s="65" t="s">
        <v>36</v>
      </c>
      <c r="I230" s="75">
        <v>44621</v>
      </c>
      <c r="J230" s="76">
        <f>EFEITO!$J$230*EFEITO!$Y$230</f>
        <v>0</v>
      </c>
      <c r="K230" s="76">
        <f ca="1">EFEITO!$L$230*EFEITO!$Z$230</f>
        <v>1054.5380440662987</v>
      </c>
      <c r="L230" s="76">
        <f>EFEITO!$N$230*EFEITO!$AA$230</f>
        <v>2221.560907097185</v>
      </c>
      <c r="M230" s="76">
        <f>$J$230-EFEITO!$K$230*EFEITO!$Y$230</f>
        <v>0</v>
      </c>
      <c r="N230" s="76">
        <f ca="1">$K$230-EFEITO!$M$230*EFEITO!$Z$230</f>
        <v>0</v>
      </c>
      <c r="O230" s="76">
        <f>$L$230-EFEITO!$O$230*EFEITO!$AA$230</f>
        <v>0</v>
      </c>
      <c r="P230" s="19"/>
      <c r="Q230" s="19"/>
      <c r="R230" s="19"/>
      <c r="S230" s="19"/>
      <c r="T230" s="19"/>
      <c r="U230" s="19"/>
      <c r="V230" s="19"/>
      <c r="W230" s="19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65" t="s">
        <v>21</v>
      </c>
      <c r="B231" s="65" t="s">
        <v>33</v>
      </c>
      <c r="C231" s="65" t="s">
        <v>34</v>
      </c>
      <c r="D231" s="65" t="s">
        <v>24</v>
      </c>
      <c r="E231" s="65" t="s">
        <v>24</v>
      </c>
      <c r="F231" s="65" t="s">
        <v>25</v>
      </c>
      <c r="G231" s="65" t="s">
        <v>25</v>
      </c>
      <c r="H231" s="65" t="s">
        <v>25</v>
      </c>
      <c r="I231" s="75">
        <v>44287</v>
      </c>
      <c r="J231" s="76">
        <f ca="1">EFEITO!$J$231*EFEITO!$Y$231</f>
        <v>2669.4710595610672</v>
      </c>
      <c r="K231" s="76">
        <f>EFEITO!$L$231*EFEITO!$Z$231</f>
        <v>0</v>
      </c>
      <c r="L231" s="76">
        <f>EFEITO!$N$231*EFEITO!$AA$231</f>
        <v>0</v>
      </c>
      <c r="M231" s="76">
        <f ca="1">$J$231-EFEITO!$K$231*EFEITO!$Y$231</f>
        <v>0</v>
      </c>
      <c r="N231" s="76">
        <f>$K$231-EFEITO!$M$231*EFEITO!$Z$231</f>
        <v>0</v>
      </c>
      <c r="O231" s="76">
        <f>$L$231-EFEITO!$O$231*EFEITO!$AA$231</f>
        <v>0</v>
      </c>
      <c r="P231" s="19"/>
      <c r="Q231" s="19"/>
      <c r="R231" s="19"/>
      <c r="S231" s="19"/>
      <c r="T231" s="19"/>
      <c r="U231" s="19"/>
      <c r="V231" s="19"/>
      <c r="W231" s="19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65" t="s">
        <v>21</v>
      </c>
      <c r="B232" s="65" t="s">
        <v>33</v>
      </c>
      <c r="C232" s="65" t="s">
        <v>34</v>
      </c>
      <c r="D232" s="65" t="s">
        <v>24</v>
      </c>
      <c r="E232" s="65" t="s">
        <v>24</v>
      </c>
      <c r="F232" s="65" t="s">
        <v>25</v>
      </c>
      <c r="G232" s="65" t="s">
        <v>25</v>
      </c>
      <c r="H232" s="65" t="s">
        <v>25</v>
      </c>
      <c r="I232" s="75">
        <v>44317</v>
      </c>
      <c r="J232" s="76">
        <f ca="1">EFEITO!$J$232*EFEITO!$Y$232</f>
        <v>2815.0785719007617</v>
      </c>
      <c r="K232" s="76">
        <f>EFEITO!$L$232*EFEITO!$Z$232</f>
        <v>0</v>
      </c>
      <c r="L232" s="76">
        <f>EFEITO!$N$232*EFEITO!$AA$232</f>
        <v>0</v>
      </c>
      <c r="M232" s="76">
        <f ca="1">$J$232-EFEITO!$K$232*EFEITO!$Y$232</f>
        <v>0</v>
      </c>
      <c r="N232" s="76">
        <f>$K$232-EFEITO!$M$232*EFEITO!$Z$232</f>
        <v>0</v>
      </c>
      <c r="O232" s="76">
        <f>$L$232-EFEITO!$O$232*EFEITO!$AA$232</f>
        <v>0</v>
      </c>
      <c r="P232" s="19"/>
      <c r="Q232" s="19"/>
      <c r="R232" s="19"/>
      <c r="S232" s="19"/>
      <c r="T232" s="19"/>
      <c r="U232" s="19"/>
      <c r="V232" s="19"/>
      <c r="W232" s="19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65" t="s">
        <v>21</v>
      </c>
      <c r="B233" s="65" t="s">
        <v>33</v>
      </c>
      <c r="C233" s="65" t="s">
        <v>34</v>
      </c>
      <c r="D233" s="65" t="s">
        <v>24</v>
      </c>
      <c r="E233" s="65" t="s">
        <v>24</v>
      </c>
      <c r="F233" s="65" t="s">
        <v>25</v>
      </c>
      <c r="G233" s="65" t="s">
        <v>25</v>
      </c>
      <c r="H233" s="65" t="s">
        <v>25</v>
      </c>
      <c r="I233" s="75">
        <v>44348</v>
      </c>
      <c r="J233" s="76">
        <f ca="1">EFEITO!$J$233*EFEITO!$Y$233</f>
        <v>2669.4710595610672</v>
      </c>
      <c r="K233" s="76">
        <f>EFEITO!$L$233*EFEITO!$Z$233</f>
        <v>0</v>
      </c>
      <c r="L233" s="76">
        <f>EFEITO!$N$233*EFEITO!$AA$233</f>
        <v>0</v>
      </c>
      <c r="M233" s="76">
        <f ca="1">$J$233-EFEITO!$K$233*EFEITO!$Y$233</f>
        <v>0</v>
      </c>
      <c r="N233" s="76">
        <f>$K$233-EFEITO!$M$233*EFEITO!$Z$233</f>
        <v>0</v>
      </c>
      <c r="O233" s="76">
        <f>$L$233-EFEITO!$O$233*EFEITO!$AA$233</f>
        <v>0</v>
      </c>
      <c r="P233" s="19"/>
      <c r="Q233" s="19"/>
      <c r="R233" s="19"/>
      <c r="S233" s="19"/>
      <c r="T233" s="19"/>
      <c r="U233" s="19"/>
      <c r="V233" s="19"/>
      <c r="W233" s="19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65" t="s">
        <v>21</v>
      </c>
      <c r="B234" s="65" t="s">
        <v>33</v>
      </c>
      <c r="C234" s="65" t="s">
        <v>34</v>
      </c>
      <c r="D234" s="65" t="s">
        <v>24</v>
      </c>
      <c r="E234" s="65" t="s">
        <v>24</v>
      </c>
      <c r="F234" s="65" t="s">
        <v>25</v>
      </c>
      <c r="G234" s="65" t="s">
        <v>25</v>
      </c>
      <c r="H234" s="65" t="s">
        <v>25</v>
      </c>
      <c r="I234" s="75">
        <v>44378</v>
      </c>
      <c r="J234" s="76">
        <f ca="1">EFEITO!$J$234*EFEITO!$Y$234</f>
        <v>3179.0973527499982</v>
      </c>
      <c r="K234" s="76">
        <f>EFEITO!$L$234*EFEITO!$Z$234</f>
        <v>0</v>
      </c>
      <c r="L234" s="76">
        <f>EFEITO!$N$234*EFEITO!$AA$234</f>
        <v>0</v>
      </c>
      <c r="M234" s="76">
        <f ca="1">$J$234-EFEITO!$K$234*EFEITO!$Y$234</f>
        <v>0</v>
      </c>
      <c r="N234" s="76">
        <f>$K$234-EFEITO!$M$234*EFEITO!$Z$234</f>
        <v>0</v>
      </c>
      <c r="O234" s="76">
        <f>$L$234-EFEITO!$O$234*EFEITO!$AA$234</f>
        <v>0</v>
      </c>
      <c r="P234" s="19"/>
      <c r="Q234" s="19"/>
      <c r="R234" s="19"/>
      <c r="S234" s="19"/>
      <c r="T234" s="19"/>
      <c r="U234" s="19"/>
      <c r="V234" s="19"/>
      <c r="W234" s="19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65" t="s">
        <v>21</v>
      </c>
      <c r="B235" s="65" t="s">
        <v>33</v>
      </c>
      <c r="C235" s="65" t="s">
        <v>34</v>
      </c>
      <c r="D235" s="65" t="s">
        <v>24</v>
      </c>
      <c r="E235" s="65" t="s">
        <v>24</v>
      </c>
      <c r="F235" s="65" t="s">
        <v>25</v>
      </c>
      <c r="G235" s="65" t="s">
        <v>25</v>
      </c>
      <c r="H235" s="65" t="s">
        <v>25</v>
      </c>
      <c r="I235" s="75">
        <v>44409</v>
      </c>
      <c r="J235" s="76">
        <f ca="1">EFEITO!$J$235*EFEITO!$Y$235</f>
        <v>2669.4710595610672</v>
      </c>
      <c r="K235" s="76">
        <f>EFEITO!$L$235*EFEITO!$Z$235</f>
        <v>0</v>
      </c>
      <c r="L235" s="76">
        <f>EFEITO!$N$235*EFEITO!$AA$235</f>
        <v>0</v>
      </c>
      <c r="M235" s="76">
        <f ca="1">$J$235-EFEITO!$K$235*EFEITO!$Y$235</f>
        <v>0</v>
      </c>
      <c r="N235" s="76">
        <f>$K$235-EFEITO!$M$235*EFEITO!$Z$235</f>
        <v>0</v>
      </c>
      <c r="O235" s="76">
        <f>$L$235-EFEITO!$O$235*EFEITO!$AA$235</f>
        <v>0</v>
      </c>
      <c r="P235" s="19"/>
      <c r="Q235" s="19"/>
      <c r="R235" s="19"/>
      <c r="S235" s="19"/>
      <c r="T235" s="19"/>
      <c r="U235" s="19"/>
      <c r="V235" s="19"/>
      <c r="W235" s="19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65" t="s">
        <v>21</v>
      </c>
      <c r="B236" s="65" t="s">
        <v>33</v>
      </c>
      <c r="C236" s="65" t="s">
        <v>34</v>
      </c>
      <c r="D236" s="65" t="s">
        <v>24</v>
      </c>
      <c r="E236" s="65" t="s">
        <v>24</v>
      </c>
      <c r="F236" s="65" t="s">
        <v>25</v>
      </c>
      <c r="G236" s="65" t="s">
        <v>25</v>
      </c>
      <c r="H236" s="65" t="s">
        <v>25</v>
      </c>
      <c r="I236" s="75">
        <v>44440</v>
      </c>
      <c r="J236" s="76">
        <f ca="1">EFEITO!$J$236*EFEITO!$Y$236</f>
        <v>3543.1161335992342</v>
      </c>
      <c r="K236" s="76">
        <f>EFEITO!$L$236*EFEITO!$Z$236</f>
        <v>0</v>
      </c>
      <c r="L236" s="76">
        <f>EFEITO!$N$236*EFEITO!$AA$236</f>
        <v>0</v>
      </c>
      <c r="M236" s="76">
        <f ca="1">$J$236-EFEITO!$K$236*EFEITO!$Y$236</f>
        <v>0</v>
      </c>
      <c r="N236" s="76">
        <f>$K$236-EFEITO!$M$236*EFEITO!$Z$236</f>
        <v>0</v>
      </c>
      <c r="O236" s="76">
        <f>$L$236-EFEITO!$O$236*EFEITO!$AA$236</f>
        <v>0</v>
      </c>
      <c r="P236" s="19"/>
      <c r="Q236" s="19"/>
      <c r="R236" s="19"/>
      <c r="S236" s="19"/>
      <c r="T236" s="19"/>
      <c r="U236" s="19"/>
      <c r="V236" s="19"/>
      <c r="W236" s="19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65" t="s">
        <v>21</v>
      </c>
      <c r="B237" s="65" t="s">
        <v>33</v>
      </c>
      <c r="C237" s="65" t="s">
        <v>34</v>
      </c>
      <c r="D237" s="65" t="s">
        <v>24</v>
      </c>
      <c r="E237" s="65" t="s">
        <v>24</v>
      </c>
      <c r="F237" s="65" t="s">
        <v>25</v>
      </c>
      <c r="G237" s="65" t="s">
        <v>25</v>
      </c>
      <c r="H237" s="65" t="s">
        <v>25</v>
      </c>
      <c r="I237" s="75">
        <v>44470</v>
      </c>
      <c r="J237" s="76">
        <f ca="1">EFEITO!$J$237*EFEITO!$Y$237</f>
        <v>3203.3652714732802</v>
      </c>
      <c r="K237" s="76">
        <f>EFEITO!$L$237*EFEITO!$Z$237</f>
        <v>0</v>
      </c>
      <c r="L237" s="76">
        <f>EFEITO!$N$237*EFEITO!$AA$237</f>
        <v>0</v>
      </c>
      <c r="M237" s="76">
        <f ca="1">$J$237-EFEITO!$K$237*EFEITO!$Y$237</f>
        <v>0</v>
      </c>
      <c r="N237" s="76">
        <f>$K$237-EFEITO!$M$237*EFEITO!$Z$237</f>
        <v>0</v>
      </c>
      <c r="O237" s="76">
        <f>$L$237-EFEITO!$O$237*EFEITO!$AA$237</f>
        <v>0</v>
      </c>
      <c r="P237" s="19"/>
      <c r="Q237" s="19"/>
      <c r="R237" s="19"/>
      <c r="S237" s="19"/>
      <c r="T237" s="19"/>
      <c r="U237" s="19"/>
      <c r="V237" s="19"/>
      <c r="W237" s="19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65" t="s">
        <v>21</v>
      </c>
      <c r="B238" s="65" t="s">
        <v>33</v>
      </c>
      <c r="C238" s="65" t="s">
        <v>34</v>
      </c>
      <c r="D238" s="65" t="s">
        <v>24</v>
      </c>
      <c r="E238" s="65" t="s">
        <v>24</v>
      </c>
      <c r="F238" s="65" t="s">
        <v>25</v>
      </c>
      <c r="G238" s="65" t="s">
        <v>25</v>
      </c>
      <c r="H238" s="65" t="s">
        <v>25</v>
      </c>
      <c r="I238" s="75">
        <v>44501</v>
      </c>
      <c r="J238" s="76">
        <f ca="1">EFEITO!$J$238*EFEITO!$Y$238</f>
        <v>2839.3464906240442</v>
      </c>
      <c r="K238" s="76">
        <f>EFEITO!$L$238*EFEITO!$Z$238</f>
        <v>0</v>
      </c>
      <c r="L238" s="76">
        <f>EFEITO!$N$238*EFEITO!$AA$238</f>
        <v>0</v>
      </c>
      <c r="M238" s="76">
        <f ca="1">$J$238-EFEITO!$K$238*EFEITO!$Y$238</f>
        <v>0</v>
      </c>
      <c r="N238" s="76">
        <f>$K$238-EFEITO!$M$238*EFEITO!$Z$238</f>
        <v>0</v>
      </c>
      <c r="O238" s="76">
        <f>$L$238-EFEITO!$O$238*EFEITO!$AA$238</f>
        <v>0</v>
      </c>
      <c r="P238" s="19"/>
      <c r="Q238" s="19"/>
      <c r="R238" s="19"/>
      <c r="S238" s="19"/>
      <c r="T238" s="19"/>
      <c r="U238" s="19"/>
      <c r="V238" s="19"/>
      <c r="W238" s="19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65" t="s">
        <v>21</v>
      </c>
      <c r="B239" s="65" t="s">
        <v>33</v>
      </c>
      <c r="C239" s="65" t="s">
        <v>34</v>
      </c>
      <c r="D239" s="65" t="s">
        <v>24</v>
      </c>
      <c r="E239" s="65" t="s">
        <v>24</v>
      </c>
      <c r="F239" s="65" t="s">
        <v>25</v>
      </c>
      <c r="G239" s="65" t="s">
        <v>25</v>
      </c>
      <c r="H239" s="65" t="s">
        <v>25</v>
      </c>
      <c r="I239" s="75">
        <v>44531</v>
      </c>
      <c r="J239" s="76">
        <f ca="1">EFEITO!$J$239*EFEITO!$Y$239</f>
        <v>2912.1502467938913</v>
      </c>
      <c r="K239" s="76">
        <f>EFEITO!$L$239*EFEITO!$Z$239</f>
        <v>0</v>
      </c>
      <c r="L239" s="76">
        <f>EFEITO!$N$239*EFEITO!$AA$239</f>
        <v>0</v>
      </c>
      <c r="M239" s="76">
        <f ca="1">$J$239-EFEITO!$K$239*EFEITO!$Y$239</f>
        <v>0</v>
      </c>
      <c r="N239" s="76">
        <f>$K$239-EFEITO!$M$239*EFEITO!$Z$239</f>
        <v>0</v>
      </c>
      <c r="O239" s="76">
        <f>$L$239-EFEITO!$O$239*EFEITO!$AA$239</f>
        <v>0</v>
      </c>
      <c r="P239" s="19"/>
      <c r="Q239" s="19"/>
      <c r="R239" s="19"/>
      <c r="S239" s="19"/>
      <c r="T239" s="19"/>
      <c r="U239" s="19"/>
      <c r="V239" s="19"/>
      <c r="W239" s="19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65" t="s">
        <v>21</v>
      </c>
      <c r="B240" s="65" t="s">
        <v>33</v>
      </c>
      <c r="C240" s="65" t="s">
        <v>34</v>
      </c>
      <c r="D240" s="65" t="s">
        <v>24</v>
      </c>
      <c r="E240" s="65" t="s">
        <v>24</v>
      </c>
      <c r="F240" s="65" t="s">
        <v>25</v>
      </c>
      <c r="G240" s="65" t="s">
        <v>25</v>
      </c>
      <c r="H240" s="65" t="s">
        <v>25</v>
      </c>
      <c r="I240" s="75">
        <v>44562</v>
      </c>
      <c r="J240" s="76">
        <f ca="1">EFEITO!$J$240*EFEITO!$Y$240</f>
        <v>3130.5615153034332</v>
      </c>
      <c r="K240" s="76">
        <f>EFEITO!$L$240*EFEITO!$Z$240</f>
        <v>0</v>
      </c>
      <c r="L240" s="76">
        <f>EFEITO!$N$240*EFEITO!$AA$240</f>
        <v>0</v>
      </c>
      <c r="M240" s="76">
        <f ca="1">$J$240-EFEITO!$K$240*EFEITO!$Y$240</f>
        <v>0</v>
      </c>
      <c r="N240" s="76">
        <f>$K$240-EFEITO!$M$240*EFEITO!$Z$240</f>
        <v>0</v>
      </c>
      <c r="O240" s="76">
        <f>$L$240-EFEITO!$O$240*EFEITO!$AA$240</f>
        <v>0</v>
      </c>
      <c r="P240" s="19"/>
      <c r="Q240" s="19"/>
      <c r="R240" s="19"/>
      <c r="S240" s="19"/>
      <c r="T240" s="19"/>
      <c r="U240" s="19"/>
      <c r="V240" s="19"/>
      <c r="W240" s="19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65" t="s">
        <v>21</v>
      </c>
      <c r="B241" s="65" t="s">
        <v>33</v>
      </c>
      <c r="C241" s="65" t="s">
        <v>34</v>
      </c>
      <c r="D241" s="65" t="s">
        <v>24</v>
      </c>
      <c r="E241" s="65" t="s">
        <v>24</v>
      </c>
      <c r="F241" s="65" t="s">
        <v>25</v>
      </c>
      <c r="G241" s="65" t="s">
        <v>25</v>
      </c>
      <c r="H241" s="65" t="s">
        <v>25</v>
      </c>
      <c r="I241" s="75">
        <v>44593</v>
      </c>
      <c r="J241" s="76">
        <f ca="1">EFEITO!$J$241*EFEITO!$Y$241</f>
        <v>2815.0785719007617</v>
      </c>
      <c r="K241" s="76">
        <f>EFEITO!$L$241*EFEITO!$Z$241</f>
        <v>0</v>
      </c>
      <c r="L241" s="76">
        <f>EFEITO!$N$241*EFEITO!$AA$241</f>
        <v>0</v>
      </c>
      <c r="M241" s="76">
        <f ca="1">$J$241-EFEITO!$K$241*EFEITO!$Y$241</f>
        <v>0</v>
      </c>
      <c r="N241" s="76">
        <f>$K$241-EFEITO!$M$241*EFEITO!$Z$241</f>
        <v>0</v>
      </c>
      <c r="O241" s="76">
        <f>$L$241-EFEITO!$O$241*EFEITO!$AA$241</f>
        <v>0</v>
      </c>
      <c r="P241" s="19"/>
      <c r="Q241" s="19"/>
      <c r="R241" s="19"/>
      <c r="S241" s="19"/>
      <c r="T241" s="19"/>
      <c r="U241" s="19"/>
      <c r="V241" s="19"/>
      <c r="W241" s="19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65" t="s">
        <v>54</v>
      </c>
      <c r="B242" s="65" t="s">
        <v>33</v>
      </c>
      <c r="C242" s="65" t="s">
        <v>34</v>
      </c>
      <c r="D242" s="65" t="s">
        <v>24</v>
      </c>
      <c r="E242" s="65" t="s">
        <v>24</v>
      </c>
      <c r="F242" s="65" t="s">
        <v>25</v>
      </c>
      <c r="G242" s="65" t="s">
        <v>25</v>
      </c>
      <c r="H242" s="65" t="s">
        <v>25</v>
      </c>
      <c r="I242" s="75">
        <v>44621</v>
      </c>
      <c r="J242" s="76">
        <f ca="1">EFEITO!$J$242*EFEITO!$Y$242</f>
        <v>2815.0785719007617</v>
      </c>
      <c r="K242" s="76">
        <f>EFEITO!$L$242*EFEITO!$Z$242</f>
        <v>0</v>
      </c>
      <c r="L242" s="76">
        <f>EFEITO!$N$242*EFEITO!$AA$242</f>
        <v>0</v>
      </c>
      <c r="M242" s="76">
        <f ca="1">$J$242-EFEITO!$K$242*EFEITO!$Y$242</f>
        <v>0</v>
      </c>
      <c r="N242" s="76">
        <f>$K$242-EFEITO!$M$242*EFEITO!$Z$242</f>
        <v>0</v>
      </c>
      <c r="O242" s="76">
        <f>$L$242-EFEITO!$O$242*EFEITO!$AA$242</f>
        <v>0</v>
      </c>
      <c r="P242" s="19"/>
      <c r="Q242" s="19"/>
      <c r="R242" s="19"/>
      <c r="S242" s="19"/>
      <c r="T242" s="19"/>
      <c r="U242" s="19"/>
      <c r="V242" s="19"/>
      <c r="W242" s="19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65" t="s">
        <v>21</v>
      </c>
      <c r="B243" s="65" t="s">
        <v>33</v>
      </c>
      <c r="C243" s="65" t="s">
        <v>34</v>
      </c>
      <c r="D243" s="65" t="s">
        <v>24</v>
      </c>
      <c r="E243" s="65" t="s">
        <v>24</v>
      </c>
      <c r="F243" s="65" t="s">
        <v>25</v>
      </c>
      <c r="G243" s="65" t="s">
        <v>25</v>
      </c>
      <c r="H243" s="65" t="s">
        <v>35</v>
      </c>
      <c r="I243" s="75">
        <v>44287</v>
      </c>
      <c r="J243" s="76">
        <f>EFEITO!$J$243*EFEITO!$Y$243</f>
        <v>0</v>
      </c>
      <c r="K243" s="76">
        <f ca="1">EFEITO!$L$243*EFEITO!$Z$243</f>
        <v>3128.5049226129318</v>
      </c>
      <c r="L243" s="76">
        <f>EFEITO!$N$243*EFEITO!$AA$243</f>
        <v>286.83554815380973</v>
      </c>
      <c r="M243" s="76">
        <f>$J$243-EFEITO!$K$243*EFEITO!$Y$243</f>
        <v>0</v>
      </c>
      <c r="N243" s="76">
        <f ca="1">$K$243-EFEITO!$M$243*EFEITO!$Z$243</f>
        <v>0</v>
      </c>
      <c r="O243" s="76">
        <f>$L$243-EFEITO!$O$243*EFEITO!$AA$243</f>
        <v>0</v>
      </c>
      <c r="P243" s="19"/>
      <c r="Q243" s="19"/>
      <c r="R243" s="19"/>
      <c r="S243" s="19"/>
      <c r="T243" s="19"/>
      <c r="U243" s="19"/>
      <c r="V243" s="19"/>
      <c r="W243" s="19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65" t="s">
        <v>21</v>
      </c>
      <c r="B244" s="65" t="s">
        <v>33</v>
      </c>
      <c r="C244" s="65" t="s">
        <v>34</v>
      </c>
      <c r="D244" s="65" t="s">
        <v>24</v>
      </c>
      <c r="E244" s="65" t="s">
        <v>24</v>
      </c>
      <c r="F244" s="65" t="s">
        <v>25</v>
      </c>
      <c r="G244" s="65" t="s">
        <v>25</v>
      </c>
      <c r="H244" s="65" t="s">
        <v>35</v>
      </c>
      <c r="I244" s="75">
        <v>44317</v>
      </c>
      <c r="J244" s="76">
        <f>EFEITO!$J$244*EFEITO!$Y$244</f>
        <v>0</v>
      </c>
      <c r="K244" s="76">
        <f ca="1">EFEITO!$L$244*EFEITO!$Z$244</f>
        <v>2264.4868711477516</v>
      </c>
      <c r="L244" s="76">
        <f>EFEITO!$N$244*EFEITO!$AA$244</f>
        <v>207.61844684274237</v>
      </c>
      <c r="M244" s="76">
        <f>$J$244-EFEITO!$K$244*EFEITO!$Y$244</f>
        <v>0</v>
      </c>
      <c r="N244" s="76">
        <f ca="1">$K$244-EFEITO!$M$244*EFEITO!$Z$244</f>
        <v>0</v>
      </c>
      <c r="O244" s="76">
        <f>$L$244-EFEITO!$O$244*EFEITO!$AA$244</f>
        <v>0</v>
      </c>
      <c r="P244" s="19"/>
      <c r="Q244" s="19"/>
      <c r="R244" s="19"/>
      <c r="S244" s="19"/>
      <c r="T244" s="19"/>
      <c r="U244" s="19"/>
      <c r="V244" s="19"/>
      <c r="W244" s="19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65" t="s">
        <v>21</v>
      </c>
      <c r="B245" s="65" t="s">
        <v>33</v>
      </c>
      <c r="C245" s="65" t="s">
        <v>34</v>
      </c>
      <c r="D245" s="65" t="s">
        <v>24</v>
      </c>
      <c r="E245" s="65" t="s">
        <v>24</v>
      </c>
      <c r="F245" s="65" t="s">
        <v>25</v>
      </c>
      <c r="G245" s="65" t="s">
        <v>25</v>
      </c>
      <c r="H245" s="65" t="s">
        <v>35</v>
      </c>
      <c r="I245" s="75">
        <v>44348</v>
      </c>
      <c r="J245" s="76">
        <f>EFEITO!$J$245*EFEITO!$Y$245</f>
        <v>0</v>
      </c>
      <c r="K245" s="76">
        <f ca="1">EFEITO!$L$245*EFEITO!$Z$245</f>
        <v>2397.412725219318</v>
      </c>
      <c r="L245" s="76">
        <f>EFEITO!$N$245*EFEITO!$AA$245</f>
        <v>219.80569319829121</v>
      </c>
      <c r="M245" s="76">
        <f>$J$245-EFEITO!$K$245*EFEITO!$Y$245</f>
        <v>0</v>
      </c>
      <c r="N245" s="76">
        <f ca="1">$K$245-EFEITO!$M$245*EFEITO!$Z$245</f>
        <v>0</v>
      </c>
      <c r="O245" s="76">
        <f>$L$245-EFEITO!$O$245*EFEITO!$AA$245</f>
        <v>0</v>
      </c>
      <c r="P245" s="19"/>
      <c r="Q245" s="19"/>
      <c r="R245" s="19"/>
      <c r="S245" s="19"/>
      <c r="T245" s="19"/>
      <c r="U245" s="19"/>
      <c r="V245" s="19"/>
      <c r="W245" s="19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65" t="s">
        <v>21</v>
      </c>
      <c r="B246" s="65" t="s">
        <v>33</v>
      </c>
      <c r="C246" s="65" t="s">
        <v>34</v>
      </c>
      <c r="D246" s="65" t="s">
        <v>24</v>
      </c>
      <c r="E246" s="65" t="s">
        <v>24</v>
      </c>
      <c r="F246" s="65" t="s">
        <v>25</v>
      </c>
      <c r="G246" s="65" t="s">
        <v>25</v>
      </c>
      <c r="H246" s="65" t="s">
        <v>35</v>
      </c>
      <c r="I246" s="75">
        <v>44378</v>
      </c>
      <c r="J246" s="76">
        <f>EFEITO!$J$246*EFEITO!$Y$246</f>
        <v>0</v>
      </c>
      <c r="K246" s="76">
        <f ca="1">EFEITO!$L$246*EFEITO!$Z$246</f>
        <v>4343.8270169815369</v>
      </c>
      <c r="L246" s="76">
        <f>EFEITO!$N$246*EFEITO!$AA$246</f>
        <v>398.26180054739893</v>
      </c>
      <c r="M246" s="76">
        <f>$J$246-EFEITO!$K$246*EFEITO!$Y$246</f>
        <v>0</v>
      </c>
      <c r="N246" s="76">
        <f ca="1">$K$246-EFEITO!$M$246*EFEITO!$Z$246</f>
        <v>0</v>
      </c>
      <c r="O246" s="76">
        <f>$L$246-EFEITO!$O$246*EFEITO!$AA$246</f>
        <v>0</v>
      </c>
      <c r="P246" s="19"/>
      <c r="Q246" s="19"/>
      <c r="R246" s="19"/>
      <c r="S246" s="19"/>
      <c r="T246" s="19"/>
      <c r="U246" s="19"/>
      <c r="V246" s="19"/>
      <c r="W246" s="19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65" t="s">
        <v>21</v>
      </c>
      <c r="B247" s="65" t="s">
        <v>33</v>
      </c>
      <c r="C247" s="65" t="s">
        <v>34</v>
      </c>
      <c r="D247" s="65" t="s">
        <v>24</v>
      </c>
      <c r="E247" s="65" t="s">
        <v>24</v>
      </c>
      <c r="F247" s="65" t="s">
        <v>25</v>
      </c>
      <c r="G247" s="65" t="s">
        <v>25</v>
      </c>
      <c r="H247" s="65" t="s">
        <v>35</v>
      </c>
      <c r="I247" s="75">
        <v>44409</v>
      </c>
      <c r="J247" s="76">
        <f>EFEITO!$J$247*EFEITO!$Y$247</f>
        <v>0</v>
      </c>
      <c r="K247" s="76">
        <f ca="1">EFEITO!$L$247*EFEITO!$Z$247</f>
        <v>2475.7440320829191</v>
      </c>
      <c r="L247" s="76">
        <f>EFEITO!$N$247*EFEITO!$AA$247</f>
        <v>226.98746337209676</v>
      </c>
      <c r="M247" s="76">
        <f>$J$247-EFEITO!$K$247*EFEITO!$Y$247</f>
        <v>0</v>
      </c>
      <c r="N247" s="76">
        <f ca="1">$K$247-EFEITO!$M$247*EFEITO!$Z$247</f>
        <v>0</v>
      </c>
      <c r="O247" s="76">
        <f>$L$247-EFEITO!$O$247*EFEITO!$AA$247</f>
        <v>0</v>
      </c>
      <c r="P247" s="19"/>
      <c r="Q247" s="19"/>
      <c r="R247" s="19"/>
      <c r="S247" s="19"/>
      <c r="T247" s="19"/>
      <c r="U247" s="19"/>
      <c r="V247" s="19"/>
      <c r="W247" s="19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65" t="s">
        <v>21</v>
      </c>
      <c r="B248" s="65" t="s">
        <v>33</v>
      </c>
      <c r="C248" s="65" t="s">
        <v>34</v>
      </c>
      <c r="D248" s="65" t="s">
        <v>24</v>
      </c>
      <c r="E248" s="65" t="s">
        <v>24</v>
      </c>
      <c r="F248" s="65" t="s">
        <v>25</v>
      </c>
      <c r="G248" s="65" t="s">
        <v>25</v>
      </c>
      <c r="H248" s="65" t="s">
        <v>35</v>
      </c>
      <c r="I248" s="75">
        <v>44440</v>
      </c>
      <c r="J248" s="76">
        <f>EFEITO!$J$248*EFEITO!$Y$248</f>
        <v>0</v>
      </c>
      <c r="K248" s="76">
        <f ca="1">EFEITO!$L$248*EFEITO!$Z$248</f>
        <v>4718.8678195405982</v>
      </c>
      <c r="L248" s="76">
        <f>EFEITO!$N$248*EFEITO!$AA$248</f>
        <v>432.64724562198307</v>
      </c>
      <c r="M248" s="76">
        <f>$J$248-EFEITO!$K$248*EFEITO!$Y$248</f>
        <v>0</v>
      </c>
      <c r="N248" s="76">
        <f ca="1">$K$248-EFEITO!$M$248*EFEITO!$Z$248</f>
        <v>0</v>
      </c>
      <c r="O248" s="76">
        <f>$L$248-EFEITO!$O$248*EFEITO!$AA$248</f>
        <v>0</v>
      </c>
      <c r="P248" s="19"/>
      <c r="Q248" s="19"/>
      <c r="R248" s="19"/>
      <c r="S248" s="19"/>
      <c r="T248" s="19"/>
      <c r="U248" s="19"/>
      <c r="V248" s="19"/>
      <c r="W248" s="19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65" t="s">
        <v>21</v>
      </c>
      <c r="B249" s="65" t="s">
        <v>33</v>
      </c>
      <c r="C249" s="65" t="s">
        <v>34</v>
      </c>
      <c r="D249" s="65" t="s">
        <v>24</v>
      </c>
      <c r="E249" s="65" t="s">
        <v>24</v>
      </c>
      <c r="F249" s="65" t="s">
        <v>25</v>
      </c>
      <c r="G249" s="65" t="s">
        <v>25</v>
      </c>
      <c r="H249" s="65" t="s">
        <v>35</v>
      </c>
      <c r="I249" s="75">
        <v>44470</v>
      </c>
      <c r="J249" s="76">
        <f>EFEITO!$J$249*EFEITO!$Y$249</f>
        <v>0</v>
      </c>
      <c r="K249" s="76">
        <f ca="1">EFEITO!$L$249*EFEITO!$Z$249</f>
        <v>4158.6802916675697</v>
      </c>
      <c r="L249" s="76">
        <f>EFEITO!$N$249*EFEITO!$AA$249</f>
        <v>381.28670740931307</v>
      </c>
      <c r="M249" s="76">
        <f>$J$249-EFEITO!$K$249*EFEITO!$Y$249</f>
        <v>0</v>
      </c>
      <c r="N249" s="76">
        <f ca="1">$K$249-EFEITO!$M$249*EFEITO!$Z$249</f>
        <v>0</v>
      </c>
      <c r="O249" s="76">
        <f>$L$249-EFEITO!$O$249*EFEITO!$AA$249</f>
        <v>0</v>
      </c>
      <c r="P249" s="19"/>
      <c r="Q249" s="19"/>
      <c r="R249" s="19"/>
      <c r="S249" s="19"/>
      <c r="T249" s="19"/>
      <c r="U249" s="19"/>
      <c r="V249" s="19"/>
      <c r="W249" s="19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65" t="s">
        <v>21</v>
      </c>
      <c r="B250" s="65" t="s">
        <v>33</v>
      </c>
      <c r="C250" s="65" t="s">
        <v>34</v>
      </c>
      <c r="D250" s="65" t="s">
        <v>24</v>
      </c>
      <c r="E250" s="65" t="s">
        <v>24</v>
      </c>
      <c r="F250" s="65" t="s">
        <v>25</v>
      </c>
      <c r="G250" s="65" t="s">
        <v>25</v>
      </c>
      <c r="H250" s="65" t="s">
        <v>35</v>
      </c>
      <c r="I250" s="75">
        <v>44501</v>
      </c>
      <c r="J250" s="76">
        <f>EFEITO!$J$250*EFEITO!$Y$250</f>
        <v>0</v>
      </c>
      <c r="K250" s="76">
        <f ca="1">EFEITO!$L$250*EFEITO!$Z$250</f>
        <v>2962.347605023474</v>
      </c>
      <c r="L250" s="76">
        <f>EFEITO!$N$250*EFEITO!$AA$250</f>
        <v>271.60149020937371</v>
      </c>
      <c r="M250" s="76">
        <f>$J$250-EFEITO!$K$250*EFEITO!$Y$250</f>
        <v>0</v>
      </c>
      <c r="N250" s="76">
        <f ca="1">$K$250-EFEITO!$M$250*EFEITO!$Z$250</f>
        <v>0</v>
      </c>
      <c r="O250" s="76">
        <f>$L$250-EFEITO!$O$250*EFEITO!$AA$250</f>
        <v>0</v>
      </c>
      <c r="P250" s="19"/>
      <c r="Q250" s="19"/>
      <c r="R250" s="19"/>
      <c r="S250" s="19"/>
      <c r="T250" s="19"/>
      <c r="U250" s="19"/>
      <c r="V250" s="19"/>
      <c r="W250" s="19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65" t="s">
        <v>21</v>
      </c>
      <c r="B251" s="65" t="s">
        <v>33</v>
      </c>
      <c r="C251" s="65" t="s">
        <v>34</v>
      </c>
      <c r="D251" s="65" t="s">
        <v>24</v>
      </c>
      <c r="E251" s="65" t="s">
        <v>24</v>
      </c>
      <c r="F251" s="65" t="s">
        <v>25</v>
      </c>
      <c r="G251" s="65" t="s">
        <v>25</v>
      </c>
      <c r="H251" s="65" t="s">
        <v>35</v>
      </c>
      <c r="I251" s="75">
        <v>44531</v>
      </c>
      <c r="J251" s="76">
        <f>EFEITO!$J$251*EFEITO!$Y$251</f>
        <v>0</v>
      </c>
      <c r="K251" s="76">
        <f ca="1">EFEITO!$L$251*EFEITO!$Z$251</f>
        <v>5336.0235705871555</v>
      </c>
      <c r="L251" s="76">
        <f>EFEITO!$N$251*EFEITO!$AA$251</f>
        <v>489.23088941560269</v>
      </c>
      <c r="M251" s="76">
        <f>$J$251-EFEITO!$K$251*EFEITO!$Y$251</f>
        <v>0</v>
      </c>
      <c r="N251" s="76">
        <f ca="1">$K$251-EFEITO!$M$251*EFEITO!$Z$251</f>
        <v>0</v>
      </c>
      <c r="O251" s="76">
        <f>$L$251-EFEITO!$O$251*EFEITO!$AA$251</f>
        <v>0</v>
      </c>
      <c r="P251" s="19"/>
      <c r="Q251" s="19"/>
      <c r="R251" s="19"/>
      <c r="S251" s="19"/>
      <c r="T251" s="19"/>
      <c r="U251" s="19"/>
      <c r="V251" s="19"/>
      <c r="W251" s="19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65" t="s">
        <v>21</v>
      </c>
      <c r="B252" s="65" t="s">
        <v>33</v>
      </c>
      <c r="C252" s="65" t="s">
        <v>34</v>
      </c>
      <c r="D252" s="65" t="s">
        <v>24</v>
      </c>
      <c r="E252" s="65" t="s">
        <v>24</v>
      </c>
      <c r="F252" s="65" t="s">
        <v>25</v>
      </c>
      <c r="G252" s="65" t="s">
        <v>25</v>
      </c>
      <c r="H252" s="65" t="s">
        <v>35</v>
      </c>
      <c r="I252" s="75">
        <v>44562</v>
      </c>
      <c r="J252" s="76">
        <f>EFEITO!$J$252*EFEITO!$Y$252</f>
        <v>0</v>
      </c>
      <c r="K252" s="76">
        <f ca="1">EFEITO!$L$252*EFEITO!$Z$252</f>
        <v>5103.4033259619137</v>
      </c>
      <c r="L252" s="76">
        <f>EFEITO!$N$252*EFEITO!$AA$252</f>
        <v>467.9032082933922</v>
      </c>
      <c r="M252" s="76">
        <f>$J$252-EFEITO!$K$252*EFEITO!$Y$252</f>
        <v>0</v>
      </c>
      <c r="N252" s="76">
        <f ca="1">$K$252-EFEITO!$M$252*EFEITO!$Z$252</f>
        <v>0</v>
      </c>
      <c r="O252" s="76">
        <f>$L$252-EFEITO!$O$252*EFEITO!$AA$252</f>
        <v>0</v>
      </c>
      <c r="P252" s="19"/>
      <c r="Q252" s="19"/>
      <c r="R252" s="19"/>
      <c r="S252" s="19"/>
      <c r="T252" s="19"/>
      <c r="U252" s="19"/>
      <c r="V252" s="19"/>
      <c r="W252" s="19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65" t="s">
        <v>21</v>
      </c>
      <c r="B253" s="65" t="s">
        <v>33</v>
      </c>
      <c r="C253" s="65" t="s">
        <v>34</v>
      </c>
      <c r="D253" s="65" t="s">
        <v>24</v>
      </c>
      <c r="E253" s="65" t="s">
        <v>24</v>
      </c>
      <c r="F253" s="65" t="s">
        <v>25</v>
      </c>
      <c r="G253" s="65" t="s">
        <v>25</v>
      </c>
      <c r="H253" s="65" t="s">
        <v>35</v>
      </c>
      <c r="I253" s="75">
        <v>44593</v>
      </c>
      <c r="J253" s="76">
        <f>EFEITO!$J$253*EFEITO!$Y$253</f>
        <v>0</v>
      </c>
      <c r="K253" s="76">
        <f ca="1">EFEITO!$L$253*EFEITO!$Z$253</f>
        <v>2174.2871844563319</v>
      </c>
      <c r="L253" s="76">
        <f>EFEITO!$N$253*EFEITO!$AA$253</f>
        <v>199.3485296729057</v>
      </c>
      <c r="M253" s="76">
        <f>$J$253-EFEITO!$K$253*EFEITO!$Y$253</f>
        <v>0</v>
      </c>
      <c r="N253" s="76">
        <f ca="1">$K$253-EFEITO!$M$253*EFEITO!$Z$253</f>
        <v>0</v>
      </c>
      <c r="O253" s="76">
        <f>$L$253-EFEITO!$O$253*EFEITO!$AA$253</f>
        <v>0</v>
      </c>
      <c r="P253" s="19"/>
      <c r="Q253" s="19"/>
      <c r="R253" s="19"/>
      <c r="S253" s="19"/>
      <c r="T253" s="19"/>
      <c r="U253" s="19"/>
      <c r="V253" s="19"/>
      <c r="W253" s="19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65" t="s">
        <v>54</v>
      </c>
      <c r="B254" s="65" t="s">
        <v>33</v>
      </c>
      <c r="C254" s="65" t="s">
        <v>34</v>
      </c>
      <c r="D254" s="65" t="s">
        <v>24</v>
      </c>
      <c r="E254" s="65" t="s">
        <v>24</v>
      </c>
      <c r="F254" s="65" t="s">
        <v>25</v>
      </c>
      <c r="G254" s="65" t="s">
        <v>25</v>
      </c>
      <c r="H254" s="65" t="s">
        <v>35</v>
      </c>
      <c r="I254" s="75">
        <v>44621</v>
      </c>
      <c r="J254" s="76">
        <f>EFEITO!$J$254*EFEITO!$Y$254</f>
        <v>0</v>
      </c>
      <c r="K254" s="76">
        <f ca="1">EFEITO!$L$254*EFEITO!$Z$254</f>
        <v>2174.2871844563319</v>
      </c>
      <c r="L254" s="76">
        <f>EFEITO!$N$254*EFEITO!$AA$254</f>
        <v>199.3485296729057</v>
      </c>
      <c r="M254" s="76">
        <f>$J$254-EFEITO!$K$254*EFEITO!$Y$254</f>
        <v>0</v>
      </c>
      <c r="N254" s="76">
        <f ca="1">$K$254-EFEITO!$M$254*EFEITO!$Z$254</f>
        <v>0</v>
      </c>
      <c r="O254" s="76">
        <f>$L$254-EFEITO!$O$254*EFEITO!$AA$254</f>
        <v>0</v>
      </c>
      <c r="P254" s="19"/>
      <c r="Q254" s="19"/>
      <c r="R254" s="19"/>
      <c r="S254" s="19"/>
      <c r="T254" s="19"/>
      <c r="U254" s="19"/>
      <c r="V254" s="19"/>
      <c r="W254" s="19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65" t="s">
        <v>21</v>
      </c>
      <c r="B255" s="65" t="s">
        <v>33</v>
      </c>
      <c r="C255" s="65" t="s">
        <v>34</v>
      </c>
      <c r="D255" s="65" t="s">
        <v>41</v>
      </c>
      <c r="E255" s="65" t="s">
        <v>50</v>
      </c>
      <c r="F255" s="65" t="s">
        <v>52</v>
      </c>
      <c r="G255" s="65" t="s">
        <v>25</v>
      </c>
      <c r="H255" s="65" t="s">
        <v>36</v>
      </c>
      <c r="I255" s="75">
        <v>44287</v>
      </c>
      <c r="J255" s="76">
        <f>EFEITO!$J$255*EFEITO!$Y$230</f>
        <v>0</v>
      </c>
      <c r="K255" s="76">
        <f ca="1">EFEITO!$L$255*EFEITO!$Z$230</f>
        <v>284937.87370968435</v>
      </c>
      <c r="L255" s="76">
        <f>EFEITO!$N$255*EFEITO!$AA$230</f>
        <v>600269.32621980633</v>
      </c>
      <c r="M255" s="76">
        <f>$J$255-EFEITO!$K$255*EFEITO!$Y$255</f>
        <v>0</v>
      </c>
      <c r="N255" s="76">
        <f ca="1">$K$255-EFEITO!$M$255*EFEITO!$Z$255</f>
        <v>199456.51159677905</v>
      </c>
      <c r="O255" s="76">
        <f>$L$255-EFEITO!$O$255*EFEITO!$AA$255</f>
        <v>420188.52835386444</v>
      </c>
      <c r="P255" s="19"/>
      <c r="Q255" s="19"/>
      <c r="R255" s="19"/>
      <c r="S255" s="19"/>
      <c r="T255" s="19"/>
      <c r="U255" s="19"/>
      <c r="V255" s="19"/>
      <c r="W255" s="19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65" t="s">
        <v>21</v>
      </c>
      <c r="B256" s="65" t="s">
        <v>33</v>
      </c>
      <c r="C256" s="65" t="s">
        <v>34</v>
      </c>
      <c r="D256" s="65" t="s">
        <v>41</v>
      </c>
      <c r="E256" s="65" t="s">
        <v>50</v>
      </c>
      <c r="F256" s="65" t="s">
        <v>52</v>
      </c>
      <c r="G256" s="65" t="s">
        <v>25</v>
      </c>
      <c r="H256" s="65" t="s">
        <v>36</v>
      </c>
      <c r="I256" s="75">
        <v>44317</v>
      </c>
      <c r="J256" s="76">
        <f>EFEITO!$J$256*EFEITO!$Y$230</f>
        <v>0</v>
      </c>
      <c r="K256" s="76">
        <f ca="1">EFEITO!$L$256*EFEITO!$Z$230</f>
        <v>247842.06001025581</v>
      </c>
      <c r="L256" s="76">
        <f>EFEITO!$N$256*EFEITO!$AA$230</f>
        <v>522120.78525884164</v>
      </c>
      <c r="M256" s="76">
        <f>$J$256-EFEITO!$K$256*EFEITO!$Y$256</f>
        <v>0</v>
      </c>
      <c r="N256" s="76">
        <f ca="1">$K$256-EFEITO!$M$256*EFEITO!$Z$256</f>
        <v>173489.44200717908</v>
      </c>
      <c r="O256" s="76">
        <f>$L$256-EFEITO!$O$256*EFEITO!$AA$256</f>
        <v>365484.54968118918</v>
      </c>
      <c r="P256" s="19"/>
      <c r="Q256" s="19"/>
      <c r="R256" s="19"/>
      <c r="S256" s="19"/>
      <c r="T256" s="19"/>
      <c r="U256" s="19"/>
      <c r="V256" s="19"/>
      <c r="W256" s="19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65" t="s">
        <v>21</v>
      </c>
      <c r="B257" s="65" t="s">
        <v>33</v>
      </c>
      <c r="C257" s="65" t="s">
        <v>34</v>
      </c>
      <c r="D257" s="65" t="s">
        <v>41</v>
      </c>
      <c r="E257" s="65" t="s">
        <v>50</v>
      </c>
      <c r="F257" s="65" t="s">
        <v>52</v>
      </c>
      <c r="G257" s="65" t="s">
        <v>25</v>
      </c>
      <c r="H257" s="65" t="s">
        <v>36</v>
      </c>
      <c r="I257" s="75">
        <v>44348</v>
      </c>
      <c r="J257" s="76">
        <f>EFEITO!$J$257*EFEITO!$Y$230</f>
        <v>0</v>
      </c>
      <c r="K257" s="76">
        <f ca="1">EFEITO!$L$257*EFEITO!$Z$230</f>
        <v>64265.870703130509</v>
      </c>
      <c r="L257" s="76">
        <f>EFEITO!$N$257*EFEITO!$AA$230</f>
        <v>135386.8139873966</v>
      </c>
      <c r="M257" s="76">
        <f>$J$257-EFEITO!$K$257*EFEITO!$Y$257</f>
        <v>0</v>
      </c>
      <c r="N257" s="76">
        <f ca="1">$K$257-EFEITO!$M$257*EFEITO!$Z$257</f>
        <v>44986.109492191354</v>
      </c>
      <c r="O257" s="76">
        <f>$L$257-EFEITO!$O$257*EFEITO!$AA$257</f>
        <v>94770.769791177619</v>
      </c>
      <c r="P257" s="19"/>
      <c r="Q257" s="19"/>
      <c r="R257" s="19"/>
      <c r="S257" s="19"/>
      <c r="T257" s="19"/>
      <c r="U257" s="19"/>
      <c r="V257" s="19"/>
      <c r="W257" s="19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65" t="s">
        <v>21</v>
      </c>
      <c r="B258" s="65" t="s">
        <v>33</v>
      </c>
      <c r="C258" s="65" t="s">
        <v>34</v>
      </c>
      <c r="D258" s="65" t="s">
        <v>41</v>
      </c>
      <c r="E258" s="65" t="s">
        <v>50</v>
      </c>
      <c r="F258" s="65" t="s">
        <v>52</v>
      </c>
      <c r="G258" s="65" t="s">
        <v>25</v>
      </c>
      <c r="H258" s="65" t="s">
        <v>36</v>
      </c>
      <c r="I258" s="75">
        <v>44378</v>
      </c>
      <c r="J258" s="76">
        <f>EFEITO!$J$258*EFEITO!$Y$230</f>
        <v>0</v>
      </c>
      <c r="K258" s="76">
        <f ca="1">EFEITO!$L$258*EFEITO!$Z$230</f>
        <v>165588.09257308449</v>
      </c>
      <c r="L258" s="76">
        <f>EFEITO!$N$258*EFEITO!$AA$230</f>
        <v>348839.03450526117</v>
      </c>
      <c r="M258" s="76">
        <f>$J$258-EFEITO!$K$258*EFEITO!$Y$258</f>
        <v>0</v>
      </c>
      <c r="N258" s="76">
        <f ca="1">$K$258-EFEITO!$M$258*EFEITO!$Z$258</f>
        <v>115911.66480115915</v>
      </c>
      <c r="O258" s="76">
        <f>$L$258-EFEITO!$O$258*EFEITO!$AA$258</f>
        <v>244187.3241536828</v>
      </c>
      <c r="P258" s="19"/>
      <c r="Q258" s="19"/>
      <c r="R258" s="19"/>
      <c r="S258" s="19"/>
      <c r="T258" s="19"/>
      <c r="U258" s="19"/>
      <c r="V258" s="19"/>
      <c r="W258" s="19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65" t="s">
        <v>21</v>
      </c>
      <c r="B259" s="65" t="s">
        <v>33</v>
      </c>
      <c r="C259" s="65" t="s">
        <v>34</v>
      </c>
      <c r="D259" s="65" t="s">
        <v>41</v>
      </c>
      <c r="E259" s="65" t="s">
        <v>50</v>
      </c>
      <c r="F259" s="65" t="s">
        <v>52</v>
      </c>
      <c r="G259" s="65" t="s">
        <v>25</v>
      </c>
      <c r="H259" s="65" t="s">
        <v>36</v>
      </c>
      <c r="I259" s="75">
        <v>44409</v>
      </c>
      <c r="J259" s="76">
        <f>EFEITO!$J$259*EFEITO!$Y$230</f>
        <v>0</v>
      </c>
      <c r="K259" s="76">
        <f ca="1">EFEITO!$L$259*EFEITO!$Z$230</f>
        <v>240857.60495938172</v>
      </c>
      <c r="L259" s="76">
        <f>EFEITO!$N$259*EFEITO!$AA$230</f>
        <v>507406.86157850845</v>
      </c>
      <c r="M259" s="76">
        <f>$J$259-EFEITO!$K$259*EFEITO!$Y$259</f>
        <v>0</v>
      </c>
      <c r="N259" s="76">
        <f ca="1">$K$259-EFEITO!$M$259*EFEITO!$Z$259</f>
        <v>168600.32347156719</v>
      </c>
      <c r="O259" s="76">
        <f>$L$259-EFEITO!$O$259*EFEITO!$AA$259</f>
        <v>355184.80310495594</v>
      </c>
      <c r="P259" s="19"/>
      <c r="Q259" s="19"/>
      <c r="R259" s="19"/>
      <c r="S259" s="19"/>
      <c r="T259" s="19"/>
      <c r="U259" s="19"/>
      <c r="V259" s="19"/>
      <c r="W259" s="19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65" t="s">
        <v>21</v>
      </c>
      <c r="B260" s="65" t="s">
        <v>33</v>
      </c>
      <c r="C260" s="65" t="s">
        <v>34</v>
      </c>
      <c r="D260" s="65" t="s">
        <v>41</v>
      </c>
      <c r="E260" s="65" t="s">
        <v>50</v>
      </c>
      <c r="F260" s="65" t="s">
        <v>52</v>
      </c>
      <c r="G260" s="65" t="s">
        <v>25</v>
      </c>
      <c r="H260" s="65" t="s">
        <v>36</v>
      </c>
      <c r="I260" s="75">
        <v>44440</v>
      </c>
      <c r="J260" s="76">
        <f>EFEITO!$J$260*EFEITO!$Y$230</f>
        <v>0</v>
      </c>
      <c r="K260" s="76">
        <f ca="1">EFEITO!$L$260*EFEITO!$Z$230</f>
        <v>234880.16762535309</v>
      </c>
      <c r="L260" s="76">
        <f>EFEITO!$N$260*EFEITO!$AA$230</f>
        <v>494814.38928163762</v>
      </c>
      <c r="M260" s="76">
        <f>$J$260-EFEITO!$K$260*EFEITO!$Y$260</f>
        <v>0</v>
      </c>
      <c r="N260" s="76">
        <f ca="1">$K$260-EFEITO!$M$260*EFEITO!$Z$260</f>
        <v>164416.11733774716</v>
      </c>
      <c r="O260" s="76">
        <f>$L$260-EFEITO!$O$260*EFEITO!$AA$260</f>
        <v>346370.07249714632</v>
      </c>
      <c r="P260" s="19"/>
      <c r="Q260" s="19"/>
      <c r="R260" s="19"/>
      <c r="S260" s="19"/>
      <c r="T260" s="19"/>
      <c r="U260" s="19"/>
      <c r="V260" s="19"/>
      <c r="W260" s="19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65" t="s">
        <v>21</v>
      </c>
      <c r="B261" s="65" t="s">
        <v>33</v>
      </c>
      <c r="C261" s="65" t="s">
        <v>34</v>
      </c>
      <c r="D261" s="65" t="s">
        <v>41</v>
      </c>
      <c r="E261" s="65" t="s">
        <v>50</v>
      </c>
      <c r="F261" s="65" t="s">
        <v>52</v>
      </c>
      <c r="G261" s="65" t="s">
        <v>25</v>
      </c>
      <c r="H261" s="65" t="s">
        <v>36</v>
      </c>
      <c r="I261" s="75">
        <v>44470</v>
      </c>
      <c r="J261" s="76">
        <f>EFEITO!$J$261*EFEITO!$Y$230</f>
        <v>0</v>
      </c>
      <c r="K261" s="76">
        <f ca="1">EFEITO!$L$261*EFEITO!$Z$230</f>
        <v>174741.12742617642</v>
      </c>
      <c r="L261" s="76">
        <f>EFEITO!$N$261*EFEITO!$AA$230</f>
        <v>368121.43453373149</v>
      </c>
      <c r="M261" s="76">
        <f>$J$261-EFEITO!$K$261*EFEITO!$Y$261</f>
        <v>0</v>
      </c>
      <c r="N261" s="76">
        <f ca="1">$K$261-EFEITO!$M$261*EFEITO!$Z$261</f>
        <v>122318.7891983235</v>
      </c>
      <c r="O261" s="76">
        <f>$L$261-EFEITO!$O$261*EFEITO!$AA$261</f>
        <v>257685.00417361205</v>
      </c>
      <c r="P261" s="19"/>
      <c r="Q261" s="19"/>
      <c r="R261" s="19"/>
      <c r="S261" s="19"/>
      <c r="T261" s="19"/>
      <c r="U261" s="19"/>
      <c r="V261" s="19"/>
      <c r="W261" s="19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65" t="s">
        <v>21</v>
      </c>
      <c r="B262" s="65" t="s">
        <v>33</v>
      </c>
      <c r="C262" s="65" t="s">
        <v>34</v>
      </c>
      <c r="D262" s="65" t="s">
        <v>41</v>
      </c>
      <c r="E262" s="65" t="s">
        <v>50</v>
      </c>
      <c r="F262" s="65" t="s">
        <v>52</v>
      </c>
      <c r="G262" s="65" t="s">
        <v>25</v>
      </c>
      <c r="H262" s="65" t="s">
        <v>36</v>
      </c>
      <c r="I262" s="75">
        <v>44501</v>
      </c>
      <c r="J262" s="76">
        <f>EFEITO!$J$262*EFEITO!$Y$230</f>
        <v>0</v>
      </c>
      <c r="K262" s="76">
        <f ca="1">EFEITO!$L$262*EFEITO!$Z$230</f>
        <v>323171.17941569746</v>
      </c>
      <c r="L262" s="76">
        <f>EFEITO!$N$262*EFEITO!$AA$230</f>
        <v>680814.18449543091</v>
      </c>
      <c r="M262" s="76">
        <f>$J$262-EFEITO!$K$262*EFEITO!$Y$262</f>
        <v>0</v>
      </c>
      <c r="N262" s="76">
        <f ca="1">$K$262-EFEITO!$M$262*EFEITO!$Z$262</f>
        <v>226219.82559098821</v>
      </c>
      <c r="O262" s="76">
        <f>$L$262-EFEITO!$O$262*EFEITO!$AA$262</f>
        <v>476569.92914680165</v>
      </c>
      <c r="P262" s="19"/>
      <c r="Q262" s="19"/>
      <c r="R262" s="19"/>
      <c r="S262" s="19"/>
      <c r="T262" s="19"/>
      <c r="U262" s="19"/>
      <c r="V262" s="19"/>
      <c r="W262" s="19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65" t="s">
        <v>21</v>
      </c>
      <c r="B263" s="65" t="s">
        <v>33</v>
      </c>
      <c r="C263" s="65" t="s">
        <v>34</v>
      </c>
      <c r="D263" s="65" t="s">
        <v>41</v>
      </c>
      <c r="E263" s="65" t="s">
        <v>50</v>
      </c>
      <c r="F263" s="65" t="s">
        <v>52</v>
      </c>
      <c r="G263" s="65" t="s">
        <v>25</v>
      </c>
      <c r="H263" s="65" t="s">
        <v>36</v>
      </c>
      <c r="I263" s="75">
        <v>44531</v>
      </c>
      <c r="J263" s="76">
        <f>EFEITO!$J$263*EFEITO!$Y$230</f>
        <v>0</v>
      </c>
      <c r="K263" s="76">
        <f ca="1">EFEITO!$L$263*EFEITO!$Z$230</f>
        <v>270458.53331054875</v>
      </c>
      <c r="L263" s="76">
        <f>EFEITO!$N$263*EFEITO!$AA$230</f>
        <v>569766.17199766205</v>
      </c>
      <c r="M263" s="76">
        <f>$J$263-EFEITO!$K$263*EFEITO!$Y$263</f>
        <v>0</v>
      </c>
      <c r="N263" s="76">
        <f ca="1">$K$263-EFEITO!$M$263*EFEITO!$Z$263</f>
        <v>189320.97331738414</v>
      </c>
      <c r="O263" s="76">
        <f>$L$263-EFEITO!$O$263*EFEITO!$AA$263</f>
        <v>398836.3203983634</v>
      </c>
      <c r="P263" s="19"/>
      <c r="Q263" s="19"/>
      <c r="R263" s="19"/>
      <c r="S263" s="19"/>
      <c r="T263" s="19"/>
      <c r="U263" s="19"/>
      <c r="V263" s="19"/>
      <c r="W263" s="19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65" t="s">
        <v>21</v>
      </c>
      <c r="B264" s="65" t="s">
        <v>33</v>
      </c>
      <c r="C264" s="65" t="s">
        <v>34</v>
      </c>
      <c r="D264" s="65" t="s">
        <v>41</v>
      </c>
      <c r="E264" s="65" t="s">
        <v>50</v>
      </c>
      <c r="F264" s="65" t="s">
        <v>52</v>
      </c>
      <c r="G264" s="65" t="s">
        <v>25</v>
      </c>
      <c r="H264" s="65" t="s">
        <v>36</v>
      </c>
      <c r="I264" s="75">
        <v>44562</v>
      </c>
      <c r="J264" s="76">
        <f>EFEITO!$J$264*EFEITO!$Y$230</f>
        <v>0</v>
      </c>
      <c r="K264" s="76">
        <f ca="1">EFEITO!$L$264*EFEITO!$Z$230</f>
        <v>145456.62247126474</v>
      </c>
      <c r="L264" s="76">
        <f>EFEITO!$N$264*EFEITO!$AA$230</f>
        <v>306428.72296434653</v>
      </c>
      <c r="M264" s="76">
        <f>$J$264-EFEITO!$K$264*EFEITO!$Y$264</f>
        <v>0</v>
      </c>
      <c r="N264" s="76">
        <f ca="1">$K$264-EFEITO!$M$264*EFEITO!$Z$264</f>
        <v>101819.63572988531</v>
      </c>
      <c r="O264" s="76">
        <f>$L$264-EFEITO!$O$264*EFEITO!$AA$264</f>
        <v>214500.10607504257</v>
      </c>
      <c r="P264" s="19"/>
      <c r="Q264" s="19"/>
      <c r="R264" s="19"/>
      <c r="S264" s="19"/>
      <c r="T264" s="19"/>
      <c r="U264" s="19"/>
      <c r="V264" s="19"/>
      <c r="W264" s="19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65" t="s">
        <v>21</v>
      </c>
      <c r="B265" s="65" t="s">
        <v>33</v>
      </c>
      <c r="C265" s="65" t="s">
        <v>34</v>
      </c>
      <c r="D265" s="65" t="s">
        <v>41</v>
      </c>
      <c r="E265" s="65" t="s">
        <v>50</v>
      </c>
      <c r="F265" s="65" t="s">
        <v>52</v>
      </c>
      <c r="G265" s="65" t="s">
        <v>25</v>
      </c>
      <c r="H265" s="65" t="s">
        <v>36</v>
      </c>
      <c r="I265" s="75">
        <v>44593</v>
      </c>
      <c r="J265" s="76">
        <f>EFEITO!$J$265*EFEITO!$Y$230</f>
        <v>0</v>
      </c>
      <c r="K265" s="76">
        <f ca="1">EFEITO!$L$265*EFEITO!$Z$230</f>
        <v>255071.14144125811</v>
      </c>
      <c r="L265" s="76">
        <f>EFEITO!$N$265*EFEITO!$AA$230</f>
        <v>537350.05535649508</v>
      </c>
      <c r="M265" s="76">
        <f>$J$265-EFEITO!$K$265*EFEITO!$Y$265</f>
        <v>0</v>
      </c>
      <c r="N265" s="76">
        <f ca="1">$K$265-EFEITO!$M$265*EFEITO!$Z$265</f>
        <v>178549.79900888068</v>
      </c>
      <c r="O265" s="76">
        <f>$L$265-EFEITO!$O$265*EFEITO!$AA$265</f>
        <v>376145.03874954657</v>
      </c>
      <c r="P265" s="19"/>
      <c r="Q265" s="19"/>
      <c r="R265" s="19"/>
      <c r="S265" s="19"/>
      <c r="T265" s="19"/>
      <c r="U265" s="19"/>
      <c r="V265" s="19"/>
      <c r="W265" s="19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65" t="s">
        <v>54</v>
      </c>
      <c r="B266" s="65" t="s">
        <v>33</v>
      </c>
      <c r="C266" s="65" t="s">
        <v>34</v>
      </c>
      <c r="D266" s="65" t="s">
        <v>41</v>
      </c>
      <c r="E266" s="65" t="s">
        <v>50</v>
      </c>
      <c r="F266" s="65" t="s">
        <v>52</v>
      </c>
      <c r="G266" s="65" t="s">
        <v>25</v>
      </c>
      <c r="H266" s="65" t="s">
        <v>36</v>
      </c>
      <c r="I266" s="75">
        <v>44621</v>
      </c>
      <c r="J266" s="76">
        <f>EFEITO!$J$266*EFEITO!$Y$230</f>
        <v>0</v>
      </c>
      <c r="K266" s="76">
        <f ca="1">EFEITO!$L$266*EFEITO!$Z$230</f>
        <v>255071.14144125811</v>
      </c>
      <c r="L266" s="76">
        <f>EFEITO!$N$266*EFEITO!$AA$230</f>
        <v>537350.05535649508</v>
      </c>
      <c r="M266" s="76">
        <f>$J$266-EFEITO!$K$266*EFEITO!$Y$266</f>
        <v>0</v>
      </c>
      <c r="N266" s="76">
        <f ca="1">$K$266-EFEITO!$M$266*EFEITO!$Z$266</f>
        <v>178549.79900888068</v>
      </c>
      <c r="O266" s="76">
        <f>$L$266-EFEITO!$O$266*EFEITO!$AA$266</f>
        <v>376145.03874954657</v>
      </c>
      <c r="P266" s="19"/>
      <c r="Q266" s="19"/>
      <c r="R266" s="19"/>
      <c r="S266" s="19"/>
      <c r="T266" s="19"/>
      <c r="U266" s="19"/>
      <c r="V266" s="19"/>
      <c r="W266" s="19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65" t="s">
        <v>21</v>
      </c>
      <c r="B267" s="65" t="s">
        <v>33</v>
      </c>
      <c r="C267" s="65" t="s">
        <v>34</v>
      </c>
      <c r="D267" s="65" t="s">
        <v>41</v>
      </c>
      <c r="E267" s="65" t="s">
        <v>50</v>
      </c>
      <c r="F267" s="65" t="s">
        <v>25</v>
      </c>
      <c r="G267" s="65" t="s">
        <v>25</v>
      </c>
      <c r="H267" s="65" t="s">
        <v>36</v>
      </c>
      <c r="I267" s="75">
        <v>44287</v>
      </c>
      <c r="J267" s="76">
        <f>EFEITO!$J$267*EFEITO!$Y$230</f>
        <v>0</v>
      </c>
      <c r="K267" s="76">
        <f ca="1">EFEITO!$L$267*EFEITO!$Z$230</f>
        <v>403837.96792369219</v>
      </c>
      <c r="L267" s="76">
        <f>EFEITO!$N$267*EFEITO!$AA$230</f>
        <v>850752.27715960681</v>
      </c>
      <c r="M267" s="76">
        <f>$J$267-EFEITO!$K$267*EFEITO!$Y$267</f>
        <v>0</v>
      </c>
      <c r="N267" s="76">
        <f ca="1">$K$267-EFEITO!$M$267*EFEITO!$Z$267</f>
        <v>8076.7593584738788</v>
      </c>
      <c r="O267" s="76">
        <f>$L$267-EFEITO!$O$267*EFEITO!$AA$267</f>
        <v>17015.045543192071</v>
      </c>
      <c r="P267" s="19"/>
      <c r="Q267" s="19"/>
      <c r="R267" s="19"/>
      <c r="S267" s="19"/>
      <c r="T267" s="19"/>
      <c r="U267" s="19"/>
      <c r="V267" s="19"/>
      <c r="W267" s="19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65" t="s">
        <v>21</v>
      </c>
      <c r="B268" s="65" t="s">
        <v>33</v>
      </c>
      <c r="C268" s="65" t="s">
        <v>34</v>
      </c>
      <c r="D268" s="65" t="s">
        <v>41</v>
      </c>
      <c r="E268" s="65" t="s">
        <v>50</v>
      </c>
      <c r="F268" s="65" t="s">
        <v>25</v>
      </c>
      <c r="G268" s="65" t="s">
        <v>25</v>
      </c>
      <c r="H268" s="65" t="s">
        <v>36</v>
      </c>
      <c r="I268" s="75">
        <v>44317</v>
      </c>
      <c r="J268" s="76">
        <f>EFEITO!$J$268*EFEITO!$Y$230</f>
        <v>0</v>
      </c>
      <c r="K268" s="76">
        <f ca="1">EFEITO!$L$268*EFEITO!$Z$230</f>
        <v>332228.24386881507</v>
      </c>
      <c r="L268" s="76">
        <f>EFEITO!$N$268*EFEITO!$AA$230</f>
        <v>699894.40681203862</v>
      </c>
      <c r="M268" s="76">
        <f>$J$268-EFEITO!$K$268*EFEITO!$Y$268</f>
        <v>0</v>
      </c>
      <c r="N268" s="76">
        <f ca="1">$K$268-EFEITO!$M$268*EFEITO!$Z$268</f>
        <v>6644.5648773762514</v>
      </c>
      <c r="O268" s="76">
        <f>$L$268-EFEITO!$O$268*EFEITO!$AA$268</f>
        <v>13997.88813624077</v>
      </c>
      <c r="P268" s="19"/>
      <c r="Q268" s="19"/>
      <c r="R268" s="19"/>
      <c r="S268" s="19"/>
      <c r="T268" s="19"/>
      <c r="U268" s="19"/>
      <c r="V268" s="19"/>
      <c r="W268" s="19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65" t="s">
        <v>21</v>
      </c>
      <c r="B269" s="65" t="s">
        <v>33</v>
      </c>
      <c r="C269" s="65" t="s">
        <v>34</v>
      </c>
      <c r="D269" s="65" t="s">
        <v>41</v>
      </c>
      <c r="E269" s="65" t="s">
        <v>50</v>
      </c>
      <c r="F269" s="65" t="s">
        <v>25</v>
      </c>
      <c r="G269" s="65" t="s">
        <v>25</v>
      </c>
      <c r="H269" s="65" t="s">
        <v>36</v>
      </c>
      <c r="I269" s="75">
        <v>44348</v>
      </c>
      <c r="J269" s="76">
        <f>EFEITO!$J$269*EFEITO!$Y$230</f>
        <v>0</v>
      </c>
      <c r="K269" s="76">
        <f ca="1">EFEITO!$L$269*EFEITO!$Z$230</f>
        <v>90906.695888674934</v>
      </c>
      <c r="L269" s="76">
        <f>EFEITO!$N$269*EFEITO!$AA$230</f>
        <v>191510.17160169495</v>
      </c>
      <c r="M269" s="76">
        <f>$J$269-EFEITO!$K$269*EFEITO!$Y$269</f>
        <v>0</v>
      </c>
      <c r="N269" s="76">
        <f ca="1">$K$269-EFEITO!$M$269*EFEITO!$Z$269</f>
        <v>1818.1339177734917</v>
      </c>
      <c r="O269" s="76">
        <f>$L$269-EFEITO!$O$269*EFEITO!$AA$269</f>
        <v>3830.2034320339153</v>
      </c>
      <c r="P269" s="19"/>
      <c r="Q269" s="19"/>
      <c r="R269" s="19"/>
      <c r="S269" s="19"/>
      <c r="T269" s="19"/>
      <c r="U269" s="19"/>
      <c r="V269" s="19"/>
      <c r="W269" s="19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65" t="s">
        <v>28</v>
      </c>
      <c r="B270" s="65" t="s">
        <v>33</v>
      </c>
      <c r="C270" s="65" t="s">
        <v>34</v>
      </c>
      <c r="D270" s="65" t="s">
        <v>41</v>
      </c>
      <c r="E270" s="65" t="s">
        <v>50</v>
      </c>
      <c r="F270" s="65" t="s">
        <v>25</v>
      </c>
      <c r="G270" s="65" t="s">
        <v>25</v>
      </c>
      <c r="H270" s="65" t="s">
        <v>36</v>
      </c>
      <c r="I270" s="75">
        <v>44348</v>
      </c>
      <c r="J270" s="76">
        <f>EFEITO!$J$270*EFEITO!$Y$230</f>
        <v>0</v>
      </c>
      <c r="K270" s="76">
        <f ca="1">EFEITO!$L$270*EFEITO!$Z$230</f>
        <v>92.871248199020627</v>
      </c>
      <c r="L270" s="76">
        <f>EFEITO!$N$270*EFEITO!$AA$230</f>
        <v>195.6488298863998</v>
      </c>
      <c r="M270" s="76">
        <f>$J$270-EFEITO!$K$270*EFEITO!$Y$270</f>
        <v>0</v>
      </c>
      <c r="N270" s="76">
        <f ca="1">$K$270-EFEITO!$M$270*EFEITO!$Z$270</f>
        <v>1.8574249639804066</v>
      </c>
      <c r="O270" s="76">
        <f>$L$270-EFEITO!$O$270*EFEITO!$AA$270</f>
        <v>3.912976597727976</v>
      </c>
      <c r="P270" s="19"/>
      <c r="Q270" s="19"/>
      <c r="R270" s="19"/>
      <c r="S270" s="19"/>
      <c r="T270" s="19"/>
      <c r="U270" s="19"/>
      <c r="V270" s="19"/>
      <c r="W270" s="19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65" t="s">
        <v>21</v>
      </c>
      <c r="B271" s="65" t="s">
        <v>33</v>
      </c>
      <c r="C271" s="65" t="s">
        <v>34</v>
      </c>
      <c r="D271" s="65" t="s">
        <v>41</v>
      </c>
      <c r="E271" s="65" t="s">
        <v>50</v>
      </c>
      <c r="F271" s="65" t="s">
        <v>25</v>
      </c>
      <c r="G271" s="65" t="s">
        <v>25</v>
      </c>
      <c r="H271" s="65" t="s">
        <v>36</v>
      </c>
      <c r="I271" s="75">
        <v>44378</v>
      </c>
      <c r="J271" s="76">
        <f>EFEITO!$J$271*EFEITO!$Y$230</f>
        <v>0</v>
      </c>
      <c r="K271" s="76">
        <f ca="1">EFEITO!$L$271*EFEITO!$Z$230</f>
        <v>187816.34546099493</v>
      </c>
      <c r="L271" s="76">
        <f>EFEITO!$N$271*EFEITO!$AA$230</f>
        <v>395666.56996186468</v>
      </c>
      <c r="M271" s="76">
        <f>$J$271-EFEITO!$K$271*EFEITO!$Y$271</f>
        <v>0</v>
      </c>
      <c r="N271" s="76">
        <f ca="1">$K$271-EFEITO!$M$271*EFEITO!$Z$271</f>
        <v>3756.3269092199043</v>
      </c>
      <c r="O271" s="76">
        <f>$L$271-EFEITO!$O$271*EFEITO!$AA$271</f>
        <v>7913.3313992372714</v>
      </c>
      <c r="P271" s="19"/>
      <c r="Q271" s="19"/>
      <c r="R271" s="19"/>
      <c r="S271" s="19"/>
      <c r="T271" s="19"/>
      <c r="U271" s="19"/>
      <c r="V271" s="19"/>
      <c r="W271" s="19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65" t="s">
        <v>28</v>
      </c>
      <c r="B272" s="65" t="s">
        <v>33</v>
      </c>
      <c r="C272" s="65" t="s">
        <v>34</v>
      </c>
      <c r="D272" s="65" t="s">
        <v>41</v>
      </c>
      <c r="E272" s="65" t="s">
        <v>50</v>
      </c>
      <c r="F272" s="65" t="s">
        <v>25</v>
      </c>
      <c r="G272" s="65" t="s">
        <v>25</v>
      </c>
      <c r="H272" s="65" t="s">
        <v>36</v>
      </c>
      <c r="I272" s="75">
        <v>44378</v>
      </c>
      <c r="J272" s="76">
        <f>EFEITO!$J$272*EFEITO!$Y$230</f>
        <v>0</v>
      </c>
      <c r="K272" s="76">
        <f ca="1">EFEITO!$L$272*EFEITO!$Z$230</f>
        <v>599.4792583970152</v>
      </c>
      <c r="L272" s="76">
        <f>EFEITO!$N$272*EFEITO!$AA$230</f>
        <v>1262.9034035937464</v>
      </c>
      <c r="M272" s="76">
        <f>$J$272-EFEITO!$K$272*EFEITO!$Y$272</f>
        <v>0</v>
      </c>
      <c r="N272" s="76">
        <f ca="1">$K$272-EFEITO!$M$272*EFEITO!$Z$272</f>
        <v>11.989585167940277</v>
      </c>
      <c r="O272" s="76">
        <f>$L$272-EFEITO!$O$272*EFEITO!$AA$272</f>
        <v>25.258068071874732</v>
      </c>
      <c r="P272" s="19"/>
      <c r="Q272" s="19"/>
      <c r="R272" s="19"/>
      <c r="S272" s="19"/>
      <c r="T272" s="19"/>
      <c r="U272" s="19"/>
      <c r="V272" s="19"/>
      <c r="W272" s="19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65" t="s">
        <v>21</v>
      </c>
      <c r="B273" s="65" t="s">
        <v>33</v>
      </c>
      <c r="C273" s="65" t="s">
        <v>34</v>
      </c>
      <c r="D273" s="65" t="s">
        <v>41</v>
      </c>
      <c r="E273" s="65" t="s">
        <v>50</v>
      </c>
      <c r="F273" s="65" t="s">
        <v>25</v>
      </c>
      <c r="G273" s="65" t="s">
        <v>25</v>
      </c>
      <c r="H273" s="65" t="s">
        <v>36</v>
      </c>
      <c r="I273" s="75">
        <v>44409</v>
      </c>
      <c r="J273" s="76">
        <f>EFEITO!$J$273*EFEITO!$Y$230</f>
        <v>0</v>
      </c>
      <c r="K273" s="76">
        <f ca="1">EFEITO!$L$273*EFEITO!$Z$230</f>
        <v>309796.27340421005</v>
      </c>
      <c r="L273" s="76">
        <f>EFEITO!$N$273*EFEITO!$AA$230</f>
        <v>652637.70618020045</v>
      </c>
      <c r="M273" s="76">
        <f>$J$273-EFEITO!$K$273*EFEITO!$Y$273</f>
        <v>0</v>
      </c>
      <c r="N273" s="76">
        <f ca="1">$K$273-EFEITO!$M$273*EFEITO!$Z$273</f>
        <v>6195.9254680842278</v>
      </c>
      <c r="O273" s="76">
        <f>$L$273-EFEITO!$O$273*EFEITO!$AA$273</f>
        <v>13052.754123604042</v>
      </c>
      <c r="P273" s="19"/>
      <c r="Q273" s="19"/>
      <c r="R273" s="19"/>
      <c r="S273" s="19"/>
      <c r="T273" s="19"/>
      <c r="U273" s="19"/>
      <c r="V273" s="19"/>
      <c r="W273" s="19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65" t="s">
        <v>21</v>
      </c>
      <c r="B274" s="65" t="s">
        <v>33</v>
      </c>
      <c r="C274" s="65" t="s">
        <v>34</v>
      </c>
      <c r="D274" s="65" t="s">
        <v>41</v>
      </c>
      <c r="E274" s="65" t="s">
        <v>50</v>
      </c>
      <c r="F274" s="65" t="s">
        <v>25</v>
      </c>
      <c r="G274" s="65" t="s">
        <v>25</v>
      </c>
      <c r="H274" s="65" t="s">
        <v>36</v>
      </c>
      <c r="I274" s="75">
        <v>44440</v>
      </c>
      <c r="J274" s="76">
        <f>EFEITO!$J$274*EFEITO!$Y$230</f>
        <v>0</v>
      </c>
      <c r="K274" s="76">
        <f ca="1">EFEITO!$L$274*EFEITO!$Z$230</f>
        <v>324661.56150442635</v>
      </c>
      <c r="L274" s="76">
        <f>EFEITO!$N$274*EFEITO!$AA$230</f>
        <v>683953.92383777921</v>
      </c>
      <c r="M274" s="76">
        <f>$J$274-EFEITO!$K$274*EFEITO!$Y$274</f>
        <v>0</v>
      </c>
      <c r="N274" s="76">
        <f ca="1">$K$274-EFEITO!$M$274*EFEITO!$Z$274</f>
        <v>6493.2312300885096</v>
      </c>
      <c r="O274" s="76">
        <f>$L$274-EFEITO!$O$274*EFEITO!$AA$274</f>
        <v>13679.078476755647</v>
      </c>
      <c r="P274" s="19"/>
      <c r="Q274" s="19"/>
      <c r="R274" s="19"/>
      <c r="S274" s="19"/>
      <c r="T274" s="19"/>
      <c r="U274" s="19"/>
      <c r="V274" s="19"/>
      <c r="W274" s="19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65" t="s">
        <v>28</v>
      </c>
      <c r="B275" s="65" t="s">
        <v>33</v>
      </c>
      <c r="C275" s="65" t="s">
        <v>34</v>
      </c>
      <c r="D275" s="65" t="s">
        <v>41</v>
      </c>
      <c r="E275" s="65" t="s">
        <v>50</v>
      </c>
      <c r="F275" s="65" t="s">
        <v>25</v>
      </c>
      <c r="G275" s="65" t="s">
        <v>25</v>
      </c>
      <c r="H275" s="65" t="s">
        <v>36</v>
      </c>
      <c r="I275" s="75">
        <v>44440</v>
      </c>
      <c r="J275" s="76">
        <f>EFEITO!$J$275*EFEITO!$Y$230</f>
        <v>0</v>
      </c>
      <c r="K275" s="76">
        <f ca="1">EFEITO!$L$275*EFEITO!$Z$230</f>
        <v>152.37496228426633</v>
      </c>
      <c r="L275" s="76">
        <f>EFEITO!$N$275*EFEITO!$AA$230</f>
        <v>321.00336382918766</v>
      </c>
      <c r="M275" s="76">
        <f>$J$275-EFEITO!$K$275*EFEITO!$Y$275</f>
        <v>0</v>
      </c>
      <c r="N275" s="76">
        <f ca="1">$K$275-EFEITO!$M$275*EFEITO!$Z$275</f>
        <v>3.0474992456853158</v>
      </c>
      <c r="O275" s="76">
        <f>$L$275-EFEITO!$O$275*EFEITO!$AA$275</f>
        <v>6.4200672765837226</v>
      </c>
      <c r="P275" s="19"/>
      <c r="Q275" s="19"/>
      <c r="R275" s="19"/>
      <c r="S275" s="19"/>
      <c r="T275" s="19"/>
      <c r="U275" s="19"/>
      <c r="V275" s="19"/>
      <c r="W275" s="19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65" t="s">
        <v>21</v>
      </c>
      <c r="B276" s="65" t="s">
        <v>33</v>
      </c>
      <c r="C276" s="65" t="s">
        <v>34</v>
      </c>
      <c r="D276" s="65" t="s">
        <v>41</v>
      </c>
      <c r="E276" s="65" t="s">
        <v>50</v>
      </c>
      <c r="F276" s="65" t="s">
        <v>25</v>
      </c>
      <c r="G276" s="65" t="s">
        <v>25</v>
      </c>
      <c r="H276" s="65" t="s">
        <v>36</v>
      </c>
      <c r="I276" s="75">
        <v>44470</v>
      </c>
      <c r="J276" s="76">
        <f>EFEITO!$J$276*EFEITO!$Y$230</f>
        <v>0</v>
      </c>
      <c r="K276" s="76">
        <f ca="1">EFEITO!$L$276*EFEITO!$Z$230</f>
        <v>270011.84223467275</v>
      </c>
      <c r="L276" s="76">
        <f>EFEITO!$N$276*EFEITO!$AA$230</f>
        <v>568825.14247549442</v>
      </c>
      <c r="M276" s="76">
        <f>$J$276-EFEITO!$K$276*EFEITO!$Y$276</f>
        <v>0</v>
      </c>
      <c r="N276" s="76">
        <f ca="1">$K$276-EFEITO!$M$276*EFEITO!$Z$276</f>
        <v>5400.236844693427</v>
      </c>
      <c r="O276" s="76">
        <f>$L$276-EFEITO!$O$276*EFEITO!$AA$276</f>
        <v>11376.50284950994</v>
      </c>
      <c r="P276" s="19"/>
      <c r="Q276" s="19"/>
      <c r="R276" s="19"/>
      <c r="S276" s="19"/>
      <c r="T276" s="19"/>
      <c r="U276" s="19"/>
      <c r="V276" s="19"/>
      <c r="W276" s="19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65" t="s">
        <v>28</v>
      </c>
      <c r="B277" s="65" t="s">
        <v>33</v>
      </c>
      <c r="C277" s="65" t="s">
        <v>34</v>
      </c>
      <c r="D277" s="65" t="s">
        <v>41</v>
      </c>
      <c r="E277" s="65" t="s">
        <v>50</v>
      </c>
      <c r="F277" s="65" t="s">
        <v>25</v>
      </c>
      <c r="G277" s="65" t="s">
        <v>25</v>
      </c>
      <c r="H277" s="65" t="s">
        <v>36</v>
      </c>
      <c r="I277" s="75">
        <v>44470</v>
      </c>
      <c r="J277" s="76">
        <f>EFEITO!$J$277*EFEITO!$Y$230</f>
        <v>0</v>
      </c>
      <c r="K277" s="76">
        <f ca="1">EFEITO!$L$277*EFEITO!$Z$230</f>
        <v>761.56489624380424</v>
      </c>
      <c r="L277" s="76">
        <f>EFEITO!$N$277*EFEITO!$AA$230</f>
        <v>1604.3639309483196</v>
      </c>
      <c r="M277" s="76">
        <f>$J$277-EFEITO!$K$277*EFEITO!$Y$277</f>
        <v>0</v>
      </c>
      <c r="N277" s="76">
        <f ca="1">$K$277-EFEITO!$M$277*EFEITO!$Z$277</f>
        <v>15.231297924876003</v>
      </c>
      <c r="O277" s="76">
        <f>$L$277-EFEITO!$O$277*EFEITO!$AA$277</f>
        <v>32.087278618966366</v>
      </c>
      <c r="P277" s="19"/>
      <c r="Q277" s="19"/>
      <c r="R277" s="19"/>
      <c r="S277" s="19"/>
      <c r="T277" s="19"/>
      <c r="U277" s="19"/>
      <c r="V277" s="19"/>
      <c r="W277" s="19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65" t="s">
        <v>21</v>
      </c>
      <c r="B278" s="65" t="s">
        <v>33</v>
      </c>
      <c r="C278" s="65" t="s">
        <v>34</v>
      </c>
      <c r="D278" s="65" t="s">
        <v>41</v>
      </c>
      <c r="E278" s="65" t="s">
        <v>50</v>
      </c>
      <c r="F278" s="65" t="s">
        <v>25</v>
      </c>
      <c r="G278" s="65" t="s">
        <v>25</v>
      </c>
      <c r="H278" s="65" t="s">
        <v>36</v>
      </c>
      <c r="I278" s="75">
        <v>44501</v>
      </c>
      <c r="J278" s="76">
        <f>EFEITO!$J$278*EFEITO!$Y$230</f>
        <v>0</v>
      </c>
      <c r="K278" s="76">
        <f ca="1">EFEITO!$L$278*EFEITO!$Z$230</f>
        <v>460433.85120325815</v>
      </c>
      <c r="L278" s="76">
        <f>EFEITO!$N$278*EFEITO!$AA$230</f>
        <v>969980.97877353767</v>
      </c>
      <c r="M278" s="76">
        <f>$J$278-EFEITO!$K$278*EFEITO!$Y$278</f>
        <v>0</v>
      </c>
      <c r="N278" s="76">
        <f ca="1">$K$278-EFEITO!$M$278*EFEITO!$Z$278</f>
        <v>9208.6770240651094</v>
      </c>
      <c r="O278" s="76">
        <f>$L$278-EFEITO!$O$278*EFEITO!$AA$278</f>
        <v>19399.619575470686</v>
      </c>
      <c r="P278" s="19"/>
      <c r="Q278" s="19"/>
      <c r="R278" s="19"/>
      <c r="S278" s="19"/>
      <c r="T278" s="19"/>
      <c r="U278" s="19"/>
      <c r="V278" s="19"/>
      <c r="W278" s="19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65" t="s">
        <v>28</v>
      </c>
      <c r="B279" s="65" t="s">
        <v>33</v>
      </c>
      <c r="C279" s="65" t="s">
        <v>34</v>
      </c>
      <c r="D279" s="65" t="s">
        <v>41</v>
      </c>
      <c r="E279" s="65" t="s">
        <v>50</v>
      </c>
      <c r="F279" s="65" t="s">
        <v>25</v>
      </c>
      <c r="G279" s="65" t="s">
        <v>25</v>
      </c>
      <c r="H279" s="65" t="s">
        <v>36</v>
      </c>
      <c r="I279" s="75">
        <v>44501</v>
      </c>
      <c r="J279" s="76">
        <f>EFEITO!$J$279*EFEITO!$Y$230</f>
        <v>0</v>
      </c>
      <c r="K279" s="76">
        <f ca="1">EFEITO!$L$279*EFEITO!$Z$230</f>
        <v>1623.3356998881093</v>
      </c>
      <c r="L279" s="76">
        <f>EFEITO!$N$279*EFEITO!$AA$230</f>
        <v>3419.8283791266813</v>
      </c>
      <c r="M279" s="76">
        <f>$J$279-EFEITO!$K$279*EFEITO!$Y$279</f>
        <v>0</v>
      </c>
      <c r="N279" s="76">
        <f ca="1">$K$279-EFEITO!$M$279*EFEITO!$Z$279</f>
        <v>32.466713997762099</v>
      </c>
      <c r="O279" s="76">
        <f>$L$279-EFEITO!$O$279*EFEITO!$AA$279</f>
        <v>68.396567582533407</v>
      </c>
      <c r="P279" s="19"/>
      <c r="Q279" s="19"/>
      <c r="R279" s="19"/>
      <c r="S279" s="19"/>
      <c r="T279" s="19"/>
      <c r="U279" s="19"/>
      <c r="V279" s="19"/>
      <c r="W279" s="19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65" t="s">
        <v>21</v>
      </c>
      <c r="B280" s="65" t="s">
        <v>33</v>
      </c>
      <c r="C280" s="65" t="s">
        <v>34</v>
      </c>
      <c r="D280" s="65" t="s">
        <v>41</v>
      </c>
      <c r="E280" s="65" t="s">
        <v>50</v>
      </c>
      <c r="F280" s="65" t="s">
        <v>25</v>
      </c>
      <c r="G280" s="65" t="s">
        <v>25</v>
      </c>
      <c r="H280" s="65" t="s">
        <v>36</v>
      </c>
      <c r="I280" s="75">
        <v>44531</v>
      </c>
      <c r="J280" s="76">
        <f>EFEITO!$J$280*EFEITO!$Y$230</f>
        <v>0</v>
      </c>
      <c r="K280" s="76">
        <f ca="1">EFEITO!$L$280*EFEITO!$Z$230</f>
        <v>378980.29136458074</v>
      </c>
      <c r="L280" s="76">
        <f>EFEITO!$N$280*EFEITO!$AA$230</f>
        <v>798385.42060500709</v>
      </c>
      <c r="M280" s="76">
        <f>$J$280-EFEITO!$K$280*EFEITO!$Y$280</f>
        <v>0</v>
      </c>
      <c r="N280" s="76">
        <f ca="1">$K$280-EFEITO!$M$280*EFEITO!$Z$280</f>
        <v>7579.6058272916125</v>
      </c>
      <c r="O280" s="76">
        <f>$L$280-EFEITO!$O$280*EFEITO!$AA$280</f>
        <v>15967.708412100095</v>
      </c>
      <c r="P280" s="19"/>
      <c r="Q280" s="19"/>
      <c r="R280" s="19"/>
      <c r="S280" s="19"/>
      <c r="T280" s="19"/>
      <c r="U280" s="19"/>
      <c r="V280" s="19"/>
      <c r="W280" s="19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65" t="s">
        <v>27</v>
      </c>
      <c r="B281" s="65" t="s">
        <v>33</v>
      </c>
      <c r="C281" s="65" t="s">
        <v>34</v>
      </c>
      <c r="D281" s="65" t="s">
        <v>41</v>
      </c>
      <c r="E281" s="65" t="s">
        <v>50</v>
      </c>
      <c r="F281" s="65" t="s">
        <v>25</v>
      </c>
      <c r="G281" s="65" t="s">
        <v>25</v>
      </c>
      <c r="H281" s="65" t="s">
        <v>36</v>
      </c>
      <c r="I281" s="75">
        <v>44531</v>
      </c>
      <c r="J281" s="76">
        <f>EFEITO!$J$281*EFEITO!$Y$230</f>
        <v>0</v>
      </c>
      <c r="K281" s="76">
        <f ca="1">EFEITO!$L$281*EFEITO!$Z$230</f>
        <v>172.00292352766334</v>
      </c>
      <c r="L281" s="76">
        <f>EFEITO!$N$281*EFEITO!$AA$230</f>
        <v>362.35294967837115</v>
      </c>
      <c r="M281" s="76">
        <f>$J$281-EFEITO!$K$281*EFEITO!$Y$281</f>
        <v>0</v>
      </c>
      <c r="N281" s="76">
        <f ca="1">$K$281-EFEITO!$M$281*EFEITO!$Z$281</f>
        <v>3.4400584705532538</v>
      </c>
      <c r="O281" s="76">
        <f>$L$281-EFEITO!$O$281*EFEITO!$AA$281</f>
        <v>7.247058993567407</v>
      </c>
      <c r="P281" s="19"/>
      <c r="Q281" s="19"/>
      <c r="R281" s="19"/>
      <c r="S281" s="19"/>
      <c r="T281" s="19"/>
      <c r="U281" s="19"/>
      <c r="V281" s="19"/>
      <c r="W281" s="19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65" t="s">
        <v>28</v>
      </c>
      <c r="B282" s="65" t="s">
        <v>33</v>
      </c>
      <c r="C282" s="65" t="s">
        <v>34</v>
      </c>
      <c r="D282" s="65" t="s">
        <v>41</v>
      </c>
      <c r="E282" s="65" t="s">
        <v>50</v>
      </c>
      <c r="F282" s="65" t="s">
        <v>25</v>
      </c>
      <c r="G282" s="65" t="s">
        <v>25</v>
      </c>
      <c r="H282" s="65" t="s">
        <v>36</v>
      </c>
      <c r="I282" s="75">
        <v>44531</v>
      </c>
      <c r="J282" s="76">
        <f>EFEITO!$J$282*EFEITO!$Y$230</f>
        <v>0</v>
      </c>
      <c r="K282" s="76">
        <f ca="1">EFEITO!$L$282*EFEITO!$Z$230</f>
        <v>388.4270225009094</v>
      </c>
      <c r="L282" s="76">
        <f>EFEITO!$N$282*EFEITO!$AA$230</f>
        <v>818.28654101542077</v>
      </c>
      <c r="M282" s="76">
        <f>$J$282-EFEITO!$K$282*EFEITO!$Y$282</f>
        <v>0</v>
      </c>
      <c r="N282" s="76">
        <f ca="1">$K$282-EFEITO!$M$282*EFEITO!$Z$282</f>
        <v>7.7685404500181789</v>
      </c>
      <c r="O282" s="76">
        <f>$L$282-EFEITO!$O$282*EFEITO!$AA$282</f>
        <v>16.365730820308386</v>
      </c>
      <c r="P282" s="19"/>
      <c r="Q282" s="19"/>
      <c r="R282" s="19"/>
      <c r="S282" s="19"/>
      <c r="T282" s="19"/>
      <c r="U282" s="19"/>
      <c r="V282" s="19"/>
      <c r="W282" s="19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65" t="s">
        <v>21</v>
      </c>
      <c r="B283" s="65" t="s">
        <v>33</v>
      </c>
      <c r="C283" s="65" t="s">
        <v>34</v>
      </c>
      <c r="D283" s="65" t="s">
        <v>41</v>
      </c>
      <c r="E283" s="65" t="s">
        <v>50</v>
      </c>
      <c r="F283" s="65" t="s">
        <v>25</v>
      </c>
      <c r="G283" s="65" t="s">
        <v>25</v>
      </c>
      <c r="H283" s="65" t="s">
        <v>36</v>
      </c>
      <c r="I283" s="75">
        <v>44562</v>
      </c>
      <c r="J283" s="76">
        <f>EFEITO!$J$283*EFEITO!$Y$230</f>
        <v>0</v>
      </c>
      <c r="K283" s="76">
        <f ca="1">EFEITO!$L$283*EFEITO!$Z$230</f>
        <v>233986.26894830514</v>
      </c>
      <c r="L283" s="76">
        <f>EFEITO!$N$283*EFEITO!$AA$230</f>
        <v>492931.24209030619</v>
      </c>
      <c r="M283" s="76">
        <f>$J$283-EFEITO!$K$283*EFEITO!$Y$283</f>
        <v>0</v>
      </c>
      <c r="N283" s="76">
        <f ca="1">$K$283-EFEITO!$M$283*EFEITO!$Z$283</f>
        <v>4679.7253789660754</v>
      </c>
      <c r="O283" s="76">
        <f>$L$283-EFEITO!$O$283*EFEITO!$AA$283</f>
        <v>9858.6248418061296</v>
      </c>
      <c r="P283" s="19"/>
      <c r="Q283" s="19"/>
      <c r="R283" s="19"/>
      <c r="S283" s="19"/>
      <c r="T283" s="19"/>
      <c r="U283" s="19"/>
      <c r="V283" s="19"/>
      <c r="W283" s="19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65" t="s">
        <v>21</v>
      </c>
      <c r="B284" s="65" t="s">
        <v>33</v>
      </c>
      <c r="C284" s="65" t="s">
        <v>34</v>
      </c>
      <c r="D284" s="65" t="s">
        <v>41</v>
      </c>
      <c r="E284" s="65" t="s">
        <v>50</v>
      </c>
      <c r="F284" s="65" t="s">
        <v>25</v>
      </c>
      <c r="G284" s="65" t="s">
        <v>25</v>
      </c>
      <c r="H284" s="65" t="s">
        <v>36</v>
      </c>
      <c r="I284" s="75">
        <v>44593</v>
      </c>
      <c r="J284" s="76">
        <f>EFEITO!$J$284*EFEITO!$Y$230</f>
        <v>0</v>
      </c>
      <c r="K284" s="76">
        <f ca="1">EFEITO!$L$284*EFEITO!$Z$230</f>
        <v>362646.00532288494</v>
      </c>
      <c r="L284" s="76">
        <f>EFEITO!$N$284*EFEITO!$AA$230</f>
        <v>763974.51289071585</v>
      </c>
      <c r="M284" s="76">
        <f>$J$284-EFEITO!$K$284*EFEITO!$Y$284</f>
        <v>0</v>
      </c>
      <c r="N284" s="76">
        <f ca="1">$K$284-EFEITO!$M$284*EFEITO!$Z$284</f>
        <v>7252.9201064576628</v>
      </c>
      <c r="O284" s="76">
        <f>$L$284-EFEITO!$O$284*EFEITO!$AA$284</f>
        <v>15279.490257814294</v>
      </c>
      <c r="P284" s="19"/>
      <c r="Q284" s="19"/>
      <c r="R284" s="19"/>
      <c r="S284" s="19"/>
      <c r="T284" s="19"/>
      <c r="U284" s="19"/>
      <c r="V284" s="19"/>
      <c r="W284" s="19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65" t="s">
        <v>28</v>
      </c>
      <c r="B285" s="65" t="s">
        <v>33</v>
      </c>
      <c r="C285" s="65" t="s">
        <v>34</v>
      </c>
      <c r="D285" s="65" t="s">
        <v>41</v>
      </c>
      <c r="E285" s="65" t="s">
        <v>50</v>
      </c>
      <c r="F285" s="65" t="s">
        <v>25</v>
      </c>
      <c r="G285" s="65" t="s">
        <v>25</v>
      </c>
      <c r="H285" s="65" t="s">
        <v>36</v>
      </c>
      <c r="I285" s="75">
        <v>44593</v>
      </c>
      <c r="J285" s="76">
        <f>EFEITO!$J$285*EFEITO!$Y$230</f>
        <v>0</v>
      </c>
      <c r="K285" s="76">
        <f ca="1">EFEITO!$L$285*EFEITO!$Z$230</f>
        <v>1023.4432212543908</v>
      </c>
      <c r="L285" s="76">
        <f>EFEITO!$N$285*EFEITO!$AA$230</f>
        <v>2156.0544579361099</v>
      </c>
      <c r="M285" s="76">
        <f>$J$285-EFEITO!$K$285*EFEITO!$Y$285</f>
        <v>0</v>
      </c>
      <c r="N285" s="76">
        <f ca="1">$K$285-EFEITO!$M$285*EFEITO!$Z$285</f>
        <v>20.468864425087759</v>
      </c>
      <c r="O285" s="76">
        <f>$L$285-EFEITO!$O$285*EFEITO!$AA$285</f>
        <v>43.121089158722043</v>
      </c>
      <c r="P285" s="19"/>
      <c r="Q285" s="19"/>
      <c r="R285" s="19"/>
      <c r="S285" s="19"/>
      <c r="T285" s="19"/>
      <c r="U285" s="19"/>
      <c r="V285" s="19"/>
      <c r="W285" s="19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65" t="s">
        <v>54</v>
      </c>
      <c r="B286" s="65" t="s">
        <v>33</v>
      </c>
      <c r="C286" s="65" t="s">
        <v>34</v>
      </c>
      <c r="D286" s="65" t="s">
        <v>41</v>
      </c>
      <c r="E286" s="65" t="s">
        <v>50</v>
      </c>
      <c r="F286" s="65" t="s">
        <v>25</v>
      </c>
      <c r="G286" s="65" t="s">
        <v>25</v>
      </c>
      <c r="H286" s="65" t="s">
        <v>36</v>
      </c>
      <c r="I286" s="75">
        <v>44621</v>
      </c>
      <c r="J286" s="76">
        <f>EFEITO!$J$286*EFEITO!$Y$230</f>
        <v>0</v>
      </c>
      <c r="K286" s="76">
        <f ca="1">EFEITO!$L$286*EFEITO!$Z$230</f>
        <v>362646.00532288494</v>
      </c>
      <c r="L286" s="76">
        <f>EFEITO!$N$286*EFEITO!$AA$230</f>
        <v>763974.51289071585</v>
      </c>
      <c r="M286" s="76">
        <f>$J$286-EFEITO!$K$286*EFEITO!$Y$286</f>
        <v>0</v>
      </c>
      <c r="N286" s="76">
        <f ca="1">$K$286-EFEITO!$M$286*EFEITO!$Z$286</f>
        <v>7252.9201064576628</v>
      </c>
      <c r="O286" s="76">
        <f>$L$286-EFEITO!$O$286*EFEITO!$AA$286</f>
        <v>15279.490257814294</v>
      </c>
      <c r="P286" s="19"/>
      <c r="Q286" s="19"/>
      <c r="R286" s="19"/>
      <c r="S286" s="19"/>
      <c r="T286" s="19"/>
      <c r="U286" s="19"/>
      <c r="V286" s="19"/>
      <c r="W286" s="19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65" t="s">
        <v>54</v>
      </c>
      <c r="B287" s="65" t="s">
        <v>33</v>
      </c>
      <c r="C287" s="65" t="s">
        <v>34</v>
      </c>
      <c r="D287" s="65" t="s">
        <v>41</v>
      </c>
      <c r="E287" s="65" t="s">
        <v>50</v>
      </c>
      <c r="F287" s="65" t="s">
        <v>25</v>
      </c>
      <c r="G287" s="65" t="s">
        <v>25</v>
      </c>
      <c r="H287" s="65" t="s">
        <v>36</v>
      </c>
      <c r="I287" s="75">
        <v>44621</v>
      </c>
      <c r="J287" s="76">
        <f>EFEITO!$J$287*EFEITO!$Y$230</f>
        <v>0</v>
      </c>
      <c r="K287" s="76">
        <f ca="1">EFEITO!$L$287*EFEITO!$Z$230</f>
        <v>1023.4432212543908</v>
      </c>
      <c r="L287" s="76">
        <f>EFEITO!$N$287*EFEITO!$AA$230</f>
        <v>2156.0544579361099</v>
      </c>
      <c r="M287" s="76">
        <f>$J$287-EFEITO!$K$287*EFEITO!$Y$287</f>
        <v>0</v>
      </c>
      <c r="N287" s="76">
        <f ca="1">$K$287-EFEITO!$M$287*EFEITO!$Z$287</f>
        <v>20.468864425087759</v>
      </c>
      <c r="O287" s="76">
        <f>$L$287-EFEITO!$O$287*EFEITO!$AA$287</f>
        <v>43.121089158722043</v>
      </c>
      <c r="P287" s="19"/>
      <c r="Q287" s="19"/>
      <c r="R287" s="19"/>
      <c r="S287" s="19"/>
      <c r="T287" s="19"/>
      <c r="U287" s="19"/>
      <c r="V287" s="19"/>
      <c r="W287" s="19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65" t="s">
        <v>21</v>
      </c>
      <c r="B288" s="65" t="s">
        <v>33</v>
      </c>
      <c r="C288" s="65" t="s">
        <v>34</v>
      </c>
      <c r="D288" s="65" t="s">
        <v>41</v>
      </c>
      <c r="E288" s="65" t="s">
        <v>50</v>
      </c>
      <c r="F288" s="65" t="s">
        <v>25</v>
      </c>
      <c r="G288" s="65" t="s">
        <v>25</v>
      </c>
      <c r="H288" s="65" t="s">
        <v>25</v>
      </c>
      <c r="I288" s="75">
        <v>44287</v>
      </c>
      <c r="J288" s="76">
        <f ca="1">EFEITO!$J$288*EFEITO!$Y$242</f>
        <v>960330.07971773227</v>
      </c>
      <c r="K288" s="76">
        <f>EFEITO!$L$288*EFEITO!$Z$242</f>
        <v>0</v>
      </c>
      <c r="L288" s="76">
        <f>EFEITO!$N$288*EFEITO!$AA$242</f>
        <v>0</v>
      </c>
      <c r="M288" s="76">
        <f ca="1">$J$288-EFEITO!$K$288*EFEITO!$Y$288</f>
        <v>19206.601594354608</v>
      </c>
      <c r="N288" s="76">
        <f>$K$288-EFEITO!$M$288*EFEITO!$Z$288</f>
        <v>0</v>
      </c>
      <c r="O288" s="76">
        <f>$L$288-EFEITO!$O$288*EFEITO!$AA$288</f>
        <v>0</v>
      </c>
      <c r="P288" s="19"/>
      <c r="Q288" s="19"/>
      <c r="R288" s="19"/>
      <c r="S288" s="19"/>
      <c r="T288" s="19"/>
      <c r="U288" s="19"/>
      <c r="V288" s="19"/>
      <c r="W288" s="19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65" t="s">
        <v>21</v>
      </c>
      <c r="B289" s="65" t="s">
        <v>33</v>
      </c>
      <c r="C289" s="65" t="s">
        <v>34</v>
      </c>
      <c r="D289" s="65" t="s">
        <v>41</v>
      </c>
      <c r="E289" s="65" t="s">
        <v>50</v>
      </c>
      <c r="F289" s="65" t="s">
        <v>25</v>
      </c>
      <c r="G289" s="65" t="s">
        <v>25</v>
      </c>
      <c r="H289" s="65" t="s">
        <v>25</v>
      </c>
      <c r="I289" s="75">
        <v>44317</v>
      </c>
      <c r="J289" s="76">
        <f ca="1">EFEITO!$J$289*EFEITO!$Y$242</f>
        <v>954068.95668712538</v>
      </c>
      <c r="K289" s="76">
        <f>EFEITO!$L$289*EFEITO!$Z$242</f>
        <v>0</v>
      </c>
      <c r="L289" s="76">
        <f>EFEITO!$N$289*EFEITO!$AA$242</f>
        <v>0</v>
      </c>
      <c r="M289" s="76">
        <f ca="1">$J$289-EFEITO!$K$289*EFEITO!$Y$289</f>
        <v>19081.379133742535</v>
      </c>
      <c r="N289" s="76">
        <f>$K$289-EFEITO!$M$289*EFEITO!$Z$289</f>
        <v>0</v>
      </c>
      <c r="O289" s="76">
        <f>$L$289-EFEITO!$O$289*EFEITO!$AA$289</f>
        <v>0</v>
      </c>
      <c r="P289" s="19"/>
      <c r="Q289" s="19"/>
      <c r="R289" s="19"/>
      <c r="S289" s="19"/>
      <c r="T289" s="19"/>
      <c r="U289" s="19"/>
      <c r="V289" s="19"/>
      <c r="W289" s="19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65" t="s">
        <v>21</v>
      </c>
      <c r="B290" s="65" t="s">
        <v>33</v>
      </c>
      <c r="C290" s="65" t="s">
        <v>34</v>
      </c>
      <c r="D290" s="65" t="s">
        <v>41</v>
      </c>
      <c r="E290" s="65" t="s">
        <v>50</v>
      </c>
      <c r="F290" s="65" t="s">
        <v>25</v>
      </c>
      <c r="G290" s="65" t="s">
        <v>25</v>
      </c>
      <c r="H290" s="65" t="s">
        <v>25</v>
      </c>
      <c r="I290" s="75">
        <v>44348</v>
      </c>
      <c r="J290" s="76">
        <f ca="1">EFEITO!$J$290*EFEITO!$Y$242</f>
        <v>647540.87529334496</v>
      </c>
      <c r="K290" s="76">
        <f>EFEITO!$L$290*EFEITO!$Z$242</f>
        <v>0</v>
      </c>
      <c r="L290" s="76">
        <f>EFEITO!$N$290*EFEITO!$AA$242</f>
        <v>0</v>
      </c>
      <c r="M290" s="76">
        <f ca="1">$J$290-EFEITO!$K$290*EFEITO!$Y$290</f>
        <v>12950.817505866871</v>
      </c>
      <c r="N290" s="76">
        <f>$K$290-EFEITO!$M$290*EFEITO!$Z$290</f>
        <v>0</v>
      </c>
      <c r="O290" s="76">
        <f>$L$290-EFEITO!$O$290*EFEITO!$AA$290</f>
        <v>0</v>
      </c>
      <c r="P290" s="19"/>
      <c r="Q290" s="19"/>
      <c r="R290" s="19"/>
      <c r="S290" s="19"/>
      <c r="T290" s="19"/>
      <c r="U290" s="19"/>
      <c r="V290" s="19"/>
      <c r="W290" s="19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65" t="s">
        <v>28</v>
      </c>
      <c r="B291" s="65" t="s">
        <v>33</v>
      </c>
      <c r="C291" s="65" t="s">
        <v>34</v>
      </c>
      <c r="D291" s="65" t="s">
        <v>41</v>
      </c>
      <c r="E291" s="65" t="s">
        <v>50</v>
      </c>
      <c r="F291" s="65" t="s">
        <v>25</v>
      </c>
      <c r="G291" s="65" t="s">
        <v>25</v>
      </c>
      <c r="H291" s="65" t="s">
        <v>25</v>
      </c>
      <c r="I291" s="75">
        <v>44348</v>
      </c>
      <c r="J291" s="76">
        <f ca="1">EFEITO!$J$291*EFEITO!$Y$242</f>
        <v>2353.9881161583953</v>
      </c>
      <c r="K291" s="76">
        <f>EFEITO!$L$291*EFEITO!$Z$242</f>
        <v>0</v>
      </c>
      <c r="L291" s="76">
        <f>EFEITO!$N$291*EFEITO!$AA$242</f>
        <v>0</v>
      </c>
      <c r="M291" s="76">
        <f ca="1">$J$291-EFEITO!$K$291*EFEITO!$Y$291</f>
        <v>47.07976232316787</v>
      </c>
      <c r="N291" s="76">
        <f>$K$291-EFEITO!$M$291*EFEITO!$Z$291</f>
        <v>0</v>
      </c>
      <c r="O291" s="76">
        <f>$L$291-EFEITO!$O$291*EFEITO!$AA$291</f>
        <v>0</v>
      </c>
      <c r="P291" s="19"/>
      <c r="Q291" s="19"/>
      <c r="R291" s="19"/>
      <c r="S291" s="19"/>
      <c r="T291" s="19"/>
      <c r="U291" s="19"/>
      <c r="V291" s="19"/>
      <c r="W291" s="19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65" t="s">
        <v>21</v>
      </c>
      <c r="B292" s="65" t="s">
        <v>33</v>
      </c>
      <c r="C292" s="65" t="s">
        <v>34</v>
      </c>
      <c r="D292" s="65" t="s">
        <v>41</v>
      </c>
      <c r="E292" s="65" t="s">
        <v>50</v>
      </c>
      <c r="F292" s="65" t="s">
        <v>25</v>
      </c>
      <c r="G292" s="65" t="s">
        <v>25</v>
      </c>
      <c r="H292" s="65" t="s">
        <v>25</v>
      </c>
      <c r="I292" s="75">
        <v>44378</v>
      </c>
      <c r="J292" s="76">
        <f ca="1">EFEITO!$J$292*EFEITO!$Y$242</f>
        <v>864811.55162289261</v>
      </c>
      <c r="K292" s="76">
        <f>EFEITO!$L$292*EFEITO!$Z$242</f>
        <v>0</v>
      </c>
      <c r="L292" s="76">
        <f>EFEITO!$N$292*EFEITO!$AA$242</f>
        <v>0</v>
      </c>
      <c r="M292" s="76">
        <f ca="1">$J$292-EFEITO!$K$292*EFEITO!$Y$292</f>
        <v>17296.231032457785</v>
      </c>
      <c r="N292" s="76">
        <f>$K$292-EFEITO!$M$292*EFEITO!$Z$292</f>
        <v>0</v>
      </c>
      <c r="O292" s="76">
        <f>$L$292-EFEITO!$O$292*EFEITO!$AA$292</f>
        <v>0</v>
      </c>
      <c r="P292" s="19"/>
      <c r="Q292" s="19"/>
      <c r="R292" s="19"/>
      <c r="S292" s="19"/>
      <c r="T292" s="19"/>
      <c r="U292" s="19"/>
      <c r="V292" s="19"/>
      <c r="W292" s="19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65" t="s">
        <v>28</v>
      </c>
      <c r="B293" s="65" t="s">
        <v>33</v>
      </c>
      <c r="C293" s="65" t="s">
        <v>34</v>
      </c>
      <c r="D293" s="65" t="s">
        <v>41</v>
      </c>
      <c r="E293" s="65" t="s">
        <v>50</v>
      </c>
      <c r="F293" s="65" t="s">
        <v>25</v>
      </c>
      <c r="G293" s="65" t="s">
        <v>25</v>
      </c>
      <c r="H293" s="65" t="s">
        <v>25</v>
      </c>
      <c r="I293" s="75">
        <v>44378</v>
      </c>
      <c r="J293" s="76">
        <f ca="1">EFEITO!$J$293*EFEITO!$Y$242</f>
        <v>2402.5239536049603</v>
      </c>
      <c r="K293" s="76">
        <f>EFEITO!$L$293*EFEITO!$Z$242</f>
        <v>0</v>
      </c>
      <c r="L293" s="76">
        <f>EFEITO!$N$293*EFEITO!$AA$242</f>
        <v>0</v>
      </c>
      <c r="M293" s="76">
        <f ca="1">$J$293-EFEITO!$K$293*EFEITO!$Y$293</f>
        <v>48.050479072099279</v>
      </c>
      <c r="N293" s="76">
        <f>$K$293-EFEITO!$M$293*EFEITO!$Z$293</f>
        <v>0</v>
      </c>
      <c r="O293" s="76">
        <f>$L$293-EFEITO!$O$293*EFEITO!$AA$293</f>
        <v>0</v>
      </c>
      <c r="P293" s="19"/>
      <c r="Q293" s="19"/>
      <c r="R293" s="19"/>
      <c r="S293" s="19"/>
      <c r="T293" s="19"/>
      <c r="U293" s="19"/>
      <c r="V293" s="19"/>
      <c r="W293" s="19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65" t="s">
        <v>21</v>
      </c>
      <c r="B294" s="65" t="s">
        <v>33</v>
      </c>
      <c r="C294" s="65" t="s">
        <v>34</v>
      </c>
      <c r="D294" s="65" t="s">
        <v>41</v>
      </c>
      <c r="E294" s="65" t="s">
        <v>50</v>
      </c>
      <c r="F294" s="65" t="s">
        <v>25</v>
      </c>
      <c r="G294" s="65" t="s">
        <v>25</v>
      </c>
      <c r="H294" s="65" t="s">
        <v>25</v>
      </c>
      <c r="I294" s="75">
        <v>44409</v>
      </c>
      <c r="J294" s="76">
        <f ca="1">EFEITO!$J$294*EFEITO!$Y$242</f>
        <v>985884.1981333486</v>
      </c>
      <c r="K294" s="76">
        <f>EFEITO!$L$294*EFEITO!$Z$242</f>
        <v>0</v>
      </c>
      <c r="L294" s="76">
        <f>EFEITO!$N$294*EFEITO!$AA$242</f>
        <v>0</v>
      </c>
      <c r="M294" s="76">
        <f ca="1">$J$294-EFEITO!$K$294*EFEITO!$Y$294</f>
        <v>19717.683962666895</v>
      </c>
      <c r="N294" s="76">
        <f>$K$294-EFEITO!$M$294*EFEITO!$Z$294</f>
        <v>0</v>
      </c>
      <c r="O294" s="76">
        <f>$L$294-EFEITO!$O$294*EFEITO!$AA$294</f>
        <v>0</v>
      </c>
      <c r="P294" s="19"/>
      <c r="Q294" s="19"/>
      <c r="R294" s="19"/>
      <c r="S294" s="19"/>
      <c r="T294" s="19"/>
      <c r="U294" s="19"/>
      <c r="V294" s="19"/>
      <c r="W294" s="19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65" t="s">
        <v>28</v>
      </c>
      <c r="B295" s="65" t="s">
        <v>33</v>
      </c>
      <c r="C295" s="65" t="s">
        <v>34</v>
      </c>
      <c r="D295" s="65" t="s">
        <v>41</v>
      </c>
      <c r="E295" s="65" t="s">
        <v>50</v>
      </c>
      <c r="F295" s="65" t="s">
        <v>25</v>
      </c>
      <c r="G295" s="65" t="s">
        <v>25</v>
      </c>
      <c r="H295" s="65" t="s">
        <v>25</v>
      </c>
      <c r="I295" s="75">
        <v>44409</v>
      </c>
      <c r="J295" s="76">
        <f ca="1">EFEITO!$J$295*EFEITO!$Y$242</f>
        <v>2936.4181655171737</v>
      </c>
      <c r="K295" s="76">
        <f>EFEITO!$L$295*EFEITO!$Z$242</f>
        <v>0</v>
      </c>
      <c r="L295" s="76">
        <f>EFEITO!$N$295*EFEITO!$AA$242</f>
        <v>0</v>
      </c>
      <c r="M295" s="76">
        <f ca="1">$J$295-EFEITO!$K$295*EFEITO!$Y$295</f>
        <v>58.728363310343411</v>
      </c>
      <c r="N295" s="76">
        <f>$K$295-EFEITO!$M$295*EFEITO!$Z$295</f>
        <v>0</v>
      </c>
      <c r="O295" s="76">
        <f>$L$295-EFEITO!$O$295*EFEITO!$AA$295</f>
        <v>0</v>
      </c>
      <c r="P295" s="19"/>
      <c r="Q295" s="19"/>
      <c r="R295" s="19"/>
      <c r="S295" s="19"/>
      <c r="T295" s="19"/>
      <c r="U295" s="19"/>
      <c r="V295" s="19"/>
      <c r="W295" s="19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65" t="s">
        <v>21</v>
      </c>
      <c r="B296" s="65" t="s">
        <v>33</v>
      </c>
      <c r="C296" s="65" t="s">
        <v>34</v>
      </c>
      <c r="D296" s="65" t="s">
        <v>41</v>
      </c>
      <c r="E296" s="65" t="s">
        <v>50</v>
      </c>
      <c r="F296" s="65" t="s">
        <v>25</v>
      </c>
      <c r="G296" s="65" t="s">
        <v>25</v>
      </c>
      <c r="H296" s="65" t="s">
        <v>25</v>
      </c>
      <c r="I296" s="75">
        <v>44440</v>
      </c>
      <c r="J296" s="76">
        <f ca="1">EFEITO!$J$296*EFEITO!$Y$242</f>
        <v>1026605.7657510166</v>
      </c>
      <c r="K296" s="76">
        <f>EFEITO!$L$296*EFEITO!$Z$242</f>
        <v>0</v>
      </c>
      <c r="L296" s="76">
        <f>EFEITO!$N$296*EFEITO!$AA$242</f>
        <v>0</v>
      </c>
      <c r="M296" s="76">
        <f ca="1">$J$296-EFEITO!$K$296*EFEITO!$Y$296</f>
        <v>20532.115315020317</v>
      </c>
      <c r="N296" s="76">
        <f>$K$296-EFEITO!$M$296*EFEITO!$Z$296</f>
        <v>0</v>
      </c>
      <c r="O296" s="76">
        <f>$L$296-EFEITO!$O$296*EFEITO!$AA$296</f>
        <v>0</v>
      </c>
      <c r="P296" s="19"/>
      <c r="Q296" s="19"/>
      <c r="R296" s="19"/>
      <c r="S296" s="19"/>
      <c r="T296" s="19"/>
      <c r="U296" s="19"/>
      <c r="V296" s="19"/>
      <c r="W296" s="19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65" t="s">
        <v>28</v>
      </c>
      <c r="B297" s="65" t="s">
        <v>33</v>
      </c>
      <c r="C297" s="65" t="s">
        <v>34</v>
      </c>
      <c r="D297" s="65" t="s">
        <v>41</v>
      </c>
      <c r="E297" s="65" t="s">
        <v>50</v>
      </c>
      <c r="F297" s="65" t="s">
        <v>25</v>
      </c>
      <c r="G297" s="65" t="s">
        <v>25</v>
      </c>
      <c r="H297" s="65" t="s">
        <v>25</v>
      </c>
      <c r="I297" s="75">
        <v>44440</v>
      </c>
      <c r="J297" s="76">
        <f ca="1">EFEITO!$J$297*EFEITO!$Y$242</f>
        <v>2960.6860842404562</v>
      </c>
      <c r="K297" s="76">
        <f>EFEITO!$L$297*EFEITO!$Z$242</f>
        <v>0</v>
      </c>
      <c r="L297" s="76">
        <f>EFEITO!$N$297*EFEITO!$AA$242</f>
        <v>0</v>
      </c>
      <c r="M297" s="76">
        <f ca="1">$J$297-EFEITO!$K$297*EFEITO!$Y$297</f>
        <v>59.213721684809116</v>
      </c>
      <c r="N297" s="76">
        <f>$K$297-EFEITO!$M$297*EFEITO!$Z$297</f>
        <v>0</v>
      </c>
      <c r="O297" s="76">
        <f>$L$297-EFEITO!$O$297*EFEITO!$AA$297</f>
        <v>0</v>
      </c>
      <c r="P297" s="19"/>
      <c r="Q297" s="19"/>
      <c r="R297" s="19"/>
      <c r="S297" s="19"/>
      <c r="T297" s="19"/>
      <c r="U297" s="19"/>
      <c r="V297" s="19"/>
      <c r="W297" s="19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65" t="s">
        <v>21</v>
      </c>
      <c r="B298" s="65" t="s">
        <v>33</v>
      </c>
      <c r="C298" s="65" t="s">
        <v>34</v>
      </c>
      <c r="D298" s="65" t="s">
        <v>41</v>
      </c>
      <c r="E298" s="65" t="s">
        <v>50</v>
      </c>
      <c r="F298" s="65" t="s">
        <v>25</v>
      </c>
      <c r="G298" s="65" t="s">
        <v>25</v>
      </c>
      <c r="H298" s="65" t="s">
        <v>25</v>
      </c>
      <c r="I298" s="75">
        <v>44470</v>
      </c>
      <c r="J298" s="76">
        <f ca="1">EFEITO!$J$298*EFEITO!$Y$242</f>
        <v>1147848.2876925354</v>
      </c>
      <c r="K298" s="76">
        <f>EFEITO!$L$298*EFEITO!$Z$242</f>
        <v>0</v>
      </c>
      <c r="L298" s="76">
        <f>EFEITO!$N$298*EFEITO!$AA$242</f>
        <v>0</v>
      </c>
      <c r="M298" s="76">
        <f ca="1">$J$298-EFEITO!$K$298*EFEITO!$Y$298</f>
        <v>22956.965753850527</v>
      </c>
      <c r="N298" s="76">
        <f>$K$298-EFEITO!$M$298*EFEITO!$Z$298</f>
        <v>0</v>
      </c>
      <c r="O298" s="76">
        <f>$L$298-EFEITO!$O$298*EFEITO!$AA$298</f>
        <v>0</v>
      </c>
      <c r="P298" s="19"/>
      <c r="Q298" s="19"/>
      <c r="R298" s="19"/>
      <c r="S298" s="19"/>
      <c r="T298" s="19"/>
      <c r="U298" s="19"/>
      <c r="V298" s="19"/>
      <c r="W298" s="19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65" t="s">
        <v>28</v>
      </c>
      <c r="B299" s="65" t="s">
        <v>33</v>
      </c>
      <c r="C299" s="65" t="s">
        <v>34</v>
      </c>
      <c r="D299" s="65" t="s">
        <v>41</v>
      </c>
      <c r="E299" s="65" t="s">
        <v>50</v>
      </c>
      <c r="F299" s="65" t="s">
        <v>25</v>
      </c>
      <c r="G299" s="65" t="s">
        <v>25</v>
      </c>
      <c r="H299" s="65" t="s">
        <v>25</v>
      </c>
      <c r="I299" s="75">
        <v>44470</v>
      </c>
      <c r="J299" s="76">
        <f ca="1">EFEITO!$J$299*EFEITO!$Y$242</f>
        <v>2936.4181655171737</v>
      </c>
      <c r="K299" s="76">
        <f>EFEITO!$L$299*EFEITO!$Z$242</f>
        <v>0</v>
      </c>
      <c r="L299" s="76">
        <f>EFEITO!$N$299*EFEITO!$AA$242</f>
        <v>0</v>
      </c>
      <c r="M299" s="76">
        <f ca="1">$J$299-EFEITO!$K$299*EFEITO!$Y$299</f>
        <v>58.728363310343411</v>
      </c>
      <c r="N299" s="76">
        <f>$K$299-EFEITO!$M$299*EFEITO!$Z$299</f>
        <v>0</v>
      </c>
      <c r="O299" s="76">
        <f>$L$299-EFEITO!$O$299*EFEITO!$AA$299</f>
        <v>0</v>
      </c>
      <c r="P299" s="19"/>
      <c r="Q299" s="19"/>
      <c r="R299" s="19"/>
      <c r="S299" s="19"/>
      <c r="T299" s="19"/>
      <c r="U299" s="19"/>
      <c r="V299" s="19"/>
      <c r="W299" s="19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65" t="s">
        <v>21</v>
      </c>
      <c r="B300" s="65" t="s">
        <v>33</v>
      </c>
      <c r="C300" s="65" t="s">
        <v>34</v>
      </c>
      <c r="D300" s="65" t="s">
        <v>41</v>
      </c>
      <c r="E300" s="65" t="s">
        <v>50</v>
      </c>
      <c r="F300" s="65" t="s">
        <v>25</v>
      </c>
      <c r="G300" s="65" t="s">
        <v>25</v>
      </c>
      <c r="H300" s="65" t="s">
        <v>25</v>
      </c>
      <c r="I300" s="75">
        <v>44501</v>
      </c>
      <c r="J300" s="76">
        <f ca="1">EFEITO!$J$300*EFEITO!$Y$242</f>
        <v>1136660.7771611023</v>
      </c>
      <c r="K300" s="76">
        <f>EFEITO!$L$300*EFEITO!$Z$242</f>
        <v>0</v>
      </c>
      <c r="L300" s="76">
        <f>EFEITO!$N$300*EFEITO!$AA$242</f>
        <v>0</v>
      </c>
      <c r="M300" s="76">
        <f ca="1">$J$300-EFEITO!$K$300*EFEITO!$Y$300</f>
        <v>22733.215543221915</v>
      </c>
      <c r="N300" s="76">
        <f>$K$300-EFEITO!$M$300*EFEITO!$Z$300</f>
        <v>0</v>
      </c>
      <c r="O300" s="76">
        <f>$L$300-EFEITO!$O$300*EFEITO!$AA$300</f>
        <v>0</v>
      </c>
      <c r="P300" s="19"/>
      <c r="Q300" s="19"/>
      <c r="R300" s="19"/>
      <c r="S300" s="19"/>
      <c r="T300" s="19"/>
      <c r="U300" s="19"/>
      <c r="V300" s="19"/>
      <c r="W300" s="19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65" t="s">
        <v>28</v>
      </c>
      <c r="B301" s="65" t="s">
        <v>33</v>
      </c>
      <c r="C301" s="65" t="s">
        <v>34</v>
      </c>
      <c r="D301" s="65" t="s">
        <v>41</v>
      </c>
      <c r="E301" s="65" t="s">
        <v>50</v>
      </c>
      <c r="F301" s="65" t="s">
        <v>25</v>
      </c>
      <c r="G301" s="65" t="s">
        <v>25</v>
      </c>
      <c r="H301" s="65" t="s">
        <v>25</v>
      </c>
      <c r="I301" s="75">
        <v>44501</v>
      </c>
      <c r="J301" s="76">
        <f ca="1">EFEITO!$J$301*EFEITO!$Y$242</f>
        <v>2936.4181655171737</v>
      </c>
      <c r="K301" s="76">
        <f>EFEITO!$L$301*EFEITO!$Z$242</f>
        <v>0</v>
      </c>
      <c r="L301" s="76">
        <f>EFEITO!$N$301*EFEITO!$AA$242</f>
        <v>0</v>
      </c>
      <c r="M301" s="76">
        <f ca="1">$J$301-EFEITO!$K$301*EFEITO!$Y$301</f>
        <v>58.728363310343411</v>
      </c>
      <c r="N301" s="76">
        <f>$K$301-EFEITO!$M$301*EFEITO!$Z$301</f>
        <v>0</v>
      </c>
      <c r="O301" s="76">
        <f>$L$301-EFEITO!$O$301*EFEITO!$AA$301</f>
        <v>0</v>
      </c>
      <c r="P301" s="19"/>
      <c r="Q301" s="19"/>
      <c r="R301" s="19"/>
      <c r="S301" s="19"/>
      <c r="T301" s="19"/>
      <c r="U301" s="19"/>
      <c r="V301" s="19"/>
      <c r="W301" s="19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65" t="s">
        <v>21</v>
      </c>
      <c r="B302" s="65" t="s">
        <v>33</v>
      </c>
      <c r="C302" s="65" t="s">
        <v>34</v>
      </c>
      <c r="D302" s="65" t="s">
        <v>41</v>
      </c>
      <c r="E302" s="65" t="s">
        <v>50</v>
      </c>
      <c r="F302" s="65" t="s">
        <v>25</v>
      </c>
      <c r="G302" s="65" t="s">
        <v>25</v>
      </c>
      <c r="H302" s="65" t="s">
        <v>25</v>
      </c>
      <c r="I302" s="75">
        <v>44531</v>
      </c>
      <c r="J302" s="76">
        <f ca="1">EFEITO!$J$302*EFEITO!$Y$242</f>
        <v>1104966.8753084955</v>
      </c>
      <c r="K302" s="76">
        <f>EFEITO!$L$302*EFEITO!$Z$242</f>
        <v>0</v>
      </c>
      <c r="L302" s="76">
        <f>EFEITO!$N$302*EFEITO!$AA$242</f>
        <v>0</v>
      </c>
      <c r="M302" s="76">
        <f ca="1">$J$302-EFEITO!$K$302*EFEITO!$Y$302</f>
        <v>22099.337506169919</v>
      </c>
      <c r="N302" s="76">
        <f>$K$302-EFEITO!$M$302*EFEITO!$Z$302</f>
        <v>0</v>
      </c>
      <c r="O302" s="76">
        <f>$L$302-EFEITO!$O$302*EFEITO!$AA$302</f>
        <v>0</v>
      </c>
      <c r="P302" s="19"/>
      <c r="Q302" s="19"/>
      <c r="R302" s="19"/>
      <c r="S302" s="19"/>
      <c r="T302" s="19"/>
      <c r="U302" s="19"/>
      <c r="V302" s="19"/>
      <c r="W302" s="19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65" t="s">
        <v>28</v>
      </c>
      <c r="B303" s="65" t="s">
        <v>33</v>
      </c>
      <c r="C303" s="65" t="s">
        <v>34</v>
      </c>
      <c r="D303" s="65" t="s">
        <v>41</v>
      </c>
      <c r="E303" s="65" t="s">
        <v>50</v>
      </c>
      <c r="F303" s="65" t="s">
        <v>25</v>
      </c>
      <c r="G303" s="65" t="s">
        <v>25</v>
      </c>
      <c r="H303" s="65" t="s">
        <v>25</v>
      </c>
      <c r="I303" s="75">
        <v>44531</v>
      </c>
      <c r="J303" s="76">
        <f ca="1">EFEITO!$J$303*EFEITO!$Y$242</f>
        <v>2887.8823280706088</v>
      </c>
      <c r="K303" s="76">
        <f>EFEITO!$L$303*EFEITO!$Z$242</f>
        <v>0</v>
      </c>
      <c r="L303" s="76">
        <f>EFEITO!$N$303*EFEITO!$AA$242</f>
        <v>0</v>
      </c>
      <c r="M303" s="76">
        <f ca="1">$J$303-EFEITO!$K$303*EFEITO!$Y$303</f>
        <v>57.757646561412002</v>
      </c>
      <c r="N303" s="76">
        <f>$K$303-EFEITO!$M$303*EFEITO!$Z$303</f>
        <v>0</v>
      </c>
      <c r="O303" s="76">
        <f>$L$303-EFEITO!$O$303*EFEITO!$AA$303</f>
        <v>0</v>
      </c>
      <c r="P303" s="19"/>
      <c r="Q303" s="19"/>
      <c r="R303" s="19"/>
      <c r="S303" s="19"/>
      <c r="T303" s="19"/>
      <c r="U303" s="19"/>
      <c r="V303" s="19"/>
      <c r="W303" s="19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65" t="s">
        <v>21</v>
      </c>
      <c r="B304" s="65" t="s">
        <v>33</v>
      </c>
      <c r="C304" s="65" t="s">
        <v>34</v>
      </c>
      <c r="D304" s="65" t="s">
        <v>41</v>
      </c>
      <c r="E304" s="65" t="s">
        <v>50</v>
      </c>
      <c r="F304" s="65" t="s">
        <v>25</v>
      </c>
      <c r="G304" s="65" t="s">
        <v>25</v>
      </c>
      <c r="H304" s="65" t="s">
        <v>25</v>
      </c>
      <c r="I304" s="75">
        <v>44562</v>
      </c>
      <c r="J304" s="76">
        <f ca="1">EFEITO!$J$304*EFEITO!$Y$242</f>
        <v>1049902.9677253678</v>
      </c>
      <c r="K304" s="76">
        <f>EFEITO!$L$304*EFEITO!$Z$242</f>
        <v>0</v>
      </c>
      <c r="L304" s="76">
        <f>EFEITO!$N$304*EFEITO!$AA$242</f>
        <v>0</v>
      </c>
      <c r="M304" s="76">
        <f ca="1">$J$304-EFEITO!$K$304*EFEITO!$Y$304</f>
        <v>20998.059354507364</v>
      </c>
      <c r="N304" s="76">
        <f>$K$304-EFEITO!$M$304*EFEITO!$Z$304</f>
        <v>0</v>
      </c>
      <c r="O304" s="76">
        <f>$L$304-EFEITO!$O$304*EFEITO!$AA$304</f>
        <v>0</v>
      </c>
      <c r="P304" s="19"/>
      <c r="Q304" s="19"/>
      <c r="R304" s="19"/>
      <c r="S304" s="19"/>
      <c r="T304" s="19"/>
      <c r="U304" s="19"/>
      <c r="V304" s="19"/>
      <c r="W304" s="19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65" t="s">
        <v>28</v>
      </c>
      <c r="B305" s="65" t="s">
        <v>33</v>
      </c>
      <c r="C305" s="65" t="s">
        <v>34</v>
      </c>
      <c r="D305" s="65" t="s">
        <v>41</v>
      </c>
      <c r="E305" s="65" t="s">
        <v>50</v>
      </c>
      <c r="F305" s="65" t="s">
        <v>25</v>
      </c>
      <c r="G305" s="65" t="s">
        <v>25</v>
      </c>
      <c r="H305" s="65" t="s">
        <v>25</v>
      </c>
      <c r="I305" s="75">
        <v>44562</v>
      </c>
      <c r="J305" s="76">
        <f ca="1">EFEITO!$J$305*EFEITO!$Y$242</f>
        <v>2305.4522787118308</v>
      </c>
      <c r="K305" s="76">
        <f>EFEITO!$L$305*EFEITO!$Z$242</f>
        <v>0</v>
      </c>
      <c r="L305" s="76">
        <f>EFEITO!$N$305*EFEITO!$AA$242</f>
        <v>0</v>
      </c>
      <c r="M305" s="76">
        <f ca="1">$J$305-EFEITO!$K$305*EFEITO!$Y$305</f>
        <v>46.109045574236461</v>
      </c>
      <c r="N305" s="76">
        <f>$K$305-EFEITO!$M$305*EFEITO!$Z$305</f>
        <v>0</v>
      </c>
      <c r="O305" s="76">
        <f>$L$305-EFEITO!$O$305*EFEITO!$AA$305</f>
        <v>0</v>
      </c>
      <c r="P305" s="19"/>
      <c r="Q305" s="19"/>
      <c r="R305" s="19"/>
      <c r="S305" s="19"/>
      <c r="T305" s="19"/>
      <c r="U305" s="19"/>
      <c r="V305" s="19"/>
      <c r="W305" s="19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65" t="s">
        <v>21</v>
      </c>
      <c r="B306" s="65" t="s">
        <v>33</v>
      </c>
      <c r="C306" s="65" t="s">
        <v>34</v>
      </c>
      <c r="D306" s="65" t="s">
        <v>41</v>
      </c>
      <c r="E306" s="65" t="s">
        <v>50</v>
      </c>
      <c r="F306" s="65" t="s">
        <v>25</v>
      </c>
      <c r="G306" s="65" t="s">
        <v>25</v>
      </c>
      <c r="H306" s="65" t="s">
        <v>25</v>
      </c>
      <c r="I306" s="75">
        <v>44593</v>
      </c>
      <c r="J306" s="76">
        <f ca="1">EFEITO!$J$306*EFEITO!$Y$242</f>
        <v>1063929.8247474248</v>
      </c>
      <c r="K306" s="76">
        <f>EFEITO!$L$306*EFEITO!$Z$242</f>
        <v>0</v>
      </c>
      <c r="L306" s="76">
        <f>EFEITO!$N$306*EFEITO!$AA$242</f>
        <v>0</v>
      </c>
      <c r="M306" s="76">
        <f ca="1">$J$306-EFEITO!$K$306*EFEITO!$Y$306</f>
        <v>21278.596494948375</v>
      </c>
      <c r="N306" s="76">
        <f>$K$306-EFEITO!$M$306*EFEITO!$Z$306</f>
        <v>0</v>
      </c>
      <c r="O306" s="76">
        <f>$L$306-EFEITO!$O$306*EFEITO!$AA$306</f>
        <v>0</v>
      </c>
      <c r="P306" s="19"/>
      <c r="Q306" s="19"/>
      <c r="R306" s="19"/>
      <c r="S306" s="19"/>
      <c r="T306" s="19"/>
      <c r="U306" s="19"/>
      <c r="V306" s="19"/>
      <c r="W306" s="19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65" t="s">
        <v>28</v>
      </c>
      <c r="B307" s="65" t="s">
        <v>33</v>
      </c>
      <c r="C307" s="65" t="s">
        <v>34</v>
      </c>
      <c r="D307" s="65" t="s">
        <v>41</v>
      </c>
      <c r="E307" s="65" t="s">
        <v>50</v>
      </c>
      <c r="F307" s="65" t="s">
        <v>25</v>
      </c>
      <c r="G307" s="65" t="s">
        <v>25</v>
      </c>
      <c r="H307" s="65" t="s">
        <v>25</v>
      </c>
      <c r="I307" s="75">
        <v>44593</v>
      </c>
      <c r="J307" s="76">
        <f ca="1">EFEITO!$J$307*EFEITO!$Y$242</f>
        <v>2912.1502467938913</v>
      </c>
      <c r="K307" s="76">
        <f>EFEITO!$L$307*EFEITO!$Z$242</f>
        <v>0</v>
      </c>
      <c r="L307" s="76">
        <f>EFEITO!$N$307*EFEITO!$AA$242</f>
        <v>0</v>
      </c>
      <c r="M307" s="76">
        <f ca="1">$J$307-EFEITO!$K$307*EFEITO!$Y$307</f>
        <v>58.243004935877707</v>
      </c>
      <c r="N307" s="76">
        <f>$K$307-EFEITO!$M$307*EFEITO!$Z$307</f>
        <v>0</v>
      </c>
      <c r="O307" s="76">
        <f>$L$307-EFEITO!$O$307*EFEITO!$AA$307</f>
        <v>0</v>
      </c>
      <c r="P307" s="19"/>
      <c r="Q307" s="19"/>
      <c r="R307" s="19"/>
      <c r="S307" s="19"/>
      <c r="T307" s="19"/>
      <c r="U307" s="19"/>
      <c r="V307" s="19"/>
      <c r="W307" s="19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65" t="s">
        <v>54</v>
      </c>
      <c r="B308" s="65" t="s">
        <v>33</v>
      </c>
      <c r="C308" s="65" t="s">
        <v>34</v>
      </c>
      <c r="D308" s="65" t="s">
        <v>41</v>
      </c>
      <c r="E308" s="65" t="s">
        <v>50</v>
      </c>
      <c r="F308" s="65" t="s">
        <v>25</v>
      </c>
      <c r="G308" s="65" t="s">
        <v>25</v>
      </c>
      <c r="H308" s="65" t="s">
        <v>25</v>
      </c>
      <c r="I308" s="75">
        <v>44621</v>
      </c>
      <c r="J308" s="76">
        <f ca="1">EFEITO!$J$308*EFEITO!$Y$242</f>
        <v>1063929.8247474248</v>
      </c>
      <c r="K308" s="76">
        <f>EFEITO!$L$308*EFEITO!$Z$242</f>
        <v>0</v>
      </c>
      <c r="L308" s="76">
        <f>EFEITO!$N$308*EFEITO!$AA$242</f>
        <v>0</v>
      </c>
      <c r="M308" s="76">
        <f ca="1">$J$308-EFEITO!$K$308*EFEITO!$Y$308</f>
        <v>21278.596494948375</v>
      </c>
      <c r="N308" s="76">
        <f>$K$308-EFEITO!$M$308*EFEITO!$Z$308</f>
        <v>0</v>
      </c>
      <c r="O308" s="76">
        <f>$L$308-EFEITO!$O$308*EFEITO!$AA$308</f>
        <v>0</v>
      </c>
      <c r="P308" s="19"/>
      <c r="Q308" s="19"/>
      <c r="R308" s="19"/>
      <c r="S308" s="19"/>
      <c r="T308" s="19"/>
      <c r="U308" s="19"/>
      <c r="V308" s="19"/>
      <c r="W308" s="19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65" t="s">
        <v>54</v>
      </c>
      <c r="B309" s="65" t="s">
        <v>33</v>
      </c>
      <c r="C309" s="65" t="s">
        <v>34</v>
      </c>
      <c r="D309" s="65" t="s">
        <v>41</v>
      </c>
      <c r="E309" s="65" t="s">
        <v>50</v>
      </c>
      <c r="F309" s="65" t="s">
        <v>25</v>
      </c>
      <c r="G309" s="65" t="s">
        <v>25</v>
      </c>
      <c r="H309" s="65" t="s">
        <v>25</v>
      </c>
      <c r="I309" s="75">
        <v>44621</v>
      </c>
      <c r="J309" s="76">
        <f ca="1">EFEITO!$J$309*EFEITO!$Y$242</f>
        <v>2912.1502467938913</v>
      </c>
      <c r="K309" s="76">
        <f>EFEITO!$L$309*EFEITO!$Z$242</f>
        <v>0</v>
      </c>
      <c r="L309" s="76">
        <f>EFEITO!$N$309*EFEITO!$AA$242</f>
        <v>0</v>
      </c>
      <c r="M309" s="76">
        <f ca="1">$J$309-EFEITO!$K$309*EFEITO!$Y$309</f>
        <v>58.243004935877707</v>
      </c>
      <c r="N309" s="76">
        <f>$K$309-EFEITO!$M$309*EFEITO!$Z$309</f>
        <v>0</v>
      </c>
      <c r="O309" s="76">
        <f>$L$309-EFEITO!$O$309*EFEITO!$AA$309</f>
        <v>0</v>
      </c>
      <c r="P309" s="19"/>
      <c r="Q309" s="19"/>
      <c r="R309" s="19"/>
      <c r="S309" s="19"/>
      <c r="T309" s="19"/>
      <c r="U309" s="19"/>
      <c r="V309" s="19"/>
      <c r="W309" s="19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65" t="s">
        <v>21</v>
      </c>
      <c r="B310" s="65" t="s">
        <v>33</v>
      </c>
      <c r="C310" s="65" t="s">
        <v>34</v>
      </c>
      <c r="D310" s="65" t="s">
        <v>41</v>
      </c>
      <c r="E310" s="65" t="s">
        <v>50</v>
      </c>
      <c r="F310" s="65" t="s">
        <v>25</v>
      </c>
      <c r="G310" s="65" t="s">
        <v>25</v>
      </c>
      <c r="H310" s="65" t="s">
        <v>35</v>
      </c>
      <c r="I310" s="75">
        <v>44287</v>
      </c>
      <c r="J310" s="76">
        <f>EFEITO!$J$310*EFEITO!$Y$254</f>
        <v>0</v>
      </c>
      <c r="K310" s="76">
        <f ca="1">EFEITO!$L$310*EFEITO!$Z$254</f>
        <v>120437.9448167356</v>
      </c>
      <c r="L310" s="76">
        <f>EFEITO!$N$310*EFEITO!$AA$254</f>
        <v>11042.298086324849</v>
      </c>
      <c r="M310" s="76">
        <f>$J$310-EFEITO!$K$310*EFEITO!$Y$310</f>
        <v>0</v>
      </c>
      <c r="N310" s="76">
        <f ca="1">$K$310-EFEITO!$M$310*EFEITO!$Z$310</f>
        <v>2408.758896334708</v>
      </c>
      <c r="O310" s="76">
        <f>$L$310-EFEITO!$O$310*EFEITO!$AA$310</f>
        <v>220.84596172649617</v>
      </c>
      <c r="P310" s="19"/>
      <c r="Q310" s="19"/>
      <c r="R310" s="19"/>
      <c r="S310" s="19"/>
      <c r="T310" s="19"/>
      <c r="U310" s="19"/>
      <c r="V310" s="19"/>
      <c r="W310" s="19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65" t="s">
        <v>21</v>
      </c>
      <c r="B311" s="65" t="s">
        <v>33</v>
      </c>
      <c r="C311" s="65" t="s">
        <v>34</v>
      </c>
      <c r="D311" s="65" t="s">
        <v>41</v>
      </c>
      <c r="E311" s="65" t="s">
        <v>50</v>
      </c>
      <c r="F311" s="65" t="s">
        <v>25</v>
      </c>
      <c r="G311" s="65" t="s">
        <v>25</v>
      </c>
      <c r="H311" s="65" t="s">
        <v>35</v>
      </c>
      <c r="I311" s="75">
        <v>44317</v>
      </c>
      <c r="J311" s="76">
        <f>EFEITO!$J$311*EFEITO!$Y$254</f>
        <v>0</v>
      </c>
      <c r="K311" s="76">
        <f ca="1">EFEITO!$L$311*EFEITO!$Z$254</f>
        <v>95590.304809214998</v>
      </c>
      <c r="L311" s="76">
        <f>EFEITO!$N$311*EFEITO!$AA$254</f>
        <v>8764.1535354340449</v>
      </c>
      <c r="M311" s="76">
        <f>$J$311-EFEITO!$K$311*EFEITO!$Y$311</f>
        <v>0</v>
      </c>
      <c r="N311" s="76">
        <f ca="1">$K$311-EFEITO!$M$311*EFEITO!$Z$311</f>
        <v>1911.8060961843003</v>
      </c>
      <c r="O311" s="76">
        <f>$L$311-EFEITO!$O$311*EFEITO!$AA$311</f>
        <v>175.28307070867959</v>
      </c>
      <c r="P311" s="19"/>
      <c r="Q311" s="19"/>
      <c r="R311" s="19"/>
      <c r="S311" s="19"/>
      <c r="T311" s="19"/>
      <c r="U311" s="19"/>
      <c r="V311" s="19"/>
      <c r="W311" s="19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65" t="s">
        <v>21</v>
      </c>
      <c r="B312" s="65" t="s">
        <v>33</v>
      </c>
      <c r="C312" s="65" t="s">
        <v>34</v>
      </c>
      <c r="D312" s="65" t="s">
        <v>41</v>
      </c>
      <c r="E312" s="65" t="s">
        <v>50</v>
      </c>
      <c r="F312" s="65" t="s">
        <v>25</v>
      </c>
      <c r="G312" s="65" t="s">
        <v>25</v>
      </c>
      <c r="H312" s="65" t="s">
        <v>35</v>
      </c>
      <c r="I312" s="75">
        <v>44348</v>
      </c>
      <c r="J312" s="76">
        <f>EFEITO!$J$312*EFEITO!$Y$254</f>
        <v>0</v>
      </c>
      <c r="K312" s="76">
        <f ca="1">EFEITO!$L$312*EFEITO!$Z$254</f>
        <v>44667.834319977352</v>
      </c>
      <c r="L312" s="76">
        <f>EFEITO!$N$312*EFEITO!$AA$254</f>
        <v>4095.3500342628163</v>
      </c>
      <c r="M312" s="76">
        <f>$J$312-EFEITO!$K$312*EFEITO!$Y$312</f>
        <v>0</v>
      </c>
      <c r="N312" s="76">
        <f ca="1">$K$312-EFEITO!$M$312*EFEITO!$Z$312</f>
        <v>893.35668639955111</v>
      </c>
      <c r="O312" s="76">
        <f>$L$312-EFEITO!$O$312*EFEITO!$AA$312</f>
        <v>81.907000685256207</v>
      </c>
      <c r="P312" s="19"/>
      <c r="Q312" s="19"/>
      <c r="R312" s="19"/>
      <c r="S312" s="19"/>
      <c r="T312" s="19"/>
      <c r="U312" s="19"/>
      <c r="V312" s="19"/>
      <c r="W312" s="19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65" t="s">
        <v>28</v>
      </c>
      <c r="B313" s="65" t="s">
        <v>33</v>
      </c>
      <c r="C313" s="65" t="s">
        <v>34</v>
      </c>
      <c r="D313" s="65" t="s">
        <v>41</v>
      </c>
      <c r="E313" s="65" t="s">
        <v>50</v>
      </c>
      <c r="F313" s="65" t="s">
        <v>25</v>
      </c>
      <c r="G313" s="65" t="s">
        <v>25</v>
      </c>
      <c r="H313" s="65" t="s">
        <v>35</v>
      </c>
      <c r="I313" s="75">
        <v>44348</v>
      </c>
      <c r="J313" s="76">
        <f>EFEITO!$J$313*EFEITO!$Y$254</f>
        <v>0</v>
      </c>
      <c r="K313" s="76">
        <f ca="1">EFEITO!$L$313*EFEITO!$Z$254</f>
        <v>726.34484546248643</v>
      </c>
      <c r="L313" s="76">
        <f>EFEITO!$N$313*EFEITO!$AA$254</f>
        <v>66.594596157106054</v>
      </c>
      <c r="M313" s="76">
        <f>$J$313-EFEITO!$K$313*EFEITO!$Y$313</f>
        <v>0</v>
      </c>
      <c r="N313" s="76">
        <f ca="1">$K$313-EFEITO!$M$313*EFEITO!$Z$313</f>
        <v>14.526896909249785</v>
      </c>
      <c r="O313" s="76">
        <f>$L$313-EFEITO!$O$313*EFEITO!$AA$313</f>
        <v>1.3318919231421233</v>
      </c>
      <c r="P313" s="19"/>
      <c r="Q313" s="19"/>
      <c r="R313" s="19"/>
      <c r="S313" s="19"/>
      <c r="T313" s="19"/>
      <c r="U313" s="19"/>
      <c r="V313" s="19"/>
      <c r="W313" s="19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65" t="s">
        <v>21</v>
      </c>
      <c r="B314" s="65" t="s">
        <v>33</v>
      </c>
      <c r="C314" s="65" t="s">
        <v>34</v>
      </c>
      <c r="D314" s="65" t="s">
        <v>41</v>
      </c>
      <c r="E314" s="65" t="s">
        <v>50</v>
      </c>
      <c r="F314" s="65" t="s">
        <v>25</v>
      </c>
      <c r="G314" s="65" t="s">
        <v>25</v>
      </c>
      <c r="H314" s="65" t="s">
        <v>35</v>
      </c>
      <c r="I314" s="75">
        <v>44378</v>
      </c>
      <c r="J314" s="76">
        <f>EFEITO!$J$314*EFEITO!$Y$254</f>
        <v>0</v>
      </c>
      <c r="K314" s="76">
        <f ca="1">EFEITO!$L$314*EFEITO!$Z$254</f>
        <v>124717.68258264693</v>
      </c>
      <c r="L314" s="76">
        <f>EFEITO!$N$314*EFEITO!$AA$254</f>
        <v>11434.683893093681</v>
      </c>
      <c r="M314" s="76">
        <f>$J$314-EFEITO!$K$314*EFEITO!$Y$314</f>
        <v>0</v>
      </c>
      <c r="N314" s="76">
        <f ca="1">$K$314-EFEITO!$M$314*EFEITO!$Z$314</f>
        <v>2494.3536516529421</v>
      </c>
      <c r="O314" s="76">
        <f>$L$314-EFEITO!$O$314*EFEITO!$AA$314</f>
        <v>228.69367786187286</v>
      </c>
      <c r="P314" s="19"/>
      <c r="Q314" s="19"/>
      <c r="R314" s="19"/>
      <c r="S314" s="19"/>
      <c r="T314" s="19"/>
      <c r="U314" s="19"/>
      <c r="V314" s="19"/>
      <c r="W314" s="19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65" t="s">
        <v>28</v>
      </c>
      <c r="B315" s="65" t="s">
        <v>33</v>
      </c>
      <c r="C315" s="65" t="s">
        <v>34</v>
      </c>
      <c r="D315" s="65" t="s">
        <v>41</v>
      </c>
      <c r="E315" s="65" t="s">
        <v>50</v>
      </c>
      <c r="F315" s="65" t="s">
        <v>25</v>
      </c>
      <c r="G315" s="65" t="s">
        <v>25</v>
      </c>
      <c r="H315" s="65" t="s">
        <v>35</v>
      </c>
      <c r="I315" s="75">
        <v>44378</v>
      </c>
      <c r="J315" s="76">
        <f>EFEITO!$J$315*EFEITO!$Y$254</f>
        <v>0</v>
      </c>
      <c r="K315" s="76">
        <f ca="1">EFEITO!$L$315*EFEITO!$Z$254</f>
        <v>159.03628969276664</v>
      </c>
      <c r="L315" s="76">
        <f>EFEITO!$N$315*EFEITO!$AA$254</f>
        <v>14.58116974681734</v>
      </c>
      <c r="M315" s="76">
        <f>$J$315-EFEITO!$K$315*EFEITO!$Y$315</f>
        <v>0</v>
      </c>
      <c r="N315" s="76">
        <f ca="1">$K$315-EFEITO!$M$315*EFEITO!$Z$315</f>
        <v>3.1807257938553448</v>
      </c>
      <c r="O315" s="76">
        <f>$L$315-EFEITO!$O$315*EFEITO!$AA$315</f>
        <v>0.29162339493634626</v>
      </c>
      <c r="P315" s="19"/>
      <c r="Q315" s="19"/>
      <c r="R315" s="19"/>
      <c r="S315" s="19"/>
      <c r="T315" s="19"/>
      <c r="U315" s="19"/>
      <c r="V315" s="19"/>
      <c r="W315" s="19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65" t="s">
        <v>21</v>
      </c>
      <c r="B316" s="65" t="s">
        <v>33</v>
      </c>
      <c r="C316" s="65" t="s">
        <v>34</v>
      </c>
      <c r="D316" s="65" t="s">
        <v>41</v>
      </c>
      <c r="E316" s="65" t="s">
        <v>50</v>
      </c>
      <c r="F316" s="65" t="s">
        <v>25</v>
      </c>
      <c r="G316" s="65" t="s">
        <v>25</v>
      </c>
      <c r="H316" s="65" t="s">
        <v>35</v>
      </c>
      <c r="I316" s="75">
        <v>44409</v>
      </c>
      <c r="J316" s="76">
        <f>EFEITO!$J$316*EFEITO!$Y$254</f>
        <v>0</v>
      </c>
      <c r="K316" s="76">
        <f ca="1">EFEITO!$L$316*EFEITO!$Z$254</f>
        <v>116485.77433407208</v>
      </c>
      <c r="L316" s="76">
        <f>EFEITO!$N$316*EFEITO!$AA$254</f>
        <v>10679.945136646478</v>
      </c>
      <c r="M316" s="76">
        <f>$J$316-EFEITO!$K$316*EFEITO!$Y$316</f>
        <v>0</v>
      </c>
      <c r="N316" s="76">
        <f ca="1">$K$316-EFEITO!$M$316*EFEITO!$Z$316</f>
        <v>2329.7154866814526</v>
      </c>
      <c r="O316" s="76">
        <f>$L$316-EFEITO!$O$316*EFEITO!$AA$316</f>
        <v>213.59890273292876</v>
      </c>
      <c r="P316" s="19"/>
      <c r="Q316" s="19"/>
      <c r="R316" s="19"/>
      <c r="S316" s="19"/>
      <c r="T316" s="19"/>
      <c r="U316" s="19"/>
      <c r="V316" s="19"/>
      <c r="W316" s="19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65" t="s">
        <v>21</v>
      </c>
      <c r="B317" s="65" t="s">
        <v>33</v>
      </c>
      <c r="C317" s="65" t="s">
        <v>34</v>
      </c>
      <c r="D317" s="65" t="s">
        <v>41</v>
      </c>
      <c r="E317" s="65" t="s">
        <v>50</v>
      </c>
      <c r="F317" s="65" t="s">
        <v>25</v>
      </c>
      <c r="G317" s="65" t="s">
        <v>25</v>
      </c>
      <c r="H317" s="65" t="s">
        <v>35</v>
      </c>
      <c r="I317" s="75">
        <v>44440</v>
      </c>
      <c r="J317" s="76">
        <f>EFEITO!$J$317*EFEITO!$Y$254</f>
        <v>0</v>
      </c>
      <c r="K317" s="76">
        <f ca="1">EFEITO!$L$317*EFEITO!$Z$254</f>
        <v>132382.28227545205</v>
      </c>
      <c r="L317" s="76">
        <f>EFEITO!$N$317*EFEITO!$AA$254</f>
        <v>12137.409223130593</v>
      </c>
      <c r="M317" s="76">
        <f>$J$317-EFEITO!$K$317*EFEITO!$Y$317</f>
        <v>0</v>
      </c>
      <c r="N317" s="76">
        <f ca="1">$K$317-EFEITO!$M$317*EFEITO!$Z$317</f>
        <v>2647.6456455090374</v>
      </c>
      <c r="O317" s="76">
        <f>$L$317-EFEITO!$O$317*EFEITO!$AA$317</f>
        <v>242.74818446261088</v>
      </c>
      <c r="P317" s="19"/>
      <c r="Q317" s="19"/>
      <c r="R317" s="19"/>
      <c r="S317" s="19"/>
      <c r="T317" s="19"/>
      <c r="U317" s="19"/>
      <c r="V317" s="19"/>
      <c r="W317" s="19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65" t="s">
        <v>21</v>
      </c>
      <c r="B318" s="65" t="s">
        <v>33</v>
      </c>
      <c r="C318" s="65" t="s">
        <v>34</v>
      </c>
      <c r="D318" s="65" t="s">
        <v>41</v>
      </c>
      <c r="E318" s="65" t="s">
        <v>50</v>
      </c>
      <c r="F318" s="65" t="s">
        <v>25</v>
      </c>
      <c r="G318" s="65" t="s">
        <v>25</v>
      </c>
      <c r="H318" s="65" t="s">
        <v>35</v>
      </c>
      <c r="I318" s="75">
        <v>44470</v>
      </c>
      <c r="J318" s="76">
        <f>EFEITO!$J$318*EFEITO!$Y$254</f>
        <v>0</v>
      </c>
      <c r="K318" s="76">
        <f ca="1">EFEITO!$L$318*EFEITO!$Z$254</f>
        <v>104823.90431525772</v>
      </c>
      <c r="L318" s="76">
        <f>EFEITO!$N$318*EFEITO!$AA$254</f>
        <v>9610.7318983462756</v>
      </c>
      <c r="M318" s="76">
        <f>$J$318-EFEITO!$K$318*EFEITO!$Y$318</f>
        <v>0</v>
      </c>
      <c r="N318" s="76">
        <f ca="1">$K$318-EFEITO!$M$318*EFEITO!$Z$318</f>
        <v>2096.4780863051565</v>
      </c>
      <c r="O318" s="76">
        <f>$L$318-EFEITO!$O$318*EFEITO!$AA$318</f>
        <v>192.21463796692478</v>
      </c>
      <c r="P318" s="19"/>
      <c r="Q318" s="19"/>
      <c r="R318" s="19"/>
      <c r="S318" s="19"/>
      <c r="T318" s="19"/>
      <c r="U318" s="19"/>
      <c r="V318" s="19"/>
      <c r="W318" s="19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65" t="s">
        <v>21</v>
      </c>
      <c r="B319" s="65" t="s">
        <v>33</v>
      </c>
      <c r="C319" s="65" t="s">
        <v>34</v>
      </c>
      <c r="D319" s="65" t="s">
        <v>41</v>
      </c>
      <c r="E319" s="65" t="s">
        <v>50</v>
      </c>
      <c r="F319" s="65" t="s">
        <v>25</v>
      </c>
      <c r="G319" s="65" t="s">
        <v>25</v>
      </c>
      <c r="H319" s="65" t="s">
        <v>35</v>
      </c>
      <c r="I319" s="75">
        <v>44501</v>
      </c>
      <c r="J319" s="76">
        <f>EFEITO!$J$319*EFEITO!$Y$254</f>
        <v>0</v>
      </c>
      <c r="K319" s="76">
        <f ca="1">EFEITO!$L$319*EFEITO!$Z$254</f>
        <v>176845.98046239093</v>
      </c>
      <c r="L319" s="76">
        <f>EFEITO!$N$319*EFEITO!$AA$254</f>
        <v>16214.043129061674</v>
      </c>
      <c r="M319" s="76">
        <f>$J$319-EFEITO!$K$319*EFEITO!$Y$319</f>
        <v>0</v>
      </c>
      <c r="N319" s="76">
        <f ca="1">$K$319-EFEITO!$M$319*EFEITO!$Z$319</f>
        <v>3536.9196092478232</v>
      </c>
      <c r="O319" s="76">
        <f>$L$319-EFEITO!$O$319*EFEITO!$AA$319</f>
        <v>324.28086258123403</v>
      </c>
      <c r="P319" s="19"/>
      <c r="Q319" s="19"/>
      <c r="R319" s="19"/>
      <c r="S319" s="19"/>
      <c r="T319" s="19"/>
      <c r="U319" s="19"/>
      <c r="V319" s="19"/>
      <c r="W319" s="19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65" t="s">
        <v>28</v>
      </c>
      <c r="B320" s="65" t="s">
        <v>33</v>
      </c>
      <c r="C320" s="65" t="s">
        <v>34</v>
      </c>
      <c r="D320" s="65" t="s">
        <v>41</v>
      </c>
      <c r="E320" s="65" t="s">
        <v>50</v>
      </c>
      <c r="F320" s="65" t="s">
        <v>25</v>
      </c>
      <c r="G320" s="65" t="s">
        <v>25</v>
      </c>
      <c r="H320" s="65" t="s">
        <v>35</v>
      </c>
      <c r="I320" s="75">
        <v>44501</v>
      </c>
      <c r="J320" s="76">
        <f>EFEITO!$J$320*EFEITO!$Y$254</f>
        <v>0</v>
      </c>
      <c r="K320" s="76">
        <f ca="1">EFEITO!$L$320*EFEITO!$Z$254</f>
        <v>178.02569741727606</v>
      </c>
      <c r="L320" s="76">
        <f>EFEITO!$N$320*EFEITO!$AA$254</f>
        <v>16.32220494046717</v>
      </c>
      <c r="M320" s="76">
        <f>$J$320-EFEITO!$K$320*EFEITO!$Y$320</f>
        <v>0</v>
      </c>
      <c r="N320" s="76">
        <f ca="1">$K$320-EFEITO!$M$320*EFEITO!$Z$320</f>
        <v>3.5605139483455162</v>
      </c>
      <c r="O320" s="76">
        <f>$L$320-EFEITO!$O$320*EFEITO!$AA$320</f>
        <v>0.32644409880934333</v>
      </c>
      <c r="P320" s="19"/>
      <c r="Q320" s="19"/>
      <c r="R320" s="19"/>
      <c r="S320" s="19"/>
      <c r="T320" s="19"/>
      <c r="U320" s="19"/>
      <c r="V320" s="19"/>
      <c r="W320" s="19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65" t="s">
        <v>21</v>
      </c>
      <c r="B321" s="65" t="s">
        <v>33</v>
      </c>
      <c r="C321" s="65" t="s">
        <v>34</v>
      </c>
      <c r="D321" s="65" t="s">
        <v>41</v>
      </c>
      <c r="E321" s="65" t="s">
        <v>50</v>
      </c>
      <c r="F321" s="65" t="s">
        <v>25</v>
      </c>
      <c r="G321" s="65" t="s">
        <v>25</v>
      </c>
      <c r="H321" s="65" t="s">
        <v>35</v>
      </c>
      <c r="I321" s="75">
        <v>44531</v>
      </c>
      <c r="J321" s="76">
        <f>EFEITO!$J$321*EFEITO!$Y$254</f>
        <v>0</v>
      </c>
      <c r="K321" s="76">
        <f ca="1">EFEITO!$L$321*EFEITO!$Z$254</f>
        <v>177232.88964477781</v>
      </c>
      <c r="L321" s="76">
        <f>EFEITO!$N$321*EFEITO!$AA$254</f>
        <v>16249.516721132288</v>
      </c>
      <c r="M321" s="76">
        <f>$J$321-EFEITO!$K$321*EFEITO!$Y$321</f>
        <v>0</v>
      </c>
      <c r="N321" s="76">
        <f ca="1">$K$321-EFEITO!$M$321*EFEITO!$Z$321</f>
        <v>3544.6577928955667</v>
      </c>
      <c r="O321" s="76">
        <f>$L$321-EFEITO!$O$321*EFEITO!$AA$321</f>
        <v>324.99033442264408</v>
      </c>
      <c r="P321" s="19"/>
      <c r="Q321" s="19"/>
      <c r="R321" s="19"/>
      <c r="S321" s="19"/>
      <c r="T321" s="19"/>
      <c r="U321" s="19"/>
      <c r="V321" s="19"/>
      <c r="W321" s="19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65" t="s">
        <v>27</v>
      </c>
      <c r="B322" s="65" t="s">
        <v>33</v>
      </c>
      <c r="C322" s="65" t="s">
        <v>34</v>
      </c>
      <c r="D322" s="65" t="s">
        <v>41</v>
      </c>
      <c r="E322" s="65" t="s">
        <v>50</v>
      </c>
      <c r="F322" s="65" t="s">
        <v>25</v>
      </c>
      <c r="G322" s="65" t="s">
        <v>25</v>
      </c>
      <c r="H322" s="65" t="s">
        <v>35</v>
      </c>
      <c r="I322" s="75">
        <v>44531</v>
      </c>
      <c r="J322" s="76">
        <f>EFEITO!$J$322*EFEITO!$Y$254</f>
        <v>0</v>
      </c>
      <c r="K322" s="76">
        <f ca="1">EFEITO!$L$322*EFEITO!$Z$254</f>
        <v>-3952.1704826635291</v>
      </c>
      <c r="L322" s="76">
        <f>EFEITO!$N$322*EFEITO!$AA$254</f>
        <v>-362.35294967837115</v>
      </c>
      <c r="M322" s="76">
        <f>$J$322-EFEITO!$K$322*EFEITO!$Y$322</f>
        <v>0</v>
      </c>
      <c r="N322" s="76">
        <f ca="1">$K$322-EFEITO!$M$322*EFEITO!$Z$322</f>
        <v>-79.043409653270828</v>
      </c>
      <c r="O322" s="76">
        <f>$L$322-EFEITO!$O$322*EFEITO!$AA$322</f>
        <v>-7.247058993567407</v>
      </c>
      <c r="P322" s="19"/>
      <c r="Q322" s="19"/>
      <c r="R322" s="19"/>
      <c r="S322" s="19"/>
      <c r="T322" s="19"/>
      <c r="U322" s="19"/>
      <c r="V322" s="19"/>
      <c r="W322" s="19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65" t="s">
        <v>28</v>
      </c>
      <c r="B323" s="65" t="s">
        <v>33</v>
      </c>
      <c r="C323" s="65" t="s">
        <v>34</v>
      </c>
      <c r="D323" s="65" t="s">
        <v>41</v>
      </c>
      <c r="E323" s="65" t="s">
        <v>50</v>
      </c>
      <c r="F323" s="65" t="s">
        <v>25</v>
      </c>
      <c r="G323" s="65" t="s">
        <v>25</v>
      </c>
      <c r="H323" s="65" t="s">
        <v>35</v>
      </c>
      <c r="I323" s="75">
        <v>44531</v>
      </c>
      <c r="J323" s="76">
        <f>EFEITO!$J$323*EFEITO!$Y$254</f>
        <v>0</v>
      </c>
      <c r="K323" s="76">
        <f ca="1">EFEITO!$L$323*EFEITO!$Z$254</f>
        <v>54.594547207964666</v>
      </c>
      <c r="L323" s="76">
        <f>EFEITO!$N$323*EFEITO!$AA$254</f>
        <v>5.0054761817432656</v>
      </c>
      <c r="M323" s="76">
        <f>$J$323-EFEITO!$K$323*EFEITO!$Y$323</f>
        <v>0</v>
      </c>
      <c r="N323" s="76">
        <f ca="1">$K$323-EFEITO!$M$323*EFEITO!$Z$323</f>
        <v>1.0918909441592959</v>
      </c>
      <c r="O323" s="76">
        <f>$L$323-EFEITO!$O$323*EFEITO!$AA$323</f>
        <v>0.10010952363486503</v>
      </c>
      <c r="P323" s="19"/>
      <c r="Q323" s="19"/>
      <c r="R323" s="19"/>
      <c r="S323" s="19"/>
      <c r="T323" s="19"/>
      <c r="U323" s="19"/>
      <c r="V323" s="19"/>
      <c r="W323" s="19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65" t="s">
        <v>21</v>
      </c>
      <c r="B324" s="65" t="s">
        <v>33</v>
      </c>
      <c r="C324" s="65" t="s">
        <v>34</v>
      </c>
      <c r="D324" s="65" t="s">
        <v>41</v>
      </c>
      <c r="E324" s="65" t="s">
        <v>50</v>
      </c>
      <c r="F324" s="65" t="s">
        <v>25</v>
      </c>
      <c r="G324" s="65" t="s">
        <v>25</v>
      </c>
      <c r="H324" s="65" t="s">
        <v>35</v>
      </c>
      <c r="I324" s="75">
        <v>44562</v>
      </c>
      <c r="J324" s="76">
        <f>EFEITO!$J$324*EFEITO!$Y$254</f>
        <v>0</v>
      </c>
      <c r="K324" s="76">
        <f ca="1">EFEITO!$L$324*EFEITO!$Z$254</f>
        <v>101920.89860937334</v>
      </c>
      <c r="L324" s="76">
        <f>EFEITO!$N$324*EFEITO!$AA$254</f>
        <v>9344.5711431170585</v>
      </c>
      <c r="M324" s="76">
        <f>$J$324-EFEITO!$K$324*EFEITO!$Y$324</f>
        <v>0</v>
      </c>
      <c r="N324" s="76">
        <f ca="1">$K$324-EFEITO!$M$324*EFEITO!$Z$324</f>
        <v>2038.417972187468</v>
      </c>
      <c r="O324" s="76">
        <f>$L$324-EFEITO!$O$324*EFEITO!$AA$324</f>
        <v>186.89142286234164</v>
      </c>
      <c r="P324" s="19"/>
      <c r="Q324" s="19"/>
      <c r="R324" s="19"/>
      <c r="S324" s="19"/>
      <c r="T324" s="19"/>
      <c r="U324" s="19"/>
      <c r="V324" s="19"/>
      <c r="W324" s="19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65" t="s">
        <v>21</v>
      </c>
      <c r="B325" s="65" t="s">
        <v>33</v>
      </c>
      <c r="C325" s="65" t="s">
        <v>34</v>
      </c>
      <c r="D325" s="65" t="s">
        <v>41</v>
      </c>
      <c r="E325" s="65" t="s">
        <v>50</v>
      </c>
      <c r="F325" s="65" t="s">
        <v>25</v>
      </c>
      <c r="G325" s="65" t="s">
        <v>25</v>
      </c>
      <c r="H325" s="65" t="s">
        <v>35</v>
      </c>
      <c r="I325" s="75">
        <v>44593</v>
      </c>
      <c r="J325" s="76">
        <f>EFEITO!$J$325*EFEITO!$Y$254</f>
        <v>0</v>
      </c>
      <c r="K325" s="76">
        <f ca="1">EFEITO!$L$325*EFEITO!$Z$254</f>
        <v>170783.6120463413</v>
      </c>
      <c r="L325" s="76">
        <f>EFEITO!$N$325*EFEITO!$AA$254</f>
        <v>15658.217643488964</v>
      </c>
      <c r="M325" s="76">
        <f>$J$325-EFEITO!$K$325*EFEITO!$Y$325</f>
        <v>0</v>
      </c>
      <c r="N325" s="76">
        <f ca="1">$K$325-EFEITO!$M$325*EFEITO!$Z$325</f>
        <v>3415.672240926855</v>
      </c>
      <c r="O325" s="76">
        <f>$L$325-EFEITO!$O$325*EFEITO!$AA$325</f>
        <v>313.16435286977867</v>
      </c>
      <c r="P325" s="19"/>
      <c r="Q325" s="19"/>
      <c r="R325" s="19"/>
      <c r="S325" s="19"/>
      <c r="T325" s="19"/>
      <c r="U325" s="19"/>
      <c r="V325" s="19"/>
      <c r="W325" s="19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65" t="s">
        <v>28</v>
      </c>
      <c r="B326" s="65" t="s">
        <v>33</v>
      </c>
      <c r="C326" s="65" t="s">
        <v>34</v>
      </c>
      <c r="D326" s="65" t="s">
        <v>41</v>
      </c>
      <c r="E326" s="65" t="s">
        <v>50</v>
      </c>
      <c r="F326" s="65" t="s">
        <v>25</v>
      </c>
      <c r="G326" s="65" t="s">
        <v>25</v>
      </c>
      <c r="H326" s="65" t="s">
        <v>35</v>
      </c>
      <c r="I326" s="75">
        <v>44593</v>
      </c>
      <c r="J326" s="76">
        <f>EFEITO!$J$326*EFEITO!$Y$254</f>
        <v>0</v>
      </c>
      <c r="K326" s="76">
        <f ca="1">EFEITO!$L$326*EFEITO!$Z$254</f>
        <v>28.484111586764172</v>
      </c>
      <c r="L326" s="76">
        <f>EFEITO!$N$326*EFEITO!$AA$254</f>
        <v>2.6115527904747471</v>
      </c>
      <c r="M326" s="76">
        <f>$J$326-EFEITO!$K$326*EFEITO!$Y$326</f>
        <v>0</v>
      </c>
      <c r="N326" s="76">
        <f ca="1">$K$326-EFEITO!$M$326*EFEITO!$Z$326</f>
        <v>0.56968223173528543</v>
      </c>
      <c r="O326" s="76">
        <f>$L$326-EFEITO!$O$326*EFEITO!$AA$326</f>
        <v>5.223105580949472E-2</v>
      </c>
      <c r="P326" s="19"/>
      <c r="Q326" s="19"/>
      <c r="R326" s="19"/>
      <c r="S326" s="19"/>
      <c r="T326" s="19"/>
      <c r="U326" s="19"/>
      <c r="V326" s="19"/>
      <c r="W326" s="19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65" t="s">
        <v>54</v>
      </c>
      <c r="B327" s="65" t="s">
        <v>33</v>
      </c>
      <c r="C327" s="65" t="s">
        <v>34</v>
      </c>
      <c r="D327" s="65" t="s">
        <v>41</v>
      </c>
      <c r="E327" s="65" t="s">
        <v>50</v>
      </c>
      <c r="F327" s="65" t="s">
        <v>25</v>
      </c>
      <c r="G327" s="65" t="s">
        <v>25</v>
      </c>
      <c r="H327" s="65" t="s">
        <v>35</v>
      </c>
      <c r="I327" s="75">
        <v>44621</v>
      </c>
      <c r="J327" s="76">
        <f>EFEITO!$J$327*EFEITO!$Y$254</f>
        <v>0</v>
      </c>
      <c r="K327" s="76">
        <f ca="1">EFEITO!$L$327*EFEITO!$Z$254</f>
        <v>170783.6120463413</v>
      </c>
      <c r="L327" s="76">
        <f>EFEITO!$N$327*EFEITO!$AA$254</f>
        <v>15658.217643488964</v>
      </c>
      <c r="M327" s="76">
        <f>$J$327-EFEITO!$K$327*EFEITO!$Y$327</f>
        <v>0</v>
      </c>
      <c r="N327" s="76">
        <f ca="1">$K$327-EFEITO!$M$327*EFEITO!$Z$327</f>
        <v>3415.672240926855</v>
      </c>
      <c r="O327" s="76">
        <f>$L$327-EFEITO!$O$327*EFEITO!$AA$327</f>
        <v>313.16435286977867</v>
      </c>
      <c r="P327" s="19"/>
      <c r="Q327" s="19"/>
      <c r="R327" s="19"/>
      <c r="S327" s="19"/>
      <c r="T327" s="19"/>
      <c r="U327" s="19"/>
      <c r="V327" s="19"/>
      <c r="W327" s="19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65" t="s">
        <v>54</v>
      </c>
      <c r="B328" s="65" t="s">
        <v>33</v>
      </c>
      <c r="C328" s="65" t="s">
        <v>34</v>
      </c>
      <c r="D328" s="65" t="s">
        <v>41</v>
      </c>
      <c r="E328" s="65" t="s">
        <v>50</v>
      </c>
      <c r="F328" s="65" t="s">
        <v>25</v>
      </c>
      <c r="G328" s="65" t="s">
        <v>25</v>
      </c>
      <c r="H328" s="65" t="s">
        <v>35</v>
      </c>
      <c r="I328" s="75">
        <v>44621</v>
      </c>
      <c r="J328" s="76">
        <f>EFEITO!$J$328*EFEITO!$Y$254</f>
        <v>0</v>
      </c>
      <c r="K328" s="76">
        <f ca="1">EFEITO!$L$328*EFEITO!$Z$254</f>
        <v>28.484111586764172</v>
      </c>
      <c r="L328" s="76">
        <f>EFEITO!$N$328*EFEITO!$AA$254</f>
        <v>2.6115527904747471</v>
      </c>
      <c r="M328" s="76">
        <f>$J$328-EFEITO!$K$328*EFEITO!$Y$328</f>
        <v>0</v>
      </c>
      <c r="N328" s="76">
        <f ca="1">$K$328-EFEITO!$M$328*EFEITO!$Z$328</f>
        <v>0.56968223173528543</v>
      </c>
      <c r="O328" s="76">
        <f>$L$328-EFEITO!$O$328*EFEITO!$AA$328</f>
        <v>5.223105580949472E-2</v>
      </c>
      <c r="P328" s="19"/>
      <c r="Q328" s="19"/>
      <c r="R328" s="19"/>
      <c r="S328" s="19"/>
      <c r="T328" s="19"/>
      <c r="U328" s="19"/>
      <c r="V328" s="19"/>
      <c r="W328" s="19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65" t="s">
        <v>21</v>
      </c>
      <c r="B329" s="65" t="s">
        <v>33</v>
      </c>
      <c r="C329" s="65" t="s">
        <v>34</v>
      </c>
      <c r="D329" s="65" t="s">
        <v>41</v>
      </c>
      <c r="E329" s="65" t="s">
        <v>25</v>
      </c>
      <c r="F329" s="65" t="s">
        <v>25</v>
      </c>
      <c r="G329" s="65" t="s">
        <v>25</v>
      </c>
      <c r="H329" s="65" t="s">
        <v>36</v>
      </c>
      <c r="I329" s="75">
        <v>44287</v>
      </c>
      <c r="J329" s="76">
        <f>EFEITO!$J$329*EFEITO!$Y$230</f>
        <v>0</v>
      </c>
      <c r="K329" s="76">
        <f ca="1">EFEITO!$L$329*EFEITO!$Z$230</f>
        <v>19432.508071436456</v>
      </c>
      <c r="L329" s="76">
        <f>EFEITO!$N$329*EFEITO!$AA$230</f>
        <v>40937.831025885309</v>
      </c>
      <c r="M329" s="76">
        <f>$J$329-EFEITO!$K$329*EFEITO!$Y$329</f>
        <v>0</v>
      </c>
      <c r="N329" s="76">
        <f ca="1">$K$329-EFEITO!$M$329*EFEITO!$Z$329</f>
        <v>388.65016142872992</v>
      </c>
      <c r="O329" s="76">
        <f>$L$329-EFEITO!$O$329*EFEITO!$AA$329</f>
        <v>818.75662051769905</v>
      </c>
      <c r="P329" s="19"/>
      <c r="Q329" s="19"/>
      <c r="R329" s="19"/>
      <c r="S329" s="19"/>
      <c r="T329" s="19"/>
      <c r="U329" s="19"/>
      <c r="V329" s="19"/>
      <c r="W329" s="19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65" t="s">
        <v>21</v>
      </c>
      <c r="B330" s="65" t="s">
        <v>33</v>
      </c>
      <c r="C330" s="65" t="s">
        <v>34</v>
      </c>
      <c r="D330" s="65" t="s">
        <v>41</v>
      </c>
      <c r="E330" s="65" t="s">
        <v>25</v>
      </c>
      <c r="F330" s="65" t="s">
        <v>25</v>
      </c>
      <c r="G330" s="65" t="s">
        <v>25</v>
      </c>
      <c r="H330" s="65" t="s">
        <v>36</v>
      </c>
      <c r="I330" s="75">
        <v>44317</v>
      </c>
      <c r="J330" s="76">
        <f>EFEITO!$J$330*EFEITO!$Y$230</f>
        <v>0</v>
      </c>
      <c r="K330" s="76">
        <f ca="1">EFEITO!$L$330*EFEITO!$Z$230</f>
        <v>15162.703365583373</v>
      </c>
      <c r="L330" s="76">
        <f>EFEITO!$N$330*EFEITO!$AA$230</f>
        <v>31942.772697893459</v>
      </c>
      <c r="M330" s="76">
        <f>$J$330-EFEITO!$K$330*EFEITO!$Y$330</f>
        <v>0</v>
      </c>
      <c r="N330" s="76">
        <f ca="1">$K$330-EFEITO!$M$330*EFEITO!$Z$330</f>
        <v>303.25406731166731</v>
      </c>
      <c r="O330" s="76">
        <f>$L$330-EFEITO!$O$330*EFEITO!$AA$330</f>
        <v>638.85545395786903</v>
      </c>
      <c r="P330" s="19"/>
      <c r="Q330" s="19"/>
      <c r="R330" s="19"/>
      <c r="S330" s="19"/>
      <c r="T330" s="19"/>
      <c r="U330" s="19"/>
      <c r="V330" s="19"/>
      <c r="W330" s="19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65" t="s">
        <v>21</v>
      </c>
      <c r="B331" s="65" t="s">
        <v>33</v>
      </c>
      <c r="C331" s="65" t="s">
        <v>34</v>
      </c>
      <c r="D331" s="65" t="s">
        <v>41</v>
      </c>
      <c r="E331" s="65" t="s">
        <v>25</v>
      </c>
      <c r="F331" s="65" t="s">
        <v>25</v>
      </c>
      <c r="G331" s="65" t="s">
        <v>25</v>
      </c>
      <c r="H331" s="65" t="s">
        <v>36</v>
      </c>
      <c r="I331" s="75">
        <v>44348</v>
      </c>
      <c r="J331" s="76">
        <f>EFEITO!$J$331*EFEITO!$Y$230</f>
        <v>0</v>
      </c>
      <c r="K331" s="76">
        <f ca="1">EFEITO!$L$331*EFEITO!$Z$230</f>
        <v>13783.374215468441</v>
      </c>
      <c r="L331" s="76">
        <f>EFEITO!$N$331*EFEITO!$AA$230</f>
        <v>29036.98495969189</v>
      </c>
      <c r="M331" s="76">
        <f>$J$331-EFEITO!$K$331*EFEITO!$Y$331</f>
        <v>0</v>
      </c>
      <c r="N331" s="76">
        <f ca="1">$K$331-EFEITO!$M$331*EFEITO!$Z$331</f>
        <v>275.66748430936786</v>
      </c>
      <c r="O331" s="76">
        <f>$L$331-EFEITO!$O$331*EFEITO!$AA$331</f>
        <v>580.73969919383671</v>
      </c>
      <c r="P331" s="19"/>
      <c r="Q331" s="19"/>
      <c r="R331" s="19"/>
      <c r="S331" s="19"/>
      <c r="T331" s="19"/>
      <c r="U331" s="19"/>
      <c r="V331" s="19"/>
      <c r="W331" s="19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65" t="s">
        <v>21</v>
      </c>
      <c r="B332" s="65" t="s">
        <v>33</v>
      </c>
      <c r="C332" s="65" t="s">
        <v>34</v>
      </c>
      <c r="D332" s="65" t="s">
        <v>41</v>
      </c>
      <c r="E332" s="65" t="s">
        <v>25</v>
      </c>
      <c r="F332" s="65" t="s">
        <v>25</v>
      </c>
      <c r="G332" s="65" t="s">
        <v>25</v>
      </c>
      <c r="H332" s="65" t="s">
        <v>36</v>
      </c>
      <c r="I332" s="75">
        <v>44378</v>
      </c>
      <c r="J332" s="76">
        <f>EFEITO!$J$332*EFEITO!$Y$230</f>
        <v>0</v>
      </c>
      <c r="K332" s="76">
        <f ca="1">EFEITO!$L$332*EFEITO!$Z$230</f>
        <v>16795.543130915652</v>
      </c>
      <c r="L332" s="76">
        <f>EFEITO!$N$332*EFEITO!$AA$230</f>
        <v>35382.62298174711</v>
      </c>
      <c r="M332" s="76">
        <f>$J$332-EFEITO!$K$332*EFEITO!$Y$332</f>
        <v>0</v>
      </c>
      <c r="N332" s="76">
        <f ca="1">$K$332-EFEITO!$M$332*EFEITO!$Z$332</f>
        <v>335.91086261831151</v>
      </c>
      <c r="O332" s="76">
        <f>$L$332-EFEITO!$O$332*EFEITO!$AA$332</f>
        <v>707.6524596349409</v>
      </c>
      <c r="P332" s="19"/>
      <c r="Q332" s="19"/>
      <c r="R332" s="19"/>
      <c r="S332" s="19"/>
      <c r="T332" s="19"/>
      <c r="U332" s="19"/>
      <c r="V332" s="19"/>
      <c r="W332" s="19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65" t="s">
        <v>21</v>
      </c>
      <c r="B333" s="65" t="s">
        <v>33</v>
      </c>
      <c r="C333" s="65" t="s">
        <v>34</v>
      </c>
      <c r="D333" s="65" t="s">
        <v>41</v>
      </c>
      <c r="E333" s="65" t="s">
        <v>25</v>
      </c>
      <c r="F333" s="65" t="s">
        <v>25</v>
      </c>
      <c r="G333" s="65" t="s">
        <v>25</v>
      </c>
      <c r="H333" s="65" t="s">
        <v>36</v>
      </c>
      <c r="I333" s="75">
        <v>44409</v>
      </c>
      <c r="J333" s="76">
        <f>EFEITO!$J$333*EFEITO!$Y$230</f>
        <v>0</v>
      </c>
      <c r="K333" s="76">
        <f ca="1">EFEITO!$L$333*EFEITO!$Z$230</f>
        <v>19567.011258483311</v>
      </c>
      <c r="L333" s="76">
        <f>EFEITO!$N$333*EFEITO!$AA$230</f>
        <v>41221.184503651821</v>
      </c>
      <c r="M333" s="76">
        <f>$J$333-EFEITO!$K$333*EFEITO!$Y$333</f>
        <v>0</v>
      </c>
      <c r="N333" s="76">
        <f ca="1">$K$333-EFEITO!$M$333*EFEITO!$Z$333</f>
        <v>391.34022516966434</v>
      </c>
      <c r="O333" s="76">
        <f>$L$333-EFEITO!$O$333*EFEITO!$AA$333</f>
        <v>824.42369007303205</v>
      </c>
      <c r="P333" s="19"/>
      <c r="Q333" s="19"/>
      <c r="R333" s="19"/>
      <c r="S333" s="19"/>
      <c r="T333" s="19"/>
      <c r="U333" s="19"/>
      <c r="V333" s="19"/>
      <c r="W333" s="19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65" t="s">
        <v>21</v>
      </c>
      <c r="B334" s="65" t="s">
        <v>33</v>
      </c>
      <c r="C334" s="65" t="s">
        <v>34</v>
      </c>
      <c r="D334" s="65" t="s">
        <v>41</v>
      </c>
      <c r="E334" s="65" t="s">
        <v>25</v>
      </c>
      <c r="F334" s="65" t="s">
        <v>25</v>
      </c>
      <c r="G334" s="65" t="s">
        <v>25</v>
      </c>
      <c r="H334" s="65" t="s">
        <v>36</v>
      </c>
      <c r="I334" s="75">
        <v>44440</v>
      </c>
      <c r="J334" s="76">
        <f>EFEITO!$J$334*EFEITO!$Y$230</f>
        <v>0</v>
      </c>
      <c r="K334" s="76">
        <f ca="1">EFEITO!$L$334*EFEITO!$Z$230</f>
        <v>21413.899106427794</v>
      </c>
      <c r="L334" s="76">
        <f>EFEITO!$N$334*EFEITO!$AA$230</f>
        <v>45111.962902660787</v>
      </c>
      <c r="M334" s="76">
        <f>$J$334-EFEITO!$K$334*EFEITO!$Y$334</f>
        <v>0</v>
      </c>
      <c r="N334" s="76">
        <f ca="1">$K$334-EFEITO!$M$334*EFEITO!$Z$334</f>
        <v>428.27798212855487</v>
      </c>
      <c r="O334" s="76">
        <f>$L$334-EFEITO!$O$334*EFEITO!$AA$334</f>
        <v>902.23925805321778</v>
      </c>
      <c r="P334" s="19"/>
      <c r="Q334" s="19"/>
      <c r="R334" s="19"/>
      <c r="S334" s="19"/>
      <c r="T334" s="19"/>
      <c r="U334" s="19"/>
      <c r="V334" s="19"/>
      <c r="W334" s="19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65" t="s">
        <v>21</v>
      </c>
      <c r="B335" s="65" t="s">
        <v>33</v>
      </c>
      <c r="C335" s="65" t="s">
        <v>34</v>
      </c>
      <c r="D335" s="65" t="s">
        <v>41</v>
      </c>
      <c r="E335" s="65" t="s">
        <v>25</v>
      </c>
      <c r="F335" s="65" t="s">
        <v>25</v>
      </c>
      <c r="G335" s="65" t="s">
        <v>25</v>
      </c>
      <c r="H335" s="65" t="s">
        <v>36</v>
      </c>
      <c r="I335" s="75">
        <v>44470</v>
      </c>
      <c r="J335" s="76">
        <f>EFEITO!$J$335*EFEITO!$Y$230</f>
        <v>0</v>
      </c>
      <c r="K335" s="76">
        <f ca="1">EFEITO!$L$335*EFEITO!$Z$230</f>
        <v>18921.767858871426</v>
      </c>
      <c r="L335" s="76">
        <f>EFEITO!$N$335*EFEITO!$AA$230</f>
        <v>39861.871276209713</v>
      </c>
      <c r="M335" s="76">
        <f>$J$335-EFEITO!$K$335*EFEITO!$Y$335</f>
        <v>0</v>
      </c>
      <c r="N335" s="76">
        <f ca="1">$K$335-EFEITO!$M$335*EFEITO!$Z$335</f>
        <v>378.43535717742634</v>
      </c>
      <c r="O335" s="76">
        <f>$L$335-EFEITO!$O$335*EFEITO!$AA$335</f>
        <v>797.23742552419571</v>
      </c>
      <c r="P335" s="19"/>
      <c r="Q335" s="19"/>
      <c r="R335" s="19"/>
      <c r="S335" s="19"/>
      <c r="T335" s="19"/>
      <c r="U335" s="19"/>
      <c r="V335" s="19"/>
      <c r="W335" s="19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65" t="s">
        <v>21</v>
      </c>
      <c r="B336" s="65" t="s">
        <v>33</v>
      </c>
      <c r="C336" s="65" t="s">
        <v>34</v>
      </c>
      <c r="D336" s="65" t="s">
        <v>41</v>
      </c>
      <c r="E336" s="65" t="s">
        <v>25</v>
      </c>
      <c r="F336" s="65" t="s">
        <v>25</v>
      </c>
      <c r="G336" s="65" t="s">
        <v>25</v>
      </c>
      <c r="H336" s="65" t="s">
        <v>36</v>
      </c>
      <c r="I336" s="75">
        <v>44501</v>
      </c>
      <c r="J336" s="76">
        <f>EFEITO!$J$336*EFEITO!$Y$230</f>
        <v>0</v>
      </c>
      <c r="K336" s="76">
        <f ca="1">EFEITO!$L$336*EFEITO!$Z$230</f>
        <v>23331.241004730156</v>
      </c>
      <c r="L336" s="76">
        <f>EFEITO!$N$336*EFEITO!$AA$230</f>
        <v>49151.164551928392</v>
      </c>
      <c r="M336" s="76">
        <f>$J$336-EFEITO!$K$336*EFEITO!$Y$336</f>
        <v>0</v>
      </c>
      <c r="N336" s="76">
        <f ca="1">$K$336-EFEITO!$M$336*EFEITO!$Z$336</f>
        <v>466.62482009459927</v>
      </c>
      <c r="O336" s="76">
        <f>$L$336-EFEITO!$O$336*EFEITO!$AA$336</f>
        <v>983.02329103856755</v>
      </c>
      <c r="P336" s="19"/>
      <c r="Q336" s="19"/>
      <c r="R336" s="19"/>
      <c r="S336" s="19"/>
      <c r="T336" s="19"/>
      <c r="U336" s="19"/>
      <c r="V336" s="19"/>
      <c r="W336" s="19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65" t="s">
        <v>21</v>
      </c>
      <c r="B337" s="65" t="s">
        <v>33</v>
      </c>
      <c r="C337" s="65" t="s">
        <v>34</v>
      </c>
      <c r="D337" s="65" t="s">
        <v>41</v>
      </c>
      <c r="E337" s="65" t="s">
        <v>25</v>
      </c>
      <c r="F337" s="65" t="s">
        <v>25</v>
      </c>
      <c r="G337" s="65" t="s">
        <v>25</v>
      </c>
      <c r="H337" s="65" t="s">
        <v>36</v>
      </c>
      <c r="I337" s="75">
        <v>44531</v>
      </c>
      <c r="J337" s="76">
        <f>EFEITO!$J$337*EFEITO!$Y$230</f>
        <v>0</v>
      </c>
      <c r="K337" s="76">
        <f ca="1">EFEITO!$L$337*EFEITO!$Z$230</f>
        <v>22785.790292282072</v>
      </c>
      <c r="L337" s="76">
        <f>EFEITO!$N$337*EFEITO!$AA$230</f>
        <v>48002.081324119506</v>
      </c>
      <c r="M337" s="76">
        <f>$J$337-EFEITO!$K$337*EFEITO!$Y$337</f>
        <v>0</v>
      </c>
      <c r="N337" s="76">
        <f ca="1">$K$337-EFEITO!$M$337*EFEITO!$Z$337</f>
        <v>455.71580584564072</v>
      </c>
      <c r="O337" s="76">
        <f>$L$337-EFEITO!$O$337*EFEITO!$AA$337</f>
        <v>960.04162648238707</v>
      </c>
      <c r="P337" s="19"/>
      <c r="Q337" s="19"/>
      <c r="R337" s="19"/>
      <c r="S337" s="19"/>
      <c r="T337" s="19"/>
      <c r="U337" s="19"/>
      <c r="V337" s="19"/>
      <c r="W337" s="19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65" t="s">
        <v>21</v>
      </c>
      <c r="B338" s="65" t="s">
        <v>33</v>
      </c>
      <c r="C338" s="65" t="s">
        <v>34</v>
      </c>
      <c r="D338" s="65" t="s">
        <v>41</v>
      </c>
      <c r="E338" s="65" t="s">
        <v>25</v>
      </c>
      <c r="F338" s="65" t="s">
        <v>25</v>
      </c>
      <c r="G338" s="65" t="s">
        <v>25</v>
      </c>
      <c r="H338" s="65" t="s">
        <v>36</v>
      </c>
      <c r="I338" s="75">
        <v>44562</v>
      </c>
      <c r="J338" s="76">
        <f>EFEITO!$J$338*EFEITO!$Y$230</f>
        <v>0</v>
      </c>
      <c r="K338" s="76">
        <f ca="1">EFEITO!$L$338*EFEITO!$Z$230</f>
        <v>22656.245748075649</v>
      </c>
      <c r="L338" s="76">
        <f>EFEITO!$N$338*EFEITO!$AA$230</f>
        <v>47729.174057514887</v>
      </c>
      <c r="M338" s="76">
        <f>$J$338-EFEITO!$K$338*EFEITO!$Y$338</f>
        <v>0</v>
      </c>
      <c r="N338" s="76">
        <f ca="1">$K$338-EFEITO!$M$338*EFEITO!$Z$338</f>
        <v>453.12491496151051</v>
      </c>
      <c r="O338" s="76">
        <f>$L$338-EFEITO!$O$338*EFEITO!$AA$338</f>
        <v>954.58348115029366</v>
      </c>
      <c r="P338" s="19"/>
      <c r="Q338" s="19"/>
      <c r="R338" s="19"/>
      <c r="S338" s="19"/>
      <c r="T338" s="19"/>
      <c r="U338" s="19"/>
      <c r="V338" s="19"/>
      <c r="W338" s="19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65" t="s">
        <v>21</v>
      </c>
      <c r="B339" s="65" t="s">
        <v>33</v>
      </c>
      <c r="C339" s="65" t="s">
        <v>34</v>
      </c>
      <c r="D339" s="65" t="s">
        <v>41</v>
      </c>
      <c r="E339" s="65" t="s">
        <v>25</v>
      </c>
      <c r="F339" s="65" t="s">
        <v>25</v>
      </c>
      <c r="G339" s="65" t="s">
        <v>25</v>
      </c>
      <c r="H339" s="65" t="s">
        <v>36</v>
      </c>
      <c r="I339" s="75">
        <v>44593</v>
      </c>
      <c r="J339" s="76">
        <f>EFEITO!$J$339*EFEITO!$Y$230</f>
        <v>0</v>
      </c>
      <c r="K339" s="76">
        <f ca="1">EFEITO!$L$339*EFEITO!$Z$230</f>
        <v>28797.628211016225</v>
      </c>
      <c r="L339" s="76">
        <f>EFEITO!$N$339*EFEITO!$AA$230</f>
        <v>60667.024210925985</v>
      </c>
      <c r="M339" s="76">
        <f>$J$339-EFEITO!$K$339*EFEITO!$Y$339</f>
        <v>0</v>
      </c>
      <c r="N339" s="76">
        <f ca="1">$K$339-EFEITO!$M$339*EFEITO!$Z$339</f>
        <v>575.95256422032617</v>
      </c>
      <c r="O339" s="76">
        <f>$L$339-EFEITO!$O$339*EFEITO!$AA$339</f>
        <v>1213.3404842185118</v>
      </c>
      <c r="P339" s="19"/>
      <c r="Q339" s="19"/>
      <c r="R339" s="19"/>
      <c r="S339" s="19"/>
      <c r="T339" s="19"/>
      <c r="U339" s="19"/>
      <c r="V339" s="19"/>
      <c r="W339" s="19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65" t="s">
        <v>54</v>
      </c>
      <c r="B340" s="65" t="s">
        <v>33</v>
      </c>
      <c r="C340" s="65" t="s">
        <v>34</v>
      </c>
      <c r="D340" s="65" t="s">
        <v>41</v>
      </c>
      <c r="E340" s="65" t="s">
        <v>25</v>
      </c>
      <c r="F340" s="65" t="s">
        <v>25</v>
      </c>
      <c r="G340" s="65" t="s">
        <v>25</v>
      </c>
      <c r="H340" s="65" t="s">
        <v>36</v>
      </c>
      <c r="I340" s="75">
        <v>44621</v>
      </c>
      <c r="J340" s="76">
        <f>EFEITO!$J$340*EFEITO!$Y$230</f>
        <v>0</v>
      </c>
      <c r="K340" s="76">
        <f ca="1">EFEITO!$L$340*EFEITO!$Z$230</f>
        <v>28797.628211016225</v>
      </c>
      <c r="L340" s="76">
        <f>EFEITO!$N$340*EFEITO!$AA$230</f>
        <v>60667.024210925985</v>
      </c>
      <c r="M340" s="76">
        <f>$J$340-EFEITO!$K$340*EFEITO!$Y$340</f>
        <v>0</v>
      </c>
      <c r="N340" s="76">
        <f ca="1">$K$340-EFEITO!$M$340*EFEITO!$Z$340</f>
        <v>575.95256422032617</v>
      </c>
      <c r="O340" s="76">
        <f>$L$340-EFEITO!$O$340*EFEITO!$AA$340</f>
        <v>1213.3404842185118</v>
      </c>
      <c r="P340" s="19"/>
      <c r="Q340" s="19"/>
      <c r="R340" s="19"/>
      <c r="S340" s="19"/>
      <c r="T340" s="19"/>
      <c r="U340" s="19"/>
      <c r="V340" s="19"/>
      <c r="W340" s="19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65" t="s">
        <v>21</v>
      </c>
      <c r="B341" s="65" t="s">
        <v>33</v>
      </c>
      <c r="C341" s="65" t="s">
        <v>34</v>
      </c>
      <c r="D341" s="65" t="s">
        <v>41</v>
      </c>
      <c r="E341" s="65" t="s">
        <v>25</v>
      </c>
      <c r="F341" s="65" t="s">
        <v>25</v>
      </c>
      <c r="G341" s="65" t="s">
        <v>25</v>
      </c>
      <c r="H341" s="65" t="s">
        <v>25</v>
      </c>
      <c r="I341" s="75">
        <v>44287</v>
      </c>
      <c r="J341" s="76">
        <f ca="1">EFEITO!$J$341*EFEITO!$Y$242</f>
        <v>34751.659611740433</v>
      </c>
      <c r="K341" s="76">
        <f>EFEITO!$L$341*EFEITO!$Z$242</f>
        <v>0</v>
      </c>
      <c r="L341" s="76">
        <f>EFEITO!$N$341*EFEITO!$AA$242</f>
        <v>0</v>
      </c>
      <c r="M341" s="76">
        <f ca="1">$J$341-EFEITO!$K$341*EFEITO!$Y$341</f>
        <v>695.03319223480503</v>
      </c>
      <c r="N341" s="76">
        <f>$K$341-EFEITO!$M$341*EFEITO!$Z$341</f>
        <v>0</v>
      </c>
      <c r="O341" s="76">
        <f>$L$341-EFEITO!$O$341*EFEITO!$AA$341</f>
        <v>0</v>
      </c>
      <c r="P341" s="19"/>
      <c r="Q341" s="19"/>
      <c r="R341" s="19"/>
      <c r="S341" s="19"/>
      <c r="T341" s="19"/>
      <c r="U341" s="19"/>
      <c r="V341" s="19"/>
      <c r="W341" s="19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65" t="s">
        <v>21</v>
      </c>
      <c r="B342" s="65" t="s">
        <v>33</v>
      </c>
      <c r="C342" s="65" t="s">
        <v>34</v>
      </c>
      <c r="D342" s="65" t="s">
        <v>41</v>
      </c>
      <c r="E342" s="65" t="s">
        <v>25</v>
      </c>
      <c r="F342" s="65" t="s">
        <v>25</v>
      </c>
      <c r="G342" s="65" t="s">
        <v>25</v>
      </c>
      <c r="H342" s="65" t="s">
        <v>25</v>
      </c>
      <c r="I342" s="75">
        <v>44317</v>
      </c>
      <c r="J342" s="76">
        <f ca="1">EFEITO!$J$342*EFEITO!$Y$242</f>
        <v>25869.601359019067</v>
      </c>
      <c r="K342" s="76">
        <f>EFEITO!$L$342*EFEITO!$Z$242</f>
        <v>0</v>
      </c>
      <c r="L342" s="76">
        <f>EFEITO!$N$342*EFEITO!$AA$242</f>
        <v>0</v>
      </c>
      <c r="M342" s="76">
        <f ca="1">$J$342-EFEITO!$K$342*EFEITO!$Y$342</f>
        <v>517.39202718037996</v>
      </c>
      <c r="N342" s="76">
        <f>$K$342-EFEITO!$M$342*EFEITO!$Z$342</f>
        <v>0</v>
      </c>
      <c r="O342" s="76">
        <f>$L$342-EFEITO!$O$342*EFEITO!$AA$342</f>
        <v>0</v>
      </c>
      <c r="P342" s="19"/>
      <c r="Q342" s="19"/>
      <c r="R342" s="19"/>
      <c r="S342" s="19"/>
      <c r="T342" s="19"/>
      <c r="U342" s="19"/>
      <c r="V342" s="19"/>
      <c r="W342" s="19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65" t="s">
        <v>21</v>
      </c>
      <c r="B343" s="65" t="s">
        <v>33</v>
      </c>
      <c r="C343" s="65" t="s">
        <v>34</v>
      </c>
      <c r="D343" s="65" t="s">
        <v>41</v>
      </c>
      <c r="E343" s="65" t="s">
        <v>25</v>
      </c>
      <c r="F343" s="65" t="s">
        <v>25</v>
      </c>
      <c r="G343" s="65" t="s">
        <v>25</v>
      </c>
      <c r="H343" s="65" t="s">
        <v>25</v>
      </c>
      <c r="I343" s="75">
        <v>44348</v>
      </c>
      <c r="J343" s="76">
        <f ca="1">EFEITO!$J$343*EFEITO!$Y$242</f>
        <v>31354.150990480895</v>
      </c>
      <c r="K343" s="76">
        <f>EFEITO!$L$343*EFEITO!$Z$242</f>
        <v>0</v>
      </c>
      <c r="L343" s="76">
        <f>EFEITO!$N$343*EFEITO!$AA$242</f>
        <v>0</v>
      </c>
      <c r="M343" s="76">
        <f ca="1">$J$343-EFEITO!$K$343*EFEITO!$Y$343</f>
        <v>627.08301980961551</v>
      </c>
      <c r="N343" s="76">
        <f>$K$343-EFEITO!$M$343*EFEITO!$Z$343</f>
        <v>0</v>
      </c>
      <c r="O343" s="76">
        <f>$L$343-EFEITO!$O$343*EFEITO!$AA$343</f>
        <v>0</v>
      </c>
      <c r="P343" s="19"/>
      <c r="Q343" s="19"/>
      <c r="R343" s="19"/>
      <c r="S343" s="19"/>
      <c r="T343" s="19"/>
      <c r="U343" s="19"/>
      <c r="V343" s="19"/>
      <c r="W343" s="19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65" t="s">
        <v>21</v>
      </c>
      <c r="B344" s="65" t="s">
        <v>33</v>
      </c>
      <c r="C344" s="65" t="s">
        <v>34</v>
      </c>
      <c r="D344" s="65" t="s">
        <v>41</v>
      </c>
      <c r="E344" s="65" t="s">
        <v>25</v>
      </c>
      <c r="F344" s="65" t="s">
        <v>25</v>
      </c>
      <c r="G344" s="65" t="s">
        <v>25</v>
      </c>
      <c r="H344" s="65" t="s">
        <v>25</v>
      </c>
      <c r="I344" s="75">
        <v>44378</v>
      </c>
      <c r="J344" s="76">
        <f ca="1">EFEITO!$J$344*EFEITO!$Y$242</f>
        <v>31815.241446223263</v>
      </c>
      <c r="K344" s="76">
        <f>EFEITO!$L$344*EFEITO!$Z$242</f>
        <v>0</v>
      </c>
      <c r="L344" s="76">
        <f>EFEITO!$N$344*EFEITO!$AA$242</f>
        <v>0</v>
      </c>
      <c r="M344" s="76">
        <f ca="1">$J$344-EFEITO!$K$344*EFEITO!$Y$344</f>
        <v>636.30482892446526</v>
      </c>
      <c r="N344" s="76">
        <f>$K$344-EFEITO!$M$344*EFEITO!$Z$344</f>
        <v>0</v>
      </c>
      <c r="O344" s="76">
        <f>$L$344-EFEITO!$O$344*EFEITO!$AA$344</f>
        <v>0</v>
      </c>
      <c r="P344" s="19"/>
      <c r="Q344" s="19"/>
      <c r="R344" s="19"/>
      <c r="S344" s="19"/>
      <c r="T344" s="19"/>
      <c r="U344" s="19"/>
      <c r="V344" s="19"/>
      <c r="W344" s="19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65" t="s">
        <v>21</v>
      </c>
      <c r="B345" s="65" t="s">
        <v>33</v>
      </c>
      <c r="C345" s="65" t="s">
        <v>34</v>
      </c>
      <c r="D345" s="65" t="s">
        <v>41</v>
      </c>
      <c r="E345" s="65" t="s">
        <v>25</v>
      </c>
      <c r="F345" s="65" t="s">
        <v>25</v>
      </c>
      <c r="G345" s="65" t="s">
        <v>25</v>
      </c>
      <c r="H345" s="65" t="s">
        <v>25</v>
      </c>
      <c r="I345" s="75">
        <v>44409</v>
      </c>
      <c r="J345" s="76">
        <f ca="1">EFEITO!$J$345*EFEITO!$Y$242</f>
        <v>33586.799513022881</v>
      </c>
      <c r="K345" s="76">
        <f>EFEITO!$L$345*EFEITO!$Z$242</f>
        <v>0</v>
      </c>
      <c r="L345" s="76">
        <f>EFEITO!$N$345*EFEITO!$AA$242</f>
        <v>0</v>
      </c>
      <c r="M345" s="76">
        <f ca="1">$J$345-EFEITO!$K$345*EFEITO!$Y$345</f>
        <v>671.73599026045849</v>
      </c>
      <c r="N345" s="76">
        <f>$K$345-EFEITO!$M$345*EFEITO!$Z$345</f>
        <v>0</v>
      </c>
      <c r="O345" s="76">
        <f>$L$345-EFEITO!$O$345*EFEITO!$AA$345</f>
        <v>0</v>
      </c>
      <c r="P345" s="19"/>
      <c r="Q345" s="19"/>
      <c r="R345" s="19"/>
      <c r="S345" s="19"/>
      <c r="T345" s="19"/>
      <c r="U345" s="19"/>
      <c r="V345" s="19"/>
      <c r="W345" s="19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65" t="s">
        <v>21</v>
      </c>
      <c r="B346" s="65" t="s">
        <v>33</v>
      </c>
      <c r="C346" s="65" t="s">
        <v>34</v>
      </c>
      <c r="D346" s="65" t="s">
        <v>41</v>
      </c>
      <c r="E346" s="65" t="s">
        <v>25</v>
      </c>
      <c r="F346" s="65" t="s">
        <v>25</v>
      </c>
      <c r="G346" s="65" t="s">
        <v>25</v>
      </c>
      <c r="H346" s="65" t="s">
        <v>25</v>
      </c>
      <c r="I346" s="75">
        <v>44440</v>
      </c>
      <c r="J346" s="76">
        <f ca="1">EFEITO!$J$346*EFEITO!$Y$242</f>
        <v>36013.591385351123</v>
      </c>
      <c r="K346" s="76">
        <f>EFEITO!$L$346*EFEITO!$Z$242</f>
        <v>0</v>
      </c>
      <c r="L346" s="76">
        <f>EFEITO!$N$346*EFEITO!$AA$242</f>
        <v>0</v>
      </c>
      <c r="M346" s="76">
        <f ca="1">$J$346-EFEITO!$K$346*EFEITO!$Y$346</f>
        <v>720.27182770702348</v>
      </c>
      <c r="N346" s="76">
        <f>$K$346-EFEITO!$M$346*EFEITO!$Z$346</f>
        <v>0</v>
      </c>
      <c r="O346" s="76">
        <f>$L$346-EFEITO!$O$346*EFEITO!$AA$346</f>
        <v>0</v>
      </c>
      <c r="P346" s="19"/>
      <c r="Q346" s="19"/>
      <c r="R346" s="19"/>
      <c r="S346" s="19"/>
      <c r="T346" s="19"/>
      <c r="U346" s="19"/>
      <c r="V346" s="19"/>
      <c r="W346" s="19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65" t="s">
        <v>21</v>
      </c>
      <c r="B347" s="65" t="s">
        <v>33</v>
      </c>
      <c r="C347" s="65" t="s">
        <v>34</v>
      </c>
      <c r="D347" s="65" t="s">
        <v>41</v>
      </c>
      <c r="E347" s="65" t="s">
        <v>25</v>
      </c>
      <c r="F347" s="65" t="s">
        <v>25</v>
      </c>
      <c r="G347" s="65" t="s">
        <v>25</v>
      </c>
      <c r="H347" s="65" t="s">
        <v>25</v>
      </c>
      <c r="I347" s="75">
        <v>44470</v>
      </c>
      <c r="J347" s="76">
        <f ca="1">EFEITO!$J$347*EFEITO!$Y$242</f>
        <v>33416.9240819599</v>
      </c>
      <c r="K347" s="76">
        <f>EFEITO!$L$347*EFEITO!$Z$242</f>
        <v>0</v>
      </c>
      <c r="L347" s="76">
        <f>EFEITO!$N$347*EFEITO!$AA$242</f>
        <v>0</v>
      </c>
      <c r="M347" s="76">
        <f ca="1">$J$347-EFEITO!$K$347*EFEITO!$Y$347</f>
        <v>668.33848163919538</v>
      </c>
      <c r="N347" s="76">
        <f>$K$347-EFEITO!$M$347*EFEITO!$Z$347</f>
        <v>0</v>
      </c>
      <c r="O347" s="76">
        <f>$L$347-EFEITO!$O$347*EFEITO!$AA$347</f>
        <v>0</v>
      </c>
      <c r="P347" s="19"/>
      <c r="Q347" s="19"/>
      <c r="R347" s="19"/>
      <c r="S347" s="19"/>
      <c r="T347" s="19"/>
      <c r="U347" s="19"/>
      <c r="V347" s="19"/>
      <c r="W347" s="19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65" t="s">
        <v>21</v>
      </c>
      <c r="B348" s="65" t="s">
        <v>33</v>
      </c>
      <c r="C348" s="65" t="s">
        <v>34</v>
      </c>
      <c r="D348" s="65" t="s">
        <v>41</v>
      </c>
      <c r="E348" s="65" t="s">
        <v>25</v>
      </c>
      <c r="F348" s="65" t="s">
        <v>25</v>
      </c>
      <c r="G348" s="65" t="s">
        <v>25</v>
      </c>
      <c r="H348" s="65" t="s">
        <v>25</v>
      </c>
      <c r="I348" s="75">
        <v>44501</v>
      </c>
      <c r="J348" s="76">
        <f ca="1">EFEITO!$J$348*EFEITO!$Y$242</f>
        <v>33562.531594299595</v>
      </c>
      <c r="K348" s="76">
        <f>EFEITO!$L$348*EFEITO!$Z$242</f>
        <v>0</v>
      </c>
      <c r="L348" s="76">
        <f>EFEITO!$N$348*EFEITO!$AA$242</f>
        <v>0</v>
      </c>
      <c r="M348" s="76">
        <f ca="1">$J$348-EFEITO!$K$348*EFEITO!$Y$348</f>
        <v>671.2506318859887</v>
      </c>
      <c r="N348" s="76">
        <f>$K$348-EFEITO!$M$348*EFEITO!$Z$348</f>
        <v>0</v>
      </c>
      <c r="O348" s="76">
        <f>$L$348-EFEITO!$O$348*EFEITO!$AA$348</f>
        <v>0</v>
      </c>
      <c r="P348" s="19"/>
      <c r="Q348" s="19"/>
      <c r="R348" s="19"/>
      <c r="S348" s="19"/>
      <c r="T348" s="19"/>
      <c r="U348" s="19"/>
      <c r="V348" s="19"/>
      <c r="W348" s="19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65" t="s">
        <v>21</v>
      </c>
      <c r="B349" s="65" t="s">
        <v>33</v>
      </c>
      <c r="C349" s="65" t="s">
        <v>34</v>
      </c>
      <c r="D349" s="65" t="s">
        <v>41</v>
      </c>
      <c r="E349" s="65" t="s">
        <v>25</v>
      </c>
      <c r="F349" s="65" t="s">
        <v>25</v>
      </c>
      <c r="G349" s="65" t="s">
        <v>25</v>
      </c>
      <c r="H349" s="65" t="s">
        <v>25</v>
      </c>
      <c r="I349" s="75">
        <v>44531</v>
      </c>
      <c r="J349" s="76">
        <f ca="1">EFEITO!$J$349*EFEITO!$Y$242</f>
        <v>34217.765399828226</v>
      </c>
      <c r="K349" s="76">
        <f>EFEITO!$L$349*EFEITO!$Z$242</f>
        <v>0</v>
      </c>
      <c r="L349" s="76">
        <f>EFEITO!$N$349*EFEITO!$AA$242</f>
        <v>0</v>
      </c>
      <c r="M349" s="76">
        <f ca="1">$J$349-EFEITO!$K$349*EFEITO!$Y$349</f>
        <v>684.35530799656408</v>
      </c>
      <c r="N349" s="76">
        <f>$K$349-EFEITO!$M$349*EFEITO!$Z$349</f>
        <v>0</v>
      </c>
      <c r="O349" s="76">
        <f>$L$349-EFEITO!$O$349*EFEITO!$AA$349</f>
        <v>0</v>
      </c>
      <c r="P349" s="19"/>
      <c r="Q349" s="19"/>
      <c r="R349" s="19"/>
      <c r="S349" s="19"/>
      <c r="T349" s="19"/>
      <c r="U349" s="19"/>
      <c r="V349" s="19"/>
      <c r="W349" s="19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65" t="s">
        <v>21</v>
      </c>
      <c r="B350" s="65" t="s">
        <v>33</v>
      </c>
      <c r="C350" s="65" t="s">
        <v>34</v>
      </c>
      <c r="D350" s="65" t="s">
        <v>41</v>
      </c>
      <c r="E350" s="65" t="s">
        <v>25</v>
      </c>
      <c r="F350" s="65" t="s">
        <v>25</v>
      </c>
      <c r="G350" s="65" t="s">
        <v>25</v>
      </c>
      <c r="H350" s="65" t="s">
        <v>25</v>
      </c>
      <c r="I350" s="75">
        <v>44562</v>
      </c>
      <c r="J350" s="76">
        <f ca="1">EFEITO!$J$350*EFEITO!$Y$242</f>
        <v>31548.294340267155</v>
      </c>
      <c r="K350" s="76">
        <f>EFEITO!$L$350*EFEITO!$Z$242</f>
        <v>0</v>
      </c>
      <c r="L350" s="76">
        <f>EFEITO!$N$350*EFEITO!$AA$242</f>
        <v>0</v>
      </c>
      <c r="M350" s="76">
        <f ca="1">$J$350-EFEITO!$K$350*EFEITO!$Y$350</f>
        <v>630.96588680534114</v>
      </c>
      <c r="N350" s="76">
        <f>$K$350-EFEITO!$M$350*EFEITO!$Z$350</f>
        <v>0</v>
      </c>
      <c r="O350" s="76">
        <f>$L$350-EFEITO!$O$350*EFEITO!$AA$350</f>
        <v>0</v>
      </c>
      <c r="P350" s="19"/>
      <c r="Q350" s="19"/>
      <c r="R350" s="19"/>
      <c r="S350" s="19"/>
      <c r="T350" s="19"/>
      <c r="U350" s="19"/>
      <c r="V350" s="19"/>
      <c r="W350" s="19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65" t="s">
        <v>21</v>
      </c>
      <c r="B351" s="65" t="s">
        <v>33</v>
      </c>
      <c r="C351" s="65" t="s">
        <v>34</v>
      </c>
      <c r="D351" s="65" t="s">
        <v>41</v>
      </c>
      <c r="E351" s="65" t="s">
        <v>25</v>
      </c>
      <c r="F351" s="65" t="s">
        <v>25</v>
      </c>
      <c r="G351" s="65" t="s">
        <v>25</v>
      </c>
      <c r="H351" s="65" t="s">
        <v>25</v>
      </c>
      <c r="I351" s="75">
        <v>44593</v>
      </c>
      <c r="J351" s="76">
        <f ca="1">EFEITO!$J$351*EFEITO!$Y$242</f>
        <v>33562.531594299595</v>
      </c>
      <c r="K351" s="76">
        <f>EFEITO!$L$351*EFEITO!$Z$242</f>
        <v>0</v>
      </c>
      <c r="L351" s="76">
        <f>EFEITO!$N$351*EFEITO!$AA$242</f>
        <v>0</v>
      </c>
      <c r="M351" s="76">
        <f ca="1">$J$351-EFEITO!$K$351*EFEITO!$Y$351</f>
        <v>671.2506318859887</v>
      </c>
      <c r="N351" s="76">
        <f>$K$351-EFEITO!$M$351*EFEITO!$Z$351</f>
        <v>0</v>
      </c>
      <c r="O351" s="76">
        <f>$L$351-EFEITO!$O$351*EFEITO!$AA$351</f>
        <v>0</v>
      </c>
      <c r="P351" s="19"/>
      <c r="Q351" s="19"/>
      <c r="R351" s="19"/>
      <c r="S351" s="19"/>
      <c r="T351" s="19"/>
      <c r="U351" s="19"/>
      <c r="V351" s="19"/>
      <c r="W351" s="19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65" t="s">
        <v>54</v>
      </c>
      <c r="B352" s="65" t="s">
        <v>33</v>
      </c>
      <c r="C352" s="65" t="s">
        <v>34</v>
      </c>
      <c r="D352" s="65" t="s">
        <v>41</v>
      </c>
      <c r="E352" s="65" t="s">
        <v>25</v>
      </c>
      <c r="F352" s="65" t="s">
        <v>25</v>
      </c>
      <c r="G352" s="65" t="s">
        <v>25</v>
      </c>
      <c r="H352" s="65" t="s">
        <v>25</v>
      </c>
      <c r="I352" s="75">
        <v>44621</v>
      </c>
      <c r="J352" s="76">
        <f ca="1">EFEITO!$J$352*EFEITO!$Y$242</f>
        <v>33562.531594299595</v>
      </c>
      <c r="K352" s="76">
        <f>EFEITO!$L$352*EFEITO!$Z$242</f>
        <v>0</v>
      </c>
      <c r="L352" s="76">
        <f>EFEITO!$N$352*EFEITO!$AA$242</f>
        <v>0</v>
      </c>
      <c r="M352" s="76">
        <f ca="1">$J$352-EFEITO!$K$352*EFEITO!$Y$352</f>
        <v>671.2506318859887</v>
      </c>
      <c r="N352" s="76">
        <f>$K$352-EFEITO!$M$352*EFEITO!$Z$352</f>
        <v>0</v>
      </c>
      <c r="O352" s="76">
        <f>$L$352-EFEITO!$O$352*EFEITO!$AA$352</f>
        <v>0</v>
      </c>
      <c r="P352" s="19"/>
      <c r="Q352" s="19"/>
      <c r="R352" s="19"/>
      <c r="S352" s="19"/>
      <c r="T352" s="19"/>
      <c r="U352" s="19"/>
      <c r="V352" s="19"/>
      <c r="W352" s="19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65" t="s">
        <v>21</v>
      </c>
      <c r="B353" s="65" t="s">
        <v>33</v>
      </c>
      <c r="C353" s="65" t="s">
        <v>34</v>
      </c>
      <c r="D353" s="65" t="s">
        <v>41</v>
      </c>
      <c r="E353" s="65" t="s">
        <v>25</v>
      </c>
      <c r="F353" s="65" t="s">
        <v>25</v>
      </c>
      <c r="G353" s="65" t="s">
        <v>25</v>
      </c>
      <c r="H353" s="65" t="s">
        <v>35</v>
      </c>
      <c r="I353" s="75">
        <v>44287</v>
      </c>
      <c r="J353" s="76">
        <f>EFEITO!$J$353*EFEITO!$Y$254</f>
        <v>0</v>
      </c>
      <c r="K353" s="76">
        <f ca="1">EFEITO!$L$353*EFEITO!$Z$254</f>
        <v>32141.946249697805</v>
      </c>
      <c r="L353" s="76">
        <f>EFEITO!$N$353*EFEITO!$AA$254</f>
        <v>2946.9196946515458</v>
      </c>
      <c r="M353" s="76">
        <f>$J$353-EFEITO!$K$353*EFEITO!$Y$353</f>
        <v>0</v>
      </c>
      <c r="N353" s="76">
        <f ca="1">$K$353-EFEITO!$M$353*EFEITO!$Z$353</f>
        <v>642.83892499395733</v>
      </c>
      <c r="O353" s="76">
        <f>$L$353-EFEITO!$O$353*EFEITO!$AA$353</f>
        <v>58.938393893030479</v>
      </c>
      <c r="P353" s="19"/>
      <c r="Q353" s="19"/>
      <c r="R353" s="19"/>
      <c r="S353" s="19"/>
      <c r="T353" s="19"/>
      <c r="U353" s="19"/>
      <c r="V353" s="19"/>
      <c r="W353" s="19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65" t="s">
        <v>21</v>
      </c>
      <c r="B354" s="65" t="s">
        <v>33</v>
      </c>
      <c r="C354" s="65" t="s">
        <v>34</v>
      </c>
      <c r="D354" s="65" t="s">
        <v>41</v>
      </c>
      <c r="E354" s="65" t="s">
        <v>25</v>
      </c>
      <c r="F354" s="65" t="s">
        <v>25</v>
      </c>
      <c r="G354" s="65" t="s">
        <v>25</v>
      </c>
      <c r="H354" s="65" t="s">
        <v>35</v>
      </c>
      <c r="I354" s="75">
        <v>44317</v>
      </c>
      <c r="J354" s="76">
        <f>EFEITO!$J$354*EFEITO!$Y$254</f>
        <v>0</v>
      </c>
      <c r="K354" s="76">
        <f ca="1">EFEITO!$L$354*EFEITO!$Z$254</f>
        <v>24323.057619131039</v>
      </c>
      <c r="L354" s="76">
        <f>EFEITO!$N$354*EFEITO!$AA$254</f>
        <v>2230.0484536662279</v>
      </c>
      <c r="M354" s="76">
        <f>$J$354-EFEITO!$K$354*EFEITO!$Y$354</f>
        <v>0</v>
      </c>
      <c r="N354" s="76">
        <f ca="1">$K$354-EFEITO!$M$354*EFEITO!$Z$354</f>
        <v>486.46115238262064</v>
      </c>
      <c r="O354" s="76">
        <f>$L$354-EFEITO!$O$354*EFEITO!$AA$354</f>
        <v>44.60096907332445</v>
      </c>
      <c r="P354" s="19"/>
      <c r="Q354" s="19"/>
      <c r="R354" s="19"/>
      <c r="S354" s="19"/>
      <c r="T354" s="19"/>
      <c r="U354" s="19"/>
      <c r="V354" s="19"/>
      <c r="W354" s="19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65" t="s">
        <v>21</v>
      </c>
      <c r="B355" s="65" t="s">
        <v>33</v>
      </c>
      <c r="C355" s="65" t="s">
        <v>34</v>
      </c>
      <c r="D355" s="65" t="s">
        <v>41</v>
      </c>
      <c r="E355" s="65" t="s">
        <v>25</v>
      </c>
      <c r="F355" s="65" t="s">
        <v>25</v>
      </c>
      <c r="G355" s="65" t="s">
        <v>25</v>
      </c>
      <c r="H355" s="65" t="s">
        <v>35</v>
      </c>
      <c r="I355" s="75">
        <v>44348</v>
      </c>
      <c r="J355" s="76">
        <f>EFEITO!$J$355*EFEITO!$Y$254</f>
        <v>0</v>
      </c>
      <c r="K355" s="76">
        <f ca="1">EFEITO!$L$355*EFEITO!$Z$254</f>
        <v>21320.357522692982</v>
      </c>
      <c r="L355" s="76">
        <f>EFEITO!$N$355*EFEITO!$AA$254</f>
        <v>1954.747263670348</v>
      </c>
      <c r="M355" s="76">
        <f>$J$355-EFEITO!$K$355*EFEITO!$Y$355</f>
        <v>0</v>
      </c>
      <c r="N355" s="76">
        <f ca="1">$K$355-EFEITO!$M$355*EFEITO!$Z$355</f>
        <v>426.40715045386241</v>
      </c>
      <c r="O355" s="76">
        <f>$L$355-EFEITO!$O$355*EFEITO!$AA$355</f>
        <v>39.094945273406893</v>
      </c>
      <c r="P355" s="19"/>
      <c r="Q355" s="19"/>
      <c r="R355" s="19"/>
      <c r="S355" s="19"/>
      <c r="T355" s="19"/>
      <c r="U355" s="19"/>
      <c r="V355" s="19"/>
      <c r="W355" s="19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65" t="s">
        <v>21</v>
      </c>
      <c r="B356" s="65" t="s">
        <v>33</v>
      </c>
      <c r="C356" s="65" t="s">
        <v>34</v>
      </c>
      <c r="D356" s="65" t="s">
        <v>41</v>
      </c>
      <c r="E356" s="65" t="s">
        <v>25</v>
      </c>
      <c r="F356" s="65" t="s">
        <v>25</v>
      </c>
      <c r="G356" s="65" t="s">
        <v>25</v>
      </c>
      <c r="H356" s="65" t="s">
        <v>35</v>
      </c>
      <c r="I356" s="75">
        <v>44378</v>
      </c>
      <c r="J356" s="76">
        <f>EFEITO!$J$356*EFEITO!$Y$254</f>
        <v>0</v>
      </c>
      <c r="K356" s="76">
        <f ca="1">EFEITO!$L$356*EFEITO!$Z$254</f>
        <v>30734.356402118545</v>
      </c>
      <c r="L356" s="76">
        <f>EFEITO!$N$356*EFEITO!$AA$254</f>
        <v>2817.8654609222522</v>
      </c>
      <c r="M356" s="76">
        <f>$J$356-EFEITO!$K$356*EFEITO!$Y$356</f>
        <v>0</v>
      </c>
      <c r="N356" s="76">
        <f ca="1">$K$356-EFEITO!$M$356*EFEITO!$Z$356</f>
        <v>614.68712804237293</v>
      </c>
      <c r="O356" s="76">
        <f>$L$356-EFEITO!$O$356*EFEITO!$AA$356</f>
        <v>56.357309218444698</v>
      </c>
      <c r="P356" s="19"/>
      <c r="Q356" s="19"/>
      <c r="R356" s="19"/>
      <c r="S356" s="19"/>
      <c r="T356" s="19"/>
      <c r="U356" s="19"/>
      <c r="V356" s="19"/>
      <c r="W356" s="19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65" t="s">
        <v>21</v>
      </c>
      <c r="B357" s="65" t="s">
        <v>33</v>
      </c>
      <c r="C357" s="65" t="s">
        <v>34</v>
      </c>
      <c r="D357" s="65" t="s">
        <v>41</v>
      </c>
      <c r="E357" s="65" t="s">
        <v>25</v>
      </c>
      <c r="F357" s="65" t="s">
        <v>25</v>
      </c>
      <c r="G357" s="65" t="s">
        <v>25</v>
      </c>
      <c r="H357" s="65" t="s">
        <v>35</v>
      </c>
      <c r="I357" s="75">
        <v>44409</v>
      </c>
      <c r="J357" s="76">
        <f>EFEITO!$J$357*EFEITO!$Y$254</f>
        <v>0</v>
      </c>
      <c r="K357" s="76">
        <f ca="1">EFEITO!$L$357*EFEITO!$Z$254</f>
        <v>35856.749135804966</v>
      </c>
      <c r="L357" s="76">
        <f>EFEITO!$N$357*EFEITO!$AA$254</f>
        <v>3287.509704409294</v>
      </c>
      <c r="M357" s="76">
        <f>$J$357-EFEITO!$K$357*EFEITO!$Y$357</f>
        <v>0</v>
      </c>
      <c r="N357" s="76">
        <f ca="1">$K$357-EFEITO!$M$357*EFEITO!$Z$357</f>
        <v>717.13498271610297</v>
      </c>
      <c r="O357" s="76">
        <f>$L$357-EFEITO!$O$357*EFEITO!$AA$357</f>
        <v>65.750194088185708</v>
      </c>
      <c r="P357" s="19"/>
      <c r="Q357" s="19"/>
      <c r="R357" s="19"/>
      <c r="S357" s="19"/>
      <c r="T357" s="19"/>
      <c r="U357" s="19"/>
      <c r="V357" s="19"/>
      <c r="W357" s="19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65" t="s">
        <v>21</v>
      </c>
      <c r="B358" s="65" t="s">
        <v>33</v>
      </c>
      <c r="C358" s="65" t="s">
        <v>34</v>
      </c>
      <c r="D358" s="65" t="s">
        <v>41</v>
      </c>
      <c r="E358" s="65" t="s">
        <v>25</v>
      </c>
      <c r="F358" s="65" t="s">
        <v>25</v>
      </c>
      <c r="G358" s="65" t="s">
        <v>25</v>
      </c>
      <c r="H358" s="65" t="s">
        <v>35</v>
      </c>
      <c r="I358" s="75">
        <v>44440</v>
      </c>
      <c r="J358" s="76">
        <f>EFEITO!$J$358*EFEITO!$Y$254</f>
        <v>0</v>
      </c>
      <c r="K358" s="76">
        <f ca="1">EFEITO!$L$358*EFEITO!$Z$254</f>
        <v>32042.251859144133</v>
      </c>
      <c r="L358" s="76">
        <f>EFEITO!$N$358*EFEITO!$AA$254</f>
        <v>2937.7792598848846</v>
      </c>
      <c r="M358" s="76">
        <f>$J$358-EFEITO!$K$358*EFEITO!$Y$358</f>
        <v>0</v>
      </c>
      <c r="N358" s="76">
        <f ca="1">$K$358-EFEITO!$M$358*EFEITO!$Z$358</f>
        <v>640.84503718288397</v>
      </c>
      <c r="O358" s="76">
        <f>$L$358-EFEITO!$O$358*EFEITO!$AA$358</f>
        <v>58.755585197697656</v>
      </c>
      <c r="P358" s="19"/>
      <c r="Q358" s="19"/>
      <c r="R358" s="19"/>
      <c r="S358" s="19"/>
      <c r="T358" s="19"/>
      <c r="U358" s="19"/>
      <c r="V358" s="19"/>
      <c r="W358" s="19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65" t="s">
        <v>21</v>
      </c>
      <c r="B359" s="65" t="s">
        <v>33</v>
      </c>
      <c r="C359" s="65" t="s">
        <v>34</v>
      </c>
      <c r="D359" s="65" t="s">
        <v>41</v>
      </c>
      <c r="E359" s="65" t="s">
        <v>25</v>
      </c>
      <c r="F359" s="65" t="s">
        <v>25</v>
      </c>
      <c r="G359" s="65" t="s">
        <v>25</v>
      </c>
      <c r="H359" s="65" t="s">
        <v>35</v>
      </c>
      <c r="I359" s="75">
        <v>44470</v>
      </c>
      <c r="J359" s="76">
        <f>EFEITO!$J$359*EFEITO!$Y$254</f>
        <v>0</v>
      </c>
      <c r="K359" s="76">
        <f ca="1">EFEITO!$L$359*EFEITO!$Z$254</f>
        <v>26155.535464546203</v>
      </c>
      <c r="L359" s="76">
        <f>EFEITO!$N$359*EFEITO!$AA$254</f>
        <v>2398.0583498534365</v>
      </c>
      <c r="M359" s="76">
        <f>$J$359-EFEITO!$K$359*EFEITO!$Y$359</f>
        <v>0</v>
      </c>
      <c r="N359" s="76">
        <f ca="1">$K$359-EFEITO!$M$359*EFEITO!$Z$359</f>
        <v>523.11070929092602</v>
      </c>
      <c r="O359" s="76">
        <f>$L$359-EFEITO!$O$359*EFEITO!$AA$359</f>
        <v>47.961166997068631</v>
      </c>
      <c r="P359" s="19"/>
      <c r="Q359" s="19"/>
      <c r="R359" s="19"/>
      <c r="S359" s="19"/>
      <c r="T359" s="19"/>
      <c r="U359" s="19"/>
      <c r="V359" s="19"/>
      <c r="W359" s="19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65" t="s">
        <v>21</v>
      </c>
      <c r="B360" s="65" t="s">
        <v>33</v>
      </c>
      <c r="C360" s="65" t="s">
        <v>34</v>
      </c>
      <c r="D360" s="65" t="s">
        <v>41</v>
      </c>
      <c r="E360" s="65" t="s">
        <v>25</v>
      </c>
      <c r="F360" s="65" t="s">
        <v>25</v>
      </c>
      <c r="G360" s="65" t="s">
        <v>25</v>
      </c>
      <c r="H360" s="65" t="s">
        <v>35</v>
      </c>
      <c r="I360" s="75">
        <v>44501</v>
      </c>
      <c r="J360" s="76">
        <f>EFEITO!$J$360*EFEITO!$Y$254</f>
        <v>0</v>
      </c>
      <c r="K360" s="76">
        <f ca="1">EFEITO!$L$360*EFEITO!$Z$254</f>
        <v>35505.445092901544</v>
      </c>
      <c r="L360" s="76">
        <f>EFEITO!$N$360*EFEITO!$AA$254</f>
        <v>3255.3005533267724</v>
      </c>
      <c r="M360" s="76">
        <f>$J$360-EFEITO!$K$360*EFEITO!$Y$360</f>
        <v>0</v>
      </c>
      <c r="N360" s="76">
        <f ca="1">$K$360-EFEITO!$M$360*EFEITO!$Z$360</f>
        <v>710.10890185803146</v>
      </c>
      <c r="O360" s="76">
        <f>$L$360-EFEITO!$O$360*EFEITO!$AA$360</f>
        <v>65.106011066535302</v>
      </c>
      <c r="P360" s="19"/>
      <c r="Q360" s="19"/>
      <c r="R360" s="19"/>
      <c r="S360" s="19"/>
      <c r="T360" s="19"/>
      <c r="U360" s="19"/>
      <c r="V360" s="19"/>
      <c r="W360" s="19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65" t="s">
        <v>21</v>
      </c>
      <c r="B361" s="65" t="s">
        <v>33</v>
      </c>
      <c r="C361" s="65" t="s">
        <v>34</v>
      </c>
      <c r="D361" s="65" t="s">
        <v>41</v>
      </c>
      <c r="E361" s="65" t="s">
        <v>25</v>
      </c>
      <c r="F361" s="65" t="s">
        <v>25</v>
      </c>
      <c r="G361" s="65" t="s">
        <v>25</v>
      </c>
      <c r="H361" s="65" t="s">
        <v>35</v>
      </c>
      <c r="I361" s="75">
        <v>44531</v>
      </c>
      <c r="J361" s="76">
        <f>EFEITO!$J$361*EFEITO!$Y$254</f>
        <v>0</v>
      </c>
      <c r="K361" s="76">
        <f ca="1">EFEITO!$L$361*EFEITO!$Z$254</f>
        <v>37233.481195831904</v>
      </c>
      <c r="L361" s="76">
        <f>EFEITO!$N$361*EFEITO!$AA$254</f>
        <v>3413.7347559489067</v>
      </c>
      <c r="M361" s="76">
        <f>$J$361-EFEITO!$K$361*EFEITO!$Y$361</f>
        <v>0</v>
      </c>
      <c r="N361" s="76">
        <f ca="1">$K$361-EFEITO!$M$361*EFEITO!$Z$361</f>
        <v>744.66962391664129</v>
      </c>
      <c r="O361" s="76">
        <f>$L$361-EFEITO!$O$361*EFEITO!$AA$361</f>
        <v>68.274695118977888</v>
      </c>
      <c r="P361" s="19"/>
      <c r="Q361" s="19"/>
      <c r="R361" s="19"/>
      <c r="S361" s="19"/>
      <c r="T361" s="19"/>
      <c r="U361" s="19"/>
      <c r="V361" s="19"/>
      <c r="W361" s="19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65" t="s">
        <v>21</v>
      </c>
      <c r="B362" s="65" t="s">
        <v>33</v>
      </c>
      <c r="C362" s="65" t="s">
        <v>34</v>
      </c>
      <c r="D362" s="65" t="s">
        <v>41</v>
      </c>
      <c r="E362" s="65" t="s">
        <v>25</v>
      </c>
      <c r="F362" s="65" t="s">
        <v>25</v>
      </c>
      <c r="G362" s="65" t="s">
        <v>25</v>
      </c>
      <c r="H362" s="65" t="s">
        <v>35</v>
      </c>
      <c r="I362" s="75">
        <v>44562</v>
      </c>
      <c r="J362" s="76">
        <f>EFEITO!$J$362*EFEITO!$Y$254</f>
        <v>0</v>
      </c>
      <c r="K362" s="76">
        <f ca="1">EFEITO!$L$362*EFEITO!$Z$254</f>
        <v>39011.364494039095</v>
      </c>
      <c r="L362" s="76">
        <f>EFEITO!$N$362*EFEITO!$AA$254</f>
        <v>3576.7391759543721</v>
      </c>
      <c r="M362" s="76">
        <f>$J$362-EFEITO!$K$362*EFEITO!$Y$362</f>
        <v>0</v>
      </c>
      <c r="N362" s="76">
        <f ca="1">$K$362-EFEITO!$M$362*EFEITO!$Z$362</f>
        <v>780.22728988078597</v>
      </c>
      <c r="O362" s="76">
        <f>$L$362-EFEITO!$O$362*EFEITO!$AA$362</f>
        <v>71.534783519087341</v>
      </c>
      <c r="P362" s="19"/>
      <c r="Q362" s="19"/>
      <c r="R362" s="19"/>
      <c r="S362" s="19"/>
      <c r="T362" s="19"/>
      <c r="U362" s="19"/>
      <c r="V362" s="19"/>
      <c r="W362" s="19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65" t="s">
        <v>21</v>
      </c>
      <c r="B363" s="65" t="s">
        <v>33</v>
      </c>
      <c r="C363" s="65" t="s">
        <v>34</v>
      </c>
      <c r="D363" s="65" t="s">
        <v>41</v>
      </c>
      <c r="E363" s="65" t="s">
        <v>25</v>
      </c>
      <c r="F363" s="65" t="s">
        <v>25</v>
      </c>
      <c r="G363" s="65" t="s">
        <v>25</v>
      </c>
      <c r="H363" s="65" t="s">
        <v>35</v>
      </c>
      <c r="I363" s="75">
        <v>44593</v>
      </c>
      <c r="J363" s="76">
        <f>EFEITO!$J$363*EFEITO!$Y$254</f>
        <v>0</v>
      </c>
      <c r="K363" s="76">
        <f ca="1">EFEITO!$L$363*EFEITO!$Z$254</f>
        <v>60049.254576829997</v>
      </c>
      <c r="L363" s="76">
        <f>EFEITO!$N$363*EFEITO!$AA$254</f>
        <v>5505.5885411191794</v>
      </c>
      <c r="M363" s="76">
        <f>$J$363-EFEITO!$K$363*EFEITO!$Y$363</f>
        <v>0</v>
      </c>
      <c r="N363" s="76">
        <f ca="1">$K$363-EFEITO!$M$363*EFEITO!$Z$363</f>
        <v>1200.9850915366042</v>
      </c>
      <c r="O363" s="76">
        <f>$L$363-EFEITO!$O$363*EFEITO!$AA$363</f>
        <v>110.11177082238373</v>
      </c>
      <c r="P363" s="19"/>
      <c r="Q363" s="19"/>
      <c r="R363" s="19"/>
      <c r="S363" s="19"/>
      <c r="T363" s="19"/>
      <c r="U363" s="19"/>
      <c r="V363" s="19"/>
      <c r="W363" s="19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65" t="s">
        <v>54</v>
      </c>
      <c r="B364" s="65" t="s">
        <v>33</v>
      </c>
      <c r="C364" s="65" t="s">
        <v>34</v>
      </c>
      <c r="D364" s="65" t="s">
        <v>41</v>
      </c>
      <c r="E364" s="65" t="s">
        <v>25</v>
      </c>
      <c r="F364" s="65" t="s">
        <v>25</v>
      </c>
      <c r="G364" s="65" t="s">
        <v>25</v>
      </c>
      <c r="H364" s="65" t="s">
        <v>35</v>
      </c>
      <c r="I364" s="75">
        <v>44621</v>
      </c>
      <c r="J364" s="76">
        <f>EFEITO!$J$364*EFEITO!$Y$254</f>
        <v>0</v>
      </c>
      <c r="K364" s="76">
        <f ca="1">EFEITO!$L$364*EFEITO!$Z$254</f>
        <v>60049.254576829997</v>
      </c>
      <c r="L364" s="76">
        <f>EFEITO!$N$364*EFEITO!$AA$254</f>
        <v>5505.5885411191794</v>
      </c>
      <c r="M364" s="76">
        <f>$J$364-EFEITO!$K$364*EFEITO!$Y$364</f>
        <v>0</v>
      </c>
      <c r="N364" s="76">
        <f ca="1">$K$364-EFEITO!$M$364*EFEITO!$Z$364</f>
        <v>1200.9850915366042</v>
      </c>
      <c r="O364" s="76">
        <f>$L$364-EFEITO!$O$364*EFEITO!$AA$364</f>
        <v>110.11177082238373</v>
      </c>
      <c r="P364" s="19"/>
      <c r="Q364" s="19"/>
      <c r="R364" s="19"/>
      <c r="S364" s="19"/>
      <c r="T364" s="19"/>
      <c r="U364" s="19"/>
      <c r="V364" s="19"/>
      <c r="W364" s="19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65" t="s">
        <v>21</v>
      </c>
      <c r="B365" s="65" t="s">
        <v>33</v>
      </c>
      <c r="C365" s="65" t="s">
        <v>34</v>
      </c>
      <c r="D365" s="65" t="s">
        <v>48</v>
      </c>
      <c r="E365" s="65" t="s">
        <v>49</v>
      </c>
      <c r="F365" s="65" t="s">
        <v>25</v>
      </c>
      <c r="G365" s="65" t="s">
        <v>25</v>
      </c>
      <c r="H365" s="65" t="s">
        <v>36</v>
      </c>
      <c r="I365" s="75">
        <v>44287</v>
      </c>
      <c r="J365" s="76">
        <f>EFEITO!$J$365*EFEITO!$Y$230</f>
        <v>0</v>
      </c>
      <c r="K365" s="76">
        <f ca="1">EFEITO!$L$365*EFEITO!$Z$230</f>
        <v>13504.347250634677</v>
      </c>
      <c r="L365" s="76">
        <f>EFEITO!$N$365*EFEITO!$AA$230</f>
        <v>28449.167952435866</v>
      </c>
      <c r="M365" s="76">
        <f>$J$365-EFEITO!$K$365*EFEITO!$Y$365</f>
        <v>0</v>
      </c>
      <c r="N365" s="76">
        <f ca="1">$K$365-EFEITO!$M$365*EFEITO!$Z$365</f>
        <v>405.13041751903984</v>
      </c>
      <c r="O365" s="76">
        <f>$L$365-EFEITO!$O$365*EFEITO!$AA$365</f>
        <v>853.47503857307674</v>
      </c>
      <c r="P365" s="19"/>
      <c r="Q365" s="19"/>
      <c r="R365" s="19"/>
      <c r="S365" s="19"/>
      <c r="T365" s="19"/>
      <c r="U365" s="19"/>
      <c r="V365" s="19"/>
      <c r="W365" s="19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65" t="s">
        <v>21</v>
      </c>
      <c r="B366" s="65" t="s">
        <v>33</v>
      </c>
      <c r="C366" s="65" t="s">
        <v>34</v>
      </c>
      <c r="D366" s="65" t="s">
        <v>48</v>
      </c>
      <c r="E366" s="65" t="s">
        <v>49</v>
      </c>
      <c r="F366" s="65" t="s">
        <v>25</v>
      </c>
      <c r="G366" s="65" t="s">
        <v>25</v>
      </c>
      <c r="H366" s="65" t="s">
        <v>36</v>
      </c>
      <c r="I366" s="75">
        <v>44317</v>
      </c>
      <c r="J366" s="76">
        <f>EFEITO!$J$366*EFEITO!$Y$230</f>
        <v>0</v>
      </c>
      <c r="K366" s="76">
        <f ca="1">EFEITO!$L$366*EFEITO!$Z$230</f>
        <v>12403.528540057629</v>
      </c>
      <c r="L366" s="76">
        <f>EFEITO!$N$366*EFEITO!$AA$230</f>
        <v>26130.109074494289</v>
      </c>
      <c r="M366" s="76">
        <f>$J$366-EFEITO!$K$366*EFEITO!$Y$366</f>
        <v>0</v>
      </c>
      <c r="N366" s="76">
        <f ca="1">$K$366-EFEITO!$M$366*EFEITO!$Z$366</f>
        <v>372.10585620172787</v>
      </c>
      <c r="O366" s="76">
        <f>$L$366-EFEITO!$O$366*EFEITO!$AA$366</f>
        <v>783.90327223483109</v>
      </c>
      <c r="P366" s="19"/>
      <c r="Q366" s="19"/>
      <c r="R366" s="19"/>
      <c r="S366" s="19"/>
      <c r="T366" s="19"/>
      <c r="U366" s="19"/>
      <c r="V366" s="19"/>
      <c r="W366" s="19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65" t="s">
        <v>21</v>
      </c>
      <c r="B367" s="65" t="s">
        <v>33</v>
      </c>
      <c r="C367" s="65" t="s">
        <v>34</v>
      </c>
      <c r="D367" s="65" t="s">
        <v>48</v>
      </c>
      <c r="E367" s="65" t="s">
        <v>49</v>
      </c>
      <c r="F367" s="65" t="s">
        <v>25</v>
      </c>
      <c r="G367" s="65" t="s">
        <v>25</v>
      </c>
      <c r="H367" s="65" t="s">
        <v>36</v>
      </c>
      <c r="I367" s="75">
        <v>44348</v>
      </c>
      <c r="J367" s="76">
        <f>EFEITO!$J$367*EFEITO!$Y$230</f>
        <v>0</v>
      </c>
      <c r="K367" s="76">
        <f ca="1">EFEITO!$L$367*EFEITO!$Z$230</f>
        <v>12044.130239185113</v>
      </c>
      <c r="L367" s="76">
        <f>EFEITO!$N$367*EFEITO!$AA$230</f>
        <v>25372.976394655816</v>
      </c>
      <c r="M367" s="76">
        <f>$J$367-EFEITO!$K$367*EFEITO!$Y$367</f>
        <v>0</v>
      </c>
      <c r="N367" s="76">
        <f ca="1">$K$367-EFEITO!$M$367*EFEITO!$Z$367</f>
        <v>361.32390717555427</v>
      </c>
      <c r="O367" s="76">
        <f>$L$367-EFEITO!$O$367*EFEITO!$AA$367</f>
        <v>761.18929183967703</v>
      </c>
      <c r="P367" s="19"/>
      <c r="Q367" s="19"/>
      <c r="R367" s="19"/>
      <c r="S367" s="19"/>
      <c r="T367" s="19"/>
      <c r="U367" s="19"/>
      <c r="V367" s="19"/>
      <c r="W367" s="19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65" t="s">
        <v>21</v>
      </c>
      <c r="B368" s="65" t="s">
        <v>33</v>
      </c>
      <c r="C368" s="65" t="s">
        <v>34</v>
      </c>
      <c r="D368" s="65" t="s">
        <v>48</v>
      </c>
      <c r="E368" s="65" t="s">
        <v>49</v>
      </c>
      <c r="F368" s="65" t="s">
        <v>25</v>
      </c>
      <c r="G368" s="65" t="s">
        <v>25</v>
      </c>
      <c r="H368" s="65" t="s">
        <v>36</v>
      </c>
      <c r="I368" s="75">
        <v>44378</v>
      </c>
      <c r="J368" s="76">
        <f>EFEITO!$J$368*EFEITO!$Y$230</f>
        <v>0</v>
      </c>
      <c r="K368" s="76">
        <f ca="1">EFEITO!$L$368*EFEITO!$Z$230</f>
        <v>11622.54229268878</v>
      </c>
      <c r="L368" s="76">
        <f>EFEITO!$N$368*EFEITO!$AA$230</f>
        <v>24484.8308164952</v>
      </c>
      <c r="M368" s="76">
        <f>$J$368-EFEITO!$K$368*EFEITO!$Y$368</f>
        <v>0</v>
      </c>
      <c r="N368" s="76">
        <f ca="1">$K$368-EFEITO!$M$368*EFEITO!$Z$368</f>
        <v>348.67626878066221</v>
      </c>
      <c r="O368" s="76">
        <f>$L$368-EFEITO!$O$368*EFEITO!$AA$368</f>
        <v>734.5449244948577</v>
      </c>
      <c r="P368" s="19"/>
      <c r="Q368" s="19"/>
      <c r="R368" s="19"/>
      <c r="S368" s="19"/>
      <c r="T368" s="19"/>
      <c r="U368" s="19"/>
      <c r="V368" s="19"/>
      <c r="W368" s="19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65" t="s">
        <v>21</v>
      </c>
      <c r="B369" s="65" t="s">
        <v>33</v>
      </c>
      <c r="C369" s="65" t="s">
        <v>34</v>
      </c>
      <c r="D369" s="65" t="s">
        <v>48</v>
      </c>
      <c r="E369" s="65" t="s">
        <v>49</v>
      </c>
      <c r="F369" s="65" t="s">
        <v>25</v>
      </c>
      <c r="G369" s="65" t="s">
        <v>25</v>
      </c>
      <c r="H369" s="65" t="s">
        <v>36</v>
      </c>
      <c r="I369" s="75">
        <v>44409</v>
      </c>
      <c r="J369" s="76">
        <f>EFEITO!$J$369*EFEITO!$Y$230</f>
        <v>0</v>
      </c>
      <c r="K369" s="76">
        <f ca="1">EFEITO!$L$369*EFEITO!$Z$230</f>
        <v>11602.604416267855</v>
      </c>
      <c r="L369" s="76">
        <f>EFEITO!$N$369*EFEITO!$AA$230</f>
        <v>24442.828342448393</v>
      </c>
      <c r="M369" s="76">
        <f>$J$369-EFEITO!$K$369*EFEITO!$Y$369</f>
        <v>0</v>
      </c>
      <c r="N369" s="76">
        <f ca="1">$K$369-EFEITO!$M$369*EFEITO!$Z$369</f>
        <v>348.07813248803541</v>
      </c>
      <c r="O369" s="76">
        <f>$L$369-EFEITO!$O$369*EFEITO!$AA$369</f>
        <v>733.28485027345232</v>
      </c>
      <c r="P369" s="19"/>
      <c r="Q369" s="19"/>
      <c r="R369" s="19"/>
      <c r="S369" s="19"/>
      <c r="T369" s="19"/>
      <c r="U369" s="19"/>
      <c r="V369" s="19"/>
      <c r="W369" s="19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65" t="s">
        <v>21</v>
      </c>
      <c r="B370" s="65" t="s">
        <v>33</v>
      </c>
      <c r="C370" s="65" t="s">
        <v>34</v>
      </c>
      <c r="D370" s="65" t="s">
        <v>48</v>
      </c>
      <c r="E370" s="65" t="s">
        <v>49</v>
      </c>
      <c r="F370" s="65" t="s">
        <v>25</v>
      </c>
      <c r="G370" s="65" t="s">
        <v>25</v>
      </c>
      <c r="H370" s="65" t="s">
        <v>36</v>
      </c>
      <c r="I370" s="75">
        <v>44440</v>
      </c>
      <c r="J370" s="76">
        <f>EFEITO!$J$370*EFEITO!$Y$230</f>
        <v>0</v>
      </c>
      <c r="K370" s="76">
        <f ca="1">EFEITO!$L$370*EFEITO!$Z$230</f>
        <v>12007.560248236889</v>
      </c>
      <c r="L370" s="76">
        <f>EFEITO!$N$370*EFEITO!$AA$230</f>
        <v>25295.935587336811</v>
      </c>
      <c r="M370" s="76">
        <f>$J$370-EFEITO!$K$370*EFEITO!$Y$370</f>
        <v>0</v>
      </c>
      <c r="N370" s="76">
        <f ca="1">$K$370-EFEITO!$M$370*EFEITO!$Z$370</f>
        <v>360.22680744710669</v>
      </c>
      <c r="O370" s="76">
        <f>$L$370-EFEITO!$O$370*EFEITO!$AA$370</f>
        <v>758.87806762010587</v>
      </c>
      <c r="P370" s="19"/>
      <c r="Q370" s="19"/>
      <c r="R370" s="19"/>
      <c r="S370" s="19"/>
      <c r="T370" s="19"/>
      <c r="U370" s="19"/>
      <c r="V370" s="19"/>
      <c r="W370" s="19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65" t="s">
        <v>21</v>
      </c>
      <c r="B371" s="65" t="s">
        <v>33</v>
      </c>
      <c r="C371" s="65" t="s">
        <v>34</v>
      </c>
      <c r="D371" s="65" t="s">
        <v>48</v>
      </c>
      <c r="E371" s="65" t="s">
        <v>49</v>
      </c>
      <c r="F371" s="65" t="s">
        <v>25</v>
      </c>
      <c r="G371" s="65" t="s">
        <v>25</v>
      </c>
      <c r="H371" s="65" t="s">
        <v>36</v>
      </c>
      <c r="I371" s="75">
        <v>44470</v>
      </c>
      <c r="J371" s="76">
        <f>EFEITO!$J$371*EFEITO!$Y$230</f>
        <v>0</v>
      </c>
      <c r="K371" s="76">
        <f ca="1">EFEITO!$L$371*EFEITO!$Z$230</f>
        <v>11747.024888995587</v>
      </c>
      <c r="L371" s="76">
        <f>EFEITO!$N$371*EFEITO!$AA$230</f>
        <v>24747.074242538703</v>
      </c>
      <c r="M371" s="76">
        <f>$J$371-EFEITO!$K$371*EFEITO!$Y$371</f>
        <v>0</v>
      </c>
      <c r="N371" s="76">
        <f ca="1">$K$371-EFEITO!$M$371*EFEITO!$Z$371</f>
        <v>352.41074666986606</v>
      </c>
      <c r="O371" s="76">
        <f>$L$371-EFEITO!$O$371*EFEITO!$AA$371</f>
        <v>742.41222727616332</v>
      </c>
      <c r="P371" s="19"/>
      <c r="Q371" s="19"/>
      <c r="R371" s="19"/>
      <c r="S371" s="19"/>
      <c r="T371" s="19"/>
      <c r="U371" s="19"/>
      <c r="V371" s="19"/>
      <c r="W371" s="19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65" t="s">
        <v>21</v>
      </c>
      <c r="B372" s="65" t="s">
        <v>33</v>
      </c>
      <c r="C372" s="65" t="s">
        <v>34</v>
      </c>
      <c r="D372" s="65" t="s">
        <v>48</v>
      </c>
      <c r="E372" s="65" t="s">
        <v>49</v>
      </c>
      <c r="F372" s="65" t="s">
        <v>25</v>
      </c>
      <c r="G372" s="65" t="s">
        <v>25</v>
      </c>
      <c r="H372" s="65" t="s">
        <v>36</v>
      </c>
      <c r="I372" s="75">
        <v>44501</v>
      </c>
      <c r="J372" s="76">
        <f>EFEITO!$J$372*EFEITO!$Y$230</f>
        <v>0</v>
      </c>
      <c r="K372" s="76">
        <f ca="1">EFEITO!$L$372*EFEITO!$Z$230</f>
        <v>11798.264198346771</v>
      </c>
      <c r="L372" s="76">
        <f>EFEITO!$N$372*EFEITO!$AA$230</f>
        <v>24855.018424544993</v>
      </c>
      <c r="M372" s="76">
        <f>$J$372-EFEITO!$K$372*EFEITO!$Y$372</f>
        <v>0</v>
      </c>
      <c r="N372" s="76">
        <f ca="1">$K$372-EFEITO!$M$372*EFEITO!$Z$372</f>
        <v>353.94792595040235</v>
      </c>
      <c r="O372" s="76">
        <f>$L$372-EFEITO!$O$372*EFEITO!$AA$372</f>
        <v>745.65055273635153</v>
      </c>
      <c r="P372" s="19"/>
      <c r="Q372" s="19"/>
      <c r="R372" s="19"/>
      <c r="S372" s="19"/>
      <c r="T372" s="19"/>
      <c r="U372" s="19"/>
      <c r="V372" s="19"/>
      <c r="W372" s="19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65" t="s">
        <v>21</v>
      </c>
      <c r="B373" s="65" t="s">
        <v>33</v>
      </c>
      <c r="C373" s="65" t="s">
        <v>34</v>
      </c>
      <c r="D373" s="65" t="s">
        <v>48</v>
      </c>
      <c r="E373" s="65" t="s">
        <v>49</v>
      </c>
      <c r="F373" s="65" t="s">
        <v>25</v>
      </c>
      <c r="G373" s="65" t="s">
        <v>25</v>
      </c>
      <c r="H373" s="65" t="s">
        <v>36</v>
      </c>
      <c r="I373" s="75">
        <v>44531</v>
      </c>
      <c r="J373" s="76">
        <f>EFEITO!$J$373*EFEITO!$Y$230</f>
        <v>0</v>
      </c>
      <c r="K373" s="76">
        <f ca="1">EFEITO!$L$373*EFEITO!$Z$230</f>
        <v>11505.497660642628</v>
      </c>
      <c r="L373" s="76">
        <f>EFEITO!$N$373*EFEITO!$AA$230</f>
        <v>24238.256707194538</v>
      </c>
      <c r="M373" s="76">
        <f>$J$373-EFEITO!$K$373*EFEITO!$Y$373</f>
        <v>0</v>
      </c>
      <c r="N373" s="76">
        <f ca="1">$K$373-EFEITO!$M$373*EFEITO!$Z$373</f>
        <v>345.16492981927877</v>
      </c>
      <c r="O373" s="76">
        <f>$L$373-EFEITO!$O$373*EFEITO!$AA$373</f>
        <v>727.1477012158357</v>
      </c>
      <c r="P373" s="19"/>
      <c r="Q373" s="19"/>
      <c r="R373" s="19"/>
      <c r="S373" s="19"/>
      <c r="T373" s="19"/>
      <c r="U373" s="19"/>
      <c r="V373" s="19"/>
      <c r="W373" s="19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65" t="s">
        <v>21</v>
      </c>
      <c r="B374" s="65" t="s">
        <v>33</v>
      </c>
      <c r="C374" s="65" t="s">
        <v>34</v>
      </c>
      <c r="D374" s="65" t="s">
        <v>48</v>
      </c>
      <c r="E374" s="65" t="s">
        <v>49</v>
      </c>
      <c r="F374" s="65" t="s">
        <v>25</v>
      </c>
      <c r="G374" s="65" t="s">
        <v>25</v>
      </c>
      <c r="H374" s="65" t="s">
        <v>36</v>
      </c>
      <c r="I374" s="75">
        <v>44562</v>
      </c>
      <c r="J374" s="76">
        <f>EFEITO!$J$374*EFEITO!$Y$230</f>
        <v>0</v>
      </c>
      <c r="K374" s="76">
        <f ca="1">EFEITO!$L$374*EFEITO!$Z$230</f>
        <v>12159.831905461981</v>
      </c>
      <c r="L374" s="76">
        <f>EFEITO!$N$374*EFEITO!$AA$230</f>
        <v>25616.721321766792</v>
      </c>
      <c r="M374" s="76">
        <f>$J$374-EFEITO!$K$374*EFEITO!$Y$374</f>
        <v>0</v>
      </c>
      <c r="N374" s="76">
        <f ca="1">$K$374-EFEITO!$M$374*EFEITO!$Z$374</f>
        <v>364.79495716386009</v>
      </c>
      <c r="O374" s="76">
        <f>$L$374-EFEITO!$O$374*EFEITO!$AA$374</f>
        <v>768.50163965300453</v>
      </c>
      <c r="P374" s="19"/>
      <c r="Q374" s="19"/>
      <c r="R374" s="19"/>
      <c r="S374" s="19"/>
      <c r="T374" s="19"/>
      <c r="U374" s="19"/>
      <c r="V374" s="19"/>
      <c r="W374" s="19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65" t="s">
        <v>21</v>
      </c>
      <c r="B375" s="65" t="s">
        <v>33</v>
      </c>
      <c r="C375" s="65" t="s">
        <v>34</v>
      </c>
      <c r="D375" s="65" t="s">
        <v>48</v>
      </c>
      <c r="E375" s="65" t="s">
        <v>49</v>
      </c>
      <c r="F375" s="65" t="s">
        <v>25</v>
      </c>
      <c r="G375" s="65" t="s">
        <v>25</v>
      </c>
      <c r="H375" s="65" t="s">
        <v>36</v>
      </c>
      <c r="I375" s="75">
        <v>44593</v>
      </c>
      <c r="J375" s="76">
        <f>EFEITO!$J$375*EFEITO!$Y$230</f>
        <v>0</v>
      </c>
      <c r="K375" s="76">
        <f ca="1">EFEITO!$L$375*EFEITO!$Z$230</f>
        <v>13705.482200849905</v>
      </c>
      <c r="L375" s="76">
        <f>EFEITO!$N$375*EFEITO!$AA$230</f>
        <v>28872.892392690388</v>
      </c>
      <c r="M375" s="76">
        <f>$J$375-EFEITO!$K$375*EFEITO!$Y$375</f>
        <v>0</v>
      </c>
      <c r="N375" s="76">
        <f ca="1">$K$375-EFEITO!$M$375*EFEITO!$Z$375</f>
        <v>411.16446602549695</v>
      </c>
      <c r="O375" s="76">
        <f>$L$375-EFEITO!$O$375*EFEITO!$AA$375</f>
        <v>866.18677178071448</v>
      </c>
      <c r="P375" s="19"/>
      <c r="Q375" s="19"/>
      <c r="R375" s="19"/>
      <c r="S375" s="19"/>
      <c r="T375" s="19"/>
      <c r="U375" s="19"/>
      <c r="V375" s="19"/>
      <c r="W375" s="19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65" t="s">
        <v>54</v>
      </c>
      <c r="B376" s="65" t="s">
        <v>33</v>
      </c>
      <c r="C376" s="65" t="s">
        <v>34</v>
      </c>
      <c r="D376" s="65" t="s">
        <v>48</v>
      </c>
      <c r="E376" s="65" t="s">
        <v>49</v>
      </c>
      <c r="F376" s="65" t="s">
        <v>25</v>
      </c>
      <c r="G376" s="65" t="s">
        <v>25</v>
      </c>
      <c r="H376" s="65" t="s">
        <v>36</v>
      </c>
      <c r="I376" s="75">
        <v>44621</v>
      </c>
      <c r="J376" s="76">
        <f>EFEITO!$J$376*EFEITO!$Y$230</f>
        <v>0</v>
      </c>
      <c r="K376" s="76">
        <f ca="1">EFEITO!$L$376*EFEITO!$Z$230</f>
        <v>13705.482200849905</v>
      </c>
      <c r="L376" s="76">
        <f>EFEITO!$N$376*EFEITO!$AA$230</f>
        <v>28872.892392690388</v>
      </c>
      <c r="M376" s="76">
        <f>$J$376-EFEITO!$K$376*EFEITO!$Y$376</f>
        <v>0</v>
      </c>
      <c r="N376" s="76">
        <f ca="1">$K$376-EFEITO!$M$376*EFEITO!$Z$376</f>
        <v>411.16446602549695</v>
      </c>
      <c r="O376" s="76">
        <f>$L$376-EFEITO!$O$376*EFEITO!$AA$376</f>
        <v>866.18677178071448</v>
      </c>
      <c r="P376" s="19"/>
      <c r="Q376" s="19"/>
      <c r="R376" s="19"/>
      <c r="S376" s="19"/>
      <c r="T376" s="19"/>
      <c r="U376" s="19"/>
      <c r="V376" s="19"/>
      <c r="W376" s="19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65" t="s">
        <v>21</v>
      </c>
      <c r="B377" s="65" t="s">
        <v>33</v>
      </c>
      <c r="C377" s="65" t="s">
        <v>34</v>
      </c>
      <c r="D377" s="65" t="s">
        <v>48</v>
      </c>
      <c r="E377" s="65" t="s">
        <v>49</v>
      </c>
      <c r="F377" s="65" t="s">
        <v>25</v>
      </c>
      <c r="G377" s="65" t="s">
        <v>25</v>
      </c>
      <c r="H377" s="65" t="s">
        <v>25</v>
      </c>
      <c r="I377" s="75">
        <v>44287</v>
      </c>
      <c r="J377" s="76">
        <f ca="1">EFEITO!$J$377*EFEITO!$Y$242</f>
        <v>7887.0735850667888</v>
      </c>
      <c r="K377" s="76">
        <f>EFEITO!$L$377*EFEITO!$Z$242</f>
        <v>0</v>
      </c>
      <c r="L377" s="76">
        <f>EFEITO!$N$377*EFEITO!$AA$242</f>
        <v>0</v>
      </c>
      <c r="M377" s="76">
        <f ca="1">$J$377-EFEITO!$K$377*EFEITO!$Y$377</f>
        <v>236.61220755200429</v>
      </c>
      <c r="N377" s="76">
        <f>$K$377-EFEITO!$M$377*EFEITO!$Z$377</f>
        <v>0</v>
      </c>
      <c r="O377" s="76">
        <f>$L$377-EFEITO!$O$377*EFEITO!$AA$377</f>
        <v>0</v>
      </c>
      <c r="P377" s="19"/>
      <c r="Q377" s="19"/>
      <c r="R377" s="19"/>
      <c r="S377" s="19"/>
      <c r="T377" s="19"/>
      <c r="U377" s="19"/>
      <c r="V377" s="19"/>
      <c r="W377" s="19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65" t="s">
        <v>21</v>
      </c>
      <c r="B378" s="65" t="s">
        <v>33</v>
      </c>
      <c r="C378" s="65" t="s">
        <v>34</v>
      </c>
      <c r="D378" s="65" t="s">
        <v>48</v>
      </c>
      <c r="E378" s="65" t="s">
        <v>49</v>
      </c>
      <c r="F378" s="65" t="s">
        <v>25</v>
      </c>
      <c r="G378" s="65" t="s">
        <v>25</v>
      </c>
      <c r="H378" s="65" t="s">
        <v>25</v>
      </c>
      <c r="I378" s="75">
        <v>44317</v>
      </c>
      <c r="J378" s="76">
        <f ca="1">EFEITO!$J$378*EFEITO!$Y$242</f>
        <v>7862.8056663435063</v>
      </c>
      <c r="K378" s="76">
        <f>EFEITO!$L$378*EFEITO!$Z$242</f>
        <v>0</v>
      </c>
      <c r="L378" s="76">
        <f>EFEITO!$N$378*EFEITO!$AA$242</f>
        <v>0</v>
      </c>
      <c r="M378" s="76">
        <f ca="1">$J$378-EFEITO!$K$378*EFEITO!$Y$378</f>
        <v>235.88416999030596</v>
      </c>
      <c r="N378" s="76">
        <f>$K$378-EFEITO!$M$378*EFEITO!$Z$378</f>
        <v>0</v>
      </c>
      <c r="O378" s="76">
        <f>$L$378-EFEITO!$O$378*EFEITO!$AA$378</f>
        <v>0</v>
      </c>
      <c r="P378" s="19"/>
      <c r="Q378" s="19"/>
      <c r="R378" s="19"/>
      <c r="S378" s="19"/>
      <c r="T378" s="19"/>
      <c r="U378" s="19"/>
      <c r="V378" s="19"/>
      <c r="W378" s="19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65" t="s">
        <v>21</v>
      </c>
      <c r="B379" s="65" t="s">
        <v>33</v>
      </c>
      <c r="C379" s="65" t="s">
        <v>34</v>
      </c>
      <c r="D379" s="65" t="s">
        <v>48</v>
      </c>
      <c r="E379" s="65" t="s">
        <v>49</v>
      </c>
      <c r="F379" s="65" t="s">
        <v>25</v>
      </c>
      <c r="G379" s="65" t="s">
        <v>25</v>
      </c>
      <c r="H379" s="65" t="s">
        <v>25</v>
      </c>
      <c r="I379" s="75">
        <v>44348</v>
      </c>
      <c r="J379" s="76">
        <f ca="1">EFEITO!$J$379*EFEITO!$Y$242</f>
        <v>7862.8056663435063</v>
      </c>
      <c r="K379" s="76">
        <f>EFEITO!$L$379*EFEITO!$Z$242</f>
        <v>0</v>
      </c>
      <c r="L379" s="76">
        <f>EFEITO!$N$379*EFEITO!$AA$242</f>
        <v>0</v>
      </c>
      <c r="M379" s="76">
        <f ca="1">$J$379-EFEITO!$K$379*EFEITO!$Y$379</f>
        <v>235.88416999030596</v>
      </c>
      <c r="N379" s="76">
        <f>$K$379-EFEITO!$M$379*EFEITO!$Z$379</f>
        <v>0</v>
      </c>
      <c r="O379" s="76">
        <f>$L$379-EFEITO!$O$379*EFEITO!$AA$379</f>
        <v>0</v>
      </c>
      <c r="P379" s="19"/>
      <c r="Q379" s="19"/>
      <c r="R379" s="19"/>
      <c r="S379" s="19"/>
      <c r="T379" s="19"/>
      <c r="U379" s="19"/>
      <c r="V379" s="19"/>
      <c r="W379" s="19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65" t="s">
        <v>21</v>
      </c>
      <c r="B380" s="65" t="s">
        <v>33</v>
      </c>
      <c r="C380" s="65" t="s">
        <v>34</v>
      </c>
      <c r="D380" s="65" t="s">
        <v>48</v>
      </c>
      <c r="E380" s="65" t="s">
        <v>49</v>
      </c>
      <c r="F380" s="65" t="s">
        <v>25</v>
      </c>
      <c r="G380" s="65" t="s">
        <v>25</v>
      </c>
      <c r="H380" s="65" t="s">
        <v>25</v>
      </c>
      <c r="I380" s="75">
        <v>44378</v>
      </c>
      <c r="J380" s="76">
        <f ca="1">EFEITO!$J$380*EFEITO!$Y$242</f>
        <v>8154.0206910228953</v>
      </c>
      <c r="K380" s="76">
        <f>EFEITO!$L$380*EFEITO!$Z$242</f>
        <v>0</v>
      </c>
      <c r="L380" s="76">
        <f>EFEITO!$N$380*EFEITO!$AA$242</f>
        <v>0</v>
      </c>
      <c r="M380" s="76">
        <f ca="1">$J$380-EFEITO!$K$380*EFEITO!$Y$380</f>
        <v>244.62062073068682</v>
      </c>
      <c r="N380" s="76">
        <f>$K$380-EFEITO!$M$380*EFEITO!$Z$380</f>
        <v>0</v>
      </c>
      <c r="O380" s="76">
        <f>$L$380-EFEITO!$O$380*EFEITO!$AA$380</f>
        <v>0</v>
      </c>
      <c r="P380" s="19"/>
      <c r="Q380" s="19"/>
      <c r="R380" s="19"/>
      <c r="S380" s="19"/>
      <c r="T380" s="19"/>
      <c r="U380" s="19"/>
      <c r="V380" s="19"/>
      <c r="W380" s="19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65" t="s">
        <v>21</v>
      </c>
      <c r="B381" s="65" t="s">
        <v>33</v>
      </c>
      <c r="C381" s="65" t="s">
        <v>34</v>
      </c>
      <c r="D381" s="65" t="s">
        <v>48</v>
      </c>
      <c r="E381" s="65" t="s">
        <v>49</v>
      </c>
      <c r="F381" s="65" t="s">
        <v>25</v>
      </c>
      <c r="G381" s="65" t="s">
        <v>25</v>
      </c>
      <c r="H381" s="65" t="s">
        <v>25</v>
      </c>
      <c r="I381" s="75">
        <v>44409</v>
      </c>
      <c r="J381" s="76">
        <f ca="1">EFEITO!$J$381*EFEITO!$Y$242</f>
        <v>7984.1452599599188</v>
      </c>
      <c r="K381" s="76">
        <f>EFEITO!$L$381*EFEITO!$Z$242</f>
        <v>0</v>
      </c>
      <c r="L381" s="76">
        <f>EFEITO!$N$381*EFEITO!$AA$242</f>
        <v>0</v>
      </c>
      <c r="M381" s="76">
        <f ca="1">$J$381-EFEITO!$K$381*EFEITO!$Y$381</f>
        <v>239.52435779879852</v>
      </c>
      <c r="N381" s="76">
        <f>$K$381-EFEITO!$M$381*EFEITO!$Z$381</f>
        <v>0</v>
      </c>
      <c r="O381" s="76">
        <f>$L$381-EFEITO!$O$381*EFEITO!$AA$381</f>
        <v>0</v>
      </c>
      <c r="P381" s="19"/>
      <c r="Q381" s="19"/>
      <c r="R381" s="19"/>
      <c r="S381" s="19"/>
      <c r="T381" s="19"/>
      <c r="U381" s="19"/>
      <c r="V381" s="19"/>
      <c r="W381" s="19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65" t="s">
        <v>21</v>
      </c>
      <c r="B382" s="65" t="s">
        <v>33</v>
      </c>
      <c r="C382" s="65" t="s">
        <v>34</v>
      </c>
      <c r="D382" s="65" t="s">
        <v>48</v>
      </c>
      <c r="E382" s="65" t="s">
        <v>49</v>
      </c>
      <c r="F382" s="65" t="s">
        <v>25</v>
      </c>
      <c r="G382" s="65" t="s">
        <v>25</v>
      </c>
      <c r="H382" s="65" t="s">
        <v>25</v>
      </c>
      <c r="I382" s="75">
        <v>44440</v>
      </c>
      <c r="J382" s="76">
        <f ca="1">EFEITO!$J$382*EFEITO!$Y$242</f>
        <v>7595.8585603873998</v>
      </c>
      <c r="K382" s="76">
        <f>EFEITO!$L$382*EFEITO!$Z$242</f>
        <v>0</v>
      </c>
      <c r="L382" s="76">
        <f>EFEITO!$N$382*EFEITO!$AA$242</f>
        <v>0</v>
      </c>
      <c r="M382" s="76">
        <f ca="1">$J$382-EFEITO!$K$382*EFEITO!$Y$382</f>
        <v>227.87575681162252</v>
      </c>
      <c r="N382" s="76">
        <f>$K$382-EFEITO!$M$382*EFEITO!$Z$382</f>
        <v>0</v>
      </c>
      <c r="O382" s="76">
        <f>$L$382-EFEITO!$O$382*EFEITO!$AA$382</f>
        <v>0</v>
      </c>
      <c r="P382" s="19"/>
      <c r="Q382" s="19"/>
      <c r="R382" s="19"/>
      <c r="S382" s="19"/>
      <c r="T382" s="19"/>
      <c r="U382" s="19"/>
      <c r="V382" s="19"/>
      <c r="W382" s="19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65" t="s">
        <v>21</v>
      </c>
      <c r="B383" s="65" t="s">
        <v>33</v>
      </c>
      <c r="C383" s="65" t="s">
        <v>34</v>
      </c>
      <c r="D383" s="65" t="s">
        <v>48</v>
      </c>
      <c r="E383" s="65" t="s">
        <v>49</v>
      </c>
      <c r="F383" s="65" t="s">
        <v>25</v>
      </c>
      <c r="G383" s="65" t="s">
        <v>25</v>
      </c>
      <c r="H383" s="65" t="s">
        <v>25</v>
      </c>
      <c r="I383" s="75">
        <v>44470</v>
      </c>
      <c r="J383" s="76">
        <f ca="1">EFEITO!$J$383*EFEITO!$Y$242</f>
        <v>7595.8585603873998</v>
      </c>
      <c r="K383" s="76">
        <f>EFEITO!$L$383*EFEITO!$Z$242</f>
        <v>0</v>
      </c>
      <c r="L383" s="76">
        <f>EFEITO!$N$383*EFEITO!$AA$242</f>
        <v>0</v>
      </c>
      <c r="M383" s="76">
        <f ca="1">$J$383-EFEITO!$K$383*EFEITO!$Y$383</f>
        <v>227.87575681162252</v>
      </c>
      <c r="N383" s="76">
        <f>$K$383-EFEITO!$M$383*EFEITO!$Z$383</f>
        <v>0</v>
      </c>
      <c r="O383" s="76">
        <f>$L$383-EFEITO!$O$383*EFEITO!$AA$383</f>
        <v>0</v>
      </c>
      <c r="P383" s="19"/>
      <c r="Q383" s="19"/>
      <c r="R383" s="19"/>
      <c r="S383" s="19"/>
      <c r="T383" s="19"/>
      <c r="U383" s="19"/>
      <c r="V383" s="19"/>
      <c r="W383" s="19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65" t="s">
        <v>21</v>
      </c>
      <c r="B384" s="65" t="s">
        <v>33</v>
      </c>
      <c r="C384" s="65" t="s">
        <v>34</v>
      </c>
      <c r="D384" s="65" t="s">
        <v>48</v>
      </c>
      <c r="E384" s="65" t="s">
        <v>49</v>
      </c>
      <c r="F384" s="65" t="s">
        <v>25</v>
      </c>
      <c r="G384" s="65" t="s">
        <v>25</v>
      </c>
      <c r="H384" s="65" t="s">
        <v>25</v>
      </c>
      <c r="I384" s="75">
        <v>44501</v>
      </c>
      <c r="J384" s="76">
        <f ca="1">EFEITO!$J$384*EFEITO!$Y$242</f>
        <v>7790.0019101736589</v>
      </c>
      <c r="K384" s="76">
        <f>EFEITO!$L$384*EFEITO!$Z$242</f>
        <v>0</v>
      </c>
      <c r="L384" s="76">
        <f>EFEITO!$N$384*EFEITO!$AA$242</f>
        <v>0</v>
      </c>
      <c r="M384" s="76">
        <f ca="1">$J$384-EFEITO!$K$384*EFEITO!$Y$384</f>
        <v>233.70005730521007</v>
      </c>
      <c r="N384" s="76">
        <f>$K$384-EFEITO!$M$384*EFEITO!$Z$384</f>
        <v>0</v>
      </c>
      <c r="O384" s="76">
        <f>$L$384-EFEITO!$O$384*EFEITO!$AA$384</f>
        <v>0</v>
      </c>
      <c r="P384" s="19"/>
      <c r="Q384" s="19"/>
      <c r="R384" s="19"/>
      <c r="S384" s="19"/>
      <c r="T384" s="19"/>
      <c r="U384" s="19"/>
      <c r="V384" s="19"/>
      <c r="W384" s="19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65" t="s">
        <v>21</v>
      </c>
      <c r="B385" s="65" t="s">
        <v>33</v>
      </c>
      <c r="C385" s="65" t="s">
        <v>34</v>
      </c>
      <c r="D385" s="65" t="s">
        <v>48</v>
      </c>
      <c r="E385" s="65" t="s">
        <v>49</v>
      </c>
      <c r="F385" s="65" t="s">
        <v>25</v>
      </c>
      <c r="G385" s="65" t="s">
        <v>25</v>
      </c>
      <c r="H385" s="65" t="s">
        <v>25</v>
      </c>
      <c r="I385" s="75">
        <v>44531</v>
      </c>
      <c r="J385" s="76">
        <f ca="1">EFEITO!$J$385*EFEITO!$Y$242</f>
        <v>7838.5377476202239</v>
      </c>
      <c r="K385" s="76">
        <f>EFEITO!$L$385*EFEITO!$Z$242</f>
        <v>0</v>
      </c>
      <c r="L385" s="76">
        <f>EFEITO!$N$385*EFEITO!$AA$242</f>
        <v>0</v>
      </c>
      <c r="M385" s="76">
        <f ca="1">$J$385-EFEITO!$K$385*EFEITO!$Y$385</f>
        <v>235.15613242860672</v>
      </c>
      <c r="N385" s="76">
        <f>$K$385-EFEITO!$M$385*EFEITO!$Z$385</f>
        <v>0</v>
      </c>
      <c r="O385" s="76">
        <f>$L$385-EFEITO!$O$385*EFEITO!$AA$385</f>
        <v>0</v>
      </c>
      <c r="P385" s="19"/>
      <c r="Q385" s="19"/>
      <c r="R385" s="19"/>
      <c r="S385" s="19"/>
      <c r="T385" s="19"/>
      <c r="U385" s="19"/>
      <c r="V385" s="19"/>
      <c r="W385" s="19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65" t="s">
        <v>21</v>
      </c>
      <c r="B386" s="65" t="s">
        <v>33</v>
      </c>
      <c r="C386" s="65" t="s">
        <v>34</v>
      </c>
      <c r="D386" s="65" t="s">
        <v>48</v>
      </c>
      <c r="E386" s="65" t="s">
        <v>49</v>
      </c>
      <c r="F386" s="65" t="s">
        <v>25</v>
      </c>
      <c r="G386" s="65" t="s">
        <v>25</v>
      </c>
      <c r="H386" s="65" t="s">
        <v>25</v>
      </c>
      <c r="I386" s="75">
        <v>44562</v>
      </c>
      <c r="J386" s="76">
        <f ca="1">EFEITO!$J$386*EFEITO!$Y$242</f>
        <v>7814.2698288969414</v>
      </c>
      <c r="K386" s="76">
        <f>EFEITO!$L$386*EFEITO!$Z$242</f>
        <v>0</v>
      </c>
      <c r="L386" s="76">
        <f>EFEITO!$N$386*EFEITO!$AA$242</f>
        <v>0</v>
      </c>
      <c r="M386" s="76">
        <f ca="1">$J$386-EFEITO!$K$386*EFEITO!$Y$386</f>
        <v>234.4280948669084</v>
      </c>
      <c r="N386" s="76">
        <f>$K$386-EFEITO!$M$386*EFEITO!$Z$386</f>
        <v>0</v>
      </c>
      <c r="O386" s="76">
        <f>$L$386-EFEITO!$O$386*EFEITO!$AA$386</f>
        <v>0</v>
      </c>
      <c r="P386" s="19"/>
      <c r="Q386" s="19"/>
      <c r="R386" s="19"/>
      <c r="S386" s="19"/>
      <c r="T386" s="19"/>
      <c r="U386" s="19"/>
      <c r="V386" s="19"/>
      <c r="W386" s="19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65" t="s">
        <v>21</v>
      </c>
      <c r="B387" s="65" t="s">
        <v>33</v>
      </c>
      <c r="C387" s="65" t="s">
        <v>34</v>
      </c>
      <c r="D387" s="65" t="s">
        <v>48</v>
      </c>
      <c r="E387" s="65" t="s">
        <v>49</v>
      </c>
      <c r="F387" s="65" t="s">
        <v>25</v>
      </c>
      <c r="G387" s="65" t="s">
        <v>25</v>
      </c>
      <c r="H387" s="65" t="s">
        <v>25</v>
      </c>
      <c r="I387" s="75">
        <v>44593</v>
      </c>
      <c r="J387" s="76">
        <f ca="1">EFEITO!$J$387*EFEITO!$Y$242</f>
        <v>7595.8585603873998</v>
      </c>
      <c r="K387" s="76">
        <f>EFEITO!$L$387*EFEITO!$Z$242</f>
        <v>0</v>
      </c>
      <c r="L387" s="76">
        <f>EFEITO!$N$387*EFEITO!$AA$242</f>
        <v>0</v>
      </c>
      <c r="M387" s="76">
        <f ca="1">$J$387-EFEITO!$K$387*EFEITO!$Y$387</f>
        <v>227.87575681162252</v>
      </c>
      <c r="N387" s="76">
        <f>$K$387-EFEITO!$M$387*EFEITO!$Z$387</f>
        <v>0</v>
      </c>
      <c r="O387" s="76">
        <f>$L$387-EFEITO!$O$387*EFEITO!$AA$387</f>
        <v>0</v>
      </c>
      <c r="P387" s="19"/>
      <c r="Q387" s="19"/>
      <c r="R387" s="19"/>
      <c r="S387" s="19"/>
      <c r="T387" s="19"/>
      <c r="U387" s="19"/>
      <c r="V387" s="19"/>
      <c r="W387" s="19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65" t="s">
        <v>54</v>
      </c>
      <c r="B388" s="65" t="s">
        <v>33</v>
      </c>
      <c r="C388" s="65" t="s">
        <v>34</v>
      </c>
      <c r="D388" s="65" t="s">
        <v>48</v>
      </c>
      <c r="E388" s="65" t="s">
        <v>49</v>
      </c>
      <c r="F388" s="65" t="s">
        <v>25</v>
      </c>
      <c r="G388" s="65" t="s">
        <v>25</v>
      </c>
      <c r="H388" s="65" t="s">
        <v>25</v>
      </c>
      <c r="I388" s="75">
        <v>44621</v>
      </c>
      <c r="J388" s="76">
        <f ca="1">EFEITO!$J$388*EFEITO!$Y$242</f>
        <v>7595.8585603873998</v>
      </c>
      <c r="K388" s="76">
        <f>EFEITO!$L$388*EFEITO!$Z$242</f>
        <v>0</v>
      </c>
      <c r="L388" s="76">
        <f>EFEITO!$N$388*EFEITO!$AA$242</f>
        <v>0</v>
      </c>
      <c r="M388" s="76">
        <f ca="1">$J$388-EFEITO!$K$388*EFEITO!$Y$388</f>
        <v>227.87575681162252</v>
      </c>
      <c r="N388" s="76">
        <f>$K$388-EFEITO!$M$388*EFEITO!$Z$388</f>
        <v>0</v>
      </c>
      <c r="O388" s="76">
        <f>$L$388-EFEITO!$O$388*EFEITO!$AA$388</f>
        <v>0</v>
      </c>
      <c r="P388" s="19"/>
      <c r="Q388" s="19"/>
      <c r="R388" s="19"/>
      <c r="S388" s="19"/>
      <c r="T388" s="19"/>
      <c r="U388" s="19"/>
      <c r="V388" s="19"/>
      <c r="W388" s="19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65" t="s">
        <v>21</v>
      </c>
      <c r="B389" s="65" t="s">
        <v>33</v>
      </c>
      <c r="C389" s="65" t="s">
        <v>34</v>
      </c>
      <c r="D389" s="65" t="s">
        <v>48</v>
      </c>
      <c r="E389" s="65" t="s">
        <v>49</v>
      </c>
      <c r="F389" s="65" t="s">
        <v>25</v>
      </c>
      <c r="G389" s="65" t="s">
        <v>25</v>
      </c>
      <c r="H389" s="65" t="s">
        <v>35</v>
      </c>
      <c r="I389" s="75">
        <v>44287</v>
      </c>
      <c r="J389" s="76">
        <f>EFEITO!$J$389*EFEITO!$Y$254</f>
        <v>0</v>
      </c>
      <c r="K389" s="76">
        <f ca="1">EFEITO!$L$389*EFEITO!$Z$254</f>
        <v>33362.015695997536</v>
      </c>
      <c r="L389" s="76">
        <f>EFEITO!$N$389*EFEITO!$AA$254</f>
        <v>3058.7812058435475</v>
      </c>
      <c r="M389" s="76">
        <f>$J$389-EFEITO!$K$389*EFEITO!$Y$389</f>
        <v>0</v>
      </c>
      <c r="N389" s="76">
        <f ca="1">$K$389-EFEITO!$M$389*EFEITO!$Z$389</f>
        <v>1000.8604708799285</v>
      </c>
      <c r="O389" s="76">
        <f>$L$389-EFEITO!$O$389*EFEITO!$AA$389</f>
        <v>91.763436175306651</v>
      </c>
      <c r="P389" s="19"/>
      <c r="Q389" s="19"/>
      <c r="R389" s="19"/>
      <c r="S389" s="19"/>
      <c r="T389" s="19"/>
      <c r="U389" s="19"/>
      <c r="V389" s="19"/>
      <c r="W389" s="19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65" t="s">
        <v>21</v>
      </c>
      <c r="B390" s="65" t="s">
        <v>33</v>
      </c>
      <c r="C390" s="65" t="s">
        <v>34</v>
      </c>
      <c r="D390" s="65" t="s">
        <v>48</v>
      </c>
      <c r="E390" s="65" t="s">
        <v>49</v>
      </c>
      <c r="F390" s="65" t="s">
        <v>25</v>
      </c>
      <c r="G390" s="65" t="s">
        <v>25</v>
      </c>
      <c r="H390" s="65" t="s">
        <v>35</v>
      </c>
      <c r="I390" s="75">
        <v>44317</v>
      </c>
      <c r="J390" s="76">
        <f>EFEITO!$J$390*EFEITO!$Y$254</f>
        <v>0</v>
      </c>
      <c r="K390" s="76">
        <f ca="1">EFEITO!$L$390*EFEITO!$Z$254</f>
        <v>33839.124565075836</v>
      </c>
      <c r="L390" s="76">
        <f>EFEITO!$N$390*EFEITO!$AA$254</f>
        <v>3102.5247150839996</v>
      </c>
      <c r="M390" s="76">
        <f>$J$390-EFEITO!$K$390*EFEITO!$Y$390</f>
        <v>0</v>
      </c>
      <c r="N390" s="76">
        <f ca="1">$K$390-EFEITO!$M$390*EFEITO!$Z$390</f>
        <v>1015.1737369522743</v>
      </c>
      <c r="O390" s="76">
        <f>$L$390-EFEITO!$O$390*EFEITO!$AA$390</f>
        <v>93.075741452520106</v>
      </c>
      <c r="P390" s="19"/>
      <c r="Q390" s="19"/>
      <c r="R390" s="19"/>
      <c r="S390" s="19"/>
      <c r="T390" s="19"/>
      <c r="U390" s="19"/>
      <c r="V390" s="19"/>
      <c r="W390" s="19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65" t="s">
        <v>21</v>
      </c>
      <c r="B391" s="65" t="s">
        <v>33</v>
      </c>
      <c r="C391" s="65" t="s">
        <v>34</v>
      </c>
      <c r="D391" s="65" t="s">
        <v>48</v>
      </c>
      <c r="E391" s="65" t="s">
        <v>49</v>
      </c>
      <c r="F391" s="65" t="s">
        <v>25</v>
      </c>
      <c r="G391" s="65" t="s">
        <v>25</v>
      </c>
      <c r="H391" s="65" t="s">
        <v>35</v>
      </c>
      <c r="I391" s="75">
        <v>44348</v>
      </c>
      <c r="J391" s="76">
        <f>EFEITO!$J$391*EFEITO!$Y$254</f>
        <v>0</v>
      </c>
      <c r="K391" s="76">
        <f ca="1">EFEITO!$L$391*EFEITO!$Z$254</f>
        <v>30515.978213286682</v>
      </c>
      <c r="L391" s="76">
        <f>EFEITO!$N$391*EFEITO!$AA$254</f>
        <v>2797.8435561952792</v>
      </c>
      <c r="M391" s="76">
        <f>$J$391-EFEITO!$K$391*EFEITO!$Y$391</f>
        <v>0</v>
      </c>
      <c r="N391" s="76">
        <f ca="1">$K$391-EFEITO!$M$391*EFEITO!$Z$391</f>
        <v>915.4793463986025</v>
      </c>
      <c r="O391" s="76">
        <f>$L$391-EFEITO!$O$391*EFEITO!$AA$391</f>
        <v>83.935306685858905</v>
      </c>
      <c r="P391" s="19"/>
      <c r="Q391" s="19"/>
      <c r="R391" s="19"/>
      <c r="S391" s="19"/>
      <c r="T391" s="19"/>
      <c r="U391" s="19"/>
      <c r="V391" s="19"/>
      <c r="W391" s="19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65" t="s">
        <v>21</v>
      </c>
      <c r="B392" s="65" t="s">
        <v>33</v>
      </c>
      <c r="C392" s="65" t="s">
        <v>34</v>
      </c>
      <c r="D392" s="65" t="s">
        <v>48</v>
      </c>
      <c r="E392" s="65" t="s">
        <v>49</v>
      </c>
      <c r="F392" s="65" t="s">
        <v>25</v>
      </c>
      <c r="G392" s="65" t="s">
        <v>25</v>
      </c>
      <c r="H392" s="65" t="s">
        <v>35</v>
      </c>
      <c r="I392" s="75">
        <v>44378</v>
      </c>
      <c r="J392" s="76">
        <f>EFEITO!$J$392*EFEITO!$Y$254</f>
        <v>0</v>
      </c>
      <c r="K392" s="76">
        <f ca="1">EFEITO!$L$392*EFEITO!$Z$254</f>
        <v>29350.503314194917</v>
      </c>
      <c r="L392" s="76">
        <f>EFEITO!$N$392*EFEITO!$AA$254</f>
        <v>2690.9875211850208</v>
      </c>
      <c r="M392" s="76">
        <f>$J$392-EFEITO!$K$392*EFEITO!$Y$392</f>
        <v>0</v>
      </c>
      <c r="N392" s="76">
        <f ca="1">$K$392-EFEITO!$M$392*EFEITO!$Z$392</f>
        <v>880.51509942585108</v>
      </c>
      <c r="O392" s="76">
        <f>$L$392-EFEITO!$O$392*EFEITO!$AA$392</f>
        <v>80.729625635550747</v>
      </c>
      <c r="P392" s="19"/>
      <c r="Q392" s="19"/>
      <c r="R392" s="19"/>
      <c r="S392" s="19"/>
      <c r="T392" s="19"/>
      <c r="U392" s="19"/>
      <c r="V392" s="19"/>
      <c r="W392" s="19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65" t="s">
        <v>21</v>
      </c>
      <c r="B393" s="65" t="s">
        <v>33</v>
      </c>
      <c r="C393" s="65" t="s">
        <v>34</v>
      </c>
      <c r="D393" s="65" t="s">
        <v>48</v>
      </c>
      <c r="E393" s="65" t="s">
        <v>49</v>
      </c>
      <c r="F393" s="65" t="s">
        <v>25</v>
      </c>
      <c r="G393" s="65" t="s">
        <v>25</v>
      </c>
      <c r="H393" s="65" t="s">
        <v>35</v>
      </c>
      <c r="I393" s="75">
        <v>44409</v>
      </c>
      <c r="J393" s="76">
        <f>EFEITO!$J$393*EFEITO!$Y$254</f>
        <v>0</v>
      </c>
      <c r="K393" s="76">
        <f ca="1">EFEITO!$L$393*EFEITO!$Z$254</f>
        <v>32063.614942834203</v>
      </c>
      <c r="L393" s="76">
        <f>EFEITO!$N$393*EFEITO!$AA$254</f>
        <v>2939.7379244777403</v>
      </c>
      <c r="M393" s="76">
        <f>$J$393-EFEITO!$K$393*EFEITO!$Y$393</f>
        <v>0</v>
      </c>
      <c r="N393" s="76">
        <f ca="1">$K$393-EFEITO!$M$393*EFEITO!$Z$393</f>
        <v>961.90844828503032</v>
      </c>
      <c r="O393" s="76">
        <f>$L$393-EFEITO!$O$393*EFEITO!$AA$393</f>
        <v>88.192137734332391</v>
      </c>
      <c r="P393" s="19"/>
      <c r="Q393" s="19"/>
      <c r="R393" s="19"/>
      <c r="S393" s="19"/>
      <c r="T393" s="19"/>
      <c r="U393" s="19"/>
      <c r="V393" s="19"/>
      <c r="W393" s="19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65" t="s">
        <v>21</v>
      </c>
      <c r="B394" s="65" t="s">
        <v>33</v>
      </c>
      <c r="C394" s="65" t="s">
        <v>34</v>
      </c>
      <c r="D394" s="65" t="s">
        <v>48</v>
      </c>
      <c r="E394" s="65" t="s">
        <v>49</v>
      </c>
      <c r="F394" s="65" t="s">
        <v>25</v>
      </c>
      <c r="G394" s="65" t="s">
        <v>25</v>
      </c>
      <c r="H394" s="65" t="s">
        <v>35</v>
      </c>
      <c r="I394" s="75">
        <v>44440</v>
      </c>
      <c r="J394" s="76">
        <f>EFEITO!$J$394*EFEITO!$Y$254</f>
        <v>0</v>
      </c>
      <c r="K394" s="76">
        <f ca="1">EFEITO!$L$394*EFEITO!$Z$254</f>
        <v>31330.149069475025</v>
      </c>
      <c r="L394" s="76">
        <f>EFEITO!$N$394*EFEITO!$AA$254</f>
        <v>2872.4904401230156</v>
      </c>
      <c r="M394" s="76">
        <f>$J$394-EFEITO!$K$394*EFEITO!$Y$394</f>
        <v>0</v>
      </c>
      <c r="N394" s="76">
        <f ca="1">$K$394-EFEITO!$M$394*EFEITO!$Z$394</f>
        <v>939.90447208425394</v>
      </c>
      <c r="O394" s="76">
        <f>$L$394-EFEITO!$O$394*EFEITO!$AA$394</f>
        <v>86.174713203690771</v>
      </c>
      <c r="P394" s="19"/>
      <c r="Q394" s="19"/>
      <c r="R394" s="19"/>
      <c r="S394" s="19"/>
      <c r="T394" s="19"/>
      <c r="U394" s="19"/>
      <c r="V394" s="19"/>
      <c r="W394" s="19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65" t="s">
        <v>21</v>
      </c>
      <c r="B395" s="65" t="s">
        <v>33</v>
      </c>
      <c r="C395" s="65" t="s">
        <v>34</v>
      </c>
      <c r="D395" s="65" t="s">
        <v>48</v>
      </c>
      <c r="E395" s="65" t="s">
        <v>49</v>
      </c>
      <c r="F395" s="65" t="s">
        <v>25</v>
      </c>
      <c r="G395" s="65" t="s">
        <v>25</v>
      </c>
      <c r="H395" s="65" t="s">
        <v>35</v>
      </c>
      <c r="I395" s="75">
        <v>44470</v>
      </c>
      <c r="J395" s="76">
        <f>EFEITO!$J$395*EFEITO!$Y$254</f>
        <v>0</v>
      </c>
      <c r="K395" s="76">
        <f ca="1">EFEITO!$L$395*EFEITO!$Z$254</f>
        <v>28776.073730528504</v>
      </c>
      <c r="L395" s="76">
        <f>EFEITO!$N$395*EFEITO!$AA$254</f>
        <v>2638.3212065771131</v>
      </c>
      <c r="M395" s="76">
        <f>$J$395-EFEITO!$K$395*EFEITO!$Y$395</f>
        <v>0</v>
      </c>
      <c r="N395" s="76">
        <f ca="1">$K$395-EFEITO!$M$395*EFEITO!$Z$395</f>
        <v>863.28221191585908</v>
      </c>
      <c r="O395" s="76">
        <f>$L$395-EFEITO!$O$395*EFEITO!$AA$395</f>
        <v>79.149636197313612</v>
      </c>
      <c r="P395" s="19"/>
      <c r="Q395" s="19"/>
      <c r="R395" s="19"/>
      <c r="S395" s="19"/>
      <c r="T395" s="19"/>
      <c r="U395" s="19"/>
      <c r="V395" s="19"/>
      <c r="W395" s="19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65" t="s">
        <v>21</v>
      </c>
      <c r="B396" s="65" t="s">
        <v>33</v>
      </c>
      <c r="C396" s="65" t="s">
        <v>34</v>
      </c>
      <c r="D396" s="65" t="s">
        <v>48</v>
      </c>
      <c r="E396" s="65" t="s">
        <v>49</v>
      </c>
      <c r="F396" s="65" t="s">
        <v>25</v>
      </c>
      <c r="G396" s="65" t="s">
        <v>25</v>
      </c>
      <c r="H396" s="65" t="s">
        <v>35</v>
      </c>
      <c r="I396" s="75">
        <v>44501</v>
      </c>
      <c r="J396" s="76">
        <f>EFEITO!$J$396*EFEITO!$Y$254</f>
        <v>0</v>
      </c>
      <c r="K396" s="76">
        <f ca="1">EFEITO!$L$396*EFEITO!$Z$254</f>
        <v>32519.360728222429</v>
      </c>
      <c r="L396" s="76">
        <f>EFEITO!$N$396*EFEITO!$AA$254</f>
        <v>2981.5227691253363</v>
      </c>
      <c r="M396" s="76">
        <f>$J$396-EFEITO!$K$396*EFEITO!$Y$396</f>
        <v>0</v>
      </c>
      <c r="N396" s="76">
        <f ca="1">$K$396-EFEITO!$M$396*EFEITO!$Z$396</f>
        <v>975.58082184667728</v>
      </c>
      <c r="O396" s="76">
        <f>$L$396-EFEITO!$O$396*EFEITO!$AA$396</f>
        <v>89.445683073760392</v>
      </c>
      <c r="P396" s="19"/>
      <c r="Q396" s="19"/>
      <c r="R396" s="19"/>
      <c r="S396" s="19"/>
      <c r="T396" s="19"/>
      <c r="U396" s="19"/>
      <c r="V396" s="19"/>
      <c r="W396" s="19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65" t="s">
        <v>21</v>
      </c>
      <c r="B397" s="65" t="s">
        <v>33</v>
      </c>
      <c r="C397" s="65" t="s">
        <v>34</v>
      </c>
      <c r="D397" s="65" t="s">
        <v>48</v>
      </c>
      <c r="E397" s="65" t="s">
        <v>49</v>
      </c>
      <c r="F397" s="65" t="s">
        <v>25</v>
      </c>
      <c r="G397" s="65" t="s">
        <v>25</v>
      </c>
      <c r="H397" s="65" t="s">
        <v>35</v>
      </c>
      <c r="I397" s="75">
        <v>44531</v>
      </c>
      <c r="J397" s="76">
        <f>EFEITO!$J$397*EFEITO!$Y$254</f>
        <v>0</v>
      </c>
      <c r="K397" s="76">
        <f ca="1">EFEITO!$L$397*EFEITO!$Z$254</f>
        <v>33559.030801139321</v>
      </c>
      <c r="L397" s="76">
        <f>EFEITO!$N$397*EFEITO!$AA$254</f>
        <v>3076.8444459776647</v>
      </c>
      <c r="M397" s="76">
        <f>$J$397-EFEITO!$K$397*EFEITO!$Y$397</f>
        <v>0</v>
      </c>
      <c r="N397" s="76">
        <f ca="1">$K$397-EFEITO!$M$397*EFEITO!$Z$397</f>
        <v>1006.7709240341792</v>
      </c>
      <c r="O397" s="76">
        <f>$L$397-EFEITO!$O$397*EFEITO!$AA$397</f>
        <v>92.305333379330477</v>
      </c>
      <c r="P397" s="19"/>
      <c r="Q397" s="19"/>
      <c r="R397" s="19"/>
      <c r="S397" s="19"/>
      <c r="T397" s="19"/>
      <c r="U397" s="19"/>
      <c r="V397" s="19"/>
      <c r="W397" s="19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65" t="s">
        <v>21</v>
      </c>
      <c r="B398" s="65" t="s">
        <v>33</v>
      </c>
      <c r="C398" s="65" t="s">
        <v>34</v>
      </c>
      <c r="D398" s="65" t="s">
        <v>48</v>
      </c>
      <c r="E398" s="65" t="s">
        <v>49</v>
      </c>
      <c r="F398" s="65" t="s">
        <v>25</v>
      </c>
      <c r="G398" s="65" t="s">
        <v>25</v>
      </c>
      <c r="H398" s="65" t="s">
        <v>35</v>
      </c>
      <c r="I398" s="75">
        <v>44562</v>
      </c>
      <c r="J398" s="76">
        <f>EFEITO!$J$398*EFEITO!$Y$254</f>
        <v>0</v>
      </c>
      <c r="K398" s="76">
        <f ca="1">EFEITO!$L$398*EFEITO!$Z$254</f>
        <v>32151.440953560061</v>
      </c>
      <c r="L398" s="76">
        <f>EFEITO!$N$398*EFEITO!$AA$254</f>
        <v>2947.7902122483706</v>
      </c>
      <c r="M398" s="76">
        <f>$J$398-EFEITO!$K$398*EFEITO!$Y$398</f>
        <v>0</v>
      </c>
      <c r="N398" s="76">
        <f ca="1">$K$398-EFEITO!$M$398*EFEITO!$Z$398</f>
        <v>964.54322860680622</v>
      </c>
      <c r="O398" s="76">
        <f>$L$398-EFEITO!$O$398*EFEITO!$AA$398</f>
        <v>88.433706367451123</v>
      </c>
      <c r="P398" s="19"/>
      <c r="Q398" s="19"/>
      <c r="R398" s="19"/>
      <c r="S398" s="19"/>
      <c r="T398" s="19"/>
      <c r="U398" s="19"/>
      <c r="V398" s="19"/>
      <c r="W398" s="19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65" t="s">
        <v>21</v>
      </c>
      <c r="B399" s="65" t="s">
        <v>33</v>
      </c>
      <c r="C399" s="65" t="s">
        <v>34</v>
      </c>
      <c r="D399" s="65" t="s">
        <v>48</v>
      </c>
      <c r="E399" s="65" t="s">
        <v>49</v>
      </c>
      <c r="F399" s="65" t="s">
        <v>25</v>
      </c>
      <c r="G399" s="65" t="s">
        <v>25</v>
      </c>
      <c r="H399" s="65" t="s">
        <v>35</v>
      </c>
      <c r="I399" s="75">
        <v>44593</v>
      </c>
      <c r="J399" s="76">
        <f>EFEITO!$J$399*EFEITO!$Y$254</f>
        <v>0</v>
      </c>
      <c r="K399" s="76">
        <f ca="1">EFEITO!$L$399*EFEITO!$Z$254</f>
        <v>38505.771513374035</v>
      </c>
      <c r="L399" s="76">
        <f>EFEITO!$N$399*EFEITO!$AA$254</f>
        <v>3530.384113923446</v>
      </c>
      <c r="M399" s="76">
        <f>$J$399-EFEITO!$K$399*EFEITO!$Y$399</f>
        <v>0</v>
      </c>
      <c r="N399" s="76">
        <f ca="1">$K$399-EFEITO!$M$399*EFEITO!$Z$399</f>
        <v>1155.1731454012188</v>
      </c>
      <c r="O399" s="76">
        <f>$L$399-EFEITO!$O$399*EFEITO!$AA$399</f>
        <v>105.91152341770385</v>
      </c>
      <c r="P399" s="19"/>
      <c r="Q399" s="19"/>
      <c r="R399" s="19"/>
      <c r="S399" s="19"/>
      <c r="T399" s="19"/>
      <c r="U399" s="19"/>
      <c r="V399" s="19"/>
      <c r="W399" s="19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65" t="s">
        <v>54</v>
      </c>
      <c r="B400" s="65" t="s">
        <v>33</v>
      </c>
      <c r="C400" s="65" t="s">
        <v>34</v>
      </c>
      <c r="D400" s="65" t="s">
        <v>48</v>
      </c>
      <c r="E400" s="65" t="s">
        <v>49</v>
      </c>
      <c r="F400" s="65" t="s">
        <v>25</v>
      </c>
      <c r="G400" s="65" t="s">
        <v>25</v>
      </c>
      <c r="H400" s="65" t="s">
        <v>35</v>
      </c>
      <c r="I400" s="75">
        <v>44621</v>
      </c>
      <c r="J400" s="76">
        <f>EFEITO!$J$400*EFEITO!$Y$254</f>
        <v>0</v>
      </c>
      <c r="K400" s="76">
        <f ca="1">EFEITO!$L$400*EFEITO!$Z$254</f>
        <v>38505.771513374035</v>
      </c>
      <c r="L400" s="76">
        <f>EFEITO!$N$400*EFEITO!$AA$254</f>
        <v>3530.384113923446</v>
      </c>
      <c r="M400" s="76">
        <f>$J$400-EFEITO!$K$400*EFEITO!$Y$400</f>
        <v>0</v>
      </c>
      <c r="N400" s="76">
        <f ca="1">$K$400-EFEITO!$M$400*EFEITO!$Z$400</f>
        <v>1155.1731454012188</v>
      </c>
      <c r="O400" s="76">
        <f>$L$400-EFEITO!$O$400*EFEITO!$AA$400</f>
        <v>105.91152341770385</v>
      </c>
      <c r="P400" s="19"/>
      <c r="Q400" s="19"/>
      <c r="R400" s="19"/>
      <c r="S400" s="19"/>
      <c r="T400" s="19"/>
      <c r="U400" s="19"/>
      <c r="V400" s="19"/>
      <c r="W400" s="19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65" t="s">
        <v>21</v>
      </c>
      <c r="B401" s="65" t="s">
        <v>22</v>
      </c>
      <c r="C401" s="65" t="s">
        <v>23</v>
      </c>
      <c r="D401" s="65" t="s">
        <v>24</v>
      </c>
      <c r="E401" s="65" t="s">
        <v>24</v>
      </c>
      <c r="F401" s="65" t="s">
        <v>25</v>
      </c>
      <c r="G401" s="65" t="s">
        <v>25</v>
      </c>
      <c r="H401" s="65" t="s">
        <v>25</v>
      </c>
      <c r="I401" s="75">
        <v>44287</v>
      </c>
      <c r="J401" s="76">
        <f>EFEITO!$J$401*EFEITO!$Y$401</f>
        <v>0</v>
      </c>
      <c r="K401" s="76">
        <f ca="1">EFEITO!$L$401*EFEITO!$Z$401</f>
        <v>1084335.4406719112</v>
      </c>
      <c r="L401" s="76">
        <f>EFEITO!$N$401*EFEITO!$AA$401</f>
        <v>477320.0323970457</v>
      </c>
      <c r="M401" s="76">
        <f>$J$401-EFEITO!$K$401*EFEITO!$Y$401</f>
        <v>0</v>
      </c>
      <c r="N401" s="76">
        <f ca="1">$K$401-EFEITO!$M$401*EFEITO!$Z$401</f>
        <v>0</v>
      </c>
      <c r="O401" s="76">
        <f>$L$401-EFEITO!$O$401*EFEITO!$AA$401</f>
        <v>0</v>
      </c>
      <c r="P401" s="19"/>
      <c r="Q401" s="19"/>
      <c r="R401" s="19"/>
      <c r="S401" s="19"/>
      <c r="T401" s="19"/>
      <c r="U401" s="19"/>
      <c r="V401" s="19"/>
      <c r="W401" s="19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65" t="s">
        <v>27</v>
      </c>
      <c r="B402" s="65" t="s">
        <v>22</v>
      </c>
      <c r="C402" s="65" t="s">
        <v>23</v>
      </c>
      <c r="D402" s="65" t="s">
        <v>24</v>
      </c>
      <c r="E402" s="65" t="s">
        <v>24</v>
      </c>
      <c r="F402" s="65" t="s">
        <v>25</v>
      </c>
      <c r="G402" s="65" t="s">
        <v>25</v>
      </c>
      <c r="H402" s="65" t="s">
        <v>25</v>
      </c>
      <c r="I402" s="75">
        <v>44287</v>
      </c>
      <c r="J402" s="76">
        <f>EFEITO!$J$402*EFEITO!$Y$402</f>
        <v>0</v>
      </c>
      <c r="K402" s="76">
        <f ca="1">EFEITO!$L$402*EFEITO!$Z$402</f>
        <v>-875.07408116159115</v>
      </c>
      <c r="L402" s="76">
        <f>EFEITO!$N$402*EFEITO!$AA$402</f>
        <v>-385.20403659502517</v>
      </c>
      <c r="M402" s="76">
        <f>$J$402-EFEITO!$K$402*EFEITO!$Y$402</f>
        <v>0</v>
      </c>
      <c r="N402" s="76">
        <f ca="1">$K$402-EFEITO!$M$402*EFEITO!$Z$402</f>
        <v>0</v>
      </c>
      <c r="O402" s="76">
        <f>$L$402-EFEITO!$O$402*EFEITO!$AA$402</f>
        <v>0</v>
      </c>
      <c r="P402" s="19"/>
      <c r="Q402" s="19"/>
      <c r="R402" s="19"/>
      <c r="S402" s="19"/>
      <c r="T402" s="19"/>
      <c r="U402" s="19"/>
      <c r="V402" s="19"/>
      <c r="W402" s="19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65" t="s">
        <v>28</v>
      </c>
      <c r="B403" s="65" t="s">
        <v>22</v>
      </c>
      <c r="C403" s="65" t="s">
        <v>23</v>
      </c>
      <c r="D403" s="65" t="s">
        <v>24</v>
      </c>
      <c r="E403" s="65" t="s">
        <v>24</v>
      </c>
      <c r="F403" s="65" t="s">
        <v>25</v>
      </c>
      <c r="G403" s="65" t="s">
        <v>25</v>
      </c>
      <c r="H403" s="65" t="s">
        <v>25</v>
      </c>
      <c r="I403" s="75">
        <v>44287</v>
      </c>
      <c r="J403" s="76">
        <f>EFEITO!$J$403*EFEITO!$Y$403</f>
        <v>0</v>
      </c>
      <c r="K403" s="76">
        <f ca="1">EFEITO!$L$403*EFEITO!$Z$403</f>
        <v>9803.3016696910672</v>
      </c>
      <c r="L403" s="76">
        <f>EFEITO!$N$403*EFEITO!$AA$403</f>
        <v>4315.3733568603138</v>
      </c>
      <c r="M403" s="76">
        <f>$J$403-EFEITO!$K$403*EFEITO!$Y$403</f>
        <v>0</v>
      </c>
      <c r="N403" s="76">
        <f ca="1">$K$403-EFEITO!$M$403*EFEITO!$Z$403</f>
        <v>0</v>
      </c>
      <c r="O403" s="76">
        <f>$L$403-EFEITO!$O$403*EFEITO!$AA$403</f>
        <v>0</v>
      </c>
      <c r="P403" s="19"/>
      <c r="Q403" s="19"/>
      <c r="R403" s="19"/>
      <c r="S403" s="19"/>
      <c r="T403" s="19"/>
      <c r="U403" s="19"/>
      <c r="V403" s="19"/>
      <c r="W403" s="19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65" t="s">
        <v>21</v>
      </c>
      <c r="B404" s="65" t="s">
        <v>22</v>
      </c>
      <c r="C404" s="65" t="s">
        <v>23</v>
      </c>
      <c r="D404" s="65" t="s">
        <v>24</v>
      </c>
      <c r="E404" s="65" t="s">
        <v>24</v>
      </c>
      <c r="F404" s="65" t="s">
        <v>25</v>
      </c>
      <c r="G404" s="65" t="s">
        <v>25</v>
      </c>
      <c r="H404" s="65" t="s">
        <v>25</v>
      </c>
      <c r="I404" s="75">
        <v>44317</v>
      </c>
      <c r="J404" s="76">
        <f>EFEITO!$J$404*EFEITO!$Y$404</f>
        <v>0</v>
      </c>
      <c r="K404" s="76">
        <f ca="1">EFEITO!$L$404*EFEITO!$Z$404</f>
        <v>942152.21742364904</v>
      </c>
      <c r="L404" s="76">
        <f>EFEITO!$N$404*EFEITO!$AA$404</f>
        <v>414731.55822052795</v>
      </c>
      <c r="M404" s="76">
        <f>$J$404-EFEITO!$K$404*EFEITO!$Y$404</f>
        <v>0</v>
      </c>
      <c r="N404" s="76">
        <f ca="1">$K$404-EFEITO!$M$404*EFEITO!$Z$404</f>
        <v>0</v>
      </c>
      <c r="O404" s="76">
        <f>$L$404-EFEITO!$O$404*EFEITO!$AA$404</f>
        <v>0</v>
      </c>
      <c r="P404" s="19"/>
      <c r="Q404" s="19"/>
      <c r="R404" s="19"/>
      <c r="S404" s="19"/>
      <c r="T404" s="19"/>
      <c r="U404" s="19"/>
      <c r="V404" s="19"/>
      <c r="W404" s="19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65" t="s">
        <v>27</v>
      </c>
      <c r="B405" s="65" t="s">
        <v>22</v>
      </c>
      <c r="C405" s="65" t="s">
        <v>23</v>
      </c>
      <c r="D405" s="65" t="s">
        <v>24</v>
      </c>
      <c r="E405" s="65" t="s">
        <v>24</v>
      </c>
      <c r="F405" s="65" t="s">
        <v>25</v>
      </c>
      <c r="G405" s="65" t="s">
        <v>25</v>
      </c>
      <c r="H405" s="65" t="s">
        <v>25</v>
      </c>
      <c r="I405" s="75">
        <v>44317</v>
      </c>
      <c r="J405" s="76">
        <f>EFEITO!$J$405*EFEITO!$Y$405</f>
        <v>0</v>
      </c>
      <c r="K405" s="76">
        <f ca="1">EFEITO!$L$405*EFEITO!$Z$405</f>
        <v>-2264.3159840226481</v>
      </c>
      <c r="L405" s="76">
        <f>EFEITO!$N$405*EFEITO!$AA$405</f>
        <v>-996.74264836452846</v>
      </c>
      <c r="M405" s="76">
        <f>$J$405-EFEITO!$K$405*EFEITO!$Y$405</f>
        <v>0</v>
      </c>
      <c r="N405" s="76">
        <f ca="1">$K$405-EFEITO!$M$405*EFEITO!$Z$405</f>
        <v>0</v>
      </c>
      <c r="O405" s="76">
        <f>$L$405-EFEITO!$O$405*EFEITO!$AA$405</f>
        <v>0</v>
      </c>
      <c r="P405" s="19"/>
      <c r="Q405" s="19"/>
      <c r="R405" s="19"/>
      <c r="S405" s="19"/>
      <c r="T405" s="19"/>
      <c r="U405" s="19"/>
      <c r="V405" s="19"/>
      <c r="W405" s="19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65" t="s">
        <v>28</v>
      </c>
      <c r="B406" s="65" t="s">
        <v>22</v>
      </c>
      <c r="C406" s="65" t="s">
        <v>23</v>
      </c>
      <c r="D406" s="65" t="s">
        <v>24</v>
      </c>
      <c r="E406" s="65" t="s">
        <v>24</v>
      </c>
      <c r="F406" s="65" t="s">
        <v>25</v>
      </c>
      <c r="G406" s="65" t="s">
        <v>25</v>
      </c>
      <c r="H406" s="65" t="s">
        <v>25</v>
      </c>
      <c r="I406" s="75">
        <v>44317</v>
      </c>
      <c r="J406" s="76">
        <f>EFEITO!$J$406*EFEITO!$Y$406</f>
        <v>0</v>
      </c>
      <c r="K406" s="76">
        <f ca="1">EFEITO!$L$406*EFEITO!$Z$406</f>
        <v>10749.073826336336</v>
      </c>
      <c r="L406" s="76">
        <f>EFEITO!$N$406*EFEITO!$AA$406</f>
        <v>4731.6983975418298</v>
      </c>
      <c r="M406" s="76">
        <f>$J$406-EFEITO!$K$406*EFEITO!$Y$406</f>
        <v>0</v>
      </c>
      <c r="N406" s="76">
        <f ca="1">$K$406-EFEITO!$M$406*EFEITO!$Z$406</f>
        <v>0</v>
      </c>
      <c r="O406" s="76">
        <f>$L$406-EFEITO!$O$406*EFEITO!$AA$406</f>
        <v>0</v>
      </c>
      <c r="P406" s="19"/>
      <c r="Q406" s="19"/>
      <c r="R406" s="19"/>
      <c r="S406" s="19"/>
      <c r="T406" s="19"/>
      <c r="U406" s="19"/>
      <c r="V406" s="19"/>
      <c r="W406" s="19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65" t="s">
        <v>21</v>
      </c>
      <c r="B407" s="65" t="s">
        <v>22</v>
      </c>
      <c r="C407" s="65" t="s">
        <v>23</v>
      </c>
      <c r="D407" s="65" t="s">
        <v>24</v>
      </c>
      <c r="E407" s="65" t="s">
        <v>24</v>
      </c>
      <c r="F407" s="65" t="s">
        <v>25</v>
      </c>
      <c r="G407" s="65" t="s">
        <v>25</v>
      </c>
      <c r="H407" s="65" t="s">
        <v>25</v>
      </c>
      <c r="I407" s="75">
        <v>44348</v>
      </c>
      <c r="J407" s="76">
        <f>EFEITO!$J$407*EFEITO!$Y$407</f>
        <v>0</v>
      </c>
      <c r="K407" s="76">
        <f ca="1">EFEITO!$L$407*EFEITO!$Z$407</f>
        <v>877686.4492095334</v>
      </c>
      <c r="L407" s="76">
        <f>EFEITO!$N$407*EFEITO!$AA$407</f>
        <v>386353.99034043093</v>
      </c>
      <c r="M407" s="76">
        <f>$J$407-EFEITO!$K$407*EFEITO!$Y$407</f>
        <v>0</v>
      </c>
      <c r="N407" s="76">
        <f ca="1">$K$407-EFEITO!$M$407*EFEITO!$Z$407</f>
        <v>0</v>
      </c>
      <c r="O407" s="76">
        <f>$L$407-EFEITO!$O$407*EFEITO!$AA$407</f>
        <v>0</v>
      </c>
      <c r="P407" s="19"/>
      <c r="Q407" s="19"/>
      <c r="R407" s="19"/>
      <c r="S407" s="19"/>
      <c r="T407" s="19"/>
      <c r="U407" s="19"/>
      <c r="V407" s="19"/>
      <c r="W407" s="19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65" t="s">
        <v>27</v>
      </c>
      <c r="B408" s="65" t="s">
        <v>22</v>
      </c>
      <c r="C408" s="65" t="s">
        <v>23</v>
      </c>
      <c r="D408" s="65" t="s">
        <v>24</v>
      </c>
      <c r="E408" s="65" t="s">
        <v>24</v>
      </c>
      <c r="F408" s="65" t="s">
        <v>25</v>
      </c>
      <c r="G408" s="65" t="s">
        <v>25</v>
      </c>
      <c r="H408" s="65" t="s">
        <v>25</v>
      </c>
      <c r="I408" s="75">
        <v>44348</v>
      </c>
      <c r="J408" s="76">
        <f>EFEITO!$J$408*EFEITO!$Y$408</f>
        <v>0</v>
      </c>
      <c r="K408" s="76">
        <f ca="1">EFEITO!$L$408*EFEITO!$Z$408</f>
        <v>-432.59311921830067</v>
      </c>
      <c r="L408" s="76">
        <f>EFEITO!$N$408*EFEITO!$AA$408</f>
        <v>-190.4257243054503</v>
      </c>
      <c r="M408" s="76">
        <f>$J$408-EFEITO!$K$408*EFEITO!$Y$408</f>
        <v>0</v>
      </c>
      <c r="N408" s="76">
        <f ca="1">$K$408-EFEITO!$M$408*EFEITO!$Z$408</f>
        <v>0</v>
      </c>
      <c r="O408" s="76">
        <f>$L$408-EFEITO!$O$408*EFEITO!$AA$408</f>
        <v>0</v>
      </c>
      <c r="P408" s="19"/>
      <c r="Q408" s="19"/>
      <c r="R408" s="19"/>
      <c r="S408" s="19"/>
      <c r="T408" s="19"/>
      <c r="U408" s="19"/>
      <c r="V408" s="19"/>
      <c r="W408" s="19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65" t="s">
        <v>28</v>
      </c>
      <c r="B409" s="65" t="s">
        <v>22</v>
      </c>
      <c r="C409" s="65" t="s">
        <v>23</v>
      </c>
      <c r="D409" s="65" t="s">
        <v>24</v>
      </c>
      <c r="E409" s="65" t="s">
        <v>24</v>
      </c>
      <c r="F409" s="65" t="s">
        <v>25</v>
      </c>
      <c r="G409" s="65" t="s">
        <v>25</v>
      </c>
      <c r="H409" s="65" t="s">
        <v>25</v>
      </c>
      <c r="I409" s="75">
        <v>44348</v>
      </c>
      <c r="J409" s="76">
        <f>EFEITO!$J$409*EFEITO!$Y$409</f>
        <v>0</v>
      </c>
      <c r="K409" s="76">
        <f ca="1">EFEITO!$L$409*EFEITO!$Z$409</f>
        <v>10436.61799622666</v>
      </c>
      <c r="L409" s="76">
        <f>EFEITO!$N$409*EFEITO!$AA$409</f>
        <v>4594.1566172434923</v>
      </c>
      <c r="M409" s="76">
        <f>$J$409-EFEITO!$K$409*EFEITO!$Y$409</f>
        <v>0</v>
      </c>
      <c r="N409" s="76">
        <f ca="1">$K$409-EFEITO!$M$409*EFEITO!$Z$409</f>
        <v>0</v>
      </c>
      <c r="O409" s="76">
        <f>$L$409-EFEITO!$O$409*EFEITO!$AA$409</f>
        <v>0</v>
      </c>
      <c r="P409" s="19"/>
      <c r="Q409" s="19"/>
      <c r="R409" s="19"/>
      <c r="S409" s="19"/>
      <c r="T409" s="19"/>
      <c r="U409" s="19"/>
      <c r="V409" s="19"/>
      <c r="W409" s="19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65" t="s">
        <v>21</v>
      </c>
      <c r="B410" s="65" t="s">
        <v>22</v>
      </c>
      <c r="C410" s="65" t="s">
        <v>23</v>
      </c>
      <c r="D410" s="65" t="s">
        <v>24</v>
      </c>
      <c r="E410" s="65" t="s">
        <v>24</v>
      </c>
      <c r="F410" s="65" t="s">
        <v>25</v>
      </c>
      <c r="G410" s="65" t="s">
        <v>25</v>
      </c>
      <c r="H410" s="65" t="s">
        <v>25</v>
      </c>
      <c r="I410" s="75">
        <v>44378</v>
      </c>
      <c r="J410" s="76">
        <f>EFEITO!$J$410*EFEITO!$Y$410</f>
        <v>0</v>
      </c>
      <c r="K410" s="76">
        <f ca="1">EFEITO!$L$410*EFEITO!$Z$410</f>
        <v>886943.94196080498</v>
      </c>
      <c r="L410" s="76">
        <f>EFEITO!$N$410*EFEITO!$AA$410</f>
        <v>390429.10084056755</v>
      </c>
      <c r="M410" s="76">
        <f>$J$410-EFEITO!$K$410*EFEITO!$Y$410</f>
        <v>0</v>
      </c>
      <c r="N410" s="76">
        <f ca="1">$K$410-EFEITO!$M$410*EFEITO!$Z$410</f>
        <v>0</v>
      </c>
      <c r="O410" s="76">
        <f>$L$410-EFEITO!$O$410*EFEITO!$AA$410</f>
        <v>0</v>
      </c>
      <c r="P410" s="19"/>
      <c r="Q410" s="19"/>
      <c r="R410" s="19"/>
      <c r="S410" s="19"/>
      <c r="T410" s="19"/>
      <c r="U410" s="19"/>
      <c r="V410" s="19"/>
      <c r="W410" s="19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65" t="s">
        <v>27</v>
      </c>
      <c r="B411" s="65" t="s">
        <v>22</v>
      </c>
      <c r="C411" s="65" t="s">
        <v>23</v>
      </c>
      <c r="D411" s="65" t="s">
        <v>24</v>
      </c>
      <c r="E411" s="65" t="s">
        <v>24</v>
      </c>
      <c r="F411" s="65" t="s">
        <v>25</v>
      </c>
      <c r="G411" s="65" t="s">
        <v>25</v>
      </c>
      <c r="H411" s="65" t="s">
        <v>25</v>
      </c>
      <c r="I411" s="75">
        <v>44378</v>
      </c>
      <c r="J411" s="76">
        <f>EFEITO!$J$411*EFEITO!$Y$411</f>
        <v>0</v>
      </c>
      <c r="K411" s="76">
        <f ca="1">EFEITO!$L$411*EFEITO!$Z$411</f>
        <v>-686.71067725053672</v>
      </c>
      <c r="L411" s="76">
        <f>EFEITO!$N$411*EFEITO!$AA$411</f>
        <v>-302.287235497452</v>
      </c>
      <c r="M411" s="76">
        <f>$J$411-EFEITO!$K$411*EFEITO!$Y$411</f>
        <v>0</v>
      </c>
      <c r="N411" s="76">
        <f ca="1">$K$411-EFEITO!$M$411*EFEITO!$Z$411</f>
        <v>0</v>
      </c>
      <c r="O411" s="76">
        <f>$L$411-EFEITO!$O$411*EFEITO!$AA$411</f>
        <v>0</v>
      </c>
      <c r="P411" s="19"/>
      <c r="Q411" s="19"/>
      <c r="R411" s="19"/>
      <c r="S411" s="19"/>
      <c r="T411" s="19"/>
      <c r="U411" s="19"/>
      <c r="V411" s="19"/>
      <c r="W411" s="19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65" t="s">
        <v>28</v>
      </c>
      <c r="B412" s="65" t="s">
        <v>22</v>
      </c>
      <c r="C412" s="65" t="s">
        <v>23</v>
      </c>
      <c r="D412" s="65" t="s">
        <v>24</v>
      </c>
      <c r="E412" s="65" t="s">
        <v>24</v>
      </c>
      <c r="F412" s="65" t="s">
        <v>25</v>
      </c>
      <c r="G412" s="65" t="s">
        <v>25</v>
      </c>
      <c r="H412" s="65" t="s">
        <v>25</v>
      </c>
      <c r="I412" s="75">
        <v>44378</v>
      </c>
      <c r="J412" s="76">
        <f>EFEITO!$J$412*EFEITO!$Y$412</f>
        <v>0</v>
      </c>
      <c r="K412" s="76">
        <f ca="1">EFEITO!$L$412*EFEITO!$Z$412</f>
        <v>10525.608580751566</v>
      </c>
      <c r="L412" s="76">
        <f>EFEITO!$N$412*EFEITO!$AA$412</f>
        <v>4633.3299091006138</v>
      </c>
      <c r="M412" s="76">
        <f>$J$412-EFEITO!$K$412*EFEITO!$Y$412</f>
        <v>0</v>
      </c>
      <c r="N412" s="76">
        <f ca="1">$K$412-EFEITO!$M$412*EFEITO!$Z$412</f>
        <v>0</v>
      </c>
      <c r="O412" s="76">
        <f>$L$412-EFEITO!$O$412*EFEITO!$AA$412</f>
        <v>0</v>
      </c>
      <c r="P412" s="19"/>
      <c r="Q412" s="19"/>
      <c r="R412" s="19"/>
      <c r="S412" s="19"/>
      <c r="T412" s="19"/>
      <c r="U412" s="19"/>
      <c r="V412" s="19"/>
      <c r="W412" s="19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65" t="s">
        <v>28</v>
      </c>
      <c r="B413" s="65" t="s">
        <v>22</v>
      </c>
      <c r="C413" s="65" t="s">
        <v>23</v>
      </c>
      <c r="D413" s="65" t="s">
        <v>24</v>
      </c>
      <c r="E413" s="65" t="s">
        <v>24</v>
      </c>
      <c r="F413" s="65" t="s">
        <v>25</v>
      </c>
      <c r="G413" s="65" t="s">
        <v>25</v>
      </c>
      <c r="H413" s="65" t="s">
        <v>25</v>
      </c>
      <c r="I413" s="75">
        <v>44378</v>
      </c>
      <c r="J413" s="76">
        <f>EFEITO!$J$413*EFEITO!$Y$413</f>
        <v>0</v>
      </c>
      <c r="K413" s="76">
        <f ca="1">EFEITO!$L$413*EFEITO!$Z$413</f>
        <v>-19.281293313729975</v>
      </c>
      <c r="L413" s="76">
        <f>EFEITO!$N$413*EFEITO!$AA$413</f>
        <v>-8.4875465690429284</v>
      </c>
      <c r="M413" s="76">
        <f>$J$413-EFEITO!$K$413*EFEITO!$Y$413</f>
        <v>0</v>
      </c>
      <c r="N413" s="76">
        <f ca="1">$K$413-EFEITO!$M$413*EFEITO!$Z$413</f>
        <v>0</v>
      </c>
      <c r="O413" s="76">
        <f>$L$413-EFEITO!$O$413*EFEITO!$AA$413</f>
        <v>0</v>
      </c>
      <c r="P413" s="19"/>
      <c r="Q413" s="19"/>
      <c r="R413" s="19"/>
      <c r="S413" s="19"/>
      <c r="T413" s="19"/>
      <c r="U413" s="19"/>
      <c r="V413" s="19"/>
      <c r="W413" s="19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65" t="s">
        <v>21</v>
      </c>
      <c r="B414" s="65" t="s">
        <v>22</v>
      </c>
      <c r="C414" s="65" t="s">
        <v>23</v>
      </c>
      <c r="D414" s="65" t="s">
        <v>24</v>
      </c>
      <c r="E414" s="65" t="s">
        <v>24</v>
      </c>
      <c r="F414" s="65" t="s">
        <v>25</v>
      </c>
      <c r="G414" s="65" t="s">
        <v>25</v>
      </c>
      <c r="H414" s="65" t="s">
        <v>25</v>
      </c>
      <c r="I414" s="75">
        <v>44409</v>
      </c>
      <c r="J414" s="76">
        <f>EFEITO!$J$414*EFEITO!$Y$414</f>
        <v>0</v>
      </c>
      <c r="K414" s="76">
        <f ca="1">EFEITO!$L$414*EFEITO!$Z$414</f>
        <v>911379.27329493593</v>
      </c>
      <c r="L414" s="76">
        <f>EFEITO!$N$414*EFEITO!$AA$414</f>
        <v>401185.43389633542</v>
      </c>
      <c r="M414" s="76">
        <f>$J$414-EFEITO!$K$414*EFEITO!$Y$414</f>
        <v>0</v>
      </c>
      <c r="N414" s="76">
        <f ca="1">$K$414-EFEITO!$M$414*EFEITO!$Z$414</f>
        <v>0</v>
      </c>
      <c r="O414" s="76">
        <f>$L$414-EFEITO!$O$414*EFEITO!$AA$414</f>
        <v>0</v>
      </c>
      <c r="P414" s="19"/>
      <c r="Q414" s="19"/>
      <c r="R414" s="19"/>
      <c r="S414" s="19"/>
      <c r="T414" s="19"/>
      <c r="U414" s="19"/>
      <c r="V414" s="19"/>
      <c r="W414" s="19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65" t="s">
        <v>27</v>
      </c>
      <c r="B415" s="65" t="s">
        <v>22</v>
      </c>
      <c r="C415" s="65" t="s">
        <v>23</v>
      </c>
      <c r="D415" s="65" t="s">
        <v>24</v>
      </c>
      <c r="E415" s="65" t="s">
        <v>24</v>
      </c>
      <c r="F415" s="65" t="s">
        <v>25</v>
      </c>
      <c r="G415" s="65" t="s">
        <v>25</v>
      </c>
      <c r="H415" s="65" t="s">
        <v>25</v>
      </c>
      <c r="I415" s="75">
        <v>44409</v>
      </c>
      <c r="J415" s="76">
        <f>EFEITO!$J$415*EFEITO!$Y$415</f>
        <v>0</v>
      </c>
      <c r="K415" s="76">
        <f ca="1">EFEITO!$L$415*EFEITO!$Z$415</f>
        <v>-3686.1877678761716</v>
      </c>
      <c r="L415" s="76">
        <f>EFEITO!$N$415*EFEITO!$AA$415</f>
        <v>-1622.644800481643</v>
      </c>
      <c r="M415" s="76">
        <f>$J$415-EFEITO!$K$415*EFEITO!$Y$415</f>
        <v>0</v>
      </c>
      <c r="N415" s="76">
        <f ca="1">$K$415-EFEITO!$M$415*EFEITO!$Z$415</f>
        <v>0</v>
      </c>
      <c r="O415" s="76">
        <f>$L$415-EFEITO!$O$415*EFEITO!$AA$415</f>
        <v>0</v>
      </c>
      <c r="P415" s="19"/>
      <c r="Q415" s="19"/>
      <c r="R415" s="19"/>
      <c r="S415" s="19"/>
      <c r="T415" s="19"/>
      <c r="U415" s="19"/>
      <c r="V415" s="19"/>
      <c r="W415" s="19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65" t="s">
        <v>28</v>
      </c>
      <c r="B416" s="65" t="s">
        <v>22</v>
      </c>
      <c r="C416" s="65" t="s">
        <v>23</v>
      </c>
      <c r="D416" s="65" t="s">
        <v>24</v>
      </c>
      <c r="E416" s="65" t="s">
        <v>24</v>
      </c>
      <c r="F416" s="65" t="s">
        <v>25</v>
      </c>
      <c r="G416" s="65" t="s">
        <v>25</v>
      </c>
      <c r="H416" s="65" t="s">
        <v>25</v>
      </c>
      <c r="I416" s="75">
        <v>44409</v>
      </c>
      <c r="J416" s="76">
        <f>EFEITO!$J$416*EFEITO!$Y$416</f>
        <v>0</v>
      </c>
      <c r="K416" s="76">
        <f ca="1">EFEITO!$L$416*EFEITO!$Z$416</f>
        <v>9619.882187142508</v>
      </c>
      <c r="L416" s="76">
        <f>EFEITO!$N$416*EFEITO!$AA$416</f>
        <v>4234.632849754802</v>
      </c>
      <c r="M416" s="76">
        <f>$J$416-EFEITO!$K$416*EFEITO!$Y$416</f>
        <v>0</v>
      </c>
      <c r="N416" s="76">
        <f ca="1">$K$416-EFEITO!$M$416*EFEITO!$Z$416</f>
        <v>0</v>
      </c>
      <c r="O416" s="76">
        <f>$L$416-EFEITO!$O$416*EFEITO!$AA$416</f>
        <v>0</v>
      </c>
      <c r="P416" s="19"/>
      <c r="Q416" s="19"/>
      <c r="R416" s="19"/>
      <c r="S416" s="19"/>
      <c r="T416" s="19"/>
      <c r="U416" s="19"/>
      <c r="V416" s="19"/>
      <c r="W416" s="19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65" t="s">
        <v>21</v>
      </c>
      <c r="B417" s="65" t="s">
        <v>22</v>
      </c>
      <c r="C417" s="65" t="s">
        <v>23</v>
      </c>
      <c r="D417" s="65" t="s">
        <v>24</v>
      </c>
      <c r="E417" s="65" t="s">
        <v>24</v>
      </c>
      <c r="F417" s="65" t="s">
        <v>25</v>
      </c>
      <c r="G417" s="65" t="s">
        <v>25</v>
      </c>
      <c r="H417" s="65" t="s">
        <v>25</v>
      </c>
      <c r="I417" s="75">
        <v>44440</v>
      </c>
      <c r="J417" s="76">
        <f>EFEITO!$J$417*EFEITO!$Y$417</f>
        <v>0</v>
      </c>
      <c r="K417" s="76">
        <f ca="1">EFEITO!$L$417*EFEITO!$Z$417</f>
        <v>961721.74135281239</v>
      </c>
      <c r="L417" s="76">
        <f>EFEITO!$N$417*EFEITO!$AA$417</f>
        <v>423345.98272930807</v>
      </c>
      <c r="M417" s="76">
        <f>$J$417-EFEITO!$K$417*EFEITO!$Y$417</f>
        <v>0</v>
      </c>
      <c r="N417" s="76">
        <f ca="1">$K$417-EFEITO!$M$417*EFEITO!$Z$417</f>
        <v>0</v>
      </c>
      <c r="O417" s="76">
        <f>$L$417-EFEITO!$O$417*EFEITO!$AA$417</f>
        <v>0</v>
      </c>
      <c r="P417" s="19"/>
      <c r="Q417" s="19"/>
      <c r="R417" s="19"/>
      <c r="S417" s="19"/>
      <c r="T417" s="19"/>
      <c r="U417" s="19"/>
      <c r="V417" s="19"/>
      <c r="W417" s="19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65" t="s">
        <v>27</v>
      </c>
      <c r="B418" s="65" t="s">
        <v>22</v>
      </c>
      <c r="C418" s="65" t="s">
        <v>23</v>
      </c>
      <c r="D418" s="65" t="s">
        <v>24</v>
      </c>
      <c r="E418" s="65" t="s">
        <v>24</v>
      </c>
      <c r="F418" s="65" t="s">
        <v>25</v>
      </c>
      <c r="G418" s="65" t="s">
        <v>25</v>
      </c>
      <c r="H418" s="65" t="s">
        <v>25</v>
      </c>
      <c r="I418" s="75">
        <v>44440</v>
      </c>
      <c r="J418" s="76">
        <f>EFEITO!$J$418*EFEITO!$Y$418</f>
        <v>0</v>
      </c>
      <c r="K418" s="76">
        <f ca="1">EFEITO!$L$418*EFEITO!$Z$418</f>
        <v>-497.85288120323287</v>
      </c>
      <c r="L418" s="76">
        <f>EFEITO!$N$418*EFEITO!$AA$418</f>
        <v>-219.15280500067252</v>
      </c>
      <c r="M418" s="76">
        <f>$J$418-EFEITO!$K$418*EFEITO!$Y$418</f>
        <v>0</v>
      </c>
      <c r="N418" s="76">
        <f ca="1">$K$418-EFEITO!$M$418*EFEITO!$Z$418</f>
        <v>0</v>
      </c>
      <c r="O418" s="76">
        <f>$L$418-EFEITO!$O$418*EFEITO!$AA$418</f>
        <v>0</v>
      </c>
      <c r="P418" s="19"/>
      <c r="Q418" s="19"/>
      <c r="R418" s="19"/>
      <c r="S418" s="19"/>
      <c r="T418" s="19"/>
      <c r="U418" s="19"/>
      <c r="V418" s="19"/>
      <c r="W418" s="19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65" t="s">
        <v>28</v>
      </c>
      <c r="B419" s="65" t="s">
        <v>22</v>
      </c>
      <c r="C419" s="65" t="s">
        <v>23</v>
      </c>
      <c r="D419" s="65" t="s">
        <v>24</v>
      </c>
      <c r="E419" s="65" t="s">
        <v>24</v>
      </c>
      <c r="F419" s="65" t="s">
        <v>25</v>
      </c>
      <c r="G419" s="65" t="s">
        <v>25</v>
      </c>
      <c r="H419" s="65" t="s">
        <v>25</v>
      </c>
      <c r="I419" s="75">
        <v>44440</v>
      </c>
      <c r="J419" s="76">
        <f>EFEITO!$J$419*EFEITO!$Y$419</f>
        <v>0</v>
      </c>
      <c r="K419" s="76">
        <f ca="1">EFEITO!$L$419*EFEITO!$Z$419</f>
        <v>11158.430515150911</v>
      </c>
      <c r="L419" s="76">
        <f>EFEITO!$N$419*EFEITO!$AA$419</f>
        <v>4911.8955400845871</v>
      </c>
      <c r="M419" s="76">
        <f>$J$419-EFEITO!$K$419*EFEITO!$Y$419</f>
        <v>0</v>
      </c>
      <c r="N419" s="76">
        <f ca="1">$K$419-EFEITO!$M$419*EFEITO!$Z$419</f>
        <v>0</v>
      </c>
      <c r="O419" s="76">
        <f>$L$419-EFEITO!$O$419*EFEITO!$AA$419</f>
        <v>0</v>
      </c>
      <c r="P419" s="19"/>
      <c r="Q419" s="19"/>
      <c r="R419" s="19"/>
      <c r="S419" s="19"/>
      <c r="T419" s="19"/>
      <c r="U419" s="19"/>
      <c r="V419" s="19"/>
      <c r="W419" s="19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65" t="s">
        <v>28</v>
      </c>
      <c r="B420" s="65" t="s">
        <v>22</v>
      </c>
      <c r="C420" s="65" t="s">
        <v>23</v>
      </c>
      <c r="D420" s="65" t="s">
        <v>24</v>
      </c>
      <c r="E420" s="65" t="s">
        <v>24</v>
      </c>
      <c r="F420" s="65" t="s">
        <v>25</v>
      </c>
      <c r="G420" s="65" t="s">
        <v>25</v>
      </c>
      <c r="H420" s="65" t="s">
        <v>25</v>
      </c>
      <c r="I420" s="75">
        <v>44440</v>
      </c>
      <c r="J420" s="76">
        <f>EFEITO!$J$420*EFEITO!$Y$420</f>
        <v>0</v>
      </c>
      <c r="K420" s="76">
        <f ca="1">EFEITO!$L$420*EFEITO!$Z$420</f>
        <v>56.360703532441462</v>
      </c>
      <c r="L420" s="76">
        <f>EFEITO!$N$420*EFEITO!$AA$420</f>
        <v>24.809751509510097</v>
      </c>
      <c r="M420" s="76">
        <f>$J$420-EFEITO!$K$420*EFEITO!$Y$420</f>
        <v>0</v>
      </c>
      <c r="N420" s="76">
        <f ca="1">$K$420-EFEITO!$M$420*EFEITO!$Z$420</f>
        <v>0</v>
      </c>
      <c r="O420" s="76">
        <f>$L$420-EFEITO!$O$420*EFEITO!$AA$420</f>
        <v>0</v>
      </c>
      <c r="P420" s="19"/>
      <c r="Q420" s="19"/>
      <c r="R420" s="19"/>
      <c r="S420" s="19"/>
      <c r="T420" s="19"/>
      <c r="U420" s="19"/>
      <c r="V420" s="19"/>
      <c r="W420" s="19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65" t="s">
        <v>21</v>
      </c>
      <c r="B421" s="65" t="s">
        <v>22</v>
      </c>
      <c r="C421" s="65" t="s">
        <v>23</v>
      </c>
      <c r="D421" s="65" t="s">
        <v>24</v>
      </c>
      <c r="E421" s="65" t="s">
        <v>24</v>
      </c>
      <c r="F421" s="65" t="s">
        <v>25</v>
      </c>
      <c r="G421" s="65" t="s">
        <v>25</v>
      </c>
      <c r="H421" s="65" t="s">
        <v>25</v>
      </c>
      <c r="I421" s="75">
        <v>44470</v>
      </c>
      <c r="J421" s="76">
        <f>EFEITO!$J$421*EFEITO!$Y$421</f>
        <v>0</v>
      </c>
      <c r="K421" s="76">
        <f ca="1">EFEITO!$L$421*EFEITO!$Z$421</f>
        <v>868684.06280056655</v>
      </c>
      <c r="L421" s="76">
        <f>EFEITO!$N$421*EFEITO!$AA$421</f>
        <v>382391.17661028472</v>
      </c>
      <c r="M421" s="76">
        <f>$J$421-EFEITO!$K$421*EFEITO!$Y$421</f>
        <v>0</v>
      </c>
      <c r="N421" s="76">
        <f ca="1">$K$421-EFEITO!$M$421*EFEITO!$Z$421</f>
        <v>0</v>
      </c>
      <c r="O421" s="76">
        <f>$L$421-EFEITO!$O$421*EFEITO!$AA$421</f>
        <v>0</v>
      </c>
      <c r="P421" s="19"/>
      <c r="Q421" s="19"/>
      <c r="R421" s="19"/>
      <c r="S421" s="19"/>
      <c r="T421" s="19"/>
      <c r="U421" s="19"/>
      <c r="V421" s="19"/>
      <c r="W421" s="19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65" t="s">
        <v>27</v>
      </c>
      <c r="B422" s="65" t="s">
        <v>22</v>
      </c>
      <c r="C422" s="65" t="s">
        <v>23</v>
      </c>
      <c r="D422" s="65" t="s">
        <v>24</v>
      </c>
      <c r="E422" s="65" t="s">
        <v>24</v>
      </c>
      <c r="F422" s="65" t="s">
        <v>25</v>
      </c>
      <c r="G422" s="65" t="s">
        <v>25</v>
      </c>
      <c r="H422" s="65" t="s">
        <v>25</v>
      </c>
      <c r="I422" s="75">
        <v>44470</v>
      </c>
      <c r="J422" s="76">
        <f>EFEITO!$J$422*EFEITO!$Y$422</f>
        <v>0</v>
      </c>
      <c r="K422" s="76">
        <f ca="1">EFEITO!$L$422*EFEITO!$Z$422</f>
        <v>-14.337371951235109</v>
      </c>
      <c r="L422" s="76">
        <f>EFEITO!$N$422*EFEITO!$AA$422</f>
        <v>-6.3112525769806389</v>
      </c>
      <c r="M422" s="76">
        <f>$J$422-EFEITO!$K$422*EFEITO!$Y$422</f>
        <v>0</v>
      </c>
      <c r="N422" s="76">
        <f ca="1">$K$422-EFEITO!$M$422*EFEITO!$Z$422</f>
        <v>0</v>
      </c>
      <c r="O422" s="76">
        <f>$L$422-EFEITO!$O$422*EFEITO!$AA$422</f>
        <v>0</v>
      </c>
      <c r="P422" s="19"/>
      <c r="Q422" s="19"/>
      <c r="R422" s="19"/>
      <c r="S422" s="19"/>
      <c r="T422" s="19"/>
      <c r="U422" s="19"/>
      <c r="V422" s="19"/>
      <c r="W422" s="19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65" t="s">
        <v>28</v>
      </c>
      <c r="B423" s="65" t="s">
        <v>22</v>
      </c>
      <c r="C423" s="65" t="s">
        <v>23</v>
      </c>
      <c r="D423" s="65" t="s">
        <v>24</v>
      </c>
      <c r="E423" s="65" t="s">
        <v>24</v>
      </c>
      <c r="F423" s="65" t="s">
        <v>25</v>
      </c>
      <c r="G423" s="65" t="s">
        <v>25</v>
      </c>
      <c r="H423" s="65" t="s">
        <v>25</v>
      </c>
      <c r="I423" s="75">
        <v>44470</v>
      </c>
      <c r="J423" s="76">
        <f>EFEITO!$J$423*EFEITO!$Y$423</f>
        <v>0</v>
      </c>
      <c r="K423" s="76">
        <f ca="1">EFEITO!$L$423*EFEITO!$Z$423</f>
        <v>11970.222402872567</v>
      </c>
      <c r="L423" s="76">
        <f>EFEITO!$N$423*EFEITO!$AA$423</f>
        <v>5269.2430135812147</v>
      </c>
      <c r="M423" s="76">
        <f>$J$423-EFEITO!$K$423*EFEITO!$Y$423</f>
        <v>0</v>
      </c>
      <c r="N423" s="76">
        <f ca="1">$K$423-EFEITO!$M$423*EFEITO!$Z$423</f>
        <v>0</v>
      </c>
      <c r="O423" s="76">
        <f>$L$423-EFEITO!$O$423*EFEITO!$AA$423</f>
        <v>0</v>
      </c>
      <c r="P423" s="19"/>
      <c r="Q423" s="19"/>
      <c r="R423" s="19"/>
      <c r="S423" s="19"/>
      <c r="T423" s="19"/>
      <c r="U423" s="19"/>
      <c r="V423" s="19"/>
      <c r="W423" s="19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65" t="s">
        <v>21</v>
      </c>
      <c r="B424" s="65" t="s">
        <v>22</v>
      </c>
      <c r="C424" s="65" t="s">
        <v>23</v>
      </c>
      <c r="D424" s="65" t="s">
        <v>24</v>
      </c>
      <c r="E424" s="65" t="s">
        <v>24</v>
      </c>
      <c r="F424" s="65" t="s">
        <v>25</v>
      </c>
      <c r="G424" s="65" t="s">
        <v>25</v>
      </c>
      <c r="H424" s="65" t="s">
        <v>25</v>
      </c>
      <c r="I424" s="75">
        <v>44501</v>
      </c>
      <c r="J424" s="76">
        <f>EFEITO!$J$424*EFEITO!$Y$424</f>
        <v>0</v>
      </c>
      <c r="K424" s="76">
        <f ca="1">EFEITO!$L$424*EFEITO!$Z$424</f>
        <v>974194.26616611436</v>
      </c>
      <c r="L424" s="76">
        <f>EFEITO!$N$424*EFEITO!$AA$424</f>
        <v>428836.33721248282</v>
      </c>
      <c r="M424" s="76">
        <f>$J$424-EFEITO!$K$424*EFEITO!$Y$424</f>
        <v>0</v>
      </c>
      <c r="N424" s="76">
        <f ca="1">$K$424-EFEITO!$M$424*EFEITO!$Z$424</f>
        <v>0</v>
      </c>
      <c r="O424" s="76">
        <f>$L$424-EFEITO!$O$424*EFEITO!$AA$424</f>
        <v>0</v>
      </c>
      <c r="P424" s="19"/>
      <c r="Q424" s="19"/>
      <c r="R424" s="19"/>
      <c r="S424" s="19"/>
      <c r="T424" s="19"/>
      <c r="U424" s="19"/>
      <c r="V424" s="19"/>
      <c r="W424" s="19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65" t="s">
        <v>27</v>
      </c>
      <c r="B425" s="65" t="s">
        <v>22</v>
      </c>
      <c r="C425" s="65" t="s">
        <v>23</v>
      </c>
      <c r="D425" s="65" t="s">
        <v>24</v>
      </c>
      <c r="E425" s="65" t="s">
        <v>24</v>
      </c>
      <c r="F425" s="65" t="s">
        <v>25</v>
      </c>
      <c r="G425" s="65" t="s">
        <v>25</v>
      </c>
      <c r="H425" s="65" t="s">
        <v>25</v>
      </c>
      <c r="I425" s="75">
        <v>44501</v>
      </c>
      <c r="J425" s="76">
        <f>EFEITO!$J$425*EFEITO!$Y$425</f>
        <v>0</v>
      </c>
      <c r="K425" s="76">
        <f ca="1">EFEITO!$L$425*EFEITO!$Z$425</f>
        <v>-321.35488856216625</v>
      </c>
      <c r="L425" s="76">
        <f>EFEITO!$N$425*EFEITO!$AA$425</f>
        <v>-141.45910948404881</v>
      </c>
      <c r="M425" s="76">
        <f>$J$425-EFEITO!$K$425*EFEITO!$Y$425</f>
        <v>0</v>
      </c>
      <c r="N425" s="76">
        <f ca="1">$K$425-EFEITO!$M$425*EFEITO!$Z$425</f>
        <v>0</v>
      </c>
      <c r="O425" s="76">
        <f>$L$425-EFEITO!$O$425*EFEITO!$AA$425</f>
        <v>0</v>
      </c>
      <c r="P425" s="19"/>
      <c r="Q425" s="19"/>
      <c r="R425" s="19"/>
      <c r="S425" s="19"/>
      <c r="T425" s="19"/>
      <c r="U425" s="19"/>
      <c r="V425" s="19"/>
      <c r="W425" s="19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65" t="s">
        <v>28</v>
      </c>
      <c r="B426" s="65" t="s">
        <v>22</v>
      </c>
      <c r="C426" s="65" t="s">
        <v>23</v>
      </c>
      <c r="D426" s="65" t="s">
        <v>24</v>
      </c>
      <c r="E426" s="65" t="s">
        <v>24</v>
      </c>
      <c r="F426" s="65" t="s">
        <v>25</v>
      </c>
      <c r="G426" s="65" t="s">
        <v>25</v>
      </c>
      <c r="H426" s="65" t="s">
        <v>25</v>
      </c>
      <c r="I426" s="75">
        <v>44501</v>
      </c>
      <c r="J426" s="76">
        <f>EFEITO!$J$426*EFEITO!$Y$426</f>
        <v>0</v>
      </c>
      <c r="K426" s="76">
        <f ca="1">EFEITO!$L$426*EFEITO!$Z$426</f>
        <v>10800.985000642531</v>
      </c>
      <c r="L426" s="76">
        <f>EFEITO!$N$426*EFEITO!$AA$426</f>
        <v>4754.5494844584837</v>
      </c>
      <c r="M426" s="76">
        <f>$J$426-EFEITO!$K$426*EFEITO!$Y$426</f>
        <v>0</v>
      </c>
      <c r="N426" s="76">
        <f ca="1">$K$426-EFEITO!$M$426*EFEITO!$Z$426</f>
        <v>0</v>
      </c>
      <c r="O426" s="76">
        <f>$L$426-EFEITO!$O$426*EFEITO!$AA$426</f>
        <v>0</v>
      </c>
      <c r="P426" s="19"/>
      <c r="Q426" s="19"/>
      <c r="R426" s="19"/>
      <c r="S426" s="19"/>
      <c r="T426" s="19"/>
      <c r="U426" s="19"/>
      <c r="V426" s="19"/>
      <c r="W426" s="19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65" t="s">
        <v>21</v>
      </c>
      <c r="B427" s="65" t="s">
        <v>22</v>
      </c>
      <c r="C427" s="65" t="s">
        <v>23</v>
      </c>
      <c r="D427" s="65" t="s">
        <v>24</v>
      </c>
      <c r="E427" s="65" t="s">
        <v>24</v>
      </c>
      <c r="F427" s="65" t="s">
        <v>25</v>
      </c>
      <c r="G427" s="65" t="s">
        <v>25</v>
      </c>
      <c r="H427" s="65" t="s">
        <v>25</v>
      </c>
      <c r="I427" s="75">
        <v>44531</v>
      </c>
      <c r="J427" s="76">
        <f>EFEITO!$J$427*EFEITO!$Y$427</f>
        <v>0</v>
      </c>
      <c r="K427" s="76">
        <f ca="1">EFEITO!$L$427*EFEITO!$Z$427</f>
        <v>912881.73099699803</v>
      </c>
      <c r="L427" s="76">
        <f>EFEITO!$N$427*EFEITO!$AA$427</f>
        <v>401846.8096405231</v>
      </c>
      <c r="M427" s="76">
        <f>$J$427-EFEITO!$K$427*EFEITO!$Y$427</f>
        <v>0</v>
      </c>
      <c r="N427" s="76">
        <f ca="1">$K$427-EFEITO!$M$427*EFEITO!$Z$427</f>
        <v>0</v>
      </c>
      <c r="O427" s="76">
        <f>$L$427-EFEITO!$O$427*EFEITO!$AA$427</f>
        <v>0</v>
      </c>
      <c r="P427" s="19"/>
      <c r="Q427" s="19"/>
      <c r="R427" s="19"/>
      <c r="S427" s="19"/>
      <c r="T427" s="19"/>
      <c r="U427" s="19"/>
      <c r="V427" s="19"/>
      <c r="W427" s="19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65" t="s">
        <v>27</v>
      </c>
      <c r="B428" s="65" t="s">
        <v>22</v>
      </c>
      <c r="C428" s="65" t="s">
        <v>23</v>
      </c>
      <c r="D428" s="65" t="s">
        <v>24</v>
      </c>
      <c r="E428" s="65" t="s">
        <v>24</v>
      </c>
      <c r="F428" s="65" t="s">
        <v>25</v>
      </c>
      <c r="G428" s="65" t="s">
        <v>25</v>
      </c>
      <c r="H428" s="65" t="s">
        <v>25</v>
      </c>
      <c r="I428" s="75">
        <v>44531</v>
      </c>
      <c r="J428" s="76">
        <f>EFEITO!$J$428*EFEITO!$Y$428</f>
        <v>0</v>
      </c>
      <c r="K428" s="76">
        <f ca="1">EFEITO!$L$428*EFEITO!$Z$428</f>
        <v>-542.34817346568673</v>
      </c>
      <c r="L428" s="76">
        <f>EFEITO!$N$428*EFEITO!$AA$428</f>
        <v>-238.73945092923313</v>
      </c>
      <c r="M428" s="76">
        <f>$J$428-EFEITO!$K$428*EFEITO!$Y$428</f>
        <v>0</v>
      </c>
      <c r="N428" s="76">
        <f ca="1">$K$428-EFEITO!$M$428*EFEITO!$Z$428</f>
        <v>0</v>
      </c>
      <c r="O428" s="76">
        <f>$L$428-EFEITO!$O$428*EFEITO!$AA$428</f>
        <v>0</v>
      </c>
      <c r="P428" s="19"/>
      <c r="Q428" s="19"/>
      <c r="R428" s="19"/>
      <c r="S428" s="19"/>
      <c r="T428" s="19"/>
      <c r="U428" s="19"/>
      <c r="V428" s="19"/>
      <c r="W428" s="19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65" t="s">
        <v>28</v>
      </c>
      <c r="B429" s="65" t="s">
        <v>22</v>
      </c>
      <c r="C429" s="65" t="s">
        <v>23</v>
      </c>
      <c r="D429" s="65" t="s">
        <v>24</v>
      </c>
      <c r="E429" s="65" t="s">
        <v>24</v>
      </c>
      <c r="F429" s="65" t="s">
        <v>25</v>
      </c>
      <c r="G429" s="65" t="s">
        <v>25</v>
      </c>
      <c r="H429" s="65" t="s">
        <v>25</v>
      </c>
      <c r="I429" s="75">
        <v>44531</v>
      </c>
      <c r="J429" s="76">
        <f>EFEITO!$J$429*EFEITO!$Y$429</f>
        <v>0</v>
      </c>
      <c r="K429" s="76">
        <f ca="1">EFEITO!$L$429*EFEITO!$Z$429</f>
        <v>9122.5236980755253</v>
      </c>
      <c r="L429" s="76">
        <f>EFEITO!$N$429*EFEITO!$AA$429</f>
        <v>4015.6976741533367</v>
      </c>
      <c r="M429" s="76">
        <f>$J$429-EFEITO!$K$429*EFEITO!$Y$429</f>
        <v>0</v>
      </c>
      <c r="N429" s="76">
        <f ca="1">$K$429-EFEITO!$M$429*EFEITO!$Z$429</f>
        <v>0</v>
      </c>
      <c r="O429" s="76">
        <f>$L$429-EFEITO!$O$429*EFEITO!$AA$429</f>
        <v>0</v>
      </c>
      <c r="P429" s="19"/>
      <c r="Q429" s="19"/>
      <c r="R429" s="19"/>
      <c r="S429" s="19"/>
      <c r="T429" s="19"/>
      <c r="U429" s="19"/>
      <c r="V429" s="19"/>
      <c r="W429" s="19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65" t="s">
        <v>28</v>
      </c>
      <c r="B430" s="65" t="s">
        <v>22</v>
      </c>
      <c r="C430" s="65" t="s">
        <v>23</v>
      </c>
      <c r="D430" s="65" t="s">
        <v>24</v>
      </c>
      <c r="E430" s="65" t="s">
        <v>24</v>
      </c>
      <c r="F430" s="65" t="s">
        <v>25</v>
      </c>
      <c r="G430" s="65" t="s">
        <v>25</v>
      </c>
      <c r="H430" s="65" t="s">
        <v>25</v>
      </c>
      <c r="I430" s="75">
        <v>44531</v>
      </c>
      <c r="J430" s="76">
        <f>EFEITO!$J$430*EFEITO!$Y$430</f>
        <v>0</v>
      </c>
      <c r="K430" s="76">
        <f ca="1">EFEITO!$L$430*EFEITO!$Z$430</f>
        <v>-1.4831764087484596</v>
      </c>
      <c r="L430" s="76">
        <f>EFEITO!$N$430*EFEITO!$AA$430</f>
        <v>-0.65288819761868677</v>
      </c>
      <c r="M430" s="76">
        <f>$J$430-EFEITO!$K$430*EFEITO!$Y$430</f>
        <v>0</v>
      </c>
      <c r="N430" s="76">
        <f ca="1">$K$430-EFEITO!$M$430*EFEITO!$Z$430</f>
        <v>0</v>
      </c>
      <c r="O430" s="76">
        <f>$L$430-EFEITO!$O$430*EFEITO!$AA$430</f>
        <v>0</v>
      </c>
      <c r="P430" s="19"/>
      <c r="Q430" s="19"/>
      <c r="R430" s="19"/>
      <c r="S430" s="19"/>
      <c r="T430" s="19"/>
      <c r="U430" s="19"/>
      <c r="V430" s="19"/>
      <c r="W430" s="19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65" t="s">
        <v>21</v>
      </c>
      <c r="B431" s="65" t="s">
        <v>22</v>
      </c>
      <c r="C431" s="65" t="s">
        <v>23</v>
      </c>
      <c r="D431" s="65" t="s">
        <v>24</v>
      </c>
      <c r="E431" s="65" t="s">
        <v>24</v>
      </c>
      <c r="F431" s="65" t="s">
        <v>25</v>
      </c>
      <c r="G431" s="65" t="s">
        <v>25</v>
      </c>
      <c r="H431" s="65" t="s">
        <v>25</v>
      </c>
      <c r="I431" s="75">
        <v>44562</v>
      </c>
      <c r="J431" s="76">
        <f>EFEITO!$J$431*EFEITO!$Y$431</f>
        <v>0</v>
      </c>
      <c r="K431" s="76">
        <f ca="1">EFEITO!$L$431*EFEITO!$Z$431</f>
        <v>1178886.4535532168</v>
      </c>
      <c r="L431" s="76">
        <f>EFEITO!$N$431*EFEITO!$AA$431</f>
        <v>518941.00210703933</v>
      </c>
      <c r="M431" s="76">
        <f>$J$431-EFEITO!$K$431*EFEITO!$Y$431</f>
        <v>0</v>
      </c>
      <c r="N431" s="76">
        <f ca="1">$K$431-EFEITO!$M$431*EFEITO!$Z$431</f>
        <v>0</v>
      </c>
      <c r="O431" s="76">
        <f>$L$431-EFEITO!$O$431*EFEITO!$AA$431</f>
        <v>0</v>
      </c>
      <c r="P431" s="19"/>
      <c r="Q431" s="19"/>
      <c r="R431" s="19"/>
      <c r="S431" s="19"/>
      <c r="T431" s="19"/>
      <c r="U431" s="19"/>
      <c r="V431" s="19"/>
      <c r="W431" s="19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65" t="s">
        <v>27</v>
      </c>
      <c r="B432" s="65" t="s">
        <v>22</v>
      </c>
      <c r="C432" s="65" t="s">
        <v>23</v>
      </c>
      <c r="D432" s="65" t="s">
        <v>24</v>
      </c>
      <c r="E432" s="65" t="s">
        <v>24</v>
      </c>
      <c r="F432" s="65" t="s">
        <v>25</v>
      </c>
      <c r="G432" s="65" t="s">
        <v>25</v>
      </c>
      <c r="H432" s="65" t="s">
        <v>25</v>
      </c>
      <c r="I432" s="75">
        <v>44562</v>
      </c>
      <c r="J432" s="76">
        <f>EFEITO!$J$432*EFEITO!$Y$432</f>
        <v>0</v>
      </c>
      <c r="K432" s="76">
        <f ca="1">EFEITO!$L$432*EFEITO!$Z$432</f>
        <v>-591.29299495438579</v>
      </c>
      <c r="L432" s="76">
        <f>EFEITO!$N$432*EFEITO!$AA$432</f>
        <v>-260.2847614506498</v>
      </c>
      <c r="M432" s="76">
        <f>$J$432-EFEITO!$K$432*EFEITO!$Y$432</f>
        <v>0</v>
      </c>
      <c r="N432" s="76">
        <f ca="1">$K$432-EFEITO!$M$432*EFEITO!$Z$432</f>
        <v>0</v>
      </c>
      <c r="O432" s="76">
        <f>$L$432-EFEITO!$O$432*EFEITO!$AA$432</f>
        <v>0</v>
      </c>
      <c r="P432" s="19"/>
      <c r="Q432" s="19"/>
      <c r="R432" s="19"/>
      <c r="S432" s="19"/>
      <c r="T432" s="19"/>
      <c r="U432" s="19"/>
      <c r="V432" s="19"/>
      <c r="W432" s="19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65" t="s">
        <v>28</v>
      </c>
      <c r="B433" s="65" t="s">
        <v>22</v>
      </c>
      <c r="C433" s="65" t="s">
        <v>23</v>
      </c>
      <c r="D433" s="65" t="s">
        <v>24</v>
      </c>
      <c r="E433" s="65" t="s">
        <v>24</v>
      </c>
      <c r="F433" s="65" t="s">
        <v>25</v>
      </c>
      <c r="G433" s="65" t="s">
        <v>25</v>
      </c>
      <c r="H433" s="65" t="s">
        <v>25</v>
      </c>
      <c r="I433" s="75">
        <v>44562</v>
      </c>
      <c r="J433" s="76">
        <f>EFEITO!$J$433*EFEITO!$Y$433</f>
        <v>0</v>
      </c>
      <c r="K433" s="76">
        <f ca="1">EFEITO!$L$433*EFEITO!$Z$433</f>
        <v>17223.138850523363</v>
      </c>
      <c r="L433" s="76">
        <f>EFEITO!$N$433*EFEITO!$AA$433</f>
        <v>7581.555380147398</v>
      </c>
      <c r="M433" s="76">
        <f>$J$433-EFEITO!$K$433*EFEITO!$Y$433</f>
        <v>0</v>
      </c>
      <c r="N433" s="76">
        <f ca="1">$K$433-EFEITO!$M$433*EFEITO!$Z$433</f>
        <v>0</v>
      </c>
      <c r="O433" s="76">
        <f>$L$433-EFEITO!$O$433*EFEITO!$AA$433</f>
        <v>0</v>
      </c>
      <c r="P433" s="19"/>
      <c r="Q433" s="19"/>
      <c r="R433" s="19"/>
      <c r="S433" s="19"/>
      <c r="T433" s="19"/>
      <c r="U433" s="19"/>
      <c r="V433" s="19"/>
      <c r="W433" s="19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65" t="s">
        <v>21</v>
      </c>
      <c r="B434" s="65" t="s">
        <v>22</v>
      </c>
      <c r="C434" s="65" t="s">
        <v>23</v>
      </c>
      <c r="D434" s="65" t="s">
        <v>24</v>
      </c>
      <c r="E434" s="65" t="s">
        <v>24</v>
      </c>
      <c r="F434" s="65" t="s">
        <v>25</v>
      </c>
      <c r="G434" s="65" t="s">
        <v>25</v>
      </c>
      <c r="H434" s="65" t="s">
        <v>25</v>
      </c>
      <c r="I434" s="75">
        <v>44593</v>
      </c>
      <c r="J434" s="76">
        <f>EFEITO!$J$434*EFEITO!$Y$434</f>
        <v>0</v>
      </c>
      <c r="K434" s="76">
        <f ca="1">EFEITO!$L$434*EFEITO!$Z$434</f>
        <v>1061756.0574172609</v>
      </c>
      <c r="L434" s="76">
        <f>EFEITO!$N$434*EFEITO!$AA$434</f>
        <v>467380.68010589806</v>
      </c>
      <c r="M434" s="76">
        <f>$J$434-EFEITO!$K$434*EFEITO!$Y$434</f>
        <v>0</v>
      </c>
      <c r="N434" s="76">
        <f ca="1">$K$434-EFEITO!$M$434*EFEITO!$Z$434</f>
        <v>0</v>
      </c>
      <c r="O434" s="76">
        <f>$L$434-EFEITO!$O$434*EFEITO!$AA$434</f>
        <v>0</v>
      </c>
      <c r="P434" s="19"/>
      <c r="Q434" s="19"/>
      <c r="R434" s="19"/>
      <c r="S434" s="19"/>
      <c r="T434" s="19"/>
      <c r="U434" s="19"/>
      <c r="V434" s="19"/>
      <c r="W434" s="19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65" t="s">
        <v>27</v>
      </c>
      <c r="B435" s="65" t="s">
        <v>22</v>
      </c>
      <c r="C435" s="65" t="s">
        <v>23</v>
      </c>
      <c r="D435" s="65" t="s">
        <v>24</v>
      </c>
      <c r="E435" s="65" t="s">
        <v>24</v>
      </c>
      <c r="F435" s="65" t="s">
        <v>25</v>
      </c>
      <c r="G435" s="65" t="s">
        <v>25</v>
      </c>
      <c r="H435" s="65" t="s">
        <v>25</v>
      </c>
      <c r="I435" s="75">
        <v>44593</v>
      </c>
      <c r="J435" s="76">
        <f>EFEITO!$J$435*EFEITO!$Y$435</f>
        <v>0</v>
      </c>
      <c r="K435" s="76">
        <f ca="1">EFEITO!$L$435*EFEITO!$Z$435</f>
        <v>-15206.513326761706</v>
      </c>
      <c r="L435" s="76">
        <f>EFEITO!$N$435*EFEITO!$AA$435</f>
        <v>-6693.8450607851892</v>
      </c>
      <c r="M435" s="76">
        <f>$J$435-EFEITO!$K$435*EFEITO!$Y$435</f>
        <v>0</v>
      </c>
      <c r="N435" s="76">
        <f ca="1">$K$435-EFEITO!$M$435*EFEITO!$Z$435</f>
        <v>0</v>
      </c>
      <c r="O435" s="76">
        <f>$L$435-EFEITO!$O$435*EFEITO!$AA$435</f>
        <v>0</v>
      </c>
      <c r="P435" s="19"/>
      <c r="Q435" s="19"/>
      <c r="R435" s="19"/>
      <c r="S435" s="19"/>
      <c r="T435" s="19"/>
      <c r="U435" s="19"/>
      <c r="V435" s="19"/>
      <c r="W435" s="19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65" t="s">
        <v>28</v>
      </c>
      <c r="B436" s="65" t="s">
        <v>22</v>
      </c>
      <c r="C436" s="65" t="s">
        <v>23</v>
      </c>
      <c r="D436" s="65" t="s">
        <v>24</v>
      </c>
      <c r="E436" s="65" t="s">
        <v>24</v>
      </c>
      <c r="F436" s="65" t="s">
        <v>25</v>
      </c>
      <c r="G436" s="65" t="s">
        <v>25</v>
      </c>
      <c r="H436" s="65" t="s">
        <v>25</v>
      </c>
      <c r="I436" s="75">
        <v>44593</v>
      </c>
      <c r="J436" s="76">
        <f>EFEITO!$J$436*EFEITO!$Y$436</f>
        <v>0</v>
      </c>
      <c r="K436" s="76">
        <f ca="1">EFEITO!$L$436*EFEITO!$Z$436</f>
        <v>12209.01380468107</v>
      </c>
      <c r="L436" s="76">
        <f>EFEITO!$N$436*EFEITO!$AA$436</f>
        <v>5374.358013397823</v>
      </c>
      <c r="M436" s="76">
        <f>$J$436-EFEITO!$K$436*EFEITO!$Y$436</f>
        <v>0</v>
      </c>
      <c r="N436" s="76">
        <f ca="1">$K$436-EFEITO!$M$436*EFEITO!$Z$436</f>
        <v>0</v>
      </c>
      <c r="O436" s="76">
        <f>$L$436-EFEITO!$O$436*EFEITO!$AA$436</f>
        <v>0</v>
      </c>
      <c r="P436" s="19"/>
      <c r="Q436" s="19"/>
      <c r="R436" s="19"/>
      <c r="S436" s="19"/>
      <c r="T436" s="19"/>
      <c r="U436" s="19"/>
      <c r="V436" s="19"/>
      <c r="W436" s="19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65" t="s">
        <v>54</v>
      </c>
      <c r="B437" s="65" t="s">
        <v>22</v>
      </c>
      <c r="C437" s="65" t="s">
        <v>23</v>
      </c>
      <c r="D437" s="65" t="s">
        <v>24</v>
      </c>
      <c r="E437" s="65" t="s">
        <v>24</v>
      </c>
      <c r="F437" s="65" t="s">
        <v>25</v>
      </c>
      <c r="G437" s="65" t="s">
        <v>25</v>
      </c>
      <c r="H437" s="65" t="s">
        <v>25</v>
      </c>
      <c r="I437" s="75">
        <v>44621</v>
      </c>
      <c r="J437" s="76">
        <f>EFEITO!$J$437*EFEITO!$Y$437</f>
        <v>0</v>
      </c>
      <c r="K437" s="76">
        <f ca="1">EFEITO!$L$437*EFEITO!$Z$437</f>
        <v>1061756.0574172609</v>
      </c>
      <c r="L437" s="76">
        <f>EFEITO!$N$437*EFEITO!$AA$437</f>
        <v>467380.68010589806</v>
      </c>
      <c r="M437" s="76">
        <f>$J$437-EFEITO!$K$437*EFEITO!$Y$437</f>
        <v>0</v>
      </c>
      <c r="N437" s="76">
        <f ca="1">$K$437-EFEITO!$M$437*EFEITO!$Z$437</f>
        <v>0</v>
      </c>
      <c r="O437" s="76">
        <f>$L$437-EFEITO!$O$437*EFEITO!$AA$437</f>
        <v>0</v>
      </c>
      <c r="P437" s="19"/>
      <c r="Q437" s="19"/>
      <c r="R437" s="19"/>
      <c r="S437" s="19"/>
      <c r="T437" s="19"/>
      <c r="U437" s="19"/>
      <c r="V437" s="19"/>
      <c r="W437" s="19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65" t="s">
        <v>54</v>
      </c>
      <c r="B438" s="65" t="s">
        <v>22</v>
      </c>
      <c r="C438" s="65" t="s">
        <v>23</v>
      </c>
      <c r="D438" s="65" t="s">
        <v>24</v>
      </c>
      <c r="E438" s="65" t="s">
        <v>24</v>
      </c>
      <c r="F438" s="65" t="s">
        <v>25</v>
      </c>
      <c r="G438" s="65" t="s">
        <v>25</v>
      </c>
      <c r="H438" s="65" t="s">
        <v>25</v>
      </c>
      <c r="I438" s="75">
        <v>44621</v>
      </c>
      <c r="J438" s="76">
        <f>EFEITO!$J$438*EFEITO!$Y$438</f>
        <v>0</v>
      </c>
      <c r="K438" s="76">
        <f ca="1">EFEITO!$L$438*EFEITO!$Z$438</f>
        <v>-15206.513326761706</v>
      </c>
      <c r="L438" s="76">
        <f>EFEITO!$N$438*EFEITO!$AA$438</f>
        <v>-6693.8450607851892</v>
      </c>
      <c r="M438" s="76">
        <f>$J$438-EFEITO!$K$438*EFEITO!$Y$438</f>
        <v>0</v>
      </c>
      <c r="N438" s="76">
        <f ca="1">$K$438-EFEITO!$M$438*EFEITO!$Z$438</f>
        <v>0</v>
      </c>
      <c r="O438" s="76">
        <f>$L$438-EFEITO!$O$438*EFEITO!$AA$438</f>
        <v>0</v>
      </c>
      <c r="P438" s="19"/>
      <c r="Q438" s="19"/>
      <c r="R438" s="19"/>
      <c r="S438" s="19"/>
      <c r="T438" s="19"/>
      <c r="U438" s="19"/>
      <c r="V438" s="19"/>
      <c r="W438" s="19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65" t="s">
        <v>54</v>
      </c>
      <c r="B439" s="65" t="s">
        <v>22</v>
      </c>
      <c r="C439" s="65" t="s">
        <v>23</v>
      </c>
      <c r="D439" s="65" t="s">
        <v>24</v>
      </c>
      <c r="E439" s="65" t="s">
        <v>24</v>
      </c>
      <c r="F439" s="65" t="s">
        <v>25</v>
      </c>
      <c r="G439" s="65" t="s">
        <v>25</v>
      </c>
      <c r="H439" s="65" t="s">
        <v>25</v>
      </c>
      <c r="I439" s="75">
        <v>44621</v>
      </c>
      <c r="J439" s="76">
        <f>EFEITO!$J$439*EFEITO!$Y$439</f>
        <v>0</v>
      </c>
      <c r="K439" s="76">
        <f ca="1">EFEITO!$L$439*EFEITO!$Z$439</f>
        <v>12209.01380468107</v>
      </c>
      <c r="L439" s="76">
        <f>EFEITO!$N$439*EFEITO!$AA$439</f>
        <v>5374.358013397823</v>
      </c>
      <c r="M439" s="76">
        <f>$J$439-EFEITO!$K$439*EFEITO!$Y$439</f>
        <v>0</v>
      </c>
      <c r="N439" s="76">
        <f ca="1">$K$439-EFEITO!$M$439*EFEITO!$Z$439</f>
        <v>0</v>
      </c>
      <c r="O439" s="76">
        <f>$L$439-EFEITO!$O$439*EFEITO!$AA$439</f>
        <v>0</v>
      </c>
      <c r="P439" s="19"/>
      <c r="Q439" s="19"/>
      <c r="R439" s="19"/>
      <c r="S439" s="19"/>
      <c r="T439" s="19"/>
      <c r="U439" s="19"/>
      <c r="V439" s="19"/>
      <c r="W439" s="19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65" t="s">
        <v>21</v>
      </c>
      <c r="B440" s="65" t="s">
        <v>22</v>
      </c>
      <c r="C440" s="65" t="s">
        <v>23</v>
      </c>
      <c r="D440" s="65" t="s">
        <v>24</v>
      </c>
      <c r="E440" s="65" t="s">
        <v>29</v>
      </c>
      <c r="F440" s="65" t="s">
        <v>25</v>
      </c>
      <c r="G440" s="65" t="s">
        <v>25</v>
      </c>
      <c r="H440" s="65" t="s">
        <v>25</v>
      </c>
      <c r="I440" s="75">
        <v>44287</v>
      </c>
      <c r="J440" s="76">
        <f>EFEITO!$J$440*EFEITO!$Y$401</f>
        <v>0</v>
      </c>
      <c r="K440" s="76">
        <f ca="1">EFEITO!$L$440*EFEITO!$Z$477</f>
        <v>523.59388109647728</v>
      </c>
      <c r="L440" s="76">
        <f>EFEITO!$N$440*EFEITO!$AA$477</f>
        <v>287.27080695222219</v>
      </c>
      <c r="M440" s="76">
        <f>$J$440-EFEITO!$K$440*EFEITO!$Y$440</f>
        <v>0</v>
      </c>
      <c r="N440" s="76">
        <f ca="1">$K$440-EFEITO!$M$440*EFEITO!$Z$440</f>
        <v>340.33602271271025</v>
      </c>
      <c r="O440" s="76">
        <f>$L$440-EFEITO!$O$440*EFEITO!$AA$440</f>
        <v>186.72602451894443</v>
      </c>
      <c r="P440" s="19"/>
      <c r="Q440" s="19"/>
      <c r="R440" s="19"/>
      <c r="S440" s="19"/>
      <c r="T440" s="19"/>
      <c r="U440" s="19"/>
      <c r="V440" s="19"/>
      <c r="W440" s="19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65" t="s">
        <v>21</v>
      </c>
      <c r="B441" s="65" t="s">
        <v>22</v>
      </c>
      <c r="C441" s="65" t="s">
        <v>23</v>
      </c>
      <c r="D441" s="65" t="s">
        <v>24</v>
      </c>
      <c r="E441" s="65" t="s">
        <v>29</v>
      </c>
      <c r="F441" s="65" t="s">
        <v>25</v>
      </c>
      <c r="G441" s="65" t="s">
        <v>25</v>
      </c>
      <c r="H441" s="65" t="s">
        <v>25</v>
      </c>
      <c r="I441" s="75">
        <v>44317</v>
      </c>
      <c r="J441" s="76">
        <f>EFEITO!$J$441*EFEITO!$Y$401</f>
        <v>0</v>
      </c>
      <c r="K441" s="76">
        <f ca="1">EFEITO!$L$441*EFEITO!$Z$477</f>
        <v>535.49374203048808</v>
      </c>
      <c r="L441" s="76">
        <f>EFEITO!$N$441*EFEITO!$AA$477</f>
        <v>293.79968892840907</v>
      </c>
      <c r="M441" s="76">
        <f>$J$441-EFEITO!$K$441*EFEITO!$Y$441</f>
        <v>0</v>
      </c>
      <c r="N441" s="76">
        <f ca="1">$K$441-EFEITO!$M$441*EFEITO!$Z$441</f>
        <v>348.07093231981725</v>
      </c>
      <c r="O441" s="76">
        <f>$L$441-EFEITO!$O$441*EFEITO!$AA$441</f>
        <v>190.96979780346589</v>
      </c>
      <c r="P441" s="19"/>
      <c r="Q441" s="19"/>
      <c r="R441" s="19"/>
      <c r="S441" s="19"/>
      <c r="T441" s="19"/>
      <c r="U441" s="19"/>
      <c r="V441" s="19"/>
      <c r="W441" s="19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65" t="s">
        <v>21</v>
      </c>
      <c r="B442" s="65" t="s">
        <v>22</v>
      </c>
      <c r="C442" s="65" t="s">
        <v>23</v>
      </c>
      <c r="D442" s="65" t="s">
        <v>24</v>
      </c>
      <c r="E442" s="65" t="s">
        <v>29</v>
      </c>
      <c r="F442" s="65" t="s">
        <v>25</v>
      </c>
      <c r="G442" s="65" t="s">
        <v>25</v>
      </c>
      <c r="H442" s="65" t="s">
        <v>25</v>
      </c>
      <c r="I442" s="75">
        <v>44348</v>
      </c>
      <c r="J442" s="76">
        <f>EFEITO!$J$442*EFEITO!$Y$401</f>
        <v>0</v>
      </c>
      <c r="K442" s="76">
        <f ca="1">EFEITO!$L$442*EFEITO!$Z$477</f>
        <v>547.39360296449888</v>
      </c>
      <c r="L442" s="76">
        <f>EFEITO!$N$442*EFEITO!$AA$477</f>
        <v>300.32857090459589</v>
      </c>
      <c r="M442" s="76">
        <f>$J$442-EFEITO!$K$442*EFEITO!$Y$442</f>
        <v>0</v>
      </c>
      <c r="N442" s="76">
        <f ca="1">$K$442-EFEITO!$M$442*EFEITO!$Z$442</f>
        <v>355.80584192692424</v>
      </c>
      <c r="O442" s="76">
        <f>$L$442-EFEITO!$O$442*EFEITO!$AA$442</f>
        <v>195.21357108798736</v>
      </c>
      <c r="P442" s="19"/>
      <c r="Q442" s="19"/>
      <c r="R442" s="19"/>
      <c r="S442" s="19"/>
      <c r="T442" s="19"/>
      <c r="U442" s="19"/>
      <c r="V442" s="19"/>
      <c r="W442" s="19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65" t="s">
        <v>21</v>
      </c>
      <c r="B443" s="65" t="s">
        <v>22</v>
      </c>
      <c r="C443" s="65" t="s">
        <v>23</v>
      </c>
      <c r="D443" s="65" t="s">
        <v>24</v>
      </c>
      <c r="E443" s="65" t="s">
        <v>29</v>
      </c>
      <c r="F443" s="65" t="s">
        <v>25</v>
      </c>
      <c r="G443" s="65" t="s">
        <v>25</v>
      </c>
      <c r="H443" s="65" t="s">
        <v>25</v>
      </c>
      <c r="I443" s="75">
        <v>44378</v>
      </c>
      <c r="J443" s="76">
        <f>EFEITO!$J$443*EFEITO!$Y$401</f>
        <v>0</v>
      </c>
      <c r="K443" s="76">
        <f ca="1">EFEITO!$L$443*EFEITO!$Z$477</f>
        <v>547.39360296449888</v>
      </c>
      <c r="L443" s="76">
        <f>EFEITO!$N$443*EFEITO!$AA$477</f>
        <v>300.32857090459589</v>
      </c>
      <c r="M443" s="76">
        <f>$J$443-EFEITO!$K$443*EFEITO!$Y$443</f>
        <v>0</v>
      </c>
      <c r="N443" s="76">
        <f ca="1">$K$443-EFEITO!$M$443*EFEITO!$Z$443</f>
        <v>355.80584192692424</v>
      </c>
      <c r="O443" s="76">
        <f>$L$443-EFEITO!$O$443*EFEITO!$AA$443</f>
        <v>195.21357108798736</v>
      </c>
      <c r="P443" s="19"/>
      <c r="Q443" s="19"/>
      <c r="R443" s="19"/>
      <c r="S443" s="19"/>
      <c r="T443" s="19"/>
      <c r="U443" s="19"/>
      <c r="V443" s="19"/>
      <c r="W443" s="19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65" t="s">
        <v>21</v>
      </c>
      <c r="B444" s="65" t="s">
        <v>22</v>
      </c>
      <c r="C444" s="65" t="s">
        <v>23</v>
      </c>
      <c r="D444" s="65" t="s">
        <v>24</v>
      </c>
      <c r="E444" s="65" t="s">
        <v>29</v>
      </c>
      <c r="F444" s="65" t="s">
        <v>25</v>
      </c>
      <c r="G444" s="65" t="s">
        <v>25</v>
      </c>
      <c r="H444" s="65" t="s">
        <v>25</v>
      </c>
      <c r="I444" s="75">
        <v>44409</v>
      </c>
      <c r="J444" s="76">
        <f>EFEITO!$J$444*EFEITO!$Y$401</f>
        <v>0</v>
      </c>
      <c r="K444" s="76">
        <f ca="1">EFEITO!$L$444*EFEITO!$Z$477</f>
        <v>583.09318576653152</v>
      </c>
      <c r="L444" s="76">
        <f>EFEITO!$N$444*EFEITO!$AA$477</f>
        <v>319.91521683315653</v>
      </c>
      <c r="M444" s="76">
        <f>$J$444-EFEITO!$K$444*EFEITO!$Y$444</f>
        <v>0</v>
      </c>
      <c r="N444" s="76">
        <f ca="1">$K$444-EFEITO!$M$444*EFEITO!$Z$444</f>
        <v>379.01057074824553</v>
      </c>
      <c r="O444" s="76">
        <f>$L$444-EFEITO!$O$444*EFEITO!$AA$444</f>
        <v>207.94489094155176</v>
      </c>
      <c r="P444" s="19"/>
      <c r="Q444" s="19"/>
      <c r="R444" s="19"/>
      <c r="S444" s="19"/>
      <c r="T444" s="19"/>
      <c r="U444" s="19"/>
      <c r="V444" s="19"/>
      <c r="W444" s="19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65" t="s">
        <v>21</v>
      </c>
      <c r="B445" s="65" t="s">
        <v>22</v>
      </c>
      <c r="C445" s="65" t="s">
        <v>23</v>
      </c>
      <c r="D445" s="65" t="s">
        <v>24</v>
      </c>
      <c r="E445" s="65" t="s">
        <v>29</v>
      </c>
      <c r="F445" s="65" t="s">
        <v>25</v>
      </c>
      <c r="G445" s="65" t="s">
        <v>25</v>
      </c>
      <c r="H445" s="65" t="s">
        <v>25</v>
      </c>
      <c r="I445" s="75">
        <v>44440</v>
      </c>
      <c r="J445" s="76">
        <f>EFEITO!$J$445*EFEITO!$Y$401</f>
        <v>0</v>
      </c>
      <c r="K445" s="76">
        <f ca="1">EFEITO!$L$445*EFEITO!$Z$477</f>
        <v>571.1933248325206</v>
      </c>
      <c r="L445" s="76">
        <f>EFEITO!$N$445*EFEITO!$AA$477</f>
        <v>313.38633485696965</v>
      </c>
      <c r="M445" s="76">
        <f>$J$445-EFEITO!$K$445*EFEITO!$Y$445</f>
        <v>0</v>
      </c>
      <c r="N445" s="76">
        <f ca="1">$K$445-EFEITO!$M$445*EFEITO!$Z$445</f>
        <v>371.27566114113841</v>
      </c>
      <c r="O445" s="76">
        <f>$L$445-EFEITO!$O$445*EFEITO!$AA$445</f>
        <v>203.7011176570303</v>
      </c>
      <c r="P445" s="19"/>
      <c r="Q445" s="19"/>
      <c r="R445" s="19"/>
      <c r="S445" s="19"/>
      <c r="T445" s="19"/>
      <c r="U445" s="19"/>
      <c r="V445" s="19"/>
      <c r="W445" s="19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65" t="s">
        <v>21</v>
      </c>
      <c r="B446" s="65" t="s">
        <v>22</v>
      </c>
      <c r="C446" s="65" t="s">
        <v>23</v>
      </c>
      <c r="D446" s="65" t="s">
        <v>24</v>
      </c>
      <c r="E446" s="65" t="s">
        <v>29</v>
      </c>
      <c r="F446" s="65" t="s">
        <v>25</v>
      </c>
      <c r="G446" s="65" t="s">
        <v>25</v>
      </c>
      <c r="H446" s="65" t="s">
        <v>25</v>
      </c>
      <c r="I446" s="75">
        <v>44470</v>
      </c>
      <c r="J446" s="76">
        <f>EFEITO!$J$446*EFEITO!$Y$401</f>
        <v>0</v>
      </c>
      <c r="K446" s="76">
        <f ca="1">EFEITO!$L$446*EFEITO!$Z$477</f>
        <v>571.1933248325206</v>
      </c>
      <c r="L446" s="76">
        <f>EFEITO!$N$446*EFEITO!$AA$477</f>
        <v>313.38633485696965</v>
      </c>
      <c r="M446" s="76">
        <f>$J$446-EFEITO!$K$446*EFEITO!$Y$446</f>
        <v>0</v>
      </c>
      <c r="N446" s="76">
        <f ca="1">$K$446-EFEITO!$M$446*EFEITO!$Z$446</f>
        <v>371.27566114113841</v>
      </c>
      <c r="O446" s="76">
        <f>$L$446-EFEITO!$O$446*EFEITO!$AA$446</f>
        <v>203.7011176570303</v>
      </c>
      <c r="P446" s="19"/>
      <c r="Q446" s="19"/>
      <c r="R446" s="19"/>
      <c r="S446" s="19"/>
      <c r="T446" s="19"/>
      <c r="U446" s="19"/>
      <c r="V446" s="19"/>
      <c r="W446" s="19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65" t="s">
        <v>21</v>
      </c>
      <c r="B447" s="65" t="s">
        <v>22</v>
      </c>
      <c r="C447" s="65" t="s">
        <v>23</v>
      </c>
      <c r="D447" s="65" t="s">
        <v>24</v>
      </c>
      <c r="E447" s="65" t="s">
        <v>29</v>
      </c>
      <c r="F447" s="65" t="s">
        <v>25</v>
      </c>
      <c r="G447" s="65" t="s">
        <v>25</v>
      </c>
      <c r="H447" s="65" t="s">
        <v>25</v>
      </c>
      <c r="I447" s="75">
        <v>44501</v>
      </c>
      <c r="J447" s="76">
        <f>EFEITO!$J$447*EFEITO!$Y$401</f>
        <v>0</v>
      </c>
      <c r="K447" s="76">
        <f ca="1">EFEITO!$L$447*EFEITO!$Z$477</f>
        <v>583.09318576653152</v>
      </c>
      <c r="L447" s="76">
        <f>EFEITO!$N$447*EFEITO!$AA$477</f>
        <v>319.91521683315653</v>
      </c>
      <c r="M447" s="76">
        <f>$J$447-EFEITO!$K$447*EFEITO!$Y$447</f>
        <v>0</v>
      </c>
      <c r="N447" s="76">
        <f ca="1">$K$447-EFEITO!$M$447*EFEITO!$Z$447</f>
        <v>379.01057074824553</v>
      </c>
      <c r="O447" s="76">
        <f>$L$447-EFEITO!$O$447*EFEITO!$AA$447</f>
        <v>207.94489094155176</v>
      </c>
      <c r="P447" s="19"/>
      <c r="Q447" s="19"/>
      <c r="R447" s="19"/>
      <c r="S447" s="19"/>
      <c r="T447" s="19"/>
      <c r="U447" s="19"/>
      <c r="V447" s="19"/>
      <c r="W447" s="19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65" t="s">
        <v>21</v>
      </c>
      <c r="B448" s="65" t="s">
        <v>22</v>
      </c>
      <c r="C448" s="65" t="s">
        <v>23</v>
      </c>
      <c r="D448" s="65" t="s">
        <v>24</v>
      </c>
      <c r="E448" s="65" t="s">
        <v>29</v>
      </c>
      <c r="F448" s="65" t="s">
        <v>25</v>
      </c>
      <c r="G448" s="65" t="s">
        <v>25</v>
      </c>
      <c r="H448" s="65" t="s">
        <v>25</v>
      </c>
      <c r="I448" s="75">
        <v>44531</v>
      </c>
      <c r="J448" s="76">
        <f>EFEITO!$J$448*EFEITO!$Y$401</f>
        <v>0</v>
      </c>
      <c r="K448" s="76">
        <f ca="1">EFEITO!$L$448*EFEITO!$Z$477</f>
        <v>583.09318576653152</v>
      </c>
      <c r="L448" s="76">
        <f>EFEITO!$N$448*EFEITO!$AA$477</f>
        <v>319.91521683315653</v>
      </c>
      <c r="M448" s="76">
        <f>$J$448-EFEITO!$K$448*EFEITO!$Y$448</f>
        <v>0</v>
      </c>
      <c r="N448" s="76">
        <f ca="1">$K$448-EFEITO!$M$448*EFEITO!$Z$448</f>
        <v>379.01057074824553</v>
      </c>
      <c r="O448" s="76">
        <f>$L$448-EFEITO!$O$448*EFEITO!$AA$448</f>
        <v>207.94489094155176</v>
      </c>
      <c r="P448" s="19"/>
      <c r="Q448" s="19"/>
      <c r="R448" s="19"/>
      <c r="S448" s="19"/>
      <c r="T448" s="19"/>
      <c r="U448" s="19"/>
      <c r="V448" s="19"/>
      <c r="W448" s="19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65" t="s">
        <v>21</v>
      </c>
      <c r="B449" s="65" t="s">
        <v>22</v>
      </c>
      <c r="C449" s="65" t="s">
        <v>23</v>
      </c>
      <c r="D449" s="65" t="s">
        <v>24</v>
      </c>
      <c r="E449" s="65" t="s">
        <v>29</v>
      </c>
      <c r="F449" s="65" t="s">
        <v>25</v>
      </c>
      <c r="G449" s="65" t="s">
        <v>25</v>
      </c>
      <c r="H449" s="65" t="s">
        <v>25</v>
      </c>
      <c r="I449" s="75">
        <v>44562</v>
      </c>
      <c r="J449" s="76">
        <f>EFEITO!$J$449*EFEITO!$Y$401</f>
        <v>0</v>
      </c>
      <c r="K449" s="76">
        <f ca="1">EFEITO!$L$449*EFEITO!$Z$477</f>
        <v>571.1933248325206</v>
      </c>
      <c r="L449" s="76">
        <f>EFEITO!$N$449*EFEITO!$AA$477</f>
        <v>313.38633485696965</v>
      </c>
      <c r="M449" s="76">
        <f>$J$449-EFEITO!$K$449*EFEITO!$Y$449</f>
        <v>0</v>
      </c>
      <c r="N449" s="76">
        <f ca="1">$K$449-EFEITO!$M$449*EFEITO!$Z$449</f>
        <v>371.27566114113841</v>
      </c>
      <c r="O449" s="76">
        <f>$L$449-EFEITO!$O$449*EFEITO!$AA$449</f>
        <v>203.7011176570303</v>
      </c>
      <c r="P449" s="19"/>
      <c r="Q449" s="19"/>
      <c r="R449" s="19"/>
      <c r="S449" s="19"/>
      <c r="T449" s="19"/>
      <c r="U449" s="19"/>
      <c r="V449" s="19"/>
      <c r="W449" s="19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65" t="s">
        <v>21</v>
      </c>
      <c r="B450" s="65" t="s">
        <v>22</v>
      </c>
      <c r="C450" s="65" t="s">
        <v>23</v>
      </c>
      <c r="D450" s="65" t="s">
        <v>24</v>
      </c>
      <c r="E450" s="65" t="s">
        <v>29</v>
      </c>
      <c r="F450" s="65" t="s">
        <v>25</v>
      </c>
      <c r="G450" s="65" t="s">
        <v>25</v>
      </c>
      <c r="H450" s="65" t="s">
        <v>25</v>
      </c>
      <c r="I450" s="75">
        <v>44593</v>
      </c>
      <c r="J450" s="76">
        <f>EFEITO!$J$450*EFEITO!$Y$401</f>
        <v>0</v>
      </c>
      <c r="K450" s="76">
        <f ca="1">EFEITO!$L$450*EFEITO!$Z$477</f>
        <v>571.1933248325206</v>
      </c>
      <c r="L450" s="76">
        <f>EFEITO!$N$450*EFEITO!$AA$477</f>
        <v>313.38633485696965</v>
      </c>
      <c r="M450" s="76">
        <f>$J$450-EFEITO!$K$450*EFEITO!$Y$450</f>
        <v>0</v>
      </c>
      <c r="N450" s="76">
        <f ca="1">$K$450-EFEITO!$M$450*EFEITO!$Z$450</f>
        <v>371.27566114113841</v>
      </c>
      <c r="O450" s="76">
        <f>$L$450-EFEITO!$O$450*EFEITO!$AA$450</f>
        <v>203.7011176570303</v>
      </c>
      <c r="P450" s="19"/>
      <c r="Q450" s="19"/>
      <c r="R450" s="19"/>
      <c r="S450" s="19"/>
      <c r="T450" s="19"/>
      <c r="U450" s="19"/>
      <c r="V450" s="19"/>
      <c r="W450" s="19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65" t="s">
        <v>54</v>
      </c>
      <c r="B451" s="65" t="s">
        <v>22</v>
      </c>
      <c r="C451" s="65" t="s">
        <v>23</v>
      </c>
      <c r="D451" s="65" t="s">
        <v>24</v>
      </c>
      <c r="E451" s="65" t="s">
        <v>29</v>
      </c>
      <c r="F451" s="65" t="s">
        <v>25</v>
      </c>
      <c r="G451" s="65" t="s">
        <v>25</v>
      </c>
      <c r="H451" s="65" t="s">
        <v>25</v>
      </c>
      <c r="I451" s="75">
        <v>44621</v>
      </c>
      <c r="J451" s="76">
        <f>EFEITO!$J$451*EFEITO!$Y$401</f>
        <v>0</v>
      </c>
      <c r="K451" s="76">
        <f ca="1">EFEITO!$L$451*EFEITO!$Z$477</f>
        <v>571.1933248325206</v>
      </c>
      <c r="L451" s="76">
        <f>EFEITO!$N$451*EFEITO!$AA$477</f>
        <v>313.38633485696965</v>
      </c>
      <c r="M451" s="76">
        <f>$J$451-EFEITO!$K$451*EFEITO!$Y$451</f>
        <v>0</v>
      </c>
      <c r="N451" s="76">
        <f ca="1">$K$451-EFEITO!$M$451*EFEITO!$Z$451</f>
        <v>371.27566114113841</v>
      </c>
      <c r="O451" s="76">
        <f>$L$451-EFEITO!$O$451*EFEITO!$AA$451</f>
        <v>203.7011176570303</v>
      </c>
      <c r="P451" s="19"/>
      <c r="Q451" s="19"/>
      <c r="R451" s="19"/>
      <c r="S451" s="19"/>
      <c r="T451" s="19"/>
      <c r="U451" s="19"/>
      <c r="V451" s="19"/>
      <c r="W451" s="19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65" t="s">
        <v>21</v>
      </c>
      <c r="B452" s="65" t="s">
        <v>22</v>
      </c>
      <c r="C452" s="65" t="s">
        <v>23</v>
      </c>
      <c r="D452" s="65" t="s">
        <v>24</v>
      </c>
      <c r="E452" s="65" t="s">
        <v>30</v>
      </c>
      <c r="F452" s="65" t="s">
        <v>25</v>
      </c>
      <c r="G452" s="65" t="s">
        <v>25</v>
      </c>
      <c r="H452" s="65" t="s">
        <v>25</v>
      </c>
      <c r="I452" s="75">
        <v>44287</v>
      </c>
      <c r="J452" s="76">
        <f>EFEITO!$J$452*EFEITO!$Y$401</f>
        <v>0</v>
      </c>
      <c r="K452" s="76">
        <f ca="1">EFEITO!$L$452*EFEITO!$Z$477</f>
        <v>1095.9771920223989</v>
      </c>
      <c r="L452" s="76">
        <f>EFEITO!$N$452*EFEITO!$AA$477</f>
        <v>601.31003000681051</v>
      </c>
      <c r="M452" s="76">
        <f>$J$452-EFEITO!$K$452*EFEITO!$Y$452</f>
        <v>0</v>
      </c>
      <c r="N452" s="76">
        <f ca="1">$K$452-EFEITO!$M$452*EFEITO!$Z$452</f>
        <v>438.39087680895955</v>
      </c>
      <c r="O452" s="76">
        <f>$L$452-EFEITO!$O$452*EFEITO!$AA$452</f>
        <v>240.52401200272419</v>
      </c>
      <c r="P452" s="19"/>
      <c r="Q452" s="19"/>
      <c r="R452" s="19"/>
      <c r="S452" s="19"/>
      <c r="T452" s="19"/>
      <c r="U452" s="19"/>
      <c r="V452" s="19"/>
      <c r="W452" s="19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65" t="s">
        <v>21</v>
      </c>
      <c r="B453" s="65" t="s">
        <v>22</v>
      </c>
      <c r="C453" s="65" t="s">
        <v>23</v>
      </c>
      <c r="D453" s="65" t="s">
        <v>24</v>
      </c>
      <c r="E453" s="65" t="s">
        <v>30</v>
      </c>
      <c r="F453" s="65" t="s">
        <v>25</v>
      </c>
      <c r="G453" s="65" t="s">
        <v>25</v>
      </c>
      <c r="H453" s="65" t="s">
        <v>25</v>
      </c>
      <c r="I453" s="75">
        <v>44317</v>
      </c>
      <c r="J453" s="76">
        <f>EFEITO!$J$453*EFEITO!$Y$401</f>
        <v>0</v>
      </c>
      <c r="K453" s="76">
        <f ca="1">EFEITO!$L$453*EFEITO!$Z$477</f>
        <v>1132.8667609178326</v>
      </c>
      <c r="L453" s="76">
        <f>EFEITO!$N$453*EFEITO!$AA$477</f>
        <v>621.54956413298976</v>
      </c>
      <c r="M453" s="76">
        <f>$J$453-EFEITO!$K$453*EFEITO!$Y$453</f>
        <v>0</v>
      </c>
      <c r="N453" s="76">
        <f ca="1">$K$453-EFEITO!$M$453*EFEITO!$Z$453</f>
        <v>453.14670436713311</v>
      </c>
      <c r="O453" s="76">
        <f>$L$453-EFEITO!$O$453*EFEITO!$AA$453</f>
        <v>248.61982565319585</v>
      </c>
      <c r="P453" s="19"/>
      <c r="Q453" s="19"/>
      <c r="R453" s="19"/>
      <c r="S453" s="19"/>
      <c r="T453" s="19"/>
      <c r="U453" s="19"/>
      <c r="V453" s="19"/>
      <c r="W453" s="19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65" t="s">
        <v>21</v>
      </c>
      <c r="B454" s="65" t="s">
        <v>22</v>
      </c>
      <c r="C454" s="65" t="s">
        <v>23</v>
      </c>
      <c r="D454" s="65" t="s">
        <v>24</v>
      </c>
      <c r="E454" s="65" t="s">
        <v>30</v>
      </c>
      <c r="F454" s="65" t="s">
        <v>25</v>
      </c>
      <c r="G454" s="65" t="s">
        <v>25</v>
      </c>
      <c r="H454" s="65" t="s">
        <v>25</v>
      </c>
      <c r="I454" s="75">
        <v>44348</v>
      </c>
      <c r="J454" s="76">
        <f>EFEITO!$J$454*EFEITO!$Y$401</f>
        <v>0</v>
      </c>
      <c r="K454" s="76">
        <f ca="1">EFEITO!$L$454*EFEITO!$Z$477</f>
        <v>1137.6267052914368</v>
      </c>
      <c r="L454" s="76">
        <f>EFEITO!$N$454*EFEITO!$AA$477</f>
        <v>624.16111692346453</v>
      </c>
      <c r="M454" s="76">
        <f>$J$454-EFEITO!$K$454*EFEITO!$Y$454</f>
        <v>0</v>
      </c>
      <c r="N454" s="76">
        <f ca="1">$K$454-EFEITO!$M$454*EFEITO!$Z$454</f>
        <v>455.05068211657465</v>
      </c>
      <c r="O454" s="76">
        <f>$L$454-EFEITO!$O$454*EFEITO!$AA$454</f>
        <v>249.66444676938579</v>
      </c>
      <c r="P454" s="19"/>
      <c r="Q454" s="19"/>
      <c r="R454" s="19"/>
      <c r="S454" s="19"/>
      <c r="T454" s="19"/>
      <c r="U454" s="19"/>
      <c r="V454" s="19"/>
      <c r="W454" s="19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65" t="s">
        <v>21</v>
      </c>
      <c r="B455" s="65" t="s">
        <v>22</v>
      </c>
      <c r="C455" s="65" t="s">
        <v>23</v>
      </c>
      <c r="D455" s="65" t="s">
        <v>24</v>
      </c>
      <c r="E455" s="65" t="s">
        <v>30</v>
      </c>
      <c r="F455" s="65" t="s">
        <v>25</v>
      </c>
      <c r="G455" s="65" t="s">
        <v>25</v>
      </c>
      <c r="H455" s="65" t="s">
        <v>25</v>
      </c>
      <c r="I455" s="75">
        <v>44378</v>
      </c>
      <c r="J455" s="76">
        <f>EFEITO!$J$455*EFEITO!$Y$401</f>
        <v>0</v>
      </c>
      <c r="K455" s="76">
        <f ca="1">EFEITO!$L$455*EFEITO!$Z$477</f>
        <v>1124.5368582640249</v>
      </c>
      <c r="L455" s="76">
        <f>EFEITO!$N$455*EFEITO!$AA$477</f>
        <v>616.97934674965904</v>
      </c>
      <c r="M455" s="76">
        <f>$J$455-EFEITO!$K$455*EFEITO!$Y$455</f>
        <v>0</v>
      </c>
      <c r="N455" s="76">
        <f ca="1">$K$455-EFEITO!$M$455*EFEITO!$Z$455</f>
        <v>449.81474330560991</v>
      </c>
      <c r="O455" s="76">
        <f>$L$455-EFEITO!$O$455*EFEITO!$AA$455</f>
        <v>246.79173869986363</v>
      </c>
      <c r="P455" s="19"/>
      <c r="Q455" s="19"/>
      <c r="R455" s="19"/>
      <c r="S455" s="19"/>
      <c r="T455" s="19"/>
      <c r="U455" s="19"/>
      <c r="V455" s="19"/>
      <c r="W455" s="19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65" t="s">
        <v>21</v>
      </c>
      <c r="B456" s="65" t="s">
        <v>22</v>
      </c>
      <c r="C456" s="65" t="s">
        <v>23</v>
      </c>
      <c r="D456" s="65" t="s">
        <v>24</v>
      </c>
      <c r="E456" s="65" t="s">
        <v>30</v>
      </c>
      <c r="F456" s="65" t="s">
        <v>25</v>
      </c>
      <c r="G456" s="65" t="s">
        <v>25</v>
      </c>
      <c r="H456" s="65" t="s">
        <v>25</v>
      </c>
      <c r="I456" s="75">
        <v>44409</v>
      </c>
      <c r="J456" s="76">
        <f>EFEITO!$J$456*EFEITO!$Y$401</f>
        <v>0</v>
      </c>
      <c r="K456" s="76">
        <f ca="1">EFEITO!$L$456*EFEITO!$Z$477</f>
        <v>1229.6522965144541</v>
      </c>
      <c r="L456" s="76">
        <f>EFEITO!$N$456*EFEITO!$AA$477</f>
        <v>674.65113753930973</v>
      </c>
      <c r="M456" s="76">
        <f>$J$456-EFEITO!$K$456*EFEITO!$Y$456</f>
        <v>0</v>
      </c>
      <c r="N456" s="76">
        <f ca="1">$K$456-EFEITO!$M$456*EFEITO!$Z$456</f>
        <v>491.86091860578165</v>
      </c>
      <c r="O456" s="76">
        <f>$L$456-EFEITO!$O$456*EFEITO!$AA$456</f>
        <v>269.86045501572391</v>
      </c>
      <c r="P456" s="19"/>
      <c r="Q456" s="19"/>
      <c r="R456" s="19"/>
      <c r="S456" s="19"/>
      <c r="T456" s="19"/>
      <c r="U456" s="19"/>
      <c r="V456" s="19"/>
      <c r="W456" s="19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65" t="s">
        <v>21</v>
      </c>
      <c r="B457" s="65" t="s">
        <v>22</v>
      </c>
      <c r="C457" s="65" t="s">
        <v>23</v>
      </c>
      <c r="D457" s="65" t="s">
        <v>24</v>
      </c>
      <c r="E457" s="65" t="s">
        <v>30</v>
      </c>
      <c r="F457" s="65" t="s">
        <v>25</v>
      </c>
      <c r="G457" s="65" t="s">
        <v>25</v>
      </c>
      <c r="H457" s="65" t="s">
        <v>25</v>
      </c>
      <c r="I457" s="75">
        <v>44440</v>
      </c>
      <c r="J457" s="76">
        <f>EFEITO!$J$457*EFEITO!$Y$401</f>
        <v>0</v>
      </c>
      <c r="K457" s="76">
        <f ca="1">EFEITO!$L$457*EFEITO!$Z$477</f>
        <v>1219.7357457361118</v>
      </c>
      <c r="L457" s="76">
        <f>EFEITO!$N$457*EFEITO!$AA$477</f>
        <v>669.21040255915398</v>
      </c>
      <c r="M457" s="76">
        <f>$J$457-EFEITO!$K$457*EFEITO!$Y$457</f>
        <v>0</v>
      </c>
      <c r="N457" s="76">
        <f ca="1">$K$457-EFEITO!$M$457*EFEITO!$Z$457</f>
        <v>487.89429829444475</v>
      </c>
      <c r="O457" s="76">
        <f>$L$457-EFEITO!$O$457*EFEITO!$AA$457</f>
        <v>267.68416102366155</v>
      </c>
      <c r="P457" s="19"/>
      <c r="Q457" s="19"/>
      <c r="R457" s="19"/>
      <c r="S457" s="19"/>
      <c r="T457" s="19"/>
      <c r="U457" s="19"/>
      <c r="V457" s="19"/>
      <c r="W457" s="19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65" t="s">
        <v>21</v>
      </c>
      <c r="B458" s="65" t="s">
        <v>22</v>
      </c>
      <c r="C458" s="65" t="s">
        <v>23</v>
      </c>
      <c r="D458" s="65" t="s">
        <v>24</v>
      </c>
      <c r="E458" s="65" t="s">
        <v>30</v>
      </c>
      <c r="F458" s="65" t="s">
        <v>25</v>
      </c>
      <c r="G458" s="65" t="s">
        <v>25</v>
      </c>
      <c r="H458" s="65" t="s">
        <v>25</v>
      </c>
      <c r="I458" s="75">
        <v>44470</v>
      </c>
      <c r="J458" s="76">
        <f>EFEITO!$J$458*EFEITO!$Y$401</f>
        <v>0</v>
      </c>
      <c r="K458" s="76">
        <f ca="1">EFEITO!$L$458*EFEITO!$Z$477</f>
        <v>1203.869264490764</v>
      </c>
      <c r="L458" s="76">
        <f>EFEITO!$N$458*EFEITO!$AA$477</f>
        <v>660.50522659090484</v>
      </c>
      <c r="M458" s="76">
        <f>$J$458-EFEITO!$K$458*EFEITO!$Y$458</f>
        <v>0</v>
      </c>
      <c r="N458" s="76">
        <f ca="1">$K$458-EFEITO!$M$458*EFEITO!$Z$458</f>
        <v>481.54770579630554</v>
      </c>
      <c r="O458" s="76">
        <f>$L$458-EFEITO!$O$458*EFEITO!$AA$458</f>
        <v>264.20209063636196</v>
      </c>
      <c r="P458" s="19"/>
      <c r="Q458" s="19"/>
      <c r="R458" s="19"/>
      <c r="S458" s="19"/>
      <c r="T458" s="19"/>
      <c r="U458" s="19"/>
      <c r="V458" s="19"/>
      <c r="W458" s="19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65" t="s">
        <v>21</v>
      </c>
      <c r="B459" s="65" t="s">
        <v>22</v>
      </c>
      <c r="C459" s="65" t="s">
        <v>23</v>
      </c>
      <c r="D459" s="65" t="s">
        <v>24</v>
      </c>
      <c r="E459" s="65" t="s">
        <v>30</v>
      </c>
      <c r="F459" s="65" t="s">
        <v>25</v>
      </c>
      <c r="G459" s="65" t="s">
        <v>25</v>
      </c>
      <c r="H459" s="65" t="s">
        <v>25</v>
      </c>
      <c r="I459" s="75">
        <v>44501</v>
      </c>
      <c r="J459" s="76">
        <f>EFEITO!$J$459*EFEITO!$Y$401</f>
        <v>0</v>
      </c>
      <c r="K459" s="76">
        <f ca="1">EFEITO!$L$459*EFEITO!$Z$477</f>
        <v>1241.9488194795986</v>
      </c>
      <c r="L459" s="76">
        <f>EFEITO!$N$459*EFEITO!$AA$477</f>
        <v>681.3976489147027</v>
      </c>
      <c r="M459" s="76">
        <f>$J$459-EFEITO!$K$459*EFEITO!$Y$459</f>
        <v>0</v>
      </c>
      <c r="N459" s="76">
        <f ca="1">$K$459-EFEITO!$M$459*EFEITO!$Z$459</f>
        <v>496.77952779183943</v>
      </c>
      <c r="O459" s="76">
        <f>$L$459-EFEITO!$O$459*EFEITO!$AA$459</f>
        <v>272.55905956588106</v>
      </c>
      <c r="P459" s="19"/>
      <c r="Q459" s="19"/>
      <c r="R459" s="19"/>
      <c r="S459" s="19"/>
      <c r="T459" s="19"/>
      <c r="U459" s="19"/>
      <c r="V459" s="19"/>
      <c r="W459" s="19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65" t="s">
        <v>21</v>
      </c>
      <c r="B460" s="65" t="s">
        <v>22</v>
      </c>
      <c r="C460" s="65" t="s">
        <v>23</v>
      </c>
      <c r="D460" s="65" t="s">
        <v>24</v>
      </c>
      <c r="E460" s="65" t="s">
        <v>30</v>
      </c>
      <c r="F460" s="65" t="s">
        <v>25</v>
      </c>
      <c r="G460" s="65" t="s">
        <v>25</v>
      </c>
      <c r="H460" s="65" t="s">
        <v>25</v>
      </c>
      <c r="I460" s="75">
        <v>44531</v>
      </c>
      <c r="J460" s="76">
        <f>EFEITO!$J$460*EFEITO!$Y$401</f>
        <v>0</v>
      </c>
      <c r="K460" s="76">
        <f ca="1">EFEITO!$L$460*EFEITO!$Z$477</f>
        <v>1223.3057040163151</v>
      </c>
      <c r="L460" s="76">
        <f>EFEITO!$N$460*EFEITO!$AA$477</f>
        <v>671.16906715201003</v>
      </c>
      <c r="M460" s="76">
        <f>$J$460-EFEITO!$K$460*EFEITO!$Y$460</f>
        <v>0</v>
      </c>
      <c r="N460" s="76">
        <f ca="1">$K$460-EFEITO!$M$460*EFEITO!$Z$460</f>
        <v>489.32228160652608</v>
      </c>
      <c r="O460" s="76">
        <f>$L$460-EFEITO!$O$460*EFEITO!$AA$460</f>
        <v>268.46762686080399</v>
      </c>
      <c r="P460" s="19"/>
      <c r="Q460" s="19"/>
      <c r="R460" s="19"/>
      <c r="S460" s="19"/>
      <c r="T460" s="19"/>
      <c r="U460" s="19"/>
      <c r="V460" s="19"/>
      <c r="W460" s="19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65" t="s">
        <v>21</v>
      </c>
      <c r="B461" s="65" t="s">
        <v>22</v>
      </c>
      <c r="C461" s="65" t="s">
        <v>23</v>
      </c>
      <c r="D461" s="65" t="s">
        <v>24</v>
      </c>
      <c r="E461" s="65" t="s">
        <v>30</v>
      </c>
      <c r="F461" s="65" t="s">
        <v>25</v>
      </c>
      <c r="G461" s="65" t="s">
        <v>25</v>
      </c>
      <c r="H461" s="65" t="s">
        <v>25</v>
      </c>
      <c r="I461" s="75">
        <v>44562</v>
      </c>
      <c r="J461" s="76">
        <f>EFEITO!$J$461*EFEITO!$Y$401</f>
        <v>0</v>
      </c>
      <c r="K461" s="76">
        <f ca="1">EFEITO!$L$461*EFEITO!$Z$477</f>
        <v>1198.7126580860258</v>
      </c>
      <c r="L461" s="76">
        <f>EFEITO!$N$461*EFEITO!$AA$477</f>
        <v>657.67604440122375</v>
      </c>
      <c r="M461" s="76">
        <f>$J$461-EFEITO!$K$461*EFEITO!$Y$461</f>
        <v>0</v>
      </c>
      <c r="N461" s="76">
        <f ca="1">$K$461-EFEITO!$M$461*EFEITO!$Z$461</f>
        <v>479.4850632344104</v>
      </c>
      <c r="O461" s="76">
        <f>$L$461-EFEITO!$O$461*EFEITO!$AA$461</f>
        <v>263.07041776048948</v>
      </c>
      <c r="P461" s="19"/>
      <c r="Q461" s="19"/>
      <c r="R461" s="19"/>
      <c r="S461" s="19"/>
      <c r="T461" s="19"/>
      <c r="U461" s="19"/>
      <c r="V461" s="19"/>
      <c r="W461" s="19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65" t="s">
        <v>21</v>
      </c>
      <c r="B462" s="65" t="s">
        <v>22</v>
      </c>
      <c r="C462" s="65" t="s">
        <v>23</v>
      </c>
      <c r="D462" s="65" t="s">
        <v>24</v>
      </c>
      <c r="E462" s="65" t="s">
        <v>30</v>
      </c>
      <c r="F462" s="65" t="s">
        <v>25</v>
      </c>
      <c r="G462" s="65" t="s">
        <v>25</v>
      </c>
      <c r="H462" s="65" t="s">
        <v>25</v>
      </c>
      <c r="I462" s="75">
        <v>44593</v>
      </c>
      <c r="J462" s="76">
        <f>EFEITO!$J$462*EFEITO!$Y$401</f>
        <v>0</v>
      </c>
      <c r="K462" s="76">
        <f ca="1">EFEITO!$L$462*EFEITO!$Z$477</f>
        <v>1245.5187777598019</v>
      </c>
      <c r="L462" s="76">
        <f>EFEITO!$N$462*EFEITO!$AA$477</f>
        <v>683.35631350755887</v>
      </c>
      <c r="M462" s="76">
        <f>$J$462-EFEITO!$K$462*EFEITO!$Y$462</f>
        <v>0</v>
      </c>
      <c r="N462" s="76">
        <f ca="1">$K$462-EFEITO!$M$462*EFEITO!$Z$462</f>
        <v>498.20751110392075</v>
      </c>
      <c r="O462" s="76">
        <f>$L$462-EFEITO!$O$462*EFEITO!$AA$462</f>
        <v>273.34252540302356</v>
      </c>
      <c r="P462" s="19"/>
      <c r="Q462" s="19"/>
      <c r="R462" s="19"/>
      <c r="S462" s="19"/>
      <c r="T462" s="19"/>
      <c r="U462" s="19"/>
      <c r="V462" s="19"/>
      <c r="W462" s="19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65" t="s">
        <v>54</v>
      </c>
      <c r="B463" s="65" t="s">
        <v>22</v>
      </c>
      <c r="C463" s="65" t="s">
        <v>23</v>
      </c>
      <c r="D463" s="65" t="s">
        <v>24</v>
      </c>
      <c r="E463" s="65" t="s">
        <v>30</v>
      </c>
      <c r="F463" s="65" t="s">
        <v>25</v>
      </c>
      <c r="G463" s="65" t="s">
        <v>25</v>
      </c>
      <c r="H463" s="65" t="s">
        <v>25</v>
      </c>
      <c r="I463" s="75">
        <v>44621</v>
      </c>
      <c r="J463" s="76">
        <f>EFEITO!$J$463*EFEITO!$Y$401</f>
        <v>0</v>
      </c>
      <c r="K463" s="76">
        <f ca="1">EFEITO!$L$463*EFEITO!$Z$477</f>
        <v>1245.5187777598019</v>
      </c>
      <c r="L463" s="76">
        <f>EFEITO!$N$463*EFEITO!$AA$477</f>
        <v>683.35631350755887</v>
      </c>
      <c r="M463" s="76">
        <f>$J$463-EFEITO!$K$463*EFEITO!$Y$463</f>
        <v>0</v>
      </c>
      <c r="N463" s="76">
        <f ca="1">$K$463-EFEITO!$M$463*EFEITO!$Z$463</f>
        <v>498.20751110392075</v>
      </c>
      <c r="O463" s="76">
        <f>$L$463-EFEITO!$O$463*EFEITO!$AA$463</f>
        <v>273.34252540302356</v>
      </c>
      <c r="P463" s="19"/>
      <c r="Q463" s="19"/>
      <c r="R463" s="19"/>
      <c r="S463" s="19"/>
      <c r="T463" s="19"/>
      <c r="U463" s="19"/>
      <c r="V463" s="19"/>
      <c r="W463" s="19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65" t="s">
        <v>21</v>
      </c>
      <c r="B464" s="65" t="s">
        <v>22</v>
      </c>
      <c r="C464" s="65" t="s">
        <v>23</v>
      </c>
      <c r="D464" s="65" t="s">
        <v>24</v>
      </c>
      <c r="E464" s="65" t="s">
        <v>31</v>
      </c>
      <c r="F464" s="65" t="s">
        <v>25</v>
      </c>
      <c r="G464" s="65" t="s">
        <v>25</v>
      </c>
      <c r="H464" s="65" t="s">
        <v>25</v>
      </c>
      <c r="I464" s="75">
        <v>44287</v>
      </c>
      <c r="J464" s="76">
        <f>EFEITO!$J$464*EFEITO!$Y$401</f>
        <v>0</v>
      </c>
      <c r="K464" s="76">
        <f ca="1">EFEITO!$L$464*EFEITO!$Z$477</f>
        <v>927.39582879057866</v>
      </c>
      <c r="L464" s="76">
        <f>EFEITO!$N$464*EFEITO!$AA$477</f>
        <v>508.81753534416322</v>
      </c>
      <c r="M464" s="76">
        <f>$J$464-EFEITO!$K$464*EFEITO!$Y$464</f>
        <v>0</v>
      </c>
      <c r="N464" s="76">
        <f ca="1">$K$464-EFEITO!$M$464*EFEITO!$Z$464</f>
        <v>92.739582879057821</v>
      </c>
      <c r="O464" s="76">
        <f>$L$464-EFEITO!$O$464*EFEITO!$AA$464</f>
        <v>50.881753534416305</v>
      </c>
      <c r="P464" s="19"/>
      <c r="Q464" s="19"/>
      <c r="R464" s="19"/>
      <c r="S464" s="19"/>
      <c r="T464" s="19"/>
      <c r="U464" s="19"/>
      <c r="V464" s="19"/>
      <c r="W464" s="19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65" t="s">
        <v>21</v>
      </c>
      <c r="B465" s="65" t="s">
        <v>22</v>
      </c>
      <c r="C465" s="65" t="s">
        <v>23</v>
      </c>
      <c r="D465" s="65" t="s">
        <v>24</v>
      </c>
      <c r="E465" s="65" t="s">
        <v>31</v>
      </c>
      <c r="F465" s="65" t="s">
        <v>25</v>
      </c>
      <c r="G465" s="65" t="s">
        <v>25</v>
      </c>
      <c r="H465" s="65" t="s">
        <v>25</v>
      </c>
      <c r="I465" s="75">
        <v>44317</v>
      </c>
      <c r="J465" s="76">
        <f>EFEITO!$J$465*EFEITO!$Y$401</f>
        <v>0</v>
      </c>
      <c r="K465" s="76">
        <f ca="1">EFEITO!$L$465*EFEITO!$Z$477</f>
        <v>972.2186383086862</v>
      </c>
      <c r="L465" s="76">
        <f>EFEITO!$N$465*EFEITO!$AA$477</f>
        <v>533.40965745446715</v>
      </c>
      <c r="M465" s="76">
        <f>$J$465-EFEITO!$K$465*EFEITO!$Y$465</f>
        <v>0</v>
      </c>
      <c r="N465" s="76">
        <f ca="1">$K$465-EFEITO!$M$465*EFEITO!$Z$465</f>
        <v>97.221863830868642</v>
      </c>
      <c r="O465" s="76">
        <f>$L$465-EFEITO!$O$465*EFEITO!$AA$465</f>
        <v>53.340965745446795</v>
      </c>
      <c r="P465" s="19"/>
      <c r="Q465" s="19"/>
      <c r="R465" s="19"/>
      <c r="S465" s="19"/>
      <c r="T465" s="19"/>
      <c r="U465" s="19"/>
      <c r="V465" s="19"/>
      <c r="W465" s="19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65" t="s">
        <v>21</v>
      </c>
      <c r="B466" s="65" t="s">
        <v>22</v>
      </c>
      <c r="C466" s="65" t="s">
        <v>23</v>
      </c>
      <c r="D466" s="65" t="s">
        <v>24</v>
      </c>
      <c r="E466" s="65" t="s">
        <v>31</v>
      </c>
      <c r="F466" s="65" t="s">
        <v>25</v>
      </c>
      <c r="G466" s="65" t="s">
        <v>25</v>
      </c>
      <c r="H466" s="65" t="s">
        <v>25</v>
      </c>
      <c r="I466" s="75">
        <v>44348</v>
      </c>
      <c r="J466" s="76">
        <f>EFEITO!$J$466*EFEITO!$Y$401</f>
        <v>0</v>
      </c>
      <c r="K466" s="76">
        <f ca="1">EFEITO!$L$466*EFEITO!$Z$477</f>
        <v>1026.1646745428686</v>
      </c>
      <c r="L466" s="76">
        <f>EFEITO!$N$466*EFEITO!$AA$477</f>
        <v>563.00725574651426</v>
      </c>
      <c r="M466" s="76">
        <f>$J$466-EFEITO!$K$466*EFEITO!$Y$466</f>
        <v>0</v>
      </c>
      <c r="N466" s="76">
        <f ca="1">$K$466-EFEITO!$M$466*EFEITO!$Z$466</f>
        <v>102.61646745428675</v>
      </c>
      <c r="O466" s="76">
        <f>$L$466-EFEITO!$O$466*EFEITO!$AA$466</f>
        <v>56.300725574651437</v>
      </c>
      <c r="P466" s="19"/>
      <c r="Q466" s="19"/>
      <c r="R466" s="19"/>
      <c r="S466" s="19"/>
      <c r="T466" s="19"/>
      <c r="U466" s="19"/>
      <c r="V466" s="19"/>
      <c r="W466" s="19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65" t="s">
        <v>21</v>
      </c>
      <c r="B467" s="65" t="s">
        <v>22</v>
      </c>
      <c r="C467" s="65" t="s">
        <v>23</v>
      </c>
      <c r="D467" s="65" t="s">
        <v>24</v>
      </c>
      <c r="E467" s="65" t="s">
        <v>31</v>
      </c>
      <c r="F467" s="65" t="s">
        <v>25</v>
      </c>
      <c r="G467" s="65" t="s">
        <v>25</v>
      </c>
      <c r="H467" s="65" t="s">
        <v>25</v>
      </c>
      <c r="I467" s="75">
        <v>44378</v>
      </c>
      <c r="J467" s="76">
        <f>EFEITO!$J$467*EFEITO!$Y$401</f>
        <v>0</v>
      </c>
      <c r="K467" s="76">
        <f ca="1">EFEITO!$L$467*EFEITO!$Z$477</f>
        <v>995.6216981455741</v>
      </c>
      <c r="L467" s="76">
        <f>EFEITO!$N$467*EFEITO!$AA$477</f>
        <v>546.2497920076346</v>
      </c>
      <c r="M467" s="76">
        <f>$J$467-EFEITO!$K$467*EFEITO!$Y$467</f>
        <v>0</v>
      </c>
      <c r="N467" s="76">
        <f ca="1">$K$467-EFEITO!$M$467*EFEITO!$Z$467</f>
        <v>99.562169814557365</v>
      </c>
      <c r="O467" s="76">
        <f>$L$467-EFEITO!$O$467*EFEITO!$AA$467</f>
        <v>54.624979200763505</v>
      </c>
      <c r="P467" s="19"/>
      <c r="Q467" s="19"/>
      <c r="R467" s="19"/>
      <c r="S467" s="19"/>
      <c r="T467" s="19"/>
      <c r="U467" s="19"/>
      <c r="V467" s="19"/>
      <c r="W467" s="19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65" t="s">
        <v>27</v>
      </c>
      <c r="B468" s="65" t="s">
        <v>22</v>
      </c>
      <c r="C468" s="65" t="s">
        <v>23</v>
      </c>
      <c r="D468" s="65" t="s">
        <v>24</v>
      </c>
      <c r="E468" s="65" t="s">
        <v>31</v>
      </c>
      <c r="F468" s="65" t="s">
        <v>25</v>
      </c>
      <c r="G468" s="65" t="s">
        <v>25</v>
      </c>
      <c r="H468" s="65" t="s">
        <v>25</v>
      </c>
      <c r="I468" s="75">
        <v>44378</v>
      </c>
      <c r="J468" s="76">
        <f>EFEITO!$J$468*EFEITO!$Y$401</f>
        <v>0</v>
      </c>
      <c r="K468" s="76">
        <f ca="1">EFEITO!$L$468*EFEITO!$Z$477</f>
        <v>-4.3632823424706437</v>
      </c>
      <c r="L468" s="76">
        <f>EFEITO!$N$468*EFEITO!$AA$477</f>
        <v>-2.3939233912685181</v>
      </c>
      <c r="M468" s="76">
        <f>$J$468-EFEITO!$K$468*EFEITO!$Y$468</f>
        <v>0</v>
      </c>
      <c r="N468" s="76">
        <f ca="1">$K$468-EFEITO!$M$468*EFEITO!$Z$468</f>
        <v>-0.43632823424706446</v>
      </c>
      <c r="O468" s="76">
        <f>$L$468-EFEITO!$O$468*EFEITO!$AA$468</f>
        <v>-0.23939233912685198</v>
      </c>
      <c r="P468" s="19"/>
      <c r="Q468" s="19"/>
      <c r="R468" s="19"/>
      <c r="S468" s="19"/>
      <c r="T468" s="19"/>
      <c r="U468" s="19"/>
      <c r="V468" s="19"/>
      <c r="W468" s="19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65" t="s">
        <v>21</v>
      </c>
      <c r="B469" s="65" t="s">
        <v>22</v>
      </c>
      <c r="C469" s="65" t="s">
        <v>23</v>
      </c>
      <c r="D469" s="65" t="s">
        <v>24</v>
      </c>
      <c r="E469" s="65" t="s">
        <v>31</v>
      </c>
      <c r="F469" s="65" t="s">
        <v>25</v>
      </c>
      <c r="G469" s="65" t="s">
        <v>25</v>
      </c>
      <c r="H469" s="65" t="s">
        <v>25</v>
      </c>
      <c r="I469" s="75">
        <v>44409</v>
      </c>
      <c r="J469" s="76">
        <f>EFEITO!$J$469*EFEITO!$Y$401</f>
        <v>0</v>
      </c>
      <c r="K469" s="76">
        <f ca="1">EFEITO!$L$469*EFEITO!$Z$477</f>
        <v>1176.8962463736727</v>
      </c>
      <c r="L469" s="76">
        <f>EFEITO!$N$469*EFEITO!$AA$477</f>
        <v>645.70642744488123</v>
      </c>
      <c r="M469" s="76">
        <f>$J$469-EFEITO!$K$469*EFEITO!$Y$469</f>
        <v>0</v>
      </c>
      <c r="N469" s="76">
        <f ca="1">$K$469-EFEITO!$M$469*EFEITO!$Z$469</f>
        <v>117.68962463736716</v>
      </c>
      <c r="O469" s="76">
        <f>$L$469-EFEITO!$O$469*EFEITO!$AA$469</f>
        <v>64.570642744488168</v>
      </c>
      <c r="P469" s="19"/>
      <c r="Q469" s="19"/>
      <c r="R469" s="19"/>
      <c r="S469" s="19"/>
      <c r="T469" s="19"/>
      <c r="U469" s="19"/>
      <c r="V469" s="19"/>
      <c r="W469" s="19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65" t="s">
        <v>21</v>
      </c>
      <c r="B470" s="65" t="s">
        <v>22</v>
      </c>
      <c r="C470" s="65" t="s">
        <v>23</v>
      </c>
      <c r="D470" s="65" t="s">
        <v>24</v>
      </c>
      <c r="E470" s="65" t="s">
        <v>31</v>
      </c>
      <c r="F470" s="65" t="s">
        <v>25</v>
      </c>
      <c r="G470" s="65" t="s">
        <v>25</v>
      </c>
      <c r="H470" s="65" t="s">
        <v>25</v>
      </c>
      <c r="I470" s="75">
        <v>44440</v>
      </c>
      <c r="J470" s="76">
        <f>EFEITO!$J$470*EFEITO!$Y$401</f>
        <v>0</v>
      </c>
      <c r="K470" s="76">
        <f ca="1">EFEITO!$L$470*EFEITO!$Z$477</f>
        <v>1128.5034785753621</v>
      </c>
      <c r="L470" s="76">
        <f>EFEITO!$N$470*EFEITO!$AA$477</f>
        <v>619.1556407417213</v>
      </c>
      <c r="M470" s="76">
        <f>$J$470-EFEITO!$K$470*EFEITO!$Y$470</f>
        <v>0</v>
      </c>
      <c r="N470" s="76">
        <f ca="1">$K$470-EFEITO!$M$470*EFEITO!$Z$470</f>
        <v>112.85034785753624</v>
      </c>
      <c r="O470" s="76">
        <f>$L$470-EFEITO!$O$470*EFEITO!$AA$470</f>
        <v>61.915564074172153</v>
      </c>
      <c r="P470" s="19"/>
      <c r="Q470" s="19"/>
      <c r="R470" s="19"/>
      <c r="S470" s="19"/>
      <c r="T470" s="19"/>
      <c r="U470" s="19"/>
      <c r="V470" s="19"/>
      <c r="W470" s="19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65" t="s">
        <v>21</v>
      </c>
      <c r="B471" s="65" t="s">
        <v>22</v>
      </c>
      <c r="C471" s="65" t="s">
        <v>23</v>
      </c>
      <c r="D471" s="65" t="s">
        <v>24</v>
      </c>
      <c r="E471" s="65" t="s">
        <v>31</v>
      </c>
      <c r="F471" s="65" t="s">
        <v>25</v>
      </c>
      <c r="G471" s="65" t="s">
        <v>25</v>
      </c>
      <c r="H471" s="65" t="s">
        <v>25</v>
      </c>
      <c r="I471" s="75">
        <v>44470</v>
      </c>
      <c r="J471" s="76">
        <f>EFEITO!$J$471*EFEITO!$Y$401</f>
        <v>0</v>
      </c>
      <c r="K471" s="76">
        <f ca="1">EFEITO!$L$471*EFEITO!$Z$477</f>
        <v>1111.0503492054795</v>
      </c>
      <c r="L471" s="76">
        <f>EFEITO!$N$471*EFEITO!$AA$477</f>
        <v>609.57994717664724</v>
      </c>
      <c r="M471" s="76">
        <f>$J$471-EFEITO!$K$471*EFEITO!$Y$471</f>
        <v>0</v>
      </c>
      <c r="N471" s="76">
        <f ca="1">$K$471-EFEITO!$M$471*EFEITO!$Z$471</f>
        <v>111.10503492054795</v>
      </c>
      <c r="O471" s="76">
        <f>$L$471-EFEITO!$O$471*EFEITO!$AA$471</f>
        <v>60.957994717664747</v>
      </c>
      <c r="P471" s="19"/>
      <c r="Q471" s="19"/>
      <c r="R471" s="19"/>
      <c r="S471" s="19"/>
      <c r="T471" s="19"/>
      <c r="U471" s="19"/>
      <c r="V471" s="19"/>
      <c r="W471" s="19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65" t="s">
        <v>21</v>
      </c>
      <c r="B472" s="65" t="s">
        <v>22</v>
      </c>
      <c r="C472" s="65" t="s">
        <v>23</v>
      </c>
      <c r="D472" s="65" t="s">
        <v>24</v>
      </c>
      <c r="E472" s="65" t="s">
        <v>31</v>
      </c>
      <c r="F472" s="65" t="s">
        <v>25</v>
      </c>
      <c r="G472" s="65" t="s">
        <v>25</v>
      </c>
      <c r="H472" s="65" t="s">
        <v>25</v>
      </c>
      <c r="I472" s="75">
        <v>44501</v>
      </c>
      <c r="J472" s="76">
        <f>EFEITO!$J$472*EFEITO!$Y$401</f>
        <v>0</v>
      </c>
      <c r="K472" s="76">
        <f ca="1">EFEITO!$L$472*EFEITO!$Z$477</f>
        <v>1118.1902657658859</v>
      </c>
      <c r="L472" s="76">
        <f>EFEITO!$N$472*EFEITO!$AA$477</f>
        <v>613.49727636235934</v>
      </c>
      <c r="M472" s="76">
        <f>$J$472-EFEITO!$K$472*EFEITO!$Y$472</f>
        <v>0</v>
      </c>
      <c r="N472" s="76">
        <f ca="1">$K$472-EFEITO!$M$472*EFEITO!$Z$472</f>
        <v>111.81902657658861</v>
      </c>
      <c r="O472" s="76">
        <f>$L$472-EFEITO!$O$472*EFEITO!$AA$472</f>
        <v>61.349727636235912</v>
      </c>
      <c r="P472" s="19"/>
      <c r="Q472" s="19"/>
      <c r="R472" s="19"/>
      <c r="S472" s="19"/>
      <c r="T472" s="19"/>
      <c r="U472" s="19"/>
      <c r="V472" s="19"/>
      <c r="W472" s="19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65" t="s">
        <v>21</v>
      </c>
      <c r="B473" s="65" t="s">
        <v>22</v>
      </c>
      <c r="C473" s="65" t="s">
        <v>23</v>
      </c>
      <c r="D473" s="65" t="s">
        <v>24</v>
      </c>
      <c r="E473" s="65" t="s">
        <v>31</v>
      </c>
      <c r="F473" s="65" t="s">
        <v>25</v>
      </c>
      <c r="G473" s="65" t="s">
        <v>25</v>
      </c>
      <c r="H473" s="65" t="s">
        <v>25</v>
      </c>
      <c r="I473" s="75">
        <v>44531</v>
      </c>
      <c r="J473" s="76">
        <f>EFEITO!$J$473*EFEITO!$Y$401</f>
        <v>0</v>
      </c>
      <c r="K473" s="76">
        <f ca="1">EFEITO!$L$473*EFEITO!$Z$477</f>
        <v>1025.3713504806012</v>
      </c>
      <c r="L473" s="76">
        <f>EFEITO!$N$473*EFEITO!$AA$477</f>
        <v>562.57199694810174</v>
      </c>
      <c r="M473" s="76">
        <f>$J$473-EFEITO!$K$473*EFEITO!$Y$473</f>
        <v>0</v>
      </c>
      <c r="N473" s="76">
        <f ca="1">$K$473-EFEITO!$M$473*EFEITO!$Z$473</f>
        <v>102.53713504806001</v>
      </c>
      <c r="O473" s="76">
        <f>$L$473-EFEITO!$O$473*EFEITO!$AA$473</f>
        <v>56.257199694810197</v>
      </c>
      <c r="P473" s="19"/>
      <c r="Q473" s="19"/>
      <c r="R473" s="19"/>
      <c r="S473" s="19"/>
      <c r="T473" s="19"/>
      <c r="U473" s="19"/>
      <c r="V473" s="19"/>
      <c r="W473" s="19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65" t="s">
        <v>21</v>
      </c>
      <c r="B474" s="65" t="s">
        <v>22</v>
      </c>
      <c r="C474" s="65" t="s">
        <v>23</v>
      </c>
      <c r="D474" s="65" t="s">
        <v>24</v>
      </c>
      <c r="E474" s="65" t="s">
        <v>31</v>
      </c>
      <c r="F474" s="65" t="s">
        <v>25</v>
      </c>
      <c r="G474" s="65" t="s">
        <v>25</v>
      </c>
      <c r="H474" s="65" t="s">
        <v>25</v>
      </c>
      <c r="I474" s="75">
        <v>44562</v>
      </c>
      <c r="J474" s="76">
        <f>EFEITO!$J$474*EFEITO!$Y$401</f>
        <v>0</v>
      </c>
      <c r="K474" s="76">
        <f ca="1">EFEITO!$L$474*EFEITO!$Z$477</f>
        <v>1037.2712114146123</v>
      </c>
      <c r="L474" s="76">
        <f>EFEITO!$N$474*EFEITO!$AA$477</f>
        <v>569.10087892428874</v>
      </c>
      <c r="M474" s="76">
        <f>$J$474-EFEITO!$K$474*EFEITO!$Y$474</f>
        <v>0</v>
      </c>
      <c r="N474" s="76">
        <f ca="1">$K$474-EFEITO!$M$474*EFEITO!$Z$474</f>
        <v>103.72712114146123</v>
      </c>
      <c r="O474" s="76">
        <f>$L$474-EFEITO!$O$474*EFEITO!$AA$474</f>
        <v>56.910087892428919</v>
      </c>
      <c r="P474" s="19"/>
      <c r="Q474" s="19"/>
      <c r="R474" s="19"/>
      <c r="S474" s="19"/>
      <c r="T474" s="19"/>
      <c r="U474" s="19"/>
      <c r="V474" s="19"/>
      <c r="W474" s="19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65" t="s">
        <v>21</v>
      </c>
      <c r="B475" s="65" t="s">
        <v>22</v>
      </c>
      <c r="C475" s="65" t="s">
        <v>23</v>
      </c>
      <c r="D475" s="65" t="s">
        <v>24</v>
      </c>
      <c r="E475" s="65" t="s">
        <v>31</v>
      </c>
      <c r="F475" s="65" t="s">
        <v>25</v>
      </c>
      <c r="G475" s="65" t="s">
        <v>25</v>
      </c>
      <c r="H475" s="65" t="s">
        <v>25</v>
      </c>
      <c r="I475" s="75">
        <v>44593</v>
      </c>
      <c r="J475" s="76">
        <f>EFEITO!$J$475*EFEITO!$Y$401</f>
        <v>0</v>
      </c>
      <c r="K475" s="76">
        <f ca="1">EFEITO!$L$475*EFEITO!$Z$477</f>
        <v>1255.0386665070107</v>
      </c>
      <c r="L475" s="76">
        <f>EFEITO!$N$475*EFEITO!$AA$477</f>
        <v>688.5794190885083</v>
      </c>
      <c r="M475" s="76">
        <f>$J$475-EFEITO!$K$475*EFEITO!$Y$475</f>
        <v>0</v>
      </c>
      <c r="N475" s="76">
        <f ca="1">$K$475-EFEITO!$M$475*EFEITO!$Z$475</f>
        <v>125.50386665070096</v>
      </c>
      <c r="O475" s="76">
        <f>$L$475-EFEITO!$O$475*EFEITO!$AA$475</f>
        <v>68.857941908850762</v>
      </c>
      <c r="P475" s="19"/>
      <c r="Q475" s="19"/>
      <c r="R475" s="19"/>
      <c r="S475" s="19"/>
      <c r="T475" s="19"/>
      <c r="U475" s="19"/>
      <c r="V475" s="19"/>
      <c r="W475" s="19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65" t="s">
        <v>54</v>
      </c>
      <c r="B476" s="65" t="s">
        <v>22</v>
      </c>
      <c r="C476" s="65" t="s">
        <v>23</v>
      </c>
      <c r="D476" s="65" t="s">
        <v>24</v>
      </c>
      <c r="E476" s="65" t="s">
        <v>31</v>
      </c>
      <c r="F476" s="65" t="s">
        <v>25</v>
      </c>
      <c r="G476" s="65" t="s">
        <v>25</v>
      </c>
      <c r="H476" s="65" t="s">
        <v>25</v>
      </c>
      <c r="I476" s="75">
        <v>44621</v>
      </c>
      <c r="J476" s="76">
        <f>EFEITO!$J$476*EFEITO!$Y$401</f>
        <v>0</v>
      </c>
      <c r="K476" s="76">
        <f ca="1">EFEITO!$L$476*EFEITO!$Z$477</f>
        <v>1255.0386665070107</v>
      </c>
      <c r="L476" s="76">
        <f>EFEITO!$N$476*EFEITO!$AA$477</f>
        <v>688.5794190885083</v>
      </c>
      <c r="M476" s="76">
        <f>$J$476-EFEITO!$K$476*EFEITO!$Y$476</f>
        <v>0</v>
      </c>
      <c r="N476" s="76">
        <f ca="1">$K$476-EFEITO!$M$476*EFEITO!$Z$476</f>
        <v>125.50386665070096</v>
      </c>
      <c r="O476" s="76">
        <f>$L$476-EFEITO!$O$476*EFEITO!$AA$476</f>
        <v>68.857941908850762</v>
      </c>
      <c r="P476" s="19"/>
      <c r="Q476" s="19"/>
      <c r="R476" s="19"/>
      <c r="S476" s="19"/>
      <c r="T476" s="19"/>
      <c r="U476" s="19"/>
      <c r="V476" s="19"/>
      <c r="W476" s="19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65" t="s">
        <v>21</v>
      </c>
      <c r="B477" s="65" t="s">
        <v>22</v>
      </c>
      <c r="C477" s="65" t="s">
        <v>23</v>
      </c>
      <c r="D477" s="65" t="s">
        <v>24</v>
      </c>
      <c r="E477" s="65" t="s">
        <v>32</v>
      </c>
      <c r="F477" s="65" t="s">
        <v>25</v>
      </c>
      <c r="G477" s="65" t="s">
        <v>25</v>
      </c>
      <c r="H477" s="65" t="s">
        <v>25</v>
      </c>
      <c r="I477" s="75">
        <v>44287</v>
      </c>
      <c r="J477" s="76">
        <f>EFEITO!$J$477*EFEITO!$Y$401</f>
        <v>0</v>
      </c>
      <c r="K477" s="76">
        <f ca="1">EFEITO!$L$477*EFEITO!$Z$477</f>
        <v>267.74687101524404</v>
      </c>
      <c r="L477" s="76">
        <f>EFEITO!$N$477*EFEITO!$AA$477</f>
        <v>146.89984446420453</v>
      </c>
      <c r="M477" s="76">
        <f>$J$477-EFEITO!$K$477*EFEITO!$Y$477</f>
        <v>0</v>
      </c>
      <c r="N477" s="76">
        <f ca="1">$K$477-EFEITO!$M$477*EFEITO!$Z$477</f>
        <v>0</v>
      </c>
      <c r="O477" s="76">
        <f>$L$477-EFEITO!$O$477*EFEITO!$AA$477</f>
        <v>0</v>
      </c>
      <c r="P477" s="19"/>
      <c r="Q477" s="19"/>
      <c r="R477" s="19"/>
      <c r="S477" s="19"/>
      <c r="T477" s="19"/>
      <c r="U477" s="19"/>
      <c r="V477" s="19"/>
      <c r="W477" s="19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65" t="s">
        <v>21</v>
      </c>
      <c r="B478" s="65" t="s">
        <v>22</v>
      </c>
      <c r="C478" s="65" t="s">
        <v>23</v>
      </c>
      <c r="D478" s="65" t="s">
        <v>24</v>
      </c>
      <c r="E478" s="65" t="s">
        <v>32</v>
      </c>
      <c r="F478" s="65" t="s">
        <v>25</v>
      </c>
      <c r="G478" s="65" t="s">
        <v>25</v>
      </c>
      <c r="H478" s="65" t="s">
        <v>25</v>
      </c>
      <c r="I478" s="75">
        <v>44317</v>
      </c>
      <c r="J478" s="76">
        <f>EFEITO!$J$478*EFEITO!$Y$401</f>
        <v>0</v>
      </c>
      <c r="K478" s="76">
        <f ca="1">EFEITO!$L$478*EFEITO!$Z$477</f>
        <v>286.7866485096614</v>
      </c>
      <c r="L478" s="76">
        <f>EFEITO!$N$478*EFEITO!$AA$477</f>
        <v>157.34605562610352</v>
      </c>
      <c r="M478" s="76">
        <f>$J$478-EFEITO!$K$478*EFEITO!$Y$478</f>
        <v>0</v>
      </c>
      <c r="N478" s="76">
        <f ca="1">$K$478-EFEITO!$M$478*EFEITO!$Z$478</f>
        <v>0</v>
      </c>
      <c r="O478" s="76">
        <f>$L$478-EFEITO!$O$478*EFEITO!$AA$478</f>
        <v>0</v>
      </c>
      <c r="P478" s="19"/>
      <c r="Q478" s="19"/>
      <c r="R478" s="19"/>
      <c r="S478" s="19"/>
      <c r="T478" s="19"/>
      <c r="U478" s="19"/>
      <c r="V478" s="19"/>
      <c r="W478" s="19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65" t="s">
        <v>21</v>
      </c>
      <c r="B479" s="65" t="s">
        <v>22</v>
      </c>
      <c r="C479" s="65" t="s">
        <v>23</v>
      </c>
      <c r="D479" s="65" t="s">
        <v>24</v>
      </c>
      <c r="E479" s="65" t="s">
        <v>32</v>
      </c>
      <c r="F479" s="65" t="s">
        <v>25</v>
      </c>
      <c r="G479" s="65" t="s">
        <v>25</v>
      </c>
      <c r="H479" s="65" t="s">
        <v>25</v>
      </c>
      <c r="I479" s="75">
        <v>44348</v>
      </c>
      <c r="J479" s="76">
        <f>EFEITO!$J$479*EFEITO!$Y$401</f>
        <v>0</v>
      </c>
      <c r="K479" s="76">
        <f ca="1">EFEITO!$L$479*EFEITO!$Z$477</f>
        <v>416.09847065924589</v>
      </c>
      <c r="L479" s="76">
        <f>EFEITO!$N$479*EFEITO!$AA$477</f>
        <v>228.29323976733411</v>
      </c>
      <c r="M479" s="76">
        <f>$J$479-EFEITO!$K$479*EFEITO!$Y$479</f>
        <v>0</v>
      </c>
      <c r="N479" s="76">
        <f ca="1">$K$479-EFEITO!$M$479*EFEITO!$Z$479</f>
        <v>0</v>
      </c>
      <c r="O479" s="76">
        <f>$L$479-EFEITO!$O$479*EFEITO!$AA$479</f>
        <v>0</v>
      </c>
      <c r="P479" s="19"/>
      <c r="Q479" s="19"/>
      <c r="R479" s="19"/>
      <c r="S479" s="19"/>
      <c r="T479" s="19"/>
      <c r="U479" s="19"/>
      <c r="V479" s="19"/>
      <c r="W479" s="19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65" t="s">
        <v>21</v>
      </c>
      <c r="B480" s="65" t="s">
        <v>22</v>
      </c>
      <c r="C480" s="65" t="s">
        <v>23</v>
      </c>
      <c r="D480" s="65" t="s">
        <v>24</v>
      </c>
      <c r="E480" s="65" t="s">
        <v>32</v>
      </c>
      <c r="F480" s="65" t="s">
        <v>25</v>
      </c>
      <c r="G480" s="65" t="s">
        <v>25</v>
      </c>
      <c r="H480" s="65" t="s">
        <v>25</v>
      </c>
      <c r="I480" s="75">
        <v>44378</v>
      </c>
      <c r="J480" s="76">
        <f>EFEITO!$J$480*EFEITO!$Y$401</f>
        <v>0</v>
      </c>
      <c r="K480" s="76">
        <f ca="1">EFEITO!$L$480*EFEITO!$Z$477</f>
        <v>163.82141885821596</v>
      </c>
      <c r="L480" s="76">
        <f>EFEITO!$N$480*EFEITO!$AA$477</f>
        <v>89.880941872172542</v>
      </c>
      <c r="M480" s="76">
        <f>$J$480-EFEITO!$K$480*EFEITO!$Y$480</f>
        <v>0</v>
      </c>
      <c r="N480" s="76">
        <f ca="1">$K$480-EFEITO!$M$480*EFEITO!$Z$480</f>
        <v>0</v>
      </c>
      <c r="O480" s="76">
        <f>$L$480-EFEITO!$O$480*EFEITO!$AA$480</f>
        <v>0</v>
      </c>
      <c r="P480" s="19"/>
      <c r="Q480" s="19"/>
      <c r="R480" s="19"/>
      <c r="S480" s="19"/>
      <c r="T480" s="19"/>
      <c r="U480" s="19"/>
      <c r="V480" s="19"/>
      <c r="W480" s="19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65" t="s">
        <v>27</v>
      </c>
      <c r="B481" s="65" t="s">
        <v>22</v>
      </c>
      <c r="C481" s="65" t="s">
        <v>23</v>
      </c>
      <c r="D481" s="65" t="s">
        <v>24</v>
      </c>
      <c r="E481" s="65" t="s">
        <v>32</v>
      </c>
      <c r="F481" s="65" t="s">
        <v>25</v>
      </c>
      <c r="G481" s="65" t="s">
        <v>25</v>
      </c>
      <c r="H481" s="65" t="s">
        <v>25</v>
      </c>
      <c r="I481" s="75">
        <v>44378</v>
      </c>
      <c r="J481" s="76">
        <f>EFEITO!$J$481*EFEITO!$Y$401</f>
        <v>0</v>
      </c>
      <c r="K481" s="76">
        <f ca="1">EFEITO!$L$481*EFEITO!$Z$477</f>
        <v>-117.01529918443998</v>
      </c>
      <c r="L481" s="76">
        <f>EFEITO!$N$481*EFEITO!$AA$477</f>
        <v>-64.200672765837524</v>
      </c>
      <c r="M481" s="76">
        <f>$J$481-EFEITO!$K$481*EFEITO!$Y$481</f>
        <v>0</v>
      </c>
      <c r="N481" s="76">
        <f ca="1">$K$481-EFEITO!$M$481*EFEITO!$Z$481</f>
        <v>0</v>
      </c>
      <c r="O481" s="76">
        <f>$L$481-EFEITO!$O$481*EFEITO!$AA$481</f>
        <v>0</v>
      </c>
      <c r="P481" s="19"/>
      <c r="Q481" s="19"/>
      <c r="R481" s="19"/>
      <c r="S481" s="19"/>
      <c r="T481" s="19"/>
      <c r="U481" s="19"/>
      <c r="V481" s="19"/>
      <c r="W481" s="19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65" t="s">
        <v>21</v>
      </c>
      <c r="B482" s="65" t="s">
        <v>22</v>
      </c>
      <c r="C482" s="65" t="s">
        <v>23</v>
      </c>
      <c r="D482" s="65" t="s">
        <v>24</v>
      </c>
      <c r="E482" s="65" t="s">
        <v>32</v>
      </c>
      <c r="F482" s="65" t="s">
        <v>25</v>
      </c>
      <c r="G482" s="65" t="s">
        <v>25</v>
      </c>
      <c r="H482" s="65" t="s">
        <v>25</v>
      </c>
      <c r="I482" s="75">
        <v>44409</v>
      </c>
      <c r="J482" s="76">
        <f>EFEITO!$J$482*EFEITO!$Y$401</f>
        <v>0</v>
      </c>
      <c r="K482" s="76">
        <f ca="1">EFEITO!$L$482*EFEITO!$Z$477</f>
        <v>366.51571676753412</v>
      </c>
      <c r="L482" s="76">
        <f>EFEITO!$N$482*EFEITO!$AA$477</f>
        <v>201.08956486655555</v>
      </c>
      <c r="M482" s="76">
        <f>$J$482-EFEITO!$K$482*EFEITO!$Y$482</f>
        <v>0</v>
      </c>
      <c r="N482" s="76">
        <f ca="1">$K$482-EFEITO!$M$482*EFEITO!$Z$482</f>
        <v>0</v>
      </c>
      <c r="O482" s="76">
        <f>$L$482-EFEITO!$O$482*EFEITO!$AA$482</f>
        <v>0</v>
      </c>
      <c r="P482" s="19"/>
      <c r="Q482" s="19"/>
      <c r="R482" s="19"/>
      <c r="S482" s="19"/>
      <c r="T482" s="19"/>
      <c r="U482" s="19"/>
      <c r="V482" s="19"/>
      <c r="W482" s="19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65" t="s">
        <v>21</v>
      </c>
      <c r="B483" s="65" t="s">
        <v>22</v>
      </c>
      <c r="C483" s="65" t="s">
        <v>23</v>
      </c>
      <c r="D483" s="65" t="s">
        <v>24</v>
      </c>
      <c r="E483" s="65" t="s">
        <v>32</v>
      </c>
      <c r="F483" s="65" t="s">
        <v>25</v>
      </c>
      <c r="G483" s="65" t="s">
        <v>25</v>
      </c>
      <c r="H483" s="65" t="s">
        <v>25</v>
      </c>
      <c r="I483" s="75">
        <v>44440</v>
      </c>
      <c r="J483" s="76">
        <f>EFEITO!$J$483*EFEITO!$Y$401</f>
        <v>0</v>
      </c>
      <c r="K483" s="76">
        <f ca="1">EFEITO!$L$483*EFEITO!$Z$477</f>
        <v>358.18581411372651</v>
      </c>
      <c r="L483" s="76">
        <f>EFEITO!$N$483*EFEITO!$AA$477</f>
        <v>196.51934748322472</v>
      </c>
      <c r="M483" s="76">
        <f>$J$483-EFEITO!$K$483*EFEITO!$Y$483</f>
        <v>0</v>
      </c>
      <c r="N483" s="76">
        <f ca="1">$K$483-EFEITO!$M$483*EFEITO!$Z$483</f>
        <v>0</v>
      </c>
      <c r="O483" s="76">
        <f>$L$483-EFEITO!$O$483*EFEITO!$AA$483</f>
        <v>0</v>
      </c>
      <c r="P483" s="19"/>
      <c r="Q483" s="19"/>
      <c r="R483" s="19"/>
      <c r="S483" s="19"/>
      <c r="T483" s="19"/>
      <c r="U483" s="19"/>
      <c r="V483" s="19"/>
      <c r="W483" s="19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65" t="s">
        <v>21</v>
      </c>
      <c r="B484" s="65" t="s">
        <v>22</v>
      </c>
      <c r="C484" s="65" t="s">
        <v>23</v>
      </c>
      <c r="D484" s="65" t="s">
        <v>24</v>
      </c>
      <c r="E484" s="65" t="s">
        <v>32</v>
      </c>
      <c r="F484" s="65" t="s">
        <v>25</v>
      </c>
      <c r="G484" s="65" t="s">
        <v>25</v>
      </c>
      <c r="H484" s="65" t="s">
        <v>25</v>
      </c>
      <c r="I484" s="75">
        <v>44470</v>
      </c>
      <c r="J484" s="76">
        <f>EFEITO!$J$484*EFEITO!$Y$401</f>
        <v>0</v>
      </c>
      <c r="K484" s="76">
        <f ca="1">EFEITO!$L$484*EFEITO!$Z$477</f>
        <v>313.36300459561897</v>
      </c>
      <c r="L484" s="76">
        <f>EFEITO!$N$484*EFEITO!$AA$477</f>
        <v>171.92722537292084</v>
      </c>
      <c r="M484" s="76">
        <f>$J$484-EFEITO!$K$484*EFEITO!$Y$484</f>
        <v>0</v>
      </c>
      <c r="N484" s="76">
        <f ca="1">$K$484-EFEITO!$M$484*EFEITO!$Z$484</f>
        <v>0</v>
      </c>
      <c r="O484" s="76">
        <f>$L$484-EFEITO!$O$484*EFEITO!$AA$484</f>
        <v>0</v>
      </c>
      <c r="P484" s="19"/>
      <c r="Q484" s="19"/>
      <c r="R484" s="19"/>
      <c r="S484" s="19"/>
      <c r="T484" s="19"/>
      <c r="U484" s="19"/>
      <c r="V484" s="19"/>
      <c r="W484" s="19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65" t="s">
        <v>21</v>
      </c>
      <c r="B485" s="65" t="s">
        <v>22</v>
      </c>
      <c r="C485" s="65" t="s">
        <v>23</v>
      </c>
      <c r="D485" s="65" t="s">
        <v>24</v>
      </c>
      <c r="E485" s="65" t="s">
        <v>32</v>
      </c>
      <c r="F485" s="65" t="s">
        <v>25</v>
      </c>
      <c r="G485" s="65" t="s">
        <v>25</v>
      </c>
      <c r="H485" s="65" t="s">
        <v>25</v>
      </c>
      <c r="I485" s="75">
        <v>44501</v>
      </c>
      <c r="J485" s="76">
        <f>EFEITO!$J$485*EFEITO!$Y$401</f>
        <v>0</v>
      </c>
      <c r="K485" s="76">
        <f ca="1">EFEITO!$L$485*EFEITO!$Z$477</f>
        <v>432.36161393572746</v>
      </c>
      <c r="L485" s="76">
        <f>EFEITO!$N$485*EFEITO!$AA$477</f>
        <v>237.21604513478954</v>
      </c>
      <c r="M485" s="76">
        <f>$J$485-EFEITO!$K$485*EFEITO!$Y$485</f>
        <v>0</v>
      </c>
      <c r="N485" s="76">
        <f ca="1">$K$485-EFEITO!$M$485*EFEITO!$Z$485</f>
        <v>0</v>
      </c>
      <c r="O485" s="76">
        <f>$L$485-EFEITO!$O$485*EFEITO!$AA$485</f>
        <v>0</v>
      </c>
      <c r="P485" s="19"/>
      <c r="Q485" s="19"/>
      <c r="R485" s="19"/>
      <c r="S485" s="19"/>
      <c r="T485" s="19"/>
      <c r="U485" s="19"/>
      <c r="V485" s="19"/>
      <c r="W485" s="19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65" t="s">
        <v>21</v>
      </c>
      <c r="B486" s="65" t="s">
        <v>22</v>
      </c>
      <c r="C486" s="65" t="s">
        <v>23</v>
      </c>
      <c r="D486" s="65" t="s">
        <v>24</v>
      </c>
      <c r="E486" s="65" t="s">
        <v>32</v>
      </c>
      <c r="F486" s="65" t="s">
        <v>25</v>
      </c>
      <c r="G486" s="65" t="s">
        <v>25</v>
      </c>
      <c r="H486" s="65" t="s">
        <v>25</v>
      </c>
      <c r="I486" s="75">
        <v>44531</v>
      </c>
      <c r="J486" s="76">
        <f>EFEITO!$J$486*EFEITO!$Y$401</f>
        <v>0</v>
      </c>
      <c r="K486" s="76">
        <f ca="1">EFEITO!$L$486*EFEITO!$Z$477</f>
        <v>332.79944412116998</v>
      </c>
      <c r="L486" s="76">
        <f>EFEITO!$N$486*EFEITO!$AA$477</f>
        <v>182.59106593402606</v>
      </c>
      <c r="M486" s="76">
        <f>$J$486-EFEITO!$K$486*EFEITO!$Y$486</f>
        <v>0</v>
      </c>
      <c r="N486" s="76">
        <f ca="1">$K$486-EFEITO!$M$486*EFEITO!$Z$486</f>
        <v>0</v>
      </c>
      <c r="O486" s="76">
        <f>$L$486-EFEITO!$O$486*EFEITO!$AA$486</f>
        <v>0</v>
      </c>
      <c r="P486" s="19"/>
      <c r="Q486" s="19"/>
      <c r="R486" s="19"/>
      <c r="S486" s="19"/>
      <c r="T486" s="19"/>
      <c r="U486" s="19"/>
      <c r="V486" s="19"/>
      <c r="W486" s="19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65" t="s">
        <v>21</v>
      </c>
      <c r="B487" s="65" t="s">
        <v>22</v>
      </c>
      <c r="C487" s="65" t="s">
        <v>23</v>
      </c>
      <c r="D487" s="65" t="s">
        <v>24</v>
      </c>
      <c r="E487" s="65" t="s">
        <v>32</v>
      </c>
      <c r="F487" s="65" t="s">
        <v>25</v>
      </c>
      <c r="G487" s="65" t="s">
        <v>25</v>
      </c>
      <c r="H487" s="65" t="s">
        <v>25</v>
      </c>
      <c r="I487" s="75">
        <v>44562</v>
      </c>
      <c r="J487" s="76">
        <f>EFEITO!$J$487*EFEITO!$Y$401</f>
        <v>0</v>
      </c>
      <c r="K487" s="76">
        <f ca="1">EFEITO!$L$487*EFEITO!$Z$477</f>
        <v>311.37969443995047</v>
      </c>
      <c r="L487" s="76">
        <f>EFEITO!$N$487*EFEITO!$AA$477</f>
        <v>170.83907837688972</v>
      </c>
      <c r="M487" s="76">
        <f>$J$487-EFEITO!$K$487*EFEITO!$Y$487</f>
        <v>0</v>
      </c>
      <c r="N487" s="76">
        <f ca="1">$K$487-EFEITO!$M$487*EFEITO!$Z$487</f>
        <v>0</v>
      </c>
      <c r="O487" s="76">
        <f>$L$487-EFEITO!$O$487*EFEITO!$AA$487</f>
        <v>0</v>
      </c>
      <c r="P487" s="19"/>
      <c r="Q487" s="19"/>
      <c r="R487" s="19"/>
      <c r="S487" s="19"/>
      <c r="T487" s="19"/>
      <c r="U487" s="19"/>
      <c r="V487" s="19"/>
      <c r="W487" s="19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65" t="s">
        <v>21</v>
      </c>
      <c r="B488" s="65" t="s">
        <v>22</v>
      </c>
      <c r="C488" s="65" t="s">
        <v>23</v>
      </c>
      <c r="D488" s="65" t="s">
        <v>24</v>
      </c>
      <c r="E488" s="65" t="s">
        <v>32</v>
      </c>
      <c r="F488" s="65" t="s">
        <v>25</v>
      </c>
      <c r="G488" s="65" t="s">
        <v>25</v>
      </c>
      <c r="H488" s="65" t="s">
        <v>25</v>
      </c>
      <c r="I488" s="75">
        <v>44593</v>
      </c>
      <c r="J488" s="76">
        <f>EFEITO!$J$488*EFEITO!$Y$401</f>
        <v>0</v>
      </c>
      <c r="K488" s="76">
        <f ca="1">EFEITO!$L$488*EFEITO!$Z$477</f>
        <v>529.94047359461638</v>
      </c>
      <c r="L488" s="76">
        <f>EFEITO!$N$488*EFEITO!$AA$477</f>
        <v>290.75287733952189</v>
      </c>
      <c r="M488" s="76">
        <f>$J$488-EFEITO!$K$488*EFEITO!$Y$488</f>
        <v>0</v>
      </c>
      <c r="N488" s="76">
        <f ca="1">$K$488-EFEITO!$M$488*EFEITO!$Z$488</f>
        <v>0</v>
      </c>
      <c r="O488" s="76">
        <f>$L$488-EFEITO!$O$488*EFEITO!$AA$488</f>
        <v>0</v>
      </c>
      <c r="P488" s="19"/>
      <c r="Q488" s="19"/>
      <c r="R488" s="19"/>
      <c r="S488" s="19"/>
      <c r="T488" s="19"/>
      <c r="U488" s="19"/>
      <c r="V488" s="19"/>
      <c r="W488" s="19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65" t="s">
        <v>54</v>
      </c>
      <c r="B489" s="65" t="s">
        <v>22</v>
      </c>
      <c r="C489" s="65" t="s">
        <v>23</v>
      </c>
      <c r="D489" s="65" t="s">
        <v>24</v>
      </c>
      <c r="E489" s="65" t="s">
        <v>32</v>
      </c>
      <c r="F489" s="65" t="s">
        <v>25</v>
      </c>
      <c r="G489" s="65" t="s">
        <v>25</v>
      </c>
      <c r="H489" s="65" t="s">
        <v>25</v>
      </c>
      <c r="I489" s="75">
        <v>44621</v>
      </c>
      <c r="J489" s="76">
        <f>EFEITO!$J$489*EFEITO!$Y$401</f>
        <v>0</v>
      </c>
      <c r="K489" s="76">
        <f ca="1">EFEITO!$L$489*EFEITO!$Z$477</f>
        <v>529.94047359461638</v>
      </c>
      <c r="L489" s="76">
        <f>EFEITO!$N$489*EFEITO!$AA$477</f>
        <v>290.75287733952189</v>
      </c>
      <c r="M489" s="76">
        <f>$J$489-EFEITO!$K$489*EFEITO!$Y$489</f>
        <v>0</v>
      </c>
      <c r="N489" s="76">
        <f ca="1">$K$489-EFEITO!$M$489*EFEITO!$Z$489</f>
        <v>0</v>
      </c>
      <c r="O489" s="76">
        <f>$L$489-EFEITO!$O$489*EFEITO!$AA$489</f>
        <v>0</v>
      </c>
      <c r="P489" s="19"/>
      <c r="Q489" s="19"/>
      <c r="R489" s="19"/>
      <c r="S489" s="19"/>
      <c r="T489" s="19"/>
      <c r="U489" s="19"/>
      <c r="V489" s="19"/>
      <c r="W489" s="19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65" t="s">
        <v>21</v>
      </c>
      <c r="B490" s="65" t="s">
        <v>40</v>
      </c>
      <c r="C490" s="65" t="s">
        <v>23</v>
      </c>
      <c r="D490" s="65" t="s">
        <v>41</v>
      </c>
      <c r="E490" s="65" t="s">
        <v>50</v>
      </c>
      <c r="F490" s="65" t="s">
        <v>51</v>
      </c>
      <c r="G490" s="65" t="s">
        <v>25</v>
      </c>
      <c r="H490" s="65" t="s">
        <v>25</v>
      </c>
      <c r="I490" s="75">
        <v>44287</v>
      </c>
      <c r="J490" s="76">
        <f>EFEITO!$J$490*EFEITO!$Y$401</f>
        <v>0</v>
      </c>
      <c r="K490" s="76">
        <f ca="1">EFEITO!$L$490*EFEITO!$Z$401</f>
        <v>951966.89011247375</v>
      </c>
      <c r="L490" s="76">
        <f>EFEITO!$N$490*EFEITO!$AA$401</f>
        <v>419051.93705357</v>
      </c>
      <c r="M490" s="76">
        <f>$J$490-EFEITO!$K$490*EFEITO!$Y$490</f>
        <v>0</v>
      </c>
      <c r="N490" s="76">
        <f ca="1">$K$490-EFEITO!$M$490*EFEITO!$Z$490</f>
        <v>57118.013406748418</v>
      </c>
      <c r="O490" s="76">
        <f>$L$490-EFEITO!$O$490*EFEITO!$AA$490</f>
        <v>25143.116223214194</v>
      </c>
      <c r="P490" s="19"/>
      <c r="Q490" s="19"/>
      <c r="R490" s="19"/>
      <c r="S490" s="19"/>
      <c r="T490" s="19"/>
      <c r="U490" s="19"/>
      <c r="V490" s="19"/>
      <c r="W490" s="19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65" t="s">
        <v>28</v>
      </c>
      <c r="B491" s="65" t="s">
        <v>40</v>
      </c>
      <c r="C491" s="65" t="s">
        <v>23</v>
      </c>
      <c r="D491" s="65" t="s">
        <v>41</v>
      </c>
      <c r="E491" s="65" t="s">
        <v>50</v>
      </c>
      <c r="F491" s="65" t="s">
        <v>51</v>
      </c>
      <c r="G491" s="65" t="s">
        <v>25</v>
      </c>
      <c r="H491" s="65" t="s">
        <v>25</v>
      </c>
      <c r="I491" s="75">
        <v>44287</v>
      </c>
      <c r="J491" s="76">
        <f>EFEITO!$J$491*EFEITO!$Y$401</f>
        <v>0</v>
      </c>
      <c r="K491" s="76">
        <f ca="1">EFEITO!$L$491*EFEITO!$Z$401</f>
        <v>49.43921362494865</v>
      </c>
      <c r="L491" s="76">
        <f>EFEITO!$N$491*EFEITO!$AA$401</f>
        <v>21.762939920622895</v>
      </c>
      <c r="M491" s="76">
        <f>$J$491-EFEITO!$K$491*EFEITO!$Y$491</f>
        <v>0</v>
      </c>
      <c r="N491" s="76">
        <f ca="1">$K$491-EFEITO!$M$491*EFEITO!$Z$491</f>
        <v>2.9663528174969187</v>
      </c>
      <c r="O491" s="76">
        <f>$L$491-EFEITO!$O$491*EFEITO!$AA$491</f>
        <v>1.3057763952373733</v>
      </c>
      <c r="P491" s="19"/>
      <c r="Q491" s="19"/>
      <c r="R491" s="19"/>
      <c r="S491" s="19"/>
      <c r="T491" s="19"/>
      <c r="U491" s="19"/>
      <c r="V491" s="19"/>
      <c r="W491" s="19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65" t="s">
        <v>21</v>
      </c>
      <c r="B492" s="65" t="s">
        <v>40</v>
      </c>
      <c r="C492" s="65" t="s">
        <v>23</v>
      </c>
      <c r="D492" s="65" t="s">
        <v>41</v>
      </c>
      <c r="E492" s="65" t="s">
        <v>50</v>
      </c>
      <c r="F492" s="65" t="s">
        <v>51</v>
      </c>
      <c r="G492" s="65" t="s">
        <v>25</v>
      </c>
      <c r="H492" s="65" t="s">
        <v>25</v>
      </c>
      <c r="I492" s="75">
        <v>44317</v>
      </c>
      <c r="J492" s="76">
        <f>EFEITO!$J$492*EFEITO!$Y$401</f>
        <v>0</v>
      </c>
      <c r="K492" s="76">
        <f ca="1">EFEITO!$L$492*EFEITO!$Z$401</f>
        <v>1040103.1650259423</v>
      </c>
      <c r="L492" s="76">
        <f>EFEITO!$N$492*EFEITO!$AA$401</f>
        <v>457849.16530886287</v>
      </c>
      <c r="M492" s="76">
        <f>$J$492-EFEITO!$K$492*EFEITO!$Y$492</f>
        <v>0</v>
      </c>
      <c r="N492" s="76">
        <f ca="1">$K$492-EFEITO!$M$492*EFEITO!$Z$492</f>
        <v>62406.189901556587</v>
      </c>
      <c r="O492" s="76">
        <f>$L$492-EFEITO!$O$492*EFEITO!$AA$492</f>
        <v>27470.949918531755</v>
      </c>
      <c r="P492" s="19"/>
      <c r="Q492" s="19"/>
      <c r="R492" s="19"/>
      <c r="S492" s="19"/>
      <c r="T492" s="19"/>
      <c r="U492" s="19"/>
      <c r="V492" s="19"/>
      <c r="W492" s="19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65" t="s">
        <v>28</v>
      </c>
      <c r="B493" s="65" t="s">
        <v>40</v>
      </c>
      <c r="C493" s="65" t="s">
        <v>23</v>
      </c>
      <c r="D493" s="65" t="s">
        <v>41</v>
      </c>
      <c r="E493" s="65" t="s">
        <v>50</v>
      </c>
      <c r="F493" s="65" t="s">
        <v>51</v>
      </c>
      <c r="G493" s="65" t="s">
        <v>25</v>
      </c>
      <c r="H493" s="65" t="s">
        <v>25</v>
      </c>
      <c r="I493" s="75">
        <v>44317</v>
      </c>
      <c r="J493" s="76">
        <f>EFEITO!$J$493*EFEITO!$Y$401</f>
        <v>0</v>
      </c>
      <c r="K493" s="76">
        <f ca="1">EFEITO!$L$493*EFEITO!$Z$401</f>
        <v>9056.2751518180939</v>
      </c>
      <c r="L493" s="76">
        <f>EFEITO!$N$493*EFEITO!$AA$401</f>
        <v>3986.5353346597017</v>
      </c>
      <c r="M493" s="76">
        <f>$J$493-EFEITO!$K$493*EFEITO!$Y$493</f>
        <v>0</v>
      </c>
      <c r="N493" s="76">
        <f ca="1">$K$493-EFEITO!$M$493*EFEITO!$Z$493</f>
        <v>543.37650910908633</v>
      </c>
      <c r="O493" s="76">
        <f>$L$493-EFEITO!$O$493*EFEITO!$AA$493</f>
        <v>239.19212007958185</v>
      </c>
      <c r="P493" s="19"/>
      <c r="Q493" s="19"/>
      <c r="R493" s="19"/>
      <c r="S493" s="19"/>
      <c r="T493" s="19"/>
      <c r="U493" s="19"/>
      <c r="V493" s="19"/>
      <c r="W493" s="19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65" t="s">
        <v>21</v>
      </c>
      <c r="B494" s="65" t="s">
        <v>40</v>
      </c>
      <c r="C494" s="65" t="s">
        <v>23</v>
      </c>
      <c r="D494" s="65" t="s">
        <v>41</v>
      </c>
      <c r="E494" s="65" t="s">
        <v>50</v>
      </c>
      <c r="F494" s="65" t="s">
        <v>51</v>
      </c>
      <c r="G494" s="65" t="s">
        <v>25</v>
      </c>
      <c r="H494" s="65" t="s">
        <v>25</v>
      </c>
      <c r="I494" s="75">
        <v>44348</v>
      </c>
      <c r="J494" s="76">
        <f>EFEITO!$J$494*EFEITO!$Y$401</f>
        <v>0</v>
      </c>
      <c r="K494" s="76">
        <f ca="1">EFEITO!$L$494*EFEITO!$Z$401</f>
        <v>352048.23555694305</v>
      </c>
      <c r="L494" s="76">
        <f>EFEITO!$N$494*EFEITO!$AA$401</f>
        <v>154970.19547496911</v>
      </c>
      <c r="M494" s="76">
        <f>$J$494-EFEITO!$K$494*EFEITO!$Y$494</f>
        <v>0</v>
      </c>
      <c r="N494" s="76">
        <f ca="1">$K$494-EFEITO!$M$494*EFEITO!$Z$494</f>
        <v>21122.894133416587</v>
      </c>
      <c r="O494" s="76">
        <f>$L$494-EFEITO!$O$494*EFEITO!$AA$494</f>
        <v>9298.2117284981359</v>
      </c>
      <c r="P494" s="19"/>
      <c r="Q494" s="19"/>
      <c r="R494" s="19"/>
      <c r="S494" s="19"/>
      <c r="T494" s="19"/>
      <c r="U494" s="19"/>
      <c r="V494" s="19"/>
      <c r="W494" s="19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65" t="s">
        <v>28</v>
      </c>
      <c r="B495" s="65" t="s">
        <v>40</v>
      </c>
      <c r="C495" s="65" t="s">
        <v>23</v>
      </c>
      <c r="D495" s="65" t="s">
        <v>41</v>
      </c>
      <c r="E495" s="65" t="s">
        <v>50</v>
      </c>
      <c r="F495" s="65" t="s">
        <v>51</v>
      </c>
      <c r="G495" s="65" t="s">
        <v>25</v>
      </c>
      <c r="H495" s="65" t="s">
        <v>25</v>
      </c>
      <c r="I495" s="75">
        <v>44348</v>
      </c>
      <c r="J495" s="76">
        <f>EFEITO!$J$495*EFEITO!$Y$401</f>
        <v>0</v>
      </c>
      <c r="K495" s="76">
        <f ca="1">EFEITO!$L$495*EFEITO!$Z$401</f>
        <v>49.43921362494865</v>
      </c>
      <c r="L495" s="76">
        <f>EFEITO!$N$495*EFEITO!$AA$401</f>
        <v>21.762939920622895</v>
      </c>
      <c r="M495" s="76">
        <f>$J$495-EFEITO!$K$495*EFEITO!$Y$495</f>
        <v>0</v>
      </c>
      <c r="N495" s="76">
        <f ca="1">$K$495-EFEITO!$M$495*EFEITO!$Z$495</f>
        <v>2.9663528174969187</v>
      </c>
      <c r="O495" s="76">
        <f>$L$495-EFEITO!$O$495*EFEITO!$AA$495</f>
        <v>1.3057763952373733</v>
      </c>
      <c r="P495" s="19"/>
      <c r="Q495" s="19"/>
      <c r="R495" s="19"/>
      <c r="S495" s="19"/>
      <c r="T495" s="19"/>
      <c r="U495" s="19"/>
      <c r="V495" s="19"/>
      <c r="W495" s="19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65" t="s">
        <v>21</v>
      </c>
      <c r="B496" s="65" t="s">
        <v>40</v>
      </c>
      <c r="C496" s="65" t="s">
        <v>23</v>
      </c>
      <c r="D496" s="65" t="s">
        <v>41</v>
      </c>
      <c r="E496" s="65" t="s">
        <v>50</v>
      </c>
      <c r="F496" s="65" t="s">
        <v>51</v>
      </c>
      <c r="G496" s="65" t="s">
        <v>25</v>
      </c>
      <c r="H496" s="65" t="s">
        <v>25</v>
      </c>
      <c r="I496" s="75">
        <v>44378</v>
      </c>
      <c r="J496" s="76">
        <f>EFEITO!$J$496*EFEITO!$Y$401</f>
        <v>0</v>
      </c>
      <c r="K496" s="76">
        <f ca="1">EFEITO!$L$496*EFEITO!$Z$401</f>
        <v>2549330.0842176597</v>
      </c>
      <c r="L496" s="76">
        <f>EFEITO!$N$496*EFEITO!$AA$401</f>
        <v>1122204.6912305241</v>
      </c>
      <c r="M496" s="76">
        <f>$J$496-EFEITO!$K$496*EFEITO!$Y$496</f>
        <v>0</v>
      </c>
      <c r="N496" s="76">
        <f ca="1">$K$496-EFEITO!$M$496*EFEITO!$Z$496</f>
        <v>152959.80505305994</v>
      </c>
      <c r="O496" s="76">
        <f>$L$496-EFEITO!$O$496*EFEITO!$AA$496</f>
        <v>67332.281473831274</v>
      </c>
      <c r="P496" s="19"/>
      <c r="Q496" s="19"/>
      <c r="R496" s="19"/>
      <c r="S496" s="19"/>
      <c r="T496" s="19"/>
      <c r="U496" s="19"/>
      <c r="V496" s="19"/>
      <c r="W496" s="19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65" t="s">
        <v>27</v>
      </c>
      <c r="B497" s="65" t="s">
        <v>40</v>
      </c>
      <c r="C497" s="65" t="s">
        <v>23</v>
      </c>
      <c r="D497" s="65" t="s">
        <v>41</v>
      </c>
      <c r="E497" s="65" t="s">
        <v>50</v>
      </c>
      <c r="F497" s="65" t="s">
        <v>51</v>
      </c>
      <c r="G497" s="65" t="s">
        <v>25</v>
      </c>
      <c r="H497" s="65" t="s">
        <v>25</v>
      </c>
      <c r="I497" s="75">
        <v>44378</v>
      </c>
      <c r="J497" s="76">
        <f>EFEITO!$J$497*EFEITO!$Y$401</f>
        <v>0</v>
      </c>
      <c r="K497" s="76">
        <f ca="1">EFEITO!$L$497*EFEITO!$Z$401</f>
        <v>-1878.6901177480486</v>
      </c>
      <c r="L497" s="76">
        <f>EFEITO!$N$497*EFEITO!$AA$401</f>
        <v>-826.9917169836699</v>
      </c>
      <c r="M497" s="76">
        <f>$J$497-EFEITO!$K$497*EFEITO!$Y$497</f>
        <v>0</v>
      </c>
      <c r="N497" s="76">
        <f ca="1">$K$497-EFEITO!$M$497*EFEITO!$Z$497</f>
        <v>-112.7214070648829</v>
      </c>
      <c r="O497" s="76">
        <f>$L$497-EFEITO!$O$497*EFEITO!$AA$497</f>
        <v>-49.619503019020158</v>
      </c>
      <c r="P497" s="19"/>
      <c r="Q497" s="19"/>
      <c r="R497" s="19"/>
      <c r="S497" s="19"/>
      <c r="T497" s="19"/>
      <c r="U497" s="19"/>
      <c r="V497" s="19"/>
      <c r="W497" s="19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65" t="s">
        <v>28</v>
      </c>
      <c r="B498" s="65" t="s">
        <v>40</v>
      </c>
      <c r="C498" s="65" t="s">
        <v>23</v>
      </c>
      <c r="D498" s="65" t="s">
        <v>41</v>
      </c>
      <c r="E498" s="65" t="s">
        <v>50</v>
      </c>
      <c r="F498" s="65" t="s">
        <v>51</v>
      </c>
      <c r="G498" s="65" t="s">
        <v>25</v>
      </c>
      <c r="H498" s="65" t="s">
        <v>25</v>
      </c>
      <c r="I498" s="75">
        <v>44378</v>
      </c>
      <c r="J498" s="76">
        <f>EFEITO!$J$498*EFEITO!$Y$401</f>
        <v>0</v>
      </c>
      <c r="K498" s="76">
        <f ca="1">EFEITO!$L$498*EFEITO!$Z$401</f>
        <v>98.8784272498973</v>
      </c>
      <c r="L498" s="76">
        <f>EFEITO!$N$498*EFEITO!$AA$401</f>
        <v>43.525879841245789</v>
      </c>
      <c r="M498" s="76">
        <f>$J$498-EFEITO!$K$498*EFEITO!$Y$498</f>
        <v>0</v>
      </c>
      <c r="N498" s="76">
        <f ca="1">$K$498-EFEITO!$M$498*EFEITO!$Z$498</f>
        <v>5.9327056349938374</v>
      </c>
      <c r="O498" s="76">
        <f>$L$498-EFEITO!$O$498*EFEITO!$AA$498</f>
        <v>2.6115527904747466</v>
      </c>
      <c r="P498" s="19"/>
      <c r="Q498" s="19"/>
      <c r="R498" s="19"/>
      <c r="S498" s="19"/>
      <c r="T498" s="19"/>
      <c r="U498" s="19"/>
      <c r="V498" s="19"/>
      <c r="W498" s="19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65" t="s">
        <v>21</v>
      </c>
      <c r="B499" s="65" t="s">
        <v>40</v>
      </c>
      <c r="C499" s="65" t="s">
        <v>23</v>
      </c>
      <c r="D499" s="65" t="s">
        <v>41</v>
      </c>
      <c r="E499" s="65" t="s">
        <v>50</v>
      </c>
      <c r="F499" s="65" t="s">
        <v>51</v>
      </c>
      <c r="G499" s="65" t="s">
        <v>25</v>
      </c>
      <c r="H499" s="65" t="s">
        <v>25</v>
      </c>
      <c r="I499" s="75">
        <v>44409</v>
      </c>
      <c r="J499" s="76">
        <f>EFEITO!$J$499*EFEITO!$Y$401</f>
        <v>0</v>
      </c>
      <c r="K499" s="76">
        <f ca="1">EFEITO!$L$499*EFEITO!$Z$401</f>
        <v>659826.12727342593</v>
      </c>
      <c r="L499" s="76">
        <f>EFEITO!$N$499*EFEITO!$AA$401</f>
        <v>290452.76639801648</v>
      </c>
      <c r="M499" s="76">
        <f>$J$499-EFEITO!$K$499*EFEITO!$Y$499</f>
        <v>0</v>
      </c>
      <c r="N499" s="76">
        <f ca="1">$K$499-EFEITO!$M$499*EFEITO!$Z$499</f>
        <v>39589.567636405583</v>
      </c>
      <c r="O499" s="76">
        <f>$L$499-EFEITO!$O$499*EFEITO!$AA$499</f>
        <v>17427.165983880986</v>
      </c>
      <c r="P499" s="19"/>
      <c r="Q499" s="19"/>
      <c r="R499" s="19"/>
      <c r="S499" s="19"/>
      <c r="T499" s="19"/>
      <c r="U499" s="19"/>
      <c r="V499" s="19"/>
      <c r="W499" s="19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65" t="s">
        <v>27</v>
      </c>
      <c r="B500" s="65" t="s">
        <v>40</v>
      </c>
      <c r="C500" s="65" t="s">
        <v>23</v>
      </c>
      <c r="D500" s="65" t="s">
        <v>41</v>
      </c>
      <c r="E500" s="65" t="s">
        <v>50</v>
      </c>
      <c r="F500" s="65" t="s">
        <v>51</v>
      </c>
      <c r="G500" s="65" t="s">
        <v>25</v>
      </c>
      <c r="H500" s="65" t="s">
        <v>25</v>
      </c>
      <c r="I500" s="75">
        <v>44409</v>
      </c>
      <c r="J500" s="76">
        <f>EFEITO!$J$500*EFEITO!$Y$401</f>
        <v>0</v>
      </c>
      <c r="K500" s="76">
        <f ca="1">EFEITO!$L$500*EFEITO!$Z$401</f>
        <v>-1977766.3018524458</v>
      </c>
      <c r="L500" s="76">
        <f>EFEITO!$N$500*EFEITO!$AA$401</f>
        <v>-870604.64858459821</v>
      </c>
      <c r="M500" s="76">
        <f>$J$500-EFEITO!$K$500*EFEITO!$Y$500</f>
        <v>0</v>
      </c>
      <c r="N500" s="76">
        <f ca="1">$K$500-EFEITO!$M$500*EFEITO!$Z$500</f>
        <v>-118665.97811114672</v>
      </c>
      <c r="O500" s="76">
        <f>$L$500-EFEITO!$O$500*EFEITO!$AA$500</f>
        <v>-52236.278915075934</v>
      </c>
      <c r="P500" s="19"/>
      <c r="Q500" s="19"/>
      <c r="R500" s="19"/>
      <c r="S500" s="19"/>
      <c r="T500" s="19"/>
      <c r="U500" s="19"/>
      <c r="V500" s="19"/>
      <c r="W500" s="19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65" t="s">
        <v>28</v>
      </c>
      <c r="B501" s="65" t="s">
        <v>40</v>
      </c>
      <c r="C501" s="65" t="s">
        <v>23</v>
      </c>
      <c r="D501" s="65" t="s">
        <v>41</v>
      </c>
      <c r="E501" s="65" t="s">
        <v>50</v>
      </c>
      <c r="F501" s="65" t="s">
        <v>51</v>
      </c>
      <c r="G501" s="65" t="s">
        <v>25</v>
      </c>
      <c r="H501" s="65" t="s">
        <v>25</v>
      </c>
      <c r="I501" s="75">
        <v>44409</v>
      </c>
      <c r="J501" s="76">
        <f>EFEITO!$J$501*EFEITO!$Y$401</f>
        <v>0</v>
      </c>
      <c r="K501" s="76">
        <f ca="1">EFEITO!$L$501*EFEITO!$Z$401</f>
        <v>955.16560723400789</v>
      </c>
      <c r="L501" s="76">
        <f>EFEITO!$N$501*EFEITO!$AA$401</f>
        <v>420.45999926643429</v>
      </c>
      <c r="M501" s="76">
        <f>$J$501-EFEITO!$K$501*EFEITO!$Y$501</f>
        <v>0</v>
      </c>
      <c r="N501" s="76">
        <f ca="1">$K$501-EFEITO!$M$501*EFEITO!$Z$501</f>
        <v>57.309936434040537</v>
      </c>
      <c r="O501" s="76">
        <f>$L$501-EFEITO!$O$501*EFEITO!$AA$501</f>
        <v>25.227599955986079</v>
      </c>
      <c r="P501" s="19"/>
      <c r="Q501" s="19"/>
      <c r="R501" s="19"/>
      <c r="S501" s="19"/>
      <c r="T501" s="19"/>
      <c r="U501" s="19"/>
      <c r="V501" s="19"/>
      <c r="W501" s="19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65" t="s">
        <v>21</v>
      </c>
      <c r="B502" s="65" t="s">
        <v>40</v>
      </c>
      <c r="C502" s="65" t="s">
        <v>23</v>
      </c>
      <c r="D502" s="65" t="s">
        <v>41</v>
      </c>
      <c r="E502" s="65" t="s">
        <v>50</v>
      </c>
      <c r="F502" s="65" t="s">
        <v>51</v>
      </c>
      <c r="G502" s="65" t="s">
        <v>25</v>
      </c>
      <c r="H502" s="65" t="s">
        <v>25</v>
      </c>
      <c r="I502" s="75">
        <v>44440</v>
      </c>
      <c r="J502" s="76">
        <f>EFEITO!$J$502*EFEITO!$Y$401</f>
        <v>0</v>
      </c>
      <c r="K502" s="76">
        <f ca="1">EFEITO!$L$502*EFEITO!$Z$401</f>
        <v>752438.62858849717</v>
      </c>
      <c r="L502" s="76">
        <f>EFEITO!$N$502*EFEITO!$AA$401</f>
        <v>331220.41123372247</v>
      </c>
      <c r="M502" s="76">
        <f>$J$502-EFEITO!$K$502*EFEITO!$Y$502</f>
        <v>0</v>
      </c>
      <c r="N502" s="76">
        <f ca="1">$K$502-EFEITO!$M$502*EFEITO!$Z$502</f>
        <v>45146.317715309793</v>
      </c>
      <c r="O502" s="76">
        <f>$L$502-EFEITO!$O$502*EFEITO!$AA$502</f>
        <v>19873.224674023339</v>
      </c>
      <c r="P502" s="19"/>
      <c r="Q502" s="19"/>
      <c r="R502" s="19"/>
      <c r="S502" s="19"/>
      <c r="T502" s="19"/>
      <c r="U502" s="19"/>
      <c r="V502" s="19"/>
      <c r="W502" s="19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65" t="s">
        <v>28</v>
      </c>
      <c r="B503" s="65" t="s">
        <v>40</v>
      </c>
      <c r="C503" s="65" t="s">
        <v>23</v>
      </c>
      <c r="D503" s="65" t="s">
        <v>41</v>
      </c>
      <c r="E503" s="65" t="s">
        <v>50</v>
      </c>
      <c r="F503" s="65" t="s">
        <v>51</v>
      </c>
      <c r="G503" s="65" t="s">
        <v>25</v>
      </c>
      <c r="H503" s="65" t="s">
        <v>25</v>
      </c>
      <c r="I503" s="75">
        <v>44440</v>
      </c>
      <c r="J503" s="76">
        <f>EFEITO!$J$503*EFEITO!$Y$401</f>
        <v>0</v>
      </c>
      <c r="K503" s="76">
        <f ca="1">EFEITO!$L$503*EFEITO!$Z$401</f>
        <v>49.43921362494865</v>
      </c>
      <c r="L503" s="76">
        <f>EFEITO!$N$503*EFEITO!$AA$401</f>
        <v>21.762939920622895</v>
      </c>
      <c r="M503" s="76">
        <f>$J$503-EFEITO!$K$503*EFEITO!$Y$503</f>
        <v>0</v>
      </c>
      <c r="N503" s="76">
        <f ca="1">$K$503-EFEITO!$M$503*EFEITO!$Z$503</f>
        <v>2.9663528174969187</v>
      </c>
      <c r="O503" s="76">
        <f>$L$503-EFEITO!$O$503*EFEITO!$AA$503</f>
        <v>1.3057763952373733</v>
      </c>
      <c r="P503" s="19"/>
      <c r="Q503" s="19"/>
      <c r="R503" s="19"/>
      <c r="S503" s="19"/>
      <c r="T503" s="19"/>
      <c r="U503" s="19"/>
      <c r="V503" s="19"/>
      <c r="W503" s="19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65" t="s">
        <v>21</v>
      </c>
      <c r="B504" s="65" t="s">
        <v>40</v>
      </c>
      <c r="C504" s="65" t="s">
        <v>23</v>
      </c>
      <c r="D504" s="65" t="s">
        <v>41</v>
      </c>
      <c r="E504" s="65" t="s">
        <v>50</v>
      </c>
      <c r="F504" s="65" t="s">
        <v>51</v>
      </c>
      <c r="G504" s="65" t="s">
        <v>25</v>
      </c>
      <c r="H504" s="65" t="s">
        <v>25</v>
      </c>
      <c r="I504" s="75">
        <v>44470</v>
      </c>
      <c r="J504" s="76">
        <f>EFEITO!$J$504*EFEITO!$Y$401</f>
        <v>0</v>
      </c>
      <c r="K504" s="76">
        <f ca="1">EFEITO!$L$504*EFEITO!$Z$401</f>
        <v>713823.6363945948</v>
      </c>
      <c r="L504" s="76">
        <f>EFEITO!$N$504*EFEITO!$AA$401</f>
        <v>314222.24937932077</v>
      </c>
      <c r="M504" s="76">
        <f>$J$504-EFEITO!$K$504*EFEITO!$Y$504</f>
        <v>0</v>
      </c>
      <c r="N504" s="76">
        <f ca="1">$K$504-EFEITO!$M$504*EFEITO!$Z$504</f>
        <v>42829.418183675734</v>
      </c>
      <c r="O504" s="76">
        <f>$L$504-EFEITO!$O$504*EFEITO!$AA$504</f>
        <v>18853.334962759283</v>
      </c>
      <c r="P504" s="19"/>
      <c r="Q504" s="19"/>
      <c r="R504" s="19"/>
      <c r="S504" s="19"/>
      <c r="T504" s="19"/>
      <c r="U504" s="19"/>
      <c r="V504" s="19"/>
      <c r="W504" s="19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65" t="s">
        <v>28</v>
      </c>
      <c r="B505" s="65" t="s">
        <v>40</v>
      </c>
      <c r="C505" s="65" t="s">
        <v>23</v>
      </c>
      <c r="D505" s="65" t="s">
        <v>41</v>
      </c>
      <c r="E505" s="65" t="s">
        <v>50</v>
      </c>
      <c r="F505" s="65" t="s">
        <v>51</v>
      </c>
      <c r="G505" s="65" t="s">
        <v>25</v>
      </c>
      <c r="H505" s="65" t="s">
        <v>25</v>
      </c>
      <c r="I505" s="75">
        <v>44470</v>
      </c>
      <c r="J505" s="76">
        <f>EFEITO!$J$505*EFEITO!$Y$401</f>
        <v>0</v>
      </c>
      <c r="K505" s="76">
        <f ca="1">EFEITO!$L$505*EFEITO!$Z$401</f>
        <v>3609.0625946212513</v>
      </c>
      <c r="L505" s="76">
        <f>EFEITO!$N$505*EFEITO!$AA$401</f>
        <v>1588.6946142054712</v>
      </c>
      <c r="M505" s="76">
        <f>$J$505-EFEITO!$K$505*EFEITO!$Y$505</f>
        <v>0</v>
      </c>
      <c r="N505" s="76">
        <f ca="1">$K$505-EFEITO!$M$505*EFEITO!$Z$505</f>
        <v>216.54375567727493</v>
      </c>
      <c r="O505" s="76">
        <f>$L$505-EFEITO!$O$505*EFEITO!$AA$505</f>
        <v>95.321676852328437</v>
      </c>
      <c r="P505" s="19"/>
      <c r="Q505" s="19"/>
      <c r="R505" s="19"/>
      <c r="S505" s="19"/>
      <c r="T505" s="19"/>
      <c r="U505" s="19"/>
      <c r="V505" s="19"/>
      <c r="W505" s="19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65" t="s">
        <v>21</v>
      </c>
      <c r="B506" s="65" t="s">
        <v>40</v>
      </c>
      <c r="C506" s="65" t="s">
        <v>23</v>
      </c>
      <c r="D506" s="65" t="s">
        <v>41</v>
      </c>
      <c r="E506" s="65" t="s">
        <v>50</v>
      </c>
      <c r="F506" s="65" t="s">
        <v>51</v>
      </c>
      <c r="G506" s="65" t="s">
        <v>25</v>
      </c>
      <c r="H506" s="65" t="s">
        <v>25</v>
      </c>
      <c r="I506" s="75">
        <v>44501</v>
      </c>
      <c r="J506" s="76">
        <f>EFEITO!$J$506*EFEITO!$Y$401</f>
        <v>0</v>
      </c>
      <c r="K506" s="76">
        <f ca="1">EFEITO!$L$506*EFEITO!$Z$401</f>
        <v>943139.51851973915</v>
      </c>
      <c r="L506" s="76">
        <f>EFEITO!$N$506*EFEITO!$AA$401</f>
        <v>415166.16413074278</v>
      </c>
      <c r="M506" s="76">
        <f>$J$506-EFEITO!$K$506*EFEITO!$Y$506</f>
        <v>0</v>
      </c>
      <c r="N506" s="76">
        <f ca="1">$K$506-EFEITO!$M$506*EFEITO!$Z$506</f>
        <v>56588.371111184359</v>
      </c>
      <c r="O506" s="76">
        <f>$L$506-EFEITO!$O$506*EFEITO!$AA$506</f>
        <v>24909.969847844564</v>
      </c>
      <c r="P506" s="19"/>
      <c r="Q506" s="19"/>
      <c r="R506" s="19"/>
      <c r="S506" s="19"/>
      <c r="T506" s="19"/>
      <c r="U506" s="19"/>
      <c r="V506" s="19"/>
      <c r="W506" s="19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65" t="s">
        <v>28</v>
      </c>
      <c r="B507" s="65" t="s">
        <v>40</v>
      </c>
      <c r="C507" s="65" t="s">
        <v>23</v>
      </c>
      <c r="D507" s="65" t="s">
        <v>41</v>
      </c>
      <c r="E507" s="65" t="s">
        <v>50</v>
      </c>
      <c r="F507" s="65" t="s">
        <v>51</v>
      </c>
      <c r="G507" s="65" t="s">
        <v>25</v>
      </c>
      <c r="H507" s="65" t="s">
        <v>25</v>
      </c>
      <c r="I507" s="75">
        <v>44501</v>
      </c>
      <c r="J507" s="76">
        <f>EFEITO!$J$507*EFEITO!$Y$401</f>
        <v>0</v>
      </c>
      <c r="K507" s="76">
        <f ca="1">EFEITO!$L$507*EFEITO!$Z$401</f>
        <v>12475.491166119544</v>
      </c>
      <c r="L507" s="76">
        <f>EFEITO!$N$507*EFEITO!$AA$401</f>
        <v>5491.6602595699815</v>
      </c>
      <c r="M507" s="76">
        <f>$J$507-EFEITO!$K$507*EFEITO!$Y$507</f>
        <v>0</v>
      </c>
      <c r="N507" s="76">
        <f ca="1">$K$507-EFEITO!$M$507*EFEITO!$Z$507</f>
        <v>748.52946996717401</v>
      </c>
      <c r="O507" s="76">
        <f>$L$507-EFEITO!$O$507*EFEITO!$AA$507</f>
        <v>329.4996155741992</v>
      </c>
      <c r="P507" s="19"/>
      <c r="Q507" s="19"/>
      <c r="R507" s="19"/>
      <c r="S507" s="19"/>
      <c r="T507" s="19"/>
      <c r="U507" s="19"/>
      <c r="V507" s="19"/>
      <c r="W507" s="19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65" t="s">
        <v>21</v>
      </c>
      <c r="B508" s="65" t="s">
        <v>40</v>
      </c>
      <c r="C508" s="65" t="s">
        <v>23</v>
      </c>
      <c r="D508" s="65" t="s">
        <v>41</v>
      </c>
      <c r="E508" s="65" t="s">
        <v>50</v>
      </c>
      <c r="F508" s="65" t="s">
        <v>51</v>
      </c>
      <c r="G508" s="65" t="s">
        <v>25</v>
      </c>
      <c r="H508" s="65" t="s">
        <v>25</v>
      </c>
      <c r="I508" s="75">
        <v>44531</v>
      </c>
      <c r="J508" s="76">
        <f>EFEITO!$J$508*EFEITO!$Y$401</f>
        <v>0</v>
      </c>
      <c r="K508" s="76">
        <f ca="1">EFEITO!$L$508*EFEITO!$Z$401</f>
        <v>816749.1576718305</v>
      </c>
      <c r="L508" s="76">
        <f>EFEITO!$N$508*EFEITO!$AA$401</f>
        <v>359529.64348246879</v>
      </c>
      <c r="M508" s="76">
        <f>$J$508-EFEITO!$K$508*EFEITO!$Y$508</f>
        <v>0</v>
      </c>
      <c r="N508" s="76">
        <f ca="1">$K$508-EFEITO!$M$508*EFEITO!$Z$508</f>
        <v>49004.94946030993</v>
      </c>
      <c r="O508" s="76">
        <f>$L$508-EFEITO!$O$508*EFEITO!$AA$508</f>
        <v>21571.778608948167</v>
      </c>
      <c r="P508" s="19"/>
      <c r="Q508" s="19"/>
      <c r="R508" s="19"/>
      <c r="S508" s="19"/>
      <c r="T508" s="19"/>
      <c r="U508" s="19"/>
      <c r="V508" s="19"/>
      <c r="W508" s="19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65" t="s">
        <v>27</v>
      </c>
      <c r="B509" s="65" t="s">
        <v>40</v>
      </c>
      <c r="C509" s="65" t="s">
        <v>23</v>
      </c>
      <c r="D509" s="65" t="s">
        <v>41</v>
      </c>
      <c r="E509" s="65" t="s">
        <v>50</v>
      </c>
      <c r="F509" s="65" t="s">
        <v>51</v>
      </c>
      <c r="G509" s="65" t="s">
        <v>25</v>
      </c>
      <c r="H509" s="65" t="s">
        <v>25</v>
      </c>
      <c r="I509" s="75">
        <v>44531</v>
      </c>
      <c r="J509" s="76">
        <f>EFEITO!$J$509*EFEITO!$Y$401</f>
        <v>0</v>
      </c>
      <c r="K509" s="76">
        <f ca="1">EFEITO!$L$509*EFEITO!$Z$401</f>
        <v>59665.714963269282</v>
      </c>
      <c r="L509" s="76">
        <f>EFEITO!$N$509*EFEITO!$AA$401</f>
        <v>26264.604043203737</v>
      </c>
      <c r="M509" s="76">
        <f>$J$509-EFEITO!$K$509*EFEITO!$Y$509</f>
        <v>0</v>
      </c>
      <c r="N509" s="76">
        <f ca="1">$K$509-EFEITO!$M$509*EFEITO!$Z$509</f>
        <v>3579.9428977961579</v>
      </c>
      <c r="O509" s="76">
        <f>$L$509-EFEITO!$O$509*EFEITO!$AA$509</f>
        <v>1575.8762425922214</v>
      </c>
      <c r="P509" s="19"/>
      <c r="Q509" s="19"/>
      <c r="R509" s="19"/>
      <c r="S509" s="19"/>
      <c r="T509" s="19"/>
      <c r="U509" s="19"/>
      <c r="V509" s="19"/>
      <c r="W509" s="19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65" t="s">
        <v>28</v>
      </c>
      <c r="B510" s="65" t="s">
        <v>40</v>
      </c>
      <c r="C510" s="65" t="s">
        <v>23</v>
      </c>
      <c r="D510" s="65" t="s">
        <v>41</v>
      </c>
      <c r="E510" s="65" t="s">
        <v>50</v>
      </c>
      <c r="F510" s="65" t="s">
        <v>51</v>
      </c>
      <c r="G510" s="65" t="s">
        <v>25</v>
      </c>
      <c r="H510" s="65" t="s">
        <v>25</v>
      </c>
      <c r="I510" s="75">
        <v>44531</v>
      </c>
      <c r="J510" s="76">
        <f>EFEITO!$J$510*EFEITO!$Y$401</f>
        <v>0</v>
      </c>
      <c r="K510" s="76">
        <f ca="1">EFEITO!$L$510*EFEITO!$Z$401</f>
        <v>11977.638284916309</v>
      </c>
      <c r="L510" s="76">
        <f>EFEITO!$N$510*EFEITO!$AA$401</f>
        <v>5272.5074545693078</v>
      </c>
      <c r="M510" s="76">
        <f>$J$510-EFEITO!$K$510*EFEITO!$Y$510</f>
        <v>0</v>
      </c>
      <c r="N510" s="76">
        <f ca="1">$K$510-EFEITO!$M$510*EFEITO!$Z$510</f>
        <v>718.65829709497848</v>
      </c>
      <c r="O510" s="76">
        <f>$L$510-EFEITO!$O$510*EFEITO!$AA$510</f>
        <v>316.35044727415789</v>
      </c>
      <c r="P510" s="19"/>
      <c r="Q510" s="19"/>
      <c r="R510" s="19"/>
      <c r="S510" s="19"/>
      <c r="T510" s="19"/>
      <c r="U510" s="19"/>
      <c r="V510" s="19"/>
      <c r="W510" s="19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65" t="s">
        <v>21</v>
      </c>
      <c r="B511" s="65" t="s">
        <v>40</v>
      </c>
      <c r="C511" s="65" t="s">
        <v>23</v>
      </c>
      <c r="D511" s="65" t="s">
        <v>41</v>
      </c>
      <c r="E511" s="65" t="s">
        <v>50</v>
      </c>
      <c r="F511" s="65" t="s">
        <v>51</v>
      </c>
      <c r="G511" s="65" t="s">
        <v>25</v>
      </c>
      <c r="H511" s="65" t="s">
        <v>25</v>
      </c>
      <c r="I511" s="75">
        <v>44562</v>
      </c>
      <c r="J511" s="76">
        <f>EFEITO!$J$511*EFEITO!$Y$401</f>
        <v>0</v>
      </c>
      <c r="K511" s="76">
        <f ca="1">EFEITO!$L$511*EFEITO!$Z$401</f>
        <v>699703.30259117321</v>
      </c>
      <c r="L511" s="76">
        <f>EFEITO!$N$511*EFEITO!$AA$401</f>
        <v>308006.53610859165</v>
      </c>
      <c r="M511" s="76">
        <f>$J$511-EFEITO!$K$511*EFEITO!$Y$511</f>
        <v>0</v>
      </c>
      <c r="N511" s="76">
        <f ca="1">$K$511-EFEITO!$M$511*EFEITO!$Z$511</f>
        <v>41982.198155470425</v>
      </c>
      <c r="O511" s="76">
        <f>$L$511-EFEITO!$O$511*EFEITO!$AA$511</f>
        <v>18480.392166515463</v>
      </c>
      <c r="P511" s="19"/>
      <c r="Q511" s="19"/>
      <c r="R511" s="19"/>
      <c r="S511" s="19"/>
      <c r="T511" s="19"/>
      <c r="U511" s="19"/>
      <c r="V511" s="19"/>
      <c r="W511" s="19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65" t="s">
        <v>28</v>
      </c>
      <c r="B512" s="65" t="s">
        <v>40</v>
      </c>
      <c r="C512" s="65" t="s">
        <v>23</v>
      </c>
      <c r="D512" s="65" t="s">
        <v>41</v>
      </c>
      <c r="E512" s="65" t="s">
        <v>50</v>
      </c>
      <c r="F512" s="65" t="s">
        <v>51</v>
      </c>
      <c r="G512" s="65" t="s">
        <v>25</v>
      </c>
      <c r="H512" s="65" t="s">
        <v>25</v>
      </c>
      <c r="I512" s="75">
        <v>44562</v>
      </c>
      <c r="J512" s="76">
        <f>EFEITO!$J$512*EFEITO!$Y$401</f>
        <v>0</v>
      </c>
      <c r="K512" s="76">
        <f ca="1">EFEITO!$L$512*EFEITO!$Z$401</f>
        <v>5206.4435868433429</v>
      </c>
      <c r="L512" s="76">
        <f>EFEITO!$N$512*EFEITO!$AA$401</f>
        <v>2291.8552030407968</v>
      </c>
      <c r="M512" s="76">
        <f>$J$512-EFEITO!$K$512*EFEITO!$Y$512</f>
        <v>0</v>
      </c>
      <c r="N512" s="76">
        <f ca="1">$K$512-EFEITO!$M$512*EFEITO!$Z$512</f>
        <v>312.38661521060112</v>
      </c>
      <c r="O512" s="76">
        <f>$L$512-EFEITO!$O$512*EFEITO!$AA$512</f>
        <v>137.51131218244745</v>
      </c>
      <c r="P512" s="19"/>
      <c r="Q512" s="19"/>
      <c r="R512" s="19"/>
      <c r="S512" s="19"/>
      <c r="T512" s="19"/>
      <c r="U512" s="19"/>
      <c r="V512" s="19"/>
      <c r="W512" s="19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65" t="s">
        <v>21</v>
      </c>
      <c r="B513" s="65" t="s">
        <v>40</v>
      </c>
      <c r="C513" s="65" t="s">
        <v>23</v>
      </c>
      <c r="D513" s="65" t="s">
        <v>41</v>
      </c>
      <c r="E513" s="65" t="s">
        <v>50</v>
      </c>
      <c r="F513" s="65" t="s">
        <v>51</v>
      </c>
      <c r="G513" s="65" t="s">
        <v>25</v>
      </c>
      <c r="H513" s="65" t="s">
        <v>25</v>
      </c>
      <c r="I513" s="75">
        <v>44593</v>
      </c>
      <c r="J513" s="76">
        <f>EFEITO!$J$513*EFEITO!$Y$401</f>
        <v>0</v>
      </c>
      <c r="K513" s="76">
        <f ca="1">EFEITO!$L$513*EFEITO!$Z$401</f>
        <v>641907.87307933578</v>
      </c>
      <c r="L513" s="76">
        <f>EFEITO!$N$513*EFEITO!$AA$401</f>
        <v>282565.22408258507</v>
      </c>
      <c r="M513" s="76">
        <f>$J$513-EFEITO!$K$513*EFEITO!$Y$513</f>
        <v>0</v>
      </c>
      <c r="N513" s="76">
        <f ca="1">$K$513-EFEITO!$M$513*EFEITO!$Z$513</f>
        <v>38514.472384760156</v>
      </c>
      <c r="O513" s="76">
        <f>$L$513-EFEITO!$O$513*EFEITO!$AA$513</f>
        <v>16953.913444955077</v>
      </c>
      <c r="P513" s="19"/>
      <c r="Q513" s="19"/>
      <c r="R513" s="19"/>
      <c r="S513" s="19"/>
      <c r="T513" s="19"/>
      <c r="U513" s="19"/>
      <c r="V513" s="19"/>
      <c r="W513" s="19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65" t="s">
        <v>28</v>
      </c>
      <c r="B514" s="65" t="s">
        <v>40</v>
      </c>
      <c r="C514" s="65" t="s">
        <v>23</v>
      </c>
      <c r="D514" s="65" t="s">
        <v>41</v>
      </c>
      <c r="E514" s="65" t="s">
        <v>50</v>
      </c>
      <c r="F514" s="65" t="s">
        <v>51</v>
      </c>
      <c r="G514" s="65" t="s">
        <v>25</v>
      </c>
      <c r="H514" s="65" t="s">
        <v>25</v>
      </c>
      <c r="I514" s="75">
        <v>44593</v>
      </c>
      <c r="J514" s="76">
        <f>EFEITO!$J$514*EFEITO!$Y$401</f>
        <v>0</v>
      </c>
      <c r="K514" s="76">
        <f ca="1">EFEITO!$L$514*EFEITO!$Z$401</f>
        <v>8553.9727413886158</v>
      </c>
      <c r="L514" s="76">
        <f>EFEITO!$N$514*EFEITO!$AA$401</f>
        <v>3765.4238650661728</v>
      </c>
      <c r="M514" s="76">
        <f>$J$514-EFEITO!$K$514*EFEITO!$Y$514</f>
        <v>0</v>
      </c>
      <c r="N514" s="76">
        <f ca="1">$K$514-EFEITO!$M$514*EFEITO!$Z$514</f>
        <v>513.23836448331804</v>
      </c>
      <c r="O514" s="76">
        <f>$L$514-EFEITO!$O$514*EFEITO!$AA$514</f>
        <v>225.92543190397055</v>
      </c>
      <c r="P514" s="19"/>
      <c r="Q514" s="19"/>
      <c r="R514" s="19"/>
      <c r="S514" s="19"/>
      <c r="T514" s="19"/>
      <c r="U514" s="19"/>
      <c r="V514" s="19"/>
      <c r="W514" s="19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65" t="s">
        <v>54</v>
      </c>
      <c r="B515" s="65" t="s">
        <v>40</v>
      </c>
      <c r="C515" s="65" t="s">
        <v>23</v>
      </c>
      <c r="D515" s="65" t="s">
        <v>41</v>
      </c>
      <c r="E515" s="65" t="s">
        <v>50</v>
      </c>
      <c r="F515" s="65" t="s">
        <v>51</v>
      </c>
      <c r="G515" s="65" t="s">
        <v>25</v>
      </c>
      <c r="H515" s="65" t="s">
        <v>25</v>
      </c>
      <c r="I515" s="75">
        <v>44621</v>
      </c>
      <c r="J515" s="76">
        <f>EFEITO!$J$515*EFEITO!$Y$401</f>
        <v>0</v>
      </c>
      <c r="K515" s="76">
        <f ca="1">EFEITO!$L$515*EFEITO!$Z$401</f>
        <v>641907.87307933578</v>
      </c>
      <c r="L515" s="76">
        <f>EFEITO!$N$515*EFEITO!$AA$401</f>
        <v>282565.22408258507</v>
      </c>
      <c r="M515" s="76">
        <f>$J$515-EFEITO!$K$515*EFEITO!$Y$515</f>
        <v>0</v>
      </c>
      <c r="N515" s="76">
        <f ca="1">$K$515-EFEITO!$M$515*EFEITO!$Z$515</f>
        <v>38514.472384760156</v>
      </c>
      <c r="O515" s="76">
        <f>$L$515-EFEITO!$O$515*EFEITO!$AA$515</f>
        <v>16953.913444955077</v>
      </c>
      <c r="P515" s="19"/>
      <c r="Q515" s="19"/>
      <c r="R515" s="19"/>
      <c r="S515" s="19"/>
      <c r="T515" s="19"/>
      <c r="U515" s="19"/>
      <c r="V515" s="19"/>
      <c r="W515" s="19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65" t="s">
        <v>54</v>
      </c>
      <c r="B516" s="65" t="s">
        <v>40</v>
      </c>
      <c r="C516" s="65" t="s">
        <v>23</v>
      </c>
      <c r="D516" s="65" t="s">
        <v>41</v>
      </c>
      <c r="E516" s="65" t="s">
        <v>50</v>
      </c>
      <c r="F516" s="65" t="s">
        <v>51</v>
      </c>
      <c r="G516" s="65" t="s">
        <v>25</v>
      </c>
      <c r="H516" s="65" t="s">
        <v>25</v>
      </c>
      <c r="I516" s="75">
        <v>44621</v>
      </c>
      <c r="J516" s="76">
        <f>EFEITO!$J$516*EFEITO!$Y$401</f>
        <v>0</v>
      </c>
      <c r="K516" s="76">
        <f ca="1">EFEITO!$L$516*EFEITO!$Z$401</f>
        <v>8553.9727413886158</v>
      </c>
      <c r="L516" s="76">
        <f>EFEITO!$N$516*EFEITO!$AA$401</f>
        <v>3765.4238650661728</v>
      </c>
      <c r="M516" s="76">
        <f>$J$516-EFEITO!$K$516*EFEITO!$Y$516</f>
        <v>0</v>
      </c>
      <c r="N516" s="76">
        <f ca="1">$K$516-EFEITO!$M$516*EFEITO!$Z$516</f>
        <v>513.23836448331804</v>
      </c>
      <c r="O516" s="76">
        <f>$L$516-EFEITO!$O$516*EFEITO!$AA$516</f>
        <v>225.92543190397055</v>
      </c>
      <c r="P516" s="19"/>
      <c r="Q516" s="19"/>
      <c r="R516" s="19"/>
      <c r="S516" s="19"/>
      <c r="T516" s="19"/>
      <c r="U516" s="19"/>
      <c r="V516" s="19"/>
      <c r="W516" s="19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65" t="s">
        <v>21</v>
      </c>
      <c r="B517" s="65" t="s">
        <v>40</v>
      </c>
      <c r="C517" s="65" t="s">
        <v>23</v>
      </c>
      <c r="D517" s="65" t="s">
        <v>41</v>
      </c>
      <c r="E517" s="65" t="s">
        <v>50</v>
      </c>
      <c r="F517" s="65" t="s">
        <v>52</v>
      </c>
      <c r="G517" s="65" t="s">
        <v>25</v>
      </c>
      <c r="H517" s="65" t="s">
        <v>25</v>
      </c>
      <c r="I517" s="75">
        <v>44287</v>
      </c>
      <c r="J517" s="76">
        <f>EFEITO!$J$517*EFEITO!$Y$401</f>
        <v>0</v>
      </c>
      <c r="K517" s="76">
        <f ca="1">EFEITO!$L$517*EFEITO!$Z$401</f>
        <v>526086.62732016854</v>
      </c>
      <c r="L517" s="76">
        <f>EFEITO!$N$517*EFEITO!$AA$401</f>
        <v>231581.18473054183</v>
      </c>
      <c r="M517" s="76">
        <f>$J$517-EFEITO!$K$517*EFEITO!$Y$517</f>
        <v>0</v>
      </c>
      <c r="N517" s="76">
        <f ca="1">$K$517-EFEITO!$M$517*EFEITO!$Z$517</f>
        <v>328278.05544778518</v>
      </c>
      <c r="O517" s="76">
        <f>$L$517-EFEITO!$O$517*EFEITO!$AA$517</f>
        <v>144506.65927185811</v>
      </c>
      <c r="P517" s="19"/>
      <c r="Q517" s="19"/>
      <c r="R517" s="19"/>
      <c r="S517" s="19"/>
      <c r="T517" s="19"/>
      <c r="U517" s="19"/>
      <c r="V517" s="19"/>
      <c r="W517" s="19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65" t="s">
        <v>21</v>
      </c>
      <c r="B518" s="65" t="s">
        <v>40</v>
      </c>
      <c r="C518" s="65" t="s">
        <v>23</v>
      </c>
      <c r="D518" s="65" t="s">
        <v>41</v>
      </c>
      <c r="E518" s="65" t="s">
        <v>50</v>
      </c>
      <c r="F518" s="65" t="s">
        <v>52</v>
      </c>
      <c r="G518" s="65" t="s">
        <v>25</v>
      </c>
      <c r="H518" s="65" t="s">
        <v>25</v>
      </c>
      <c r="I518" s="75">
        <v>44317</v>
      </c>
      <c r="J518" s="76">
        <f>EFEITO!$J$518*EFEITO!$Y$401</f>
        <v>0</v>
      </c>
      <c r="K518" s="76">
        <f ca="1">EFEITO!$L$518*EFEITO!$Z$401</f>
        <v>535745.56648607482</v>
      </c>
      <c r="L518" s="76">
        <f>EFEITO!$N$518*EFEITO!$AA$401</f>
        <v>235833.01030283395</v>
      </c>
      <c r="M518" s="76">
        <f>$J$518-EFEITO!$K$518*EFEITO!$Y$518</f>
        <v>0</v>
      </c>
      <c r="N518" s="76">
        <f ca="1">$K$518-EFEITO!$M$518*EFEITO!$Z$518</f>
        <v>334305.2334873107</v>
      </c>
      <c r="O518" s="76">
        <f>$L$518-EFEITO!$O$518*EFEITO!$AA$518</f>
        <v>147159.79842896838</v>
      </c>
      <c r="P518" s="19"/>
      <c r="Q518" s="19"/>
      <c r="R518" s="19"/>
      <c r="S518" s="19"/>
      <c r="T518" s="19"/>
      <c r="U518" s="19"/>
      <c r="V518" s="19"/>
      <c r="W518" s="19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65" t="s">
        <v>28</v>
      </c>
      <c r="B519" s="65" t="s">
        <v>40</v>
      </c>
      <c r="C519" s="65" t="s">
        <v>23</v>
      </c>
      <c r="D519" s="65" t="s">
        <v>41</v>
      </c>
      <c r="E519" s="65" t="s">
        <v>50</v>
      </c>
      <c r="F519" s="65" t="s">
        <v>52</v>
      </c>
      <c r="G519" s="65" t="s">
        <v>25</v>
      </c>
      <c r="H519" s="65" t="s">
        <v>25</v>
      </c>
      <c r="I519" s="75">
        <v>44317</v>
      </c>
      <c r="J519" s="76">
        <f>EFEITO!$J$519*EFEITO!$Y$401</f>
        <v>0</v>
      </c>
      <c r="K519" s="76">
        <f ca="1">EFEITO!$L$519*EFEITO!$Z$401</f>
        <v>5220.7809587945776</v>
      </c>
      <c r="L519" s="76">
        <f>EFEITO!$N$519*EFEITO!$AA$401</f>
        <v>2298.1664556177775</v>
      </c>
      <c r="M519" s="76">
        <f>$J$519-EFEITO!$K$519*EFEITO!$Y$519</f>
        <v>0</v>
      </c>
      <c r="N519" s="76">
        <f ca="1">$K$519-EFEITO!$M$519*EFEITO!$Z$519</f>
        <v>313.24685752767436</v>
      </c>
      <c r="O519" s="76">
        <f>$L$519-EFEITO!$O$519*EFEITO!$AA$519</f>
        <v>137.88998733706649</v>
      </c>
      <c r="P519" s="19"/>
      <c r="Q519" s="19"/>
      <c r="R519" s="19"/>
      <c r="S519" s="19"/>
      <c r="T519" s="19"/>
      <c r="U519" s="19"/>
      <c r="V519" s="19"/>
      <c r="W519" s="19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65" t="s">
        <v>21</v>
      </c>
      <c r="B520" s="65" t="s">
        <v>40</v>
      </c>
      <c r="C520" s="65" t="s">
        <v>23</v>
      </c>
      <c r="D520" s="65" t="s">
        <v>41</v>
      </c>
      <c r="E520" s="65" t="s">
        <v>50</v>
      </c>
      <c r="F520" s="65" t="s">
        <v>52</v>
      </c>
      <c r="G520" s="65" t="s">
        <v>25</v>
      </c>
      <c r="H520" s="65" t="s">
        <v>25</v>
      </c>
      <c r="I520" s="75">
        <v>44348</v>
      </c>
      <c r="J520" s="76">
        <f>EFEITO!$J$520*EFEITO!$Y$401</f>
        <v>0</v>
      </c>
      <c r="K520" s="76">
        <f ca="1">EFEITO!$L$520*EFEITO!$Z$401</f>
        <v>197031.58123591662</v>
      </c>
      <c r="L520" s="76">
        <f>EFEITO!$N$520*EFEITO!$AA$401</f>
        <v>86732.49735385603</v>
      </c>
      <c r="M520" s="76">
        <f>$J$520-EFEITO!$K$520*EFEITO!$Y$520</f>
        <v>0</v>
      </c>
      <c r="N520" s="76">
        <f ca="1">$K$520-EFEITO!$M$520*EFEITO!$Z$520</f>
        <v>122947.70669121198</v>
      </c>
      <c r="O520" s="76">
        <f>$L$520-EFEITO!$O$520*EFEITO!$AA$520</f>
        <v>54121.078348806164</v>
      </c>
      <c r="P520" s="19"/>
      <c r="Q520" s="19"/>
      <c r="R520" s="19"/>
      <c r="S520" s="19"/>
      <c r="T520" s="19"/>
      <c r="U520" s="19"/>
      <c r="V520" s="19"/>
      <c r="W520" s="19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65" t="s">
        <v>21</v>
      </c>
      <c r="B521" s="65" t="s">
        <v>40</v>
      </c>
      <c r="C521" s="65" t="s">
        <v>23</v>
      </c>
      <c r="D521" s="65" t="s">
        <v>41</v>
      </c>
      <c r="E521" s="65" t="s">
        <v>50</v>
      </c>
      <c r="F521" s="65" t="s">
        <v>52</v>
      </c>
      <c r="G521" s="65" t="s">
        <v>25</v>
      </c>
      <c r="H521" s="65" t="s">
        <v>25</v>
      </c>
      <c r="I521" s="75">
        <v>44378</v>
      </c>
      <c r="J521" s="76">
        <f>EFEITO!$J$521*EFEITO!$Y$401</f>
        <v>0</v>
      </c>
      <c r="K521" s="76">
        <f ca="1">EFEITO!$L$521*EFEITO!$Z$401</f>
        <v>351185.5212791877</v>
      </c>
      <c r="L521" s="76">
        <f>EFEITO!$N$521*EFEITO!$AA$401</f>
        <v>154590.43217335423</v>
      </c>
      <c r="M521" s="76">
        <f>$J$521-EFEITO!$K$521*EFEITO!$Y$521</f>
        <v>0</v>
      </c>
      <c r="N521" s="76">
        <f ca="1">$K$521-EFEITO!$M$521*EFEITO!$Z$521</f>
        <v>219139.7652782131</v>
      </c>
      <c r="O521" s="76">
        <f>$L$521-EFEITO!$O$521*EFEITO!$AA$521</f>
        <v>96464.429676173037</v>
      </c>
      <c r="P521" s="19"/>
      <c r="Q521" s="19"/>
      <c r="R521" s="19"/>
      <c r="S521" s="19"/>
      <c r="T521" s="19"/>
      <c r="U521" s="19"/>
      <c r="V521" s="19"/>
      <c r="W521" s="19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65" t="s">
        <v>27</v>
      </c>
      <c r="B522" s="65" t="s">
        <v>40</v>
      </c>
      <c r="C522" s="65" t="s">
        <v>23</v>
      </c>
      <c r="D522" s="65" t="s">
        <v>41</v>
      </c>
      <c r="E522" s="65" t="s">
        <v>50</v>
      </c>
      <c r="F522" s="65" t="s">
        <v>52</v>
      </c>
      <c r="G522" s="65" t="s">
        <v>25</v>
      </c>
      <c r="H522" s="65" t="s">
        <v>25</v>
      </c>
      <c r="I522" s="75">
        <v>44378</v>
      </c>
      <c r="J522" s="76">
        <f>EFEITO!$J$522*EFEITO!$Y$401</f>
        <v>0</v>
      </c>
      <c r="K522" s="76">
        <f ca="1">EFEITO!$L$522*EFEITO!$Z$401</f>
        <v>-889.9058452490757</v>
      </c>
      <c r="L522" s="76">
        <f>EFEITO!$N$522*EFEITO!$AA$401</f>
        <v>-391.73291857121205</v>
      </c>
      <c r="M522" s="76">
        <f>$J$522-EFEITO!$K$522*EFEITO!$Y$522</f>
        <v>0</v>
      </c>
      <c r="N522" s="76">
        <f ca="1">$K$522-EFEITO!$M$522*EFEITO!$Z$522</f>
        <v>-555.30124743542319</v>
      </c>
      <c r="O522" s="76">
        <f>$L$522-EFEITO!$O$522*EFEITO!$AA$522</f>
        <v>-244.44134118843633</v>
      </c>
      <c r="P522" s="19"/>
      <c r="Q522" s="19"/>
      <c r="R522" s="19"/>
      <c r="S522" s="19"/>
      <c r="T522" s="19"/>
      <c r="U522" s="19"/>
      <c r="V522" s="19"/>
      <c r="W522" s="19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65" t="s">
        <v>21</v>
      </c>
      <c r="B523" s="65" t="s">
        <v>40</v>
      </c>
      <c r="C523" s="65" t="s">
        <v>23</v>
      </c>
      <c r="D523" s="65" t="s">
        <v>41</v>
      </c>
      <c r="E523" s="65" t="s">
        <v>50</v>
      </c>
      <c r="F523" s="65" t="s">
        <v>52</v>
      </c>
      <c r="G523" s="65" t="s">
        <v>25</v>
      </c>
      <c r="H523" s="65" t="s">
        <v>25</v>
      </c>
      <c r="I523" s="75">
        <v>44409</v>
      </c>
      <c r="J523" s="76">
        <f>EFEITO!$J$523*EFEITO!$Y$401</f>
        <v>0</v>
      </c>
      <c r="K523" s="76">
        <f ca="1">EFEITO!$L$523*EFEITO!$Z$401</f>
        <v>389608.19493208907</v>
      </c>
      <c r="L523" s="76">
        <f>EFEITO!$N$523*EFEITO!$AA$401</f>
        <v>171503.93619146472</v>
      </c>
      <c r="M523" s="76">
        <f>$J$523-EFEITO!$K$523*EFEITO!$Y$523</f>
        <v>0</v>
      </c>
      <c r="N523" s="76">
        <f ca="1">$K$523-EFEITO!$M$523*EFEITO!$Z$523</f>
        <v>243115.51363762358</v>
      </c>
      <c r="O523" s="76">
        <f>$L$523-EFEITO!$O$523*EFEITO!$AA$523</f>
        <v>107018.45618347399</v>
      </c>
      <c r="P523" s="19"/>
      <c r="Q523" s="19"/>
      <c r="R523" s="19"/>
      <c r="S523" s="19"/>
      <c r="T523" s="19"/>
      <c r="U523" s="19"/>
      <c r="V523" s="19"/>
      <c r="W523" s="19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65" t="s">
        <v>28</v>
      </c>
      <c r="B524" s="65" t="s">
        <v>40</v>
      </c>
      <c r="C524" s="65" t="s">
        <v>23</v>
      </c>
      <c r="D524" s="65" t="s">
        <v>41</v>
      </c>
      <c r="E524" s="65" t="s">
        <v>50</v>
      </c>
      <c r="F524" s="65" t="s">
        <v>52</v>
      </c>
      <c r="G524" s="65" t="s">
        <v>25</v>
      </c>
      <c r="H524" s="65" t="s">
        <v>25</v>
      </c>
      <c r="I524" s="75">
        <v>44409</v>
      </c>
      <c r="J524" s="76">
        <f>EFEITO!$J$524*EFEITO!$Y$401</f>
        <v>0</v>
      </c>
      <c r="K524" s="76">
        <f ca="1">EFEITO!$L$524*EFEITO!$Z$401</f>
        <v>2432.4093103474734</v>
      </c>
      <c r="L524" s="76">
        <f>EFEITO!$N$524*EFEITO!$AA$401</f>
        <v>1070.7366440946464</v>
      </c>
      <c r="M524" s="76">
        <f>$J$524-EFEITO!$K$524*EFEITO!$Y$524</f>
        <v>0</v>
      </c>
      <c r="N524" s="76">
        <f ca="1">$K$524-EFEITO!$M$524*EFEITO!$Z$524</f>
        <v>145.94455862084851</v>
      </c>
      <c r="O524" s="76">
        <f>$L$524-EFEITO!$O$524*EFEITO!$AA$524</f>
        <v>64.244198645678921</v>
      </c>
      <c r="P524" s="19"/>
      <c r="Q524" s="19"/>
      <c r="R524" s="19"/>
      <c r="S524" s="19"/>
      <c r="T524" s="19"/>
      <c r="U524" s="19"/>
      <c r="V524" s="19"/>
      <c r="W524" s="19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65" t="s">
        <v>21</v>
      </c>
      <c r="B525" s="65" t="s">
        <v>40</v>
      </c>
      <c r="C525" s="65" t="s">
        <v>23</v>
      </c>
      <c r="D525" s="65" t="s">
        <v>41</v>
      </c>
      <c r="E525" s="65" t="s">
        <v>50</v>
      </c>
      <c r="F525" s="65" t="s">
        <v>52</v>
      </c>
      <c r="G525" s="65" t="s">
        <v>25</v>
      </c>
      <c r="H525" s="65" t="s">
        <v>25</v>
      </c>
      <c r="I525" s="75">
        <v>44440</v>
      </c>
      <c r="J525" s="76">
        <f>EFEITO!$J$525*EFEITO!$Y$401</f>
        <v>0</v>
      </c>
      <c r="K525" s="76">
        <f ca="1">EFEITO!$L$525*EFEITO!$Z$401</f>
        <v>388191.26706959802</v>
      </c>
      <c r="L525" s="76">
        <f>EFEITO!$N$525*EFEITO!$AA$401</f>
        <v>170880.21033333967</v>
      </c>
      <c r="M525" s="76">
        <f>$J$525-EFEITO!$K$525*EFEITO!$Y$525</f>
        <v>0</v>
      </c>
      <c r="N525" s="76">
        <f ca="1">$K$525-EFEITO!$M$525*EFEITO!$Z$525</f>
        <v>242231.35065142915</v>
      </c>
      <c r="O525" s="76">
        <f>$L$525-EFEITO!$O$525*EFEITO!$AA$525</f>
        <v>106629.25124800394</v>
      </c>
      <c r="P525" s="19"/>
      <c r="Q525" s="19"/>
      <c r="R525" s="19"/>
      <c r="S525" s="19"/>
      <c r="T525" s="19"/>
      <c r="U525" s="19"/>
      <c r="V525" s="19"/>
      <c r="W525" s="19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65" t="s">
        <v>28</v>
      </c>
      <c r="B526" s="65" t="s">
        <v>40</v>
      </c>
      <c r="C526" s="65" t="s">
        <v>23</v>
      </c>
      <c r="D526" s="65" t="s">
        <v>41</v>
      </c>
      <c r="E526" s="65" t="s">
        <v>50</v>
      </c>
      <c r="F526" s="65" t="s">
        <v>52</v>
      </c>
      <c r="G526" s="65" t="s">
        <v>25</v>
      </c>
      <c r="H526" s="65" t="s">
        <v>25</v>
      </c>
      <c r="I526" s="75">
        <v>44440</v>
      </c>
      <c r="J526" s="76">
        <f>EFEITO!$J$526*EFEITO!$Y$401</f>
        <v>0</v>
      </c>
      <c r="K526" s="76">
        <f ca="1">EFEITO!$L$526*EFEITO!$Z$401</f>
        <v>2118.4703038290495</v>
      </c>
      <c r="L526" s="76">
        <f>EFEITO!$N$526*EFEITO!$AA$401</f>
        <v>932.54197559869101</v>
      </c>
      <c r="M526" s="76">
        <f>$J$526-EFEITO!$K$526*EFEITO!$Y$526</f>
        <v>0</v>
      </c>
      <c r="N526" s="76">
        <f ca="1">$K$526-EFEITO!$M$526*EFEITO!$Z$526</f>
        <v>127.10821822974276</v>
      </c>
      <c r="O526" s="76">
        <f>$L$526-EFEITO!$O$526*EFEITO!$AA$526</f>
        <v>55.952518535921513</v>
      </c>
      <c r="P526" s="19"/>
      <c r="Q526" s="19"/>
      <c r="R526" s="19"/>
      <c r="S526" s="19"/>
      <c r="T526" s="19"/>
      <c r="U526" s="19"/>
      <c r="V526" s="19"/>
      <c r="W526" s="19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65" t="s">
        <v>21</v>
      </c>
      <c r="B527" s="65" t="s">
        <v>40</v>
      </c>
      <c r="C527" s="65" t="s">
        <v>23</v>
      </c>
      <c r="D527" s="65" t="s">
        <v>41</v>
      </c>
      <c r="E527" s="65" t="s">
        <v>50</v>
      </c>
      <c r="F527" s="65" t="s">
        <v>52</v>
      </c>
      <c r="G527" s="65" t="s">
        <v>25</v>
      </c>
      <c r="H527" s="65" t="s">
        <v>25</v>
      </c>
      <c r="I527" s="75">
        <v>44470</v>
      </c>
      <c r="J527" s="76">
        <f>EFEITO!$J$527*EFEITO!$Y$401</f>
        <v>0</v>
      </c>
      <c r="K527" s="76">
        <f ca="1">EFEITO!$L$527*EFEITO!$Z$401</f>
        <v>375758.29362719599</v>
      </c>
      <c r="L527" s="76">
        <f>EFEITO!$N$527*EFEITO!$AA$401</f>
        <v>165407.26620210145</v>
      </c>
      <c r="M527" s="76">
        <f>$J$527-EFEITO!$K$527*EFEITO!$Y$527</f>
        <v>0</v>
      </c>
      <c r="N527" s="76">
        <f ca="1">$K$527-EFEITO!$M$527*EFEITO!$Z$527</f>
        <v>234473.17522337032</v>
      </c>
      <c r="O527" s="76">
        <f>$L$527-EFEITO!$O$527*EFEITO!$AA$527</f>
        <v>103214.13411011132</v>
      </c>
      <c r="P527" s="19"/>
      <c r="Q527" s="19"/>
      <c r="R527" s="19"/>
      <c r="S527" s="19"/>
      <c r="T527" s="19"/>
      <c r="U527" s="19"/>
      <c r="V527" s="19"/>
      <c r="W527" s="19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65" t="s">
        <v>28</v>
      </c>
      <c r="B528" s="65" t="s">
        <v>40</v>
      </c>
      <c r="C528" s="65" t="s">
        <v>23</v>
      </c>
      <c r="D528" s="65" t="s">
        <v>41</v>
      </c>
      <c r="E528" s="65" t="s">
        <v>50</v>
      </c>
      <c r="F528" s="65" t="s">
        <v>52</v>
      </c>
      <c r="G528" s="65" t="s">
        <v>25</v>
      </c>
      <c r="H528" s="65" t="s">
        <v>25</v>
      </c>
      <c r="I528" s="75">
        <v>44470</v>
      </c>
      <c r="J528" s="76">
        <f>EFEITO!$J$528*EFEITO!$Y$401</f>
        <v>0</v>
      </c>
      <c r="K528" s="76">
        <f ca="1">EFEITO!$L$528*EFEITO!$Z$401</f>
        <v>1938.017174097987</v>
      </c>
      <c r="L528" s="76">
        <f>EFEITO!$N$528*EFEITO!$AA$401</f>
        <v>853.10724488841743</v>
      </c>
      <c r="M528" s="76">
        <f>$J$528-EFEITO!$K$528*EFEITO!$Y$528</f>
        <v>0</v>
      </c>
      <c r="N528" s="76">
        <f ca="1">$K$528-EFEITO!$M$528*EFEITO!$Z$528</f>
        <v>116.2810304458792</v>
      </c>
      <c r="O528" s="76">
        <f>$L$528-EFEITO!$O$528*EFEITO!$AA$528</f>
        <v>51.186434693305046</v>
      </c>
      <c r="P528" s="19"/>
      <c r="Q528" s="19"/>
      <c r="R528" s="19"/>
      <c r="S528" s="19"/>
      <c r="T528" s="19"/>
      <c r="U528" s="19"/>
      <c r="V528" s="19"/>
      <c r="W528" s="19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65" t="s">
        <v>21</v>
      </c>
      <c r="B529" s="65" t="s">
        <v>40</v>
      </c>
      <c r="C529" s="65" t="s">
        <v>23</v>
      </c>
      <c r="D529" s="65" t="s">
        <v>41</v>
      </c>
      <c r="E529" s="65" t="s">
        <v>50</v>
      </c>
      <c r="F529" s="65" t="s">
        <v>52</v>
      </c>
      <c r="G529" s="65" t="s">
        <v>25</v>
      </c>
      <c r="H529" s="65" t="s">
        <v>25</v>
      </c>
      <c r="I529" s="75">
        <v>44501</v>
      </c>
      <c r="J529" s="76">
        <f>EFEITO!$J$529*EFEITO!$Y$401</f>
        <v>0</v>
      </c>
      <c r="K529" s="76">
        <f ca="1">EFEITO!$L$529*EFEITO!$Z$401</f>
        <v>601155.62368042686</v>
      </c>
      <c r="L529" s="76">
        <f>EFEITO!$N$529*EFEITO!$AA$401</f>
        <v>264626.25033541489</v>
      </c>
      <c r="M529" s="76">
        <f>$J$529-EFEITO!$K$529*EFEITO!$Y$529</f>
        <v>0</v>
      </c>
      <c r="N529" s="76">
        <f ca="1">$K$529-EFEITO!$M$529*EFEITO!$Z$529</f>
        <v>375121.10917658638</v>
      </c>
      <c r="O529" s="76">
        <f>$L$529-EFEITO!$O$529*EFEITO!$AA$529</f>
        <v>165126.78020929891</v>
      </c>
      <c r="P529" s="19"/>
      <c r="Q529" s="19"/>
      <c r="R529" s="19"/>
      <c r="S529" s="19"/>
      <c r="T529" s="19"/>
      <c r="U529" s="19"/>
      <c r="V529" s="19"/>
      <c r="W529" s="19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65" t="s">
        <v>28</v>
      </c>
      <c r="B530" s="65" t="s">
        <v>40</v>
      </c>
      <c r="C530" s="65" t="s">
        <v>23</v>
      </c>
      <c r="D530" s="65" t="s">
        <v>41</v>
      </c>
      <c r="E530" s="65" t="s">
        <v>50</v>
      </c>
      <c r="F530" s="65" t="s">
        <v>52</v>
      </c>
      <c r="G530" s="65" t="s">
        <v>25</v>
      </c>
      <c r="H530" s="65" t="s">
        <v>25</v>
      </c>
      <c r="I530" s="75">
        <v>44501</v>
      </c>
      <c r="J530" s="76">
        <f>EFEITO!$J$530*EFEITO!$Y$401</f>
        <v>0</v>
      </c>
      <c r="K530" s="76">
        <f ca="1">EFEITO!$L$530*EFEITO!$Z$401</f>
        <v>8869.3949243157876</v>
      </c>
      <c r="L530" s="76">
        <f>EFEITO!$N$530*EFEITO!$AA$401</f>
        <v>3904.2714217597472</v>
      </c>
      <c r="M530" s="76">
        <f>$J$530-EFEITO!$K$530*EFEITO!$Y$530</f>
        <v>0</v>
      </c>
      <c r="N530" s="76">
        <f ca="1">$K$530-EFEITO!$M$530*EFEITO!$Z$530</f>
        <v>532.16369545894668</v>
      </c>
      <c r="O530" s="76">
        <f>$L$530-EFEITO!$O$530*EFEITO!$AA$530</f>
        <v>234.2562853055847</v>
      </c>
      <c r="P530" s="19"/>
      <c r="Q530" s="19"/>
      <c r="R530" s="19"/>
      <c r="S530" s="19"/>
      <c r="T530" s="19"/>
      <c r="U530" s="19"/>
      <c r="V530" s="19"/>
      <c r="W530" s="19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65" t="s">
        <v>21</v>
      </c>
      <c r="B531" s="65" t="s">
        <v>40</v>
      </c>
      <c r="C531" s="65" t="s">
        <v>23</v>
      </c>
      <c r="D531" s="65" t="s">
        <v>41</v>
      </c>
      <c r="E531" s="65" t="s">
        <v>50</v>
      </c>
      <c r="F531" s="65" t="s">
        <v>52</v>
      </c>
      <c r="G531" s="65" t="s">
        <v>25</v>
      </c>
      <c r="H531" s="65" t="s">
        <v>25</v>
      </c>
      <c r="I531" s="75">
        <v>44531</v>
      </c>
      <c r="J531" s="76">
        <f>EFEITO!$J$531*EFEITO!$Y$401</f>
        <v>0</v>
      </c>
      <c r="K531" s="76">
        <f ca="1">EFEITO!$L$531*EFEITO!$Z$401</f>
        <v>440191.43196031905</v>
      </c>
      <c r="L531" s="76">
        <f>EFEITO!$N$531*EFEITO!$AA$401</f>
        <v>193770.47054185084</v>
      </c>
      <c r="M531" s="76">
        <f>$J$531-EFEITO!$K$531*EFEITO!$Y$531</f>
        <v>0</v>
      </c>
      <c r="N531" s="76">
        <f ca="1">$K$531-EFEITO!$M$531*EFEITO!$Z$531</f>
        <v>274679.4535432391</v>
      </c>
      <c r="O531" s="76">
        <f>$L$531-EFEITO!$O$531*EFEITO!$AA$531</f>
        <v>120912.77361811492</v>
      </c>
      <c r="P531" s="19"/>
      <c r="Q531" s="19"/>
      <c r="R531" s="19"/>
      <c r="S531" s="19"/>
      <c r="T531" s="19"/>
      <c r="U531" s="19"/>
      <c r="V531" s="19"/>
      <c r="W531" s="19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65" t="s">
        <v>27</v>
      </c>
      <c r="B532" s="65" t="s">
        <v>40</v>
      </c>
      <c r="C532" s="65" t="s">
        <v>23</v>
      </c>
      <c r="D532" s="65" t="s">
        <v>41</v>
      </c>
      <c r="E532" s="65" t="s">
        <v>50</v>
      </c>
      <c r="F532" s="65" t="s">
        <v>52</v>
      </c>
      <c r="G532" s="65" t="s">
        <v>25</v>
      </c>
      <c r="H532" s="65" t="s">
        <v>25</v>
      </c>
      <c r="I532" s="75">
        <v>44531</v>
      </c>
      <c r="J532" s="76">
        <f>EFEITO!$J$532*EFEITO!$Y$401</f>
        <v>0</v>
      </c>
      <c r="K532" s="76">
        <f ca="1">EFEITO!$L$532*EFEITO!$Z$401</f>
        <v>-61897.895458435712</v>
      </c>
      <c r="L532" s="76">
        <f>EFEITO!$N$532*EFEITO!$AA$401</f>
        <v>-27247.200780619864</v>
      </c>
      <c r="M532" s="76">
        <f>$J$532-EFEITO!$K$532*EFEITO!$Y$532</f>
        <v>0</v>
      </c>
      <c r="N532" s="76">
        <f ca="1">$K$532-EFEITO!$M$532*EFEITO!$Z$532</f>
        <v>-38624.286766063888</v>
      </c>
      <c r="O532" s="76">
        <f>$L$532-EFEITO!$O$532*EFEITO!$AA$532</f>
        <v>-17002.253287106796</v>
      </c>
      <c r="P532" s="19"/>
      <c r="Q532" s="19"/>
      <c r="R532" s="19"/>
      <c r="S532" s="19"/>
      <c r="T532" s="19"/>
      <c r="U532" s="19"/>
      <c r="V532" s="19"/>
      <c r="W532" s="19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65" t="s">
        <v>28</v>
      </c>
      <c r="B533" s="65" t="s">
        <v>40</v>
      </c>
      <c r="C533" s="65" t="s">
        <v>23</v>
      </c>
      <c r="D533" s="65" t="s">
        <v>41</v>
      </c>
      <c r="E533" s="65" t="s">
        <v>50</v>
      </c>
      <c r="F533" s="65" t="s">
        <v>52</v>
      </c>
      <c r="G533" s="65" t="s">
        <v>25</v>
      </c>
      <c r="H533" s="65" t="s">
        <v>25</v>
      </c>
      <c r="I533" s="75">
        <v>44531</v>
      </c>
      <c r="J533" s="76">
        <f>EFEITO!$J$533*EFEITO!$Y$401</f>
        <v>0</v>
      </c>
      <c r="K533" s="76">
        <f ca="1">EFEITO!$L$533*EFEITO!$Z$401</f>
        <v>7702.6294827669999</v>
      </c>
      <c r="L533" s="76">
        <f>EFEITO!$N$533*EFEITO!$AA$401</f>
        <v>3390.6660396330467</v>
      </c>
      <c r="M533" s="76">
        <f>$J$533-EFEITO!$K$533*EFEITO!$Y$533</f>
        <v>0</v>
      </c>
      <c r="N533" s="76">
        <f ca="1">$K$533-EFEITO!$M$533*EFEITO!$Z$533</f>
        <v>462.15776896602074</v>
      </c>
      <c r="O533" s="76">
        <f>$L$533-EFEITO!$O$533*EFEITO!$AA$533</f>
        <v>203.43996237798274</v>
      </c>
      <c r="P533" s="19"/>
      <c r="Q533" s="19"/>
      <c r="R533" s="19"/>
      <c r="S533" s="19"/>
      <c r="T533" s="19"/>
      <c r="U533" s="19"/>
      <c r="V533" s="19"/>
      <c r="W533" s="19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65" t="s">
        <v>21</v>
      </c>
      <c r="B534" s="65" t="s">
        <v>40</v>
      </c>
      <c r="C534" s="65" t="s">
        <v>23</v>
      </c>
      <c r="D534" s="65" t="s">
        <v>41</v>
      </c>
      <c r="E534" s="65" t="s">
        <v>50</v>
      </c>
      <c r="F534" s="65" t="s">
        <v>52</v>
      </c>
      <c r="G534" s="65" t="s">
        <v>25</v>
      </c>
      <c r="H534" s="65" t="s">
        <v>25</v>
      </c>
      <c r="I534" s="75">
        <v>44562</v>
      </c>
      <c r="J534" s="76">
        <f>EFEITO!$J$534*EFEITO!$Y$401</f>
        <v>0</v>
      </c>
      <c r="K534" s="76">
        <f ca="1">EFEITO!$L$534*EFEITO!$Z$401</f>
        <v>354374.35055799695</v>
      </c>
      <c r="L534" s="76">
        <f>EFEITO!$N$534*EFEITO!$AA$401</f>
        <v>155994.14179823443</v>
      </c>
      <c r="M534" s="76">
        <f>$J$534-EFEITO!$K$534*EFEITO!$Y$534</f>
        <v>0</v>
      </c>
      <c r="N534" s="76">
        <f ca="1">$K$534-EFEITO!$M$534*EFEITO!$Z$534</f>
        <v>221129.59474819011</v>
      </c>
      <c r="O534" s="76">
        <f>$L$534-EFEITO!$O$534*EFEITO!$AA$534</f>
        <v>97340.344482098299</v>
      </c>
      <c r="P534" s="19"/>
      <c r="Q534" s="19"/>
      <c r="R534" s="19"/>
      <c r="S534" s="19"/>
      <c r="T534" s="19"/>
      <c r="U534" s="19"/>
      <c r="V534" s="19"/>
      <c r="W534" s="19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65" t="s">
        <v>28</v>
      </c>
      <c r="B535" s="65" t="s">
        <v>40</v>
      </c>
      <c r="C535" s="65" t="s">
        <v>23</v>
      </c>
      <c r="D535" s="65" t="s">
        <v>41</v>
      </c>
      <c r="E535" s="65" t="s">
        <v>50</v>
      </c>
      <c r="F535" s="65" t="s">
        <v>52</v>
      </c>
      <c r="G535" s="65" t="s">
        <v>25</v>
      </c>
      <c r="H535" s="65" t="s">
        <v>25</v>
      </c>
      <c r="I535" s="75">
        <v>44562</v>
      </c>
      <c r="J535" s="76">
        <f>EFEITO!$J$535*EFEITO!$Y$401</f>
        <v>0</v>
      </c>
      <c r="K535" s="76">
        <f ca="1">EFEITO!$L$535*EFEITO!$Z$401</f>
        <v>8195.538442607738</v>
      </c>
      <c r="L535" s="76">
        <f>EFEITO!$N$535*EFEITO!$AA$401</f>
        <v>3607.6425506416572</v>
      </c>
      <c r="M535" s="76">
        <f>$J$535-EFEITO!$K$535*EFEITO!$Y$535</f>
        <v>0</v>
      </c>
      <c r="N535" s="76">
        <f ca="1">$K$535-EFEITO!$M$535*EFEITO!$Z$535</f>
        <v>491.73230655646421</v>
      </c>
      <c r="O535" s="76">
        <f>$L$535-EFEITO!$O$535*EFEITO!$AA$535</f>
        <v>216.4585530384993</v>
      </c>
      <c r="P535" s="19"/>
      <c r="Q535" s="19"/>
      <c r="R535" s="19"/>
      <c r="S535" s="19"/>
      <c r="T535" s="19"/>
      <c r="U535" s="19"/>
      <c r="V535" s="19"/>
      <c r="W535" s="19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65" t="s">
        <v>21</v>
      </c>
      <c r="B536" s="65" t="s">
        <v>40</v>
      </c>
      <c r="C536" s="65" t="s">
        <v>23</v>
      </c>
      <c r="D536" s="65" t="s">
        <v>41</v>
      </c>
      <c r="E536" s="65" t="s">
        <v>50</v>
      </c>
      <c r="F536" s="65" t="s">
        <v>52</v>
      </c>
      <c r="G536" s="65" t="s">
        <v>25</v>
      </c>
      <c r="H536" s="65" t="s">
        <v>25</v>
      </c>
      <c r="I536" s="75">
        <v>44593</v>
      </c>
      <c r="J536" s="76">
        <f>EFEITO!$J$536*EFEITO!$Y$401</f>
        <v>0</v>
      </c>
      <c r="K536" s="76">
        <f ca="1">EFEITO!$L$536*EFEITO!$Z$401</f>
        <v>353825.57528675999</v>
      </c>
      <c r="L536" s="76">
        <f>EFEITO!$N$536*EFEITO!$AA$401</f>
        <v>155752.57316511549</v>
      </c>
      <c r="M536" s="76">
        <f>$J$536-EFEITO!$K$536*EFEITO!$Y$536</f>
        <v>0</v>
      </c>
      <c r="N536" s="76">
        <f ca="1">$K$536-EFEITO!$M$536*EFEITO!$Z$536</f>
        <v>220787.15897893824</v>
      </c>
      <c r="O536" s="76">
        <f>$L$536-EFEITO!$O$536*EFEITO!$AA$536</f>
        <v>97189.605655032065</v>
      </c>
      <c r="P536" s="19"/>
      <c r="Q536" s="19"/>
      <c r="R536" s="19"/>
      <c r="S536" s="19"/>
      <c r="T536" s="19"/>
      <c r="U536" s="19"/>
      <c r="V536" s="19"/>
      <c r="W536" s="19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65" t="s">
        <v>28</v>
      </c>
      <c r="B537" s="65" t="s">
        <v>40</v>
      </c>
      <c r="C537" s="65" t="s">
        <v>23</v>
      </c>
      <c r="D537" s="65" t="s">
        <v>41</v>
      </c>
      <c r="E537" s="65" t="s">
        <v>50</v>
      </c>
      <c r="F537" s="65" t="s">
        <v>52</v>
      </c>
      <c r="G537" s="65" t="s">
        <v>25</v>
      </c>
      <c r="H537" s="65" t="s">
        <v>25</v>
      </c>
      <c r="I537" s="75">
        <v>44593</v>
      </c>
      <c r="J537" s="76">
        <f>EFEITO!$J$537*EFEITO!$Y$401</f>
        <v>0</v>
      </c>
      <c r="K537" s="76">
        <f ca="1">EFEITO!$L$537*EFEITO!$Z$401</f>
        <v>7831.1714381918664</v>
      </c>
      <c r="L537" s="76">
        <f>EFEITO!$N$537*EFEITO!$AA$401</f>
        <v>3447.2496834266663</v>
      </c>
      <c r="M537" s="76">
        <f>$J$537-EFEITO!$K$537*EFEITO!$Y$537</f>
        <v>0</v>
      </c>
      <c r="N537" s="76">
        <f ca="1">$K$537-EFEITO!$M$537*EFEITO!$Z$537</f>
        <v>469.87028629151246</v>
      </c>
      <c r="O537" s="76">
        <f>$L$537-EFEITO!$O$537*EFEITO!$AA$537</f>
        <v>206.83498100560018</v>
      </c>
      <c r="P537" s="19"/>
      <c r="Q537" s="19"/>
      <c r="R537" s="19"/>
      <c r="S537" s="19"/>
      <c r="T537" s="19"/>
      <c r="U537" s="19"/>
      <c r="V537" s="19"/>
      <c r="W537" s="19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65" t="s">
        <v>54</v>
      </c>
      <c r="B538" s="65" t="s">
        <v>40</v>
      </c>
      <c r="C538" s="65" t="s">
        <v>23</v>
      </c>
      <c r="D538" s="65" t="s">
        <v>41</v>
      </c>
      <c r="E538" s="65" t="s">
        <v>50</v>
      </c>
      <c r="F538" s="65" t="s">
        <v>52</v>
      </c>
      <c r="G538" s="65" t="s">
        <v>25</v>
      </c>
      <c r="H538" s="65" t="s">
        <v>25</v>
      </c>
      <c r="I538" s="75">
        <v>44621</v>
      </c>
      <c r="J538" s="76">
        <f>EFEITO!$J$538*EFEITO!$Y$401</f>
        <v>0</v>
      </c>
      <c r="K538" s="76">
        <f ca="1">EFEITO!$L$538*EFEITO!$Z$401</f>
        <v>353825.57528675999</v>
      </c>
      <c r="L538" s="76">
        <f>EFEITO!$N$538*EFEITO!$AA$401</f>
        <v>155752.57316511549</v>
      </c>
      <c r="M538" s="76">
        <f>$J$538-EFEITO!$K$538*EFEITO!$Y$538</f>
        <v>0</v>
      </c>
      <c r="N538" s="76">
        <f ca="1">$K$538-EFEITO!$M$538*EFEITO!$Z$538</f>
        <v>220787.15897893824</v>
      </c>
      <c r="O538" s="76">
        <f>$L$538-EFEITO!$O$538*EFEITO!$AA$538</f>
        <v>97189.605655032065</v>
      </c>
      <c r="P538" s="19"/>
      <c r="Q538" s="19"/>
      <c r="R538" s="19"/>
      <c r="S538" s="19"/>
      <c r="T538" s="19"/>
      <c r="U538" s="19"/>
      <c r="V538" s="19"/>
      <c r="W538" s="19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65" t="s">
        <v>54</v>
      </c>
      <c r="B539" s="65" t="s">
        <v>40</v>
      </c>
      <c r="C539" s="65" t="s">
        <v>23</v>
      </c>
      <c r="D539" s="65" t="s">
        <v>41</v>
      </c>
      <c r="E539" s="65" t="s">
        <v>50</v>
      </c>
      <c r="F539" s="65" t="s">
        <v>52</v>
      </c>
      <c r="G539" s="65" t="s">
        <v>25</v>
      </c>
      <c r="H539" s="65" t="s">
        <v>25</v>
      </c>
      <c r="I539" s="75">
        <v>44621</v>
      </c>
      <c r="J539" s="76">
        <f>EFEITO!$J$539*EFEITO!$Y$401</f>
        <v>0</v>
      </c>
      <c r="K539" s="76">
        <f ca="1">EFEITO!$L$539*EFEITO!$Z$401</f>
        <v>7831.1714381918664</v>
      </c>
      <c r="L539" s="76">
        <f>EFEITO!$N$539*EFEITO!$AA$401</f>
        <v>3447.2496834266663</v>
      </c>
      <c r="M539" s="76">
        <f>$J$539-EFEITO!$K$539*EFEITO!$Y$539</f>
        <v>0</v>
      </c>
      <c r="N539" s="76">
        <f ca="1">$K$539-EFEITO!$M$539*EFEITO!$Z$539</f>
        <v>469.87028629151246</v>
      </c>
      <c r="O539" s="76">
        <f>$L$539-EFEITO!$O$539*EFEITO!$AA$539</f>
        <v>206.83498100560018</v>
      </c>
      <c r="P539" s="19"/>
      <c r="Q539" s="19"/>
      <c r="R539" s="19"/>
      <c r="S539" s="19"/>
      <c r="T539" s="19"/>
      <c r="U539" s="19"/>
      <c r="V539" s="19"/>
      <c r="W539" s="19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65" t="s">
        <v>21</v>
      </c>
      <c r="B540" s="65" t="s">
        <v>40</v>
      </c>
      <c r="C540" s="65" t="s">
        <v>23</v>
      </c>
      <c r="D540" s="65" t="s">
        <v>41</v>
      </c>
      <c r="E540" s="65" t="s">
        <v>53</v>
      </c>
      <c r="F540" s="65" t="s">
        <v>51</v>
      </c>
      <c r="G540" s="65" t="s">
        <v>25</v>
      </c>
      <c r="H540" s="65" t="s">
        <v>25</v>
      </c>
      <c r="I540" s="75">
        <v>44287</v>
      </c>
      <c r="J540" s="76">
        <f>EFEITO!$J$540*EFEITO!$Y$401</f>
        <v>0</v>
      </c>
      <c r="K540" s="76">
        <f ca="1">EFEITO!$L$540*EFEITO!$Z$401</f>
        <v>949.23290159901399</v>
      </c>
      <c r="L540" s="76">
        <f>EFEITO!$N$540*EFEITO!$AA$401</f>
        <v>417.84844647595952</v>
      </c>
      <c r="M540" s="76">
        <f>$J$540-EFEITO!$K$540*EFEITO!$Y$540</f>
        <v>0</v>
      </c>
      <c r="N540" s="76">
        <f ca="1">$K$540-EFEITO!$M$540*EFEITO!$Z$540</f>
        <v>56.953974095940794</v>
      </c>
      <c r="O540" s="76">
        <f>$L$540-EFEITO!$O$540*EFEITO!$AA$540</f>
        <v>25.070906788557579</v>
      </c>
      <c r="P540" s="19"/>
      <c r="Q540" s="19"/>
      <c r="R540" s="19"/>
      <c r="S540" s="19"/>
      <c r="T540" s="19"/>
      <c r="U540" s="19"/>
      <c r="V540" s="19"/>
      <c r="W540" s="19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65" t="s">
        <v>21</v>
      </c>
      <c r="B541" s="65" t="s">
        <v>40</v>
      </c>
      <c r="C541" s="65" t="s">
        <v>23</v>
      </c>
      <c r="D541" s="65" t="s">
        <v>41</v>
      </c>
      <c r="E541" s="65" t="s">
        <v>53</v>
      </c>
      <c r="F541" s="65" t="s">
        <v>51</v>
      </c>
      <c r="G541" s="65" t="s">
        <v>25</v>
      </c>
      <c r="H541" s="65" t="s">
        <v>25</v>
      </c>
      <c r="I541" s="75">
        <v>44317</v>
      </c>
      <c r="J541" s="76">
        <f>EFEITO!$J$541*EFEITO!$Y$401</f>
        <v>0</v>
      </c>
      <c r="K541" s="76">
        <f ca="1">EFEITO!$L$541*EFEITO!$Z$401</f>
        <v>919.5693734240449</v>
      </c>
      <c r="L541" s="76">
        <f>EFEITO!$N$541*EFEITO!$AA$401</f>
        <v>404.79068252358582</v>
      </c>
      <c r="M541" s="76">
        <f>$J$541-EFEITO!$K$541*EFEITO!$Y$541</f>
        <v>0</v>
      </c>
      <c r="N541" s="76">
        <f ca="1">$K$541-EFEITO!$M$541*EFEITO!$Z$541</f>
        <v>55.174162405442644</v>
      </c>
      <c r="O541" s="76">
        <f>$L$541-EFEITO!$O$541*EFEITO!$AA$541</f>
        <v>24.287440951415135</v>
      </c>
      <c r="P541" s="19"/>
      <c r="Q541" s="19"/>
      <c r="R541" s="19"/>
      <c r="S541" s="19"/>
      <c r="T541" s="19"/>
      <c r="U541" s="19"/>
      <c r="V541" s="19"/>
      <c r="W541" s="19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65" t="s">
        <v>21</v>
      </c>
      <c r="B542" s="65" t="s">
        <v>40</v>
      </c>
      <c r="C542" s="65" t="s">
        <v>23</v>
      </c>
      <c r="D542" s="65" t="s">
        <v>41</v>
      </c>
      <c r="E542" s="65" t="s">
        <v>53</v>
      </c>
      <c r="F542" s="65" t="s">
        <v>51</v>
      </c>
      <c r="G542" s="65" t="s">
        <v>25</v>
      </c>
      <c r="H542" s="65" t="s">
        <v>25</v>
      </c>
      <c r="I542" s="75">
        <v>44348</v>
      </c>
      <c r="J542" s="76">
        <f>EFEITO!$J$542*EFEITO!$Y$401</f>
        <v>0</v>
      </c>
      <c r="K542" s="76">
        <f ca="1">EFEITO!$L$542*EFEITO!$Z$401</f>
        <v>721.8125189242503</v>
      </c>
      <c r="L542" s="76">
        <f>EFEITO!$N$542*EFEITO!$AA$401</f>
        <v>317.73892284109422</v>
      </c>
      <c r="M542" s="76">
        <f>$J$542-EFEITO!$K$542*EFEITO!$Y$542</f>
        <v>0</v>
      </c>
      <c r="N542" s="76">
        <f ca="1">$K$542-EFEITO!$M$542*EFEITO!$Z$542</f>
        <v>43.308751135455054</v>
      </c>
      <c r="O542" s="76">
        <f>$L$542-EFEITO!$O$542*EFEITO!$AA$542</f>
        <v>19.064335370465642</v>
      </c>
      <c r="P542" s="19"/>
      <c r="Q542" s="19"/>
      <c r="R542" s="19"/>
      <c r="S542" s="19"/>
      <c r="T542" s="19"/>
      <c r="U542" s="19"/>
      <c r="V542" s="19"/>
      <c r="W542" s="19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65" t="s">
        <v>21</v>
      </c>
      <c r="B543" s="65" t="s">
        <v>40</v>
      </c>
      <c r="C543" s="65" t="s">
        <v>23</v>
      </c>
      <c r="D543" s="65" t="s">
        <v>41</v>
      </c>
      <c r="E543" s="65" t="s">
        <v>53</v>
      </c>
      <c r="F543" s="65" t="s">
        <v>51</v>
      </c>
      <c r="G543" s="65" t="s">
        <v>25</v>
      </c>
      <c r="H543" s="65" t="s">
        <v>25</v>
      </c>
      <c r="I543" s="75">
        <v>44378</v>
      </c>
      <c r="J543" s="76">
        <f>EFEITO!$J$543*EFEITO!$Y$401</f>
        <v>0</v>
      </c>
      <c r="K543" s="76">
        <f ca="1">EFEITO!$L$543*EFEITO!$Z$401</f>
        <v>781.1395752741887</v>
      </c>
      <c r="L543" s="76">
        <f>EFEITO!$N$543*EFEITO!$AA$401</f>
        <v>343.85445074584169</v>
      </c>
      <c r="M543" s="76">
        <f>$J$543-EFEITO!$K$543*EFEITO!$Y$543</f>
        <v>0</v>
      </c>
      <c r="N543" s="76">
        <f ca="1">$K$543-EFEITO!$M$543*EFEITO!$Z$543</f>
        <v>46.868374516451354</v>
      </c>
      <c r="O543" s="76">
        <f>$L$543-EFEITO!$O$543*EFEITO!$AA$543</f>
        <v>20.631267044750473</v>
      </c>
      <c r="P543" s="19"/>
      <c r="Q543" s="19"/>
      <c r="R543" s="19"/>
      <c r="S543" s="19"/>
      <c r="T543" s="19"/>
      <c r="U543" s="19"/>
      <c r="V543" s="19"/>
      <c r="W543" s="19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65" t="s">
        <v>21</v>
      </c>
      <c r="B544" s="65" t="s">
        <v>40</v>
      </c>
      <c r="C544" s="65" t="s">
        <v>23</v>
      </c>
      <c r="D544" s="65" t="s">
        <v>41</v>
      </c>
      <c r="E544" s="65" t="s">
        <v>53</v>
      </c>
      <c r="F544" s="65" t="s">
        <v>51</v>
      </c>
      <c r="G544" s="65" t="s">
        <v>25</v>
      </c>
      <c r="H544" s="65" t="s">
        <v>25</v>
      </c>
      <c r="I544" s="75">
        <v>44409</v>
      </c>
      <c r="J544" s="76">
        <f>EFEITO!$J$544*EFEITO!$Y$401</f>
        <v>0</v>
      </c>
      <c r="K544" s="76">
        <f ca="1">EFEITO!$L$544*EFEITO!$Z$401</f>
        <v>899.79368797406551</v>
      </c>
      <c r="L544" s="76">
        <f>EFEITO!$N$544*EFEITO!$AA$401</f>
        <v>396.08550655533668</v>
      </c>
      <c r="M544" s="76">
        <f>$J$544-EFEITO!$K$544*EFEITO!$Y$544</f>
        <v>0</v>
      </c>
      <c r="N544" s="76">
        <f ca="1">$K$544-EFEITO!$M$544*EFEITO!$Z$544</f>
        <v>53.987621278443953</v>
      </c>
      <c r="O544" s="76">
        <f>$L$544-EFEITO!$O$544*EFEITO!$AA$544</f>
        <v>23.765130393320192</v>
      </c>
      <c r="P544" s="19"/>
      <c r="Q544" s="19"/>
      <c r="R544" s="19"/>
      <c r="S544" s="19"/>
      <c r="T544" s="19"/>
      <c r="U544" s="19"/>
      <c r="V544" s="19"/>
      <c r="W544" s="19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65" t="s">
        <v>21</v>
      </c>
      <c r="B545" s="65" t="s">
        <v>40</v>
      </c>
      <c r="C545" s="65" t="s">
        <v>23</v>
      </c>
      <c r="D545" s="65" t="s">
        <v>41</v>
      </c>
      <c r="E545" s="65" t="s">
        <v>53</v>
      </c>
      <c r="F545" s="65" t="s">
        <v>51</v>
      </c>
      <c r="G545" s="65" t="s">
        <v>25</v>
      </c>
      <c r="H545" s="65" t="s">
        <v>25</v>
      </c>
      <c r="I545" s="75">
        <v>44440</v>
      </c>
      <c r="J545" s="76">
        <f>EFEITO!$J$545*EFEITO!$Y$401</f>
        <v>0</v>
      </c>
      <c r="K545" s="76">
        <f ca="1">EFEITO!$L$545*EFEITO!$Z$401</f>
        <v>850.3544743491168</v>
      </c>
      <c r="L545" s="76">
        <f>EFEITO!$N$545*EFEITO!$AA$401</f>
        <v>374.32256663471372</v>
      </c>
      <c r="M545" s="76">
        <f>$J$545-EFEITO!$K$545*EFEITO!$Y$545</f>
        <v>0</v>
      </c>
      <c r="N545" s="76">
        <f ca="1">$K$545-EFEITO!$M$545*EFEITO!$Z$545</f>
        <v>51.021268460947113</v>
      </c>
      <c r="O545" s="76">
        <f>$L$545-EFEITO!$O$545*EFEITO!$AA$545</f>
        <v>22.459353998082804</v>
      </c>
      <c r="P545" s="19"/>
      <c r="Q545" s="19"/>
      <c r="R545" s="19"/>
      <c r="S545" s="19"/>
      <c r="T545" s="19"/>
      <c r="U545" s="19"/>
      <c r="V545" s="19"/>
      <c r="W545" s="19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65" t="s">
        <v>21</v>
      </c>
      <c r="B546" s="65" t="s">
        <v>40</v>
      </c>
      <c r="C546" s="65" t="s">
        <v>23</v>
      </c>
      <c r="D546" s="65" t="s">
        <v>41</v>
      </c>
      <c r="E546" s="65" t="s">
        <v>53</v>
      </c>
      <c r="F546" s="65" t="s">
        <v>51</v>
      </c>
      <c r="G546" s="65" t="s">
        <v>25</v>
      </c>
      <c r="H546" s="65" t="s">
        <v>25</v>
      </c>
      <c r="I546" s="75">
        <v>44470</v>
      </c>
      <c r="J546" s="76">
        <f>EFEITO!$J$546*EFEITO!$Y$401</f>
        <v>0</v>
      </c>
      <c r="K546" s="76">
        <f ca="1">EFEITO!$L$546*EFEITO!$Z$401</f>
        <v>29.663528174969187</v>
      </c>
      <c r="L546" s="76">
        <f>EFEITO!$N$546*EFEITO!$AA$401</f>
        <v>13.057763952373735</v>
      </c>
      <c r="M546" s="76">
        <f>$J$546-EFEITO!$K$546*EFEITO!$Y$546</f>
        <v>0</v>
      </c>
      <c r="N546" s="76">
        <f ca="1">$K$546-EFEITO!$M$546*EFEITO!$Z$546</f>
        <v>1.7798116904981498</v>
      </c>
      <c r="O546" s="76">
        <f>$L$546-EFEITO!$O$546*EFEITO!$AA$546</f>
        <v>0.78346583714242435</v>
      </c>
      <c r="P546" s="19"/>
      <c r="Q546" s="19"/>
      <c r="R546" s="19"/>
      <c r="S546" s="19"/>
      <c r="T546" s="19"/>
      <c r="U546" s="19"/>
      <c r="V546" s="19"/>
      <c r="W546" s="19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65" t="s">
        <v>21</v>
      </c>
      <c r="B547" s="65" t="s">
        <v>40</v>
      </c>
      <c r="C547" s="65" t="s">
        <v>23</v>
      </c>
      <c r="D547" s="65" t="s">
        <v>41</v>
      </c>
      <c r="E547" s="65" t="s">
        <v>53</v>
      </c>
      <c r="F547" s="65" t="s">
        <v>51</v>
      </c>
      <c r="G547" s="65" t="s">
        <v>25</v>
      </c>
      <c r="H547" s="65" t="s">
        <v>25</v>
      </c>
      <c r="I547" s="75">
        <v>44501</v>
      </c>
      <c r="J547" s="76">
        <f>EFEITO!$J$547*EFEITO!$Y$401</f>
        <v>0</v>
      </c>
      <c r="K547" s="76">
        <f ca="1">EFEITO!$L$547*EFEITO!$Z$401</f>
        <v>29.663528174969187</v>
      </c>
      <c r="L547" s="76">
        <f>EFEITO!$N$547*EFEITO!$AA$401</f>
        <v>13.057763952373735</v>
      </c>
      <c r="M547" s="76">
        <f>$J$547-EFEITO!$K$547*EFEITO!$Y$547</f>
        <v>0</v>
      </c>
      <c r="N547" s="76">
        <f ca="1">$K$547-EFEITO!$M$547*EFEITO!$Z$547</f>
        <v>1.7798116904981498</v>
      </c>
      <c r="O547" s="76">
        <f>$L$547-EFEITO!$O$547*EFEITO!$AA$547</f>
        <v>0.78346583714242435</v>
      </c>
      <c r="P547" s="19"/>
      <c r="Q547" s="19"/>
      <c r="R547" s="19"/>
      <c r="S547" s="19"/>
      <c r="T547" s="19"/>
      <c r="U547" s="19"/>
      <c r="V547" s="19"/>
      <c r="W547" s="19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65" t="s">
        <v>21</v>
      </c>
      <c r="B548" s="65" t="s">
        <v>40</v>
      </c>
      <c r="C548" s="65" t="s">
        <v>23</v>
      </c>
      <c r="D548" s="65" t="s">
        <v>41</v>
      </c>
      <c r="E548" s="65" t="s">
        <v>53</v>
      </c>
      <c r="F548" s="65" t="s">
        <v>51</v>
      </c>
      <c r="G548" s="65" t="s">
        <v>25</v>
      </c>
      <c r="H548" s="65" t="s">
        <v>25</v>
      </c>
      <c r="I548" s="75">
        <v>44531</v>
      </c>
      <c r="J548" s="76">
        <f>EFEITO!$J$548*EFEITO!$Y$401</f>
        <v>0</v>
      </c>
      <c r="K548" s="76">
        <f ca="1">EFEITO!$L$548*EFEITO!$Z$401</f>
        <v>59.327056349938374</v>
      </c>
      <c r="L548" s="76">
        <f>EFEITO!$N$548*EFEITO!$AA$401</f>
        <v>26.11552790474747</v>
      </c>
      <c r="M548" s="76">
        <f>$J$548-EFEITO!$K$548*EFEITO!$Y$548</f>
        <v>0</v>
      </c>
      <c r="N548" s="76">
        <f ca="1">$K$548-EFEITO!$M$548*EFEITO!$Z$548</f>
        <v>3.5596233809962996</v>
      </c>
      <c r="O548" s="76">
        <f>$L$548-EFEITO!$O$548*EFEITO!$AA$548</f>
        <v>1.5669316742848487</v>
      </c>
      <c r="P548" s="19"/>
      <c r="Q548" s="19"/>
      <c r="R548" s="19"/>
      <c r="S548" s="19"/>
      <c r="T548" s="19"/>
      <c r="U548" s="19"/>
      <c r="V548" s="19"/>
      <c r="W548" s="19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65" t="s">
        <v>21</v>
      </c>
      <c r="B549" s="65" t="s">
        <v>40</v>
      </c>
      <c r="C549" s="65" t="s">
        <v>23</v>
      </c>
      <c r="D549" s="65" t="s">
        <v>41</v>
      </c>
      <c r="E549" s="65" t="s">
        <v>53</v>
      </c>
      <c r="F549" s="65" t="s">
        <v>51</v>
      </c>
      <c r="G549" s="65" t="s">
        <v>25</v>
      </c>
      <c r="H549" s="65" t="s">
        <v>25</v>
      </c>
      <c r="I549" s="75">
        <v>44562</v>
      </c>
      <c r="J549" s="76">
        <f>EFEITO!$J$549*EFEITO!$Y$401</f>
        <v>0</v>
      </c>
      <c r="K549" s="76">
        <f ca="1">EFEITO!$L$549*EFEITO!$Z$401</f>
        <v>79.102741799917837</v>
      </c>
      <c r="L549" s="76">
        <f>EFEITO!$N$549*EFEITO!$AA$401</f>
        <v>34.820703872996631</v>
      </c>
      <c r="M549" s="76">
        <f>$J$549-EFEITO!$K$549*EFEITO!$Y$549</f>
        <v>0</v>
      </c>
      <c r="N549" s="76">
        <f ca="1">$K$549-EFEITO!$M$549*EFEITO!$Z$549</f>
        <v>4.7461645079950614</v>
      </c>
      <c r="O549" s="76">
        <f>$L$549-EFEITO!$O$549*EFEITO!$AA$549</f>
        <v>2.089242232379803</v>
      </c>
      <c r="P549" s="19"/>
      <c r="Q549" s="19"/>
      <c r="R549" s="19"/>
      <c r="S549" s="19"/>
      <c r="T549" s="19"/>
      <c r="U549" s="19"/>
      <c r="V549" s="19"/>
      <c r="W549" s="19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65" t="s">
        <v>21</v>
      </c>
      <c r="B550" s="65" t="s">
        <v>40</v>
      </c>
      <c r="C550" s="65" t="s">
        <v>23</v>
      </c>
      <c r="D550" s="65" t="s">
        <v>41</v>
      </c>
      <c r="E550" s="65" t="s">
        <v>53</v>
      </c>
      <c r="F550" s="65" t="s">
        <v>51</v>
      </c>
      <c r="G550" s="65" t="s">
        <v>25</v>
      </c>
      <c r="H550" s="65" t="s">
        <v>25</v>
      </c>
      <c r="I550" s="75">
        <v>44593</v>
      </c>
      <c r="J550" s="76">
        <f>EFEITO!$J$550*EFEITO!$Y$401</f>
        <v>0</v>
      </c>
      <c r="K550" s="76">
        <f ca="1">EFEITO!$L$550*EFEITO!$Z$401</f>
        <v>69.214899074928113</v>
      </c>
      <c r="L550" s="76">
        <f>EFEITO!$N$550*EFEITO!$AA$401</f>
        <v>30.468115888872052</v>
      </c>
      <c r="M550" s="76">
        <f>$J$550-EFEITO!$K$550*EFEITO!$Y$550</f>
        <v>0</v>
      </c>
      <c r="N550" s="76">
        <f ca="1">$K$550-EFEITO!$M$550*EFEITO!$Z$550</f>
        <v>4.1528939444956876</v>
      </c>
      <c r="O550" s="76">
        <f>$L$550-EFEITO!$O$550*EFEITO!$AA$550</f>
        <v>1.8280869533323241</v>
      </c>
      <c r="P550" s="19"/>
      <c r="Q550" s="19"/>
      <c r="R550" s="19"/>
      <c r="S550" s="19"/>
      <c r="T550" s="19"/>
      <c r="U550" s="19"/>
      <c r="V550" s="19"/>
      <c r="W550" s="19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65" t="s">
        <v>54</v>
      </c>
      <c r="B551" s="65" t="s">
        <v>40</v>
      </c>
      <c r="C551" s="65" t="s">
        <v>23</v>
      </c>
      <c r="D551" s="65" t="s">
        <v>41</v>
      </c>
      <c r="E551" s="65" t="s">
        <v>53</v>
      </c>
      <c r="F551" s="65" t="s">
        <v>51</v>
      </c>
      <c r="G551" s="65" t="s">
        <v>25</v>
      </c>
      <c r="H551" s="65" t="s">
        <v>25</v>
      </c>
      <c r="I551" s="75">
        <v>44621</v>
      </c>
      <c r="J551" s="76">
        <f>EFEITO!$J$551*EFEITO!$Y$401</f>
        <v>0</v>
      </c>
      <c r="K551" s="76">
        <f ca="1">EFEITO!$L$551*EFEITO!$Z$401</f>
        <v>69.214899074928113</v>
      </c>
      <c r="L551" s="76">
        <f>EFEITO!$N$551*EFEITO!$AA$401</f>
        <v>30.468115888872052</v>
      </c>
      <c r="M551" s="76">
        <f>$J$551-EFEITO!$K$551*EFEITO!$Y$551</f>
        <v>0</v>
      </c>
      <c r="N551" s="76">
        <f ca="1">$K$551-EFEITO!$M$551*EFEITO!$Z$551</f>
        <v>4.1528939444956876</v>
      </c>
      <c r="O551" s="76">
        <f>$L$551-EFEITO!$O$551*EFEITO!$AA$551</f>
        <v>1.8280869533323241</v>
      </c>
      <c r="P551" s="19"/>
      <c r="Q551" s="19"/>
      <c r="R551" s="19"/>
      <c r="S551" s="19"/>
      <c r="T551" s="19"/>
      <c r="U551" s="19"/>
      <c r="V551" s="19"/>
      <c r="W551" s="19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65" t="s">
        <v>21</v>
      </c>
      <c r="B552" s="65" t="s">
        <v>40</v>
      </c>
      <c r="C552" s="65" t="s">
        <v>23</v>
      </c>
      <c r="D552" s="65" t="s">
        <v>41</v>
      </c>
      <c r="E552" s="65" t="s">
        <v>53</v>
      </c>
      <c r="F552" s="65" t="s">
        <v>52</v>
      </c>
      <c r="G552" s="65" t="s">
        <v>25</v>
      </c>
      <c r="H552" s="65" t="s">
        <v>25</v>
      </c>
      <c r="I552" s="75">
        <v>44287</v>
      </c>
      <c r="J552" s="76">
        <f>EFEITO!$J$552*EFEITO!$Y$401</f>
        <v>0</v>
      </c>
      <c r="K552" s="76">
        <f ca="1">EFEITO!$L$552*EFEITO!$Z$401</f>
        <v>533.94350714944551</v>
      </c>
      <c r="L552" s="76">
        <f>EFEITO!$N$552*EFEITO!$AA$401</f>
        <v>235.03975114272725</v>
      </c>
      <c r="M552" s="76">
        <f>$J$552-EFEITO!$K$552*EFEITO!$Y$552</f>
        <v>0</v>
      </c>
      <c r="N552" s="76">
        <f ca="1">$K$552-EFEITO!$M$552*EFEITO!$Z$552</f>
        <v>333.18074846125404</v>
      </c>
      <c r="O552" s="76">
        <f>$L$552-EFEITO!$O$552*EFEITO!$AA$552</f>
        <v>146.66480471306181</v>
      </c>
      <c r="P552" s="19"/>
      <c r="Q552" s="19"/>
      <c r="R552" s="19"/>
      <c r="S552" s="19"/>
      <c r="T552" s="19"/>
      <c r="U552" s="19"/>
      <c r="V552" s="19"/>
      <c r="W552" s="19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65" t="s">
        <v>21</v>
      </c>
      <c r="B553" s="65" t="s">
        <v>40</v>
      </c>
      <c r="C553" s="65" t="s">
        <v>23</v>
      </c>
      <c r="D553" s="65" t="s">
        <v>41</v>
      </c>
      <c r="E553" s="65" t="s">
        <v>53</v>
      </c>
      <c r="F553" s="65" t="s">
        <v>52</v>
      </c>
      <c r="G553" s="65" t="s">
        <v>25</v>
      </c>
      <c r="H553" s="65" t="s">
        <v>25</v>
      </c>
      <c r="I553" s="75">
        <v>44317</v>
      </c>
      <c r="J553" s="76">
        <f>EFEITO!$J$553*EFEITO!$Y$401</f>
        <v>0</v>
      </c>
      <c r="K553" s="76">
        <f ca="1">EFEITO!$L$553*EFEITO!$Z$401</f>
        <v>504.27997897447625</v>
      </c>
      <c r="L553" s="76">
        <f>EFEITO!$N$553*EFEITO!$AA$401</f>
        <v>221.98198719035349</v>
      </c>
      <c r="M553" s="76">
        <f>$J$553-EFEITO!$K$553*EFEITO!$Y$553</f>
        <v>0</v>
      </c>
      <c r="N553" s="76">
        <f ca="1">$K$553-EFEITO!$M$553*EFEITO!$Z$553</f>
        <v>314.67070688007323</v>
      </c>
      <c r="O553" s="76">
        <f>$L$553-EFEITO!$O$553*EFEITO!$AA$553</f>
        <v>138.5167600067806</v>
      </c>
      <c r="P553" s="19"/>
      <c r="Q553" s="19"/>
      <c r="R553" s="19"/>
      <c r="S553" s="19"/>
      <c r="T553" s="19"/>
      <c r="U553" s="19"/>
      <c r="V553" s="19"/>
      <c r="W553" s="19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65" t="s">
        <v>21</v>
      </c>
      <c r="B554" s="65" t="s">
        <v>40</v>
      </c>
      <c r="C554" s="65" t="s">
        <v>23</v>
      </c>
      <c r="D554" s="65" t="s">
        <v>41</v>
      </c>
      <c r="E554" s="65" t="s">
        <v>53</v>
      </c>
      <c r="F554" s="65" t="s">
        <v>52</v>
      </c>
      <c r="G554" s="65" t="s">
        <v>25</v>
      </c>
      <c r="H554" s="65" t="s">
        <v>25</v>
      </c>
      <c r="I554" s="75">
        <v>44348</v>
      </c>
      <c r="J554" s="76">
        <f>EFEITO!$J$554*EFEITO!$Y$401</f>
        <v>0</v>
      </c>
      <c r="K554" s="76">
        <f ca="1">EFEITO!$L$554*EFEITO!$Z$401</f>
        <v>405.40155172457889</v>
      </c>
      <c r="L554" s="76">
        <f>EFEITO!$N$554*EFEITO!$AA$401</f>
        <v>178.4561073491077</v>
      </c>
      <c r="M554" s="76">
        <f>$J$554-EFEITO!$K$554*EFEITO!$Y$554</f>
        <v>0</v>
      </c>
      <c r="N554" s="76">
        <f ca="1">$K$554-EFEITO!$M$554*EFEITO!$Z$554</f>
        <v>252.97056827613721</v>
      </c>
      <c r="O554" s="76">
        <f>$L$554-EFEITO!$O$554*EFEITO!$AA$554</f>
        <v>111.35661098584319</v>
      </c>
      <c r="P554" s="19"/>
      <c r="Q554" s="19"/>
      <c r="R554" s="19"/>
      <c r="S554" s="19"/>
      <c r="T554" s="19"/>
      <c r="U554" s="19"/>
      <c r="V554" s="19"/>
      <c r="W554" s="19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65" t="s">
        <v>21</v>
      </c>
      <c r="B555" s="65" t="s">
        <v>40</v>
      </c>
      <c r="C555" s="65" t="s">
        <v>23</v>
      </c>
      <c r="D555" s="65" t="s">
        <v>41</v>
      </c>
      <c r="E555" s="65" t="s">
        <v>53</v>
      </c>
      <c r="F555" s="65" t="s">
        <v>52</v>
      </c>
      <c r="G555" s="65" t="s">
        <v>25</v>
      </c>
      <c r="H555" s="65" t="s">
        <v>25</v>
      </c>
      <c r="I555" s="75">
        <v>44378</v>
      </c>
      <c r="J555" s="76">
        <f>EFEITO!$J$555*EFEITO!$Y$401</f>
        <v>0</v>
      </c>
      <c r="K555" s="76">
        <f ca="1">EFEITO!$L$555*EFEITO!$Z$401</f>
        <v>425.1772371745584</v>
      </c>
      <c r="L555" s="76">
        <f>EFEITO!$N$555*EFEITO!$AA$401</f>
        <v>187.16128331735686</v>
      </c>
      <c r="M555" s="76">
        <f>$J$555-EFEITO!$K$555*EFEITO!$Y$555</f>
        <v>0</v>
      </c>
      <c r="N555" s="76">
        <f ca="1">$K$555-EFEITO!$M$555*EFEITO!$Z$555</f>
        <v>265.31059599692446</v>
      </c>
      <c r="O555" s="76">
        <f>$L$555-EFEITO!$O$555*EFEITO!$AA$555</f>
        <v>116.78864079003068</v>
      </c>
      <c r="P555" s="19"/>
      <c r="Q555" s="19"/>
      <c r="R555" s="19"/>
      <c r="S555" s="19"/>
      <c r="T555" s="19"/>
      <c r="U555" s="19"/>
      <c r="V555" s="19"/>
      <c r="W555" s="19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65" t="s">
        <v>21</v>
      </c>
      <c r="B556" s="65" t="s">
        <v>40</v>
      </c>
      <c r="C556" s="65" t="s">
        <v>23</v>
      </c>
      <c r="D556" s="65" t="s">
        <v>41</v>
      </c>
      <c r="E556" s="65" t="s">
        <v>53</v>
      </c>
      <c r="F556" s="65" t="s">
        <v>52</v>
      </c>
      <c r="G556" s="65" t="s">
        <v>25</v>
      </c>
      <c r="H556" s="65" t="s">
        <v>25</v>
      </c>
      <c r="I556" s="75">
        <v>44409</v>
      </c>
      <c r="J556" s="76">
        <f>EFEITO!$J$556*EFEITO!$Y$401</f>
        <v>0</v>
      </c>
      <c r="K556" s="76">
        <f ca="1">EFEITO!$L$556*EFEITO!$Z$401</f>
        <v>504.27997897447625</v>
      </c>
      <c r="L556" s="76">
        <f>EFEITO!$N$556*EFEITO!$AA$401</f>
        <v>221.98198719035349</v>
      </c>
      <c r="M556" s="76">
        <f>$J$556-EFEITO!$K$556*EFEITO!$Y$556</f>
        <v>0</v>
      </c>
      <c r="N556" s="76">
        <f ca="1">$K$556-EFEITO!$M$556*EFEITO!$Z$556</f>
        <v>314.67070688007323</v>
      </c>
      <c r="O556" s="76">
        <f>$L$556-EFEITO!$O$556*EFEITO!$AA$556</f>
        <v>138.5167600067806</v>
      </c>
      <c r="P556" s="19"/>
      <c r="Q556" s="19"/>
      <c r="R556" s="19"/>
      <c r="S556" s="19"/>
      <c r="T556" s="19"/>
      <c r="U556" s="19"/>
      <c r="V556" s="19"/>
      <c r="W556" s="19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65" t="s">
        <v>21</v>
      </c>
      <c r="B557" s="65" t="s">
        <v>40</v>
      </c>
      <c r="C557" s="65" t="s">
        <v>23</v>
      </c>
      <c r="D557" s="65" t="s">
        <v>41</v>
      </c>
      <c r="E557" s="65" t="s">
        <v>53</v>
      </c>
      <c r="F557" s="65" t="s">
        <v>52</v>
      </c>
      <c r="G557" s="65" t="s">
        <v>25</v>
      </c>
      <c r="H557" s="65" t="s">
        <v>25</v>
      </c>
      <c r="I557" s="75">
        <v>44440</v>
      </c>
      <c r="J557" s="76">
        <f>EFEITO!$J$557*EFEITO!$Y$401</f>
        <v>0</v>
      </c>
      <c r="K557" s="76">
        <f ca="1">EFEITO!$L$557*EFEITO!$Z$401</f>
        <v>454.8407653495276</v>
      </c>
      <c r="L557" s="76">
        <f>EFEITO!$N$557*EFEITO!$AA$401</f>
        <v>200.21904726973062</v>
      </c>
      <c r="M557" s="76">
        <f>$J$557-EFEITO!$K$557*EFEITO!$Y$557</f>
        <v>0</v>
      </c>
      <c r="N557" s="76">
        <f ca="1">$K$557-EFEITO!$M$557*EFEITO!$Z$557</f>
        <v>283.82063757810522</v>
      </c>
      <c r="O557" s="76">
        <f>$L$557-EFEITO!$O$557*EFEITO!$AA$557</f>
        <v>124.93668549631191</v>
      </c>
      <c r="P557" s="19"/>
      <c r="Q557" s="19"/>
      <c r="R557" s="19"/>
      <c r="S557" s="19"/>
      <c r="T557" s="19"/>
      <c r="U557" s="19"/>
      <c r="V557" s="19"/>
      <c r="W557" s="19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65" t="s">
        <v>21</v>
      </c>
      <c r="B558" s="65" t="s">
        <v>40</v>
      </c>
      <c r="C558" s="65" t="s">
        <v>23</v>
      </c>
      <c r="D558" s="65" t="s">
        <v>41</v>
      </c>
      <c r="E558" s="65" t="s">
        <v>53</v>
      </c>
      <c r="F558" s="65" t="s">
        <v>52</v>
      </c>
      <c r="G558" s="65" t="s">
        <v>25</v>
      </c>
      <c r="H558" s="65" t="s">
        <v>25</v>
      </c>
      <c r="I558" s="75">
        <v>44470</v>
      </c>
      <c r="J558" s="76">
        <f>EFEITO!$J$558*EFEITO!$Y$401</f>
        <v>0</v>
      </c>
      <c r="K558" s="76">
        <f ca="1">EFEITO!$L$558*EFEITO!$Z$401</f>
        <v>19.775685449979459</v>
      </c>
      <c r="L558" s="76">
        <f>EFEITO!$N$558*EFEITO!$AA$401</f>
        <v>8.7051759682491578</v>
      </c>
      <c r="M558" s="76">
        <f>$J$558-EFEITO!$K$558*EFEITO!$Y$558</f>
        <v>0</v>
      </c>
      <c r="N558" s="76">
        <f ca="1">$K$558-EFEITO!$M$558*EFEITO!$Z$558</f>
        <v>12.340027720787182</v>
      </c>
      <c r="O558" s="76">
        <f>$L$558-EFEITO!$O$558*EFEITO!$AA$558</f>
        <v>5.4320298041874748</v>
      </c>
      <c r="P558" s="19"/>
      <c r="Q558" s="19"/>
      <c r="R558" s="19"/>
      <c r="S558" s="19"/>
      <c r="T558" s="19"/>
      <c r="U558" s="19"/>
      <c r="V558" s="19"/>
      <c r="W558" s="19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65" t="s">
        <v>21</v>
      </c>
      <c r="B559" s="65" t="s">
        <v>40</v>
      </c>
      <c r="C559" s="65" t="s">
        <v>23</v>
      </c>
      <c r="D559" s="65" t="s">
        <v>41</v>
      </c>
      <c r="E559" s="65" t="s">
        <v>53</v>
      </c>
      <c r="F559" s="65" t="s">
        <v>52</v>
      </c>
      <c r="G559" s="65" t="s">
        <v>25</v>
      </c>
      <c r="H559" s="65" t="s">
        <v>25</v>
      </c>
      <c r="I559" s="75">
        <v>44501</v>
      </c>
      <c r="J559" s="76">
        <f>EFEITO!$J$559*EFEITO!$Y$401</f>
        <v>0</v>
      </c>
      <c r="K559" s="76">
        <f ca="1">EFEITO!$L$559*EFEITO!$Z$401</f>
        <v>19.775685449979459</v>
      </c>
      <c r="L559" s="76">
        <f>EFEITO!$N$559*EFEITO!$AA$401</f>
        <v>8.7051759682491578</v>
      </c>
      <c r="M559" s="76">
        <f>$J$559-EFEITO!$K$559*EFEITO!$Y$559</f>
        <v>0</v>
      </c>
      <c r="N559" s="76">
        <f ca="1">$K$559-EFEITO!$M$559*EFEITO!$Z$559</f>
        <v>12.340027720787182</v>
      </c>
      <c r="O559" s="76">
        <f>$L$559-EFEITO!$O$559*EFEITO!$AA$559</f>
        <v>5.4320298041874748</v>
      </c>
      <c r="P559" s="19"/>
      <c r="Q559" s="19"/>
      <c r="R559" s="19"/>
      <c r="S559" s="19"/>
      <c r="T559" s="19"/>
      <c r="U559" s="19"/>
      <c r="V559" s="19"/>
      <c r="W559" s="19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65" t="s">
        <v>21</v>
      </c>
      <c r="B560" s="65" t="s">
        <v>40</v>
      </c>
      <c r="C560" s="65" t="s">
        <v>23</v>
      </c>
      <c r="D560" s="65" t="s">
        <v>41</v>
      </c>
      <c r="E560" s="65" t="s">
        <v>53</v>
      </c>
      <c r="F560" s="65" t="s">
        <v>52</v>
      </c>
      <c r="G560" s="65" t="s">
        <v>25</v>
      </c>
      <c r="H560" s="65" t="s">
        <v>25</v>
      </c>
      <c r="I560" s="75">
        <v>44562</v>
      </c>
      <c r="J560" s="76">
        <f>EFEITO!$J$560*EFEITO!$Y$401</f>
        <v>0</v>
      </c>
      <c r="K560" s="76">
        <f ca="1">EFEITO!$L$560*EFEITO!$Z$401</f>
        <v>39.551370899958918</v>
      </c>
      <c r="L560" s="76">
        <f>EFEITO!$N$560*EFEITO!$AA$401</f>
        <v>17.410351936498316</v>
      </c>
      <c r="M560" s="76">
        <f>$J$560-EFEITO!$K$560*EFEITO!$Y$560</f>
        <v>0</v>
      </c>
      <c r="N560" s="76">
        <f ca="1">$K$560-EFEITO!$M$560*EFEITO!$Z$560</f>
        <v>24.680055441574364</v>
      </c>
      <c r="O560" s="76">
        <f>$L$560-EFEITO!$O$560*EFEITO!$AA$560</f>
        <v>10.86405960837495</v>
      </c>
      <c r="P560" s="19"/>
      <c r="Q560" s="19"/>
      <c r="R560" s="19"/>
      <c r="S560" s="19"/>
      <c r="T560" s="19"/>
      <c r="U560" s="19"/>
      <c r="V560" s="19"/>
      <c r="W560" s="19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65" t="s">
        <v>21</v>
      </c>
      <c r="B561" s="65" t="s">
        <v>40</v>
      </c>
      <c r="C561" s="65" t="s">
        <v>23</v>
      </c>
      <c r="D561" s="65" t="s">
        <v>41</v>
      </c>
      <c r="E561" s="65" t="s">
        <v>53</v>
      </c>
      <c r="F561" s="65" t="s">
        <v>52</v>
      </c>
      <c r="G561" s="65" t="s">
        <v>25</v>
      </c>
      <c r="H561" s="65" t="s">
        <v>25</v>
      </c>
      <c r="I561" s="75">
        <v>44593</v>
      </c>
      <c r="J561" s="76">
        <f>EFEITO!$J$561*EFEITO!$Y$401</f>
        <v>0</v>
      </c>
      <c r="K561" s="76">
        <f ca="1">EFEITO!$L$561*EFEITO!$Z$401</f>
        <v>29.663528174969187</v>
      </c>
      <c r="L561" s="76">
        <f>EFEITO!$N$561*EFEITO!$AA$401</f>
        <v>13.057763952373735</v>
      </c>
      <c r="M561" s="76">
        <f>$J$561-EFEITO!$K$561*EFEITO!$Y$561</f>
        <v>0</v>
      </c>
      <c r="N561" s="76">
        <f ca="1">$K$561-EFEITO!$M$561*EFEITO!$Z$561</f>
        <v>18.510041581180772</v>
      </c>
      <c r="O561" s="76">
        <f>$L$561-EFEITO!$O$561*EFEITO!$AA$561</f>
        <v>8.14804470628121</v>
      </c>
      <c r="P561" s="19"/>
      <c r="Q561" s="19"/>
      <c r="R561" s="19"/>
      <c r="S561" s="19"/>
      <c r="T561" s="19"/>
      <c r="U561" s="19"/>
      <c r="V561" s="19"/>
      <c r="W561" s="19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65" t="s">
        <v>54</v>
      </c>
      <c r="B562" s="65" t="s">
        <v>40</v>
      </c>
      <c r="C562" s="65" t="s">
        <v>23</v>
      </c>
      <c r="D562" s="65" t="s">
        <v>41</v>
      </c>
      <c r="E562" s="65" t="s">
        <v>53</v>
      </c>
      <c r="F562" s="65" t="s">
        <v>52</v>
      </c>
      <c r="G562" s="65" t="s">
        <v>25</v>
      </c>
      <c r="H562" s="65" t="s">
        <v>25</v>
      </c>
      <c r="I562" s="75">
        <v>44621</v>
      </c>
      <c r="J562" s="76">
        <f>EFEITO!$J$562*EFEITO!$Y$401</f>
        <v>0</v>
      </c>
      <c r="K562" s="76">
        <f ca="1">EFEITO!$L$562*EFEITO!$Z$401</f>
        <v>29.663528174969187</v>
      </c>
      <c r="L562" s="76">
        <f>EFEITO!$N$562*EFEITO!$AA$401</f>
        <v>13.057763952373735</v>
      </c>
      <c r="M562" s="76">
        <f>$J$562-EFEITO!$K$562*EFEITO!$Y$562</f>
        <v>0</v>
      </c>
      <c r="N562" s="76">
        <f ca="1">$K$562-EFEITO!$M$562*EFEITO!$Z$562</f>
        <v>18.510041581180772</v>
      </c>
      <c r="O562" s="76">
        <f>$L$562-EFEITO!$O$562*EFEITO!$AA$562</f>
        <v>8.14804470628121</v>
      </c>
      <c r="P562" s="19"/>
      <c r="Q562" s="19"/>
      <c r="R562" s="19"/>
      <c r="S562" s="19"/>
      <c r="T562" s="19"/>
      <c r="U562" s="19"/>
      <c r="V562" s="19"/>
      <c r="W562" s="19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65" t="s">
        <v>21</v>
      </c>
      <c r="B563" s="65" t="s">
        <v>40</v>
      </c>
      <c r="C563" s="65" t="s">
        <v>23</v>
      </c>
      <c r="D563" s="65" t="s">
        <v>41</v>
      </c>
      <c r="E563" s="65" t="s">
        <v>25</v>
      </c>
      <c r="F563" s="65" t="s">
        <v>25</v>
      </c>
      <c r="G563" s="65" t="s">
        <v>25</v>
      </c>
      <c r="H563" s="65" t="s">
        <v>25</v>
      </c>
      <c r="I563" s="75">
        <v>44287</v>
      </c>
      <c r="J563" s="76">
        <f>EFEITO!$J$563*EFEITO!$Y$401</f>
        <v>0</v>
      </c>
      <c r="K563" s="76">
        <f ca="1">EFEITO!$L$563*EFEITO!$Z$401</f>
        <v>1259033.8459370299</v>
      </c>
      <c r="L563" s="76">
        <f>EFEITO!$N$563*EFEITO!$AA$401</f>
        <v>554221.55690055876</v>
      </c>
      <c r="M563" s="76">
        <f>$J$563-EFEITO!$K$563*EFEITO!$Y$563</f>
        <v>0</v>
      </c>
      <c r="N563" s="76">
        <f ca="1">$K$563-EFEITO!$M$563*EFEITO!$Z$563</f>
        <v>75542.030756221851</v>
      </c>
      <c r="O563" s="76">
        <f>$L$563-EFEITO!$O$563*EFEITO!$AA$563</f>
        <v>33253.293414033484</v>
      </c>
      <c r="P563" s="19"/>
      <c r="Q563" s="19"/>
      <c r="R563" s="19"/>
      <c r="S563" s="19"/>
      <c r="T563" s="19"/>
      <c r="U563" s="19"/>
      <c r="V563" s="19"/>
      <c r="W563" s="19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65" t="s">
        <v>27</v>
      </c>
      <c r="B564" s="65" t="s">
        <v>40</v>
      </c>
      <c r="C564" s="65" t="s">
        <v>23</v>
      </c>
      <c r="D564" s="65" t="s">
        <v>41</v>
      </c>
      <c r="E564" s="65" t="s">
        <v>25</v>
      </c>
      <c r="F564" s="65" t="s">
        <v>25</v>
      </c>
      <c r="G564" s="65" t="s">
        <v>25</v>
      </c>
      <c r="H564" s="65" t="s">
        <v>25</v>
      </c>
      <c r="I564" s="75">
        <v>44287</v>
      </c>
      <c r="J564" s="76">
        <f>EFEITO!$J$564*EFEITO!$Y$401</f>
        <v>0</v>
      </c>
      <c r="K564" s="76">
        <f ca="1">EFEITO!$L$564*EFEITO!$Z$401</f>
        <v>-1137.1019133738189</v>
      </c>
      <c r="L564" s="76">
        <f>EFEITO!$N$564*EFEITO!$AA$401</f>
        <v>-500.54761817432649</v>
      </c>
      <c r="M564" s="76">
        <f>$J$564-EFEITO!$K$564*EFEITO!$Y$564</f>
        <v>0</v>
      </c>
      <c r="N564" s="76">
        <f ca="1">$K$564-EFEITO!$M$564*EFEITO!$Z$564</f>
        <v>-68.226114802429265</v>
      </c>
      <c r="O564" s="76">
        <f>$L$564-EFEITO!$O$564*EFEITO!$AA$564</f>
        <v>-30.032857090459572</v>
      </c>
      <c r="P564" s="19"/>
      <c r="Q564" s="19"/>
      <c r="R564" s="19"/>
      <c r="S564" s="19"/>
      <c r="T564" s="19"/>
      <c r="U564" s="19"/>
      <c r="V564" s="19"/>
      <c r="W564" s="19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65" t="s">
        <v>28</v>
      </c>
      <c r="B565" s="65" t="s">
        <v>40</v>
      </c>
      <c r="C565" s="65" t="s">
        <v>23</v>
      </c>
      <c r="D565" s="65" t="s">
        <v>41</v>
      </c>
      <c r="E565" s="65" t="s">
        <v>25</v>
      </c>
      <c r="F565" s="65" t="s">
        <v>25</v>
      </c>
      <c r="G565" s="65" t="s">
        <v>25</v>
      </c>
      <c r="H565" s="65" t="s">
        <v>25</v>
      </c>
      <c r="I565" s="75">
        <v>44287</v>
      </c>
      <c r="J565" s="76">
        <f>EFEITO!$J$565*EFEITO!$Y$401</f>
        <v>0</v>
      </c>
      <c r="K565" s="76">
        <f ca="1">EFEITO!$L$565*EFEITO!$Z$401</f>
        <v>6602.1125874756426</v>
      </c>
      <c r="L565" s="76">
        <f>EFEITO!$N$565*EFEITO!$AA$401</f>
        <v>2906.2229969999808</v>
      </c>
      <c r="M565" s="76">
        <f>$J$565-EFEITO!$K$565*EFEITO!$Y$565</f>
        <v>0</v>
      </c>
      <c r="N565" s="76">
        <f ca="1">$K$565-EFEITO!$M$565*EFEITO!$Z$565</f>
        <v>396.12675524853876</v>
      </c>
      <c r="O565" s="76">
        <f>$L$565-EFEITO!$O$565*EFEITO!$AA$565</f>
        <v>174.37337981999872</v>
      </c>
      <c r="P565" s="19"/>
      <c r="Q565" s="19"/>
      <c r="R565" s="19"/>
      <c r="S565" s="19"/>
      <c r="T565" s="19"/>
      <c r="U565" s="19"/>
      <c r="V565" s="19"/>
      <c r="W565" s="19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65" t="s">
        <v>21</v>
      </c>
      <c r="B566" s="65" t="s">
        <v>40</v>
      </c>
      <c r="C566" s="65" t="s">
        <v>23</v>
      </c>
      <c r="D566" s="65" t="s">
        <v>41</v>
      </c>
      <c r="E566" s="65" t="s">
        <v>25</v>
      </c>
      <c r="F566" s="65" t="s">
        <v>25</v>
      </c>
      <c r="G566" s="65" t="s">
        <v>25</v>
      </c>
      <c r="H566" s="65" t="s">
        <v>25</v>
      </c>
      <c r="I566" s="75">
        <v>44317</v>
      </c>
      <c r="J566" s="76">
        <f>EFEITO!$J$566*EFEITO!$Y$401</f>
        <v>0</v>
      </c>
      <c r="K566" s="76">
        <f ca="1">EFEITO!$L$566*EFEITO!$Z$401</f>
        <v>1229706.5044147102</v>
      </c>
      <c r="L566" s="76">
        <f>EFEITO!$N$566*EFEITO!$AA$401</f>
        <v>541311.78093964525</v>
      </c>
      <c r="M566" s="76">
        <f>$J$566-EFEITO!$K$566*EFEITO!$Y$566</f>
        <v>0</v>
      </c>
      <c r="N566" s="76">
        <f ca="1">$K$566-EFEITO!$M$566*EFEITO!$Z$566</f>
        <v>73782.390264882706</v>
      </c>
      <c r="O566" s="76">
        <f>$L$566-EFEITO!$O$566*EFEITO!$AA$566</f>
        <v>32478.706856378703</v>
      </c>
      <c r="P566" s="19"/>
      <c r="Q566" s="19"/>
      <c r="R566" s="19"/>
      <c r="S566" s="19"/>
      <c r="T566" s="19"/>
      <c r="U566" s="19"/>
      <c r="V566" s="19"/>
      <c r="W566" s="19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65" t="s">
        <v>27</v>
      </c>
      <c r="B567" s="65" t="s">
        <v>40</v>
      </c>
      <c r="C567" s="65" t="s">
        <v>23</v>
      </c>
      <c r="D567" s="65" t="s">
        <v>41</v>
      </c>
      <c r="E567" s="65" t="s">
        <v>25</v>
      </c>
      <c r="F567" s="65" t="s">
        <v>25</v>
      </c>
      <c r="G567" s="65" t="s">
        <v>25</v>
      </c>
      <c r="H567" s="65" t="s">
        <v>25</v>
      </c>
      <c r="I567" s="75">
        <v>44317</v>
      </c>
      <c r="J567" s="76">
        <f>EFEITO!$J$567*EFEITO!$Y$401</f>
        <v>0</v>
      </c>
      <c r="K567" s="76">
        <f ca="1">EFEITO!$L$567*EFEITO!$Z$401</f>
        <v>-12312.836153293461</v>
      </c>
      <c r="L567" s="76">
        <f>EFEITO!$N$567*EFEITO!$AA$401</f>
        <v>-5420.0601872311317</v>
      </c>
      <c r="M567" s="76">
        <f>$J$567-EFEITO!$K$567*EFEITO!$Y$567</f>
        <v>0</v>
      </c>
      <c r="N567" s="76">
        <f ca="1">$K$567-EFEITO!$M$567*EFEITO!$Z$567</f>
        <v>-738.77016919760717</v>
      </c>
      <c r="O567" s="76">
        <f>$L$567-EFEITO!$O$567*EFEITO!$AA$567</f>
        <v>-325.20361123386829</v>
      </c>
      <c r="P567" s="19"/>
      <c r="Q567" s="19"/>
      <c r="R567" s="19"/>
      <c r="S567" s="19"/>
      <c r="T567" s="19"/>
      <c r="U567" s="19"/>
      <c r="V567" s="19"/>
      <c r="W567" s="19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65" t="s">
        <v>28</v>
      </c>
      <c r="B568" s="65" t="s">
        <v>40</v>
      </c>
      <c r="C568" s="65" t="s">
        <v>23</v>
      </c>
      <c r="D568" s="65" t="s">
        <v>41</v>
      </c>
      <c r="E568" s="65" t="s">
        <v>25</v>
      </c>
      <c r="F568" s="65" t="s">
        <v>25</v>
      </c>
      <c r="G568" s="65" t="s">
        <v>25</v>
      </c>
      <c r="H568" s="65" t="s">
        <v>25</v>
      </c>
      <c r="I568" s="75">
        <v>44317</v>
      </c>
      <c r="J568" s="76">
        <f>EFEITO!$J$568*EFEITO!$Y$401</f>
        <v>0</v>
      </c>
      <c r="K568" s="76">
        <f ca="1">EFEITO!$L$568*EFEITO!$Z$401</f>
        <v>4674.9720403751444</v>
      </c>
      <c r="L568" s="76">
        <f>EFEITO!$N$568*EFEITO!$AA$401</f>
        <v>2057.9035988941005</v>
      </c>
      <c r="M568" s="76">
        <f>$J$568-EFEITO!$K$568*EFEITO!$Y$568</f>
        <v>0</v>
      </c>
      <c r="N568" s="76">
        <f ca="1">$K$568-EFEITO!$M$568*EFEITO!$Z$568</f>
        <v>280.49832242250886</v>
      </c>
      <c r="O568" s="76">
        <f>$L$568-EFEITO!$O$568*EFEITO!$AA$568</f>
        <v>123.47421593364584</v>
      </c>
      <c r="P568" s="19"/>
      <c r="Q568" s="19"/>
      <c r="R568" s="19"/>
      <c r="S568" s="19"/>
      <c r="T568" s="19"/>
      <c r="U568" s="19"/>
      <c r="V568" s="19"/>
      <c r="W568" s="19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65" t="s">
        <v>21</v>
      </c>
      <c r="B569" s="65" t="s">
        <v>40</v>
      </c>
      <c r="C569" s="65" t="s">
        <v>23</v>
      </c>
      <c r="D569" s="65" t="s">
        <v>41</v>
      </c>
      <c r="E569" s="65" t="s">
        <v>25</v>
      </c>
      <c r="F569" s="65" t="s">
        <v>25</v>
      </c>
      <c r="G569" s="65" t="s">
        <v>25</v>
      </c>
      <c r="H569" s="65" t="s">
        <v>25</v>
      </c>
      <c r="I569" s="75">
        <v>44348</v>
      </c>
      <c r="J569" s="76">
        <f>EFEITO!$J$569*EFEITO!$Y$401</f>
        <v>0</v>
      </c>
      <c r="K569" s="76">
        <f ca="1">EFEITO!$L$569*EFEITO!$Z$401</f>
        <v>968452.39589571289</v>
      </c>
      <c r="L569" s="76">
        <f>EFEITO!$N$569*EFEITO!$AA$401</f>
        <v>426308.7893701017</v>
      </c>
      <c r="M569" s="76">
        <f>$J$569-EFEITO!$K$569*EFEITO!$Y$569</f>
        <v>0</v>
      </c>
      <c r="N569" s="76">
        <f ca="1">$K$569-EFEITO!$M$569*EFEITO!$Z$569</f>
        <v>58107.143753742799</v>
      </c>
      <c r="O569" s="76">
        <f>$L$569-EFEITO!$O$569*EFEITO!$AA$569</f>
        <v>25578.527362206136</v>
      </c>
      <c r="P569" s="19"/>
      <c r="Q569" s="19"/>
      <c r="R569" s="19"/>
      <c r="S569" s="19"/>
      <c r="T569" s="19"/>
      <c r="U569" s="19"/>
      <c r="V569" s="19"/>
      <c r="W569" s="19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65" t="s">
        <v>28</v>
      </c>
      <c r="B570" s="65" t="s">
        <v>40</v>
      </c>
      <c r="C570" s="65" t="s">
        <v>23</v>
      </c>
      <c r="D570" s="65" t="s">
        <v>41</v>
      </c>
      <c r="E570" s="65" t="s">
        <v>25</v>
      </c>
      <c r="F570" s="65" t="s">
        <v>25</v>
      </c>
      <c r="G570" s="65" t="s">
        <v>25</v>
      </c>
      <c r="H570" s="65" t="s">
        <v>25</v>
      </c>
      <c r="I570" s="75">
        <v>44348</v>
      </c>
      <c r="J570" s="76">
        <f>EFEITO!$J$570*EFEITO!$Y$401</f>
        <v>0</v>
      </c>
      <c r="K570" s="76">
        <f ca="1">EFEITO!$L$570*EFEITO!$Z$401</f>
        <v>8744.3137138446691</v>
      </c>
      <c r="L570" s="76">
        <f>EFEITO!$N$570*EFEITO!$AA$401</f>
        <v>3849.2111837605712</v>
      </c>
      <c r="M570" s="76">
        <f>$J$570-EFEITO!$K$570*EFEITO!$Y$570</f>
        <v>0</v>
      </c>
      <c r="N570" s="76">
        <f ca="1">$K$570-EFEITO!$M$570*EFEITO!$Z$570</f>
        <v>524.65882283068095</v>
      </c>
      <c r="O570" s="76">
        <f>$L$570-EFEITO!$O$570*EFEITO!$AA$570</f>
        <v>230.95267102563412</v>
      </c>
      <c r="P570" s="19"/>
      <c r="Q570" s="19"/>
      <c r="R570" s="19"/>
      <c r="S570" s="19"/>
      <c r="T570" s="19"/>
      <c r="U570" s="19"/>
      <c r="V570" s="19"/>
      <c r="W570" s="19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65" t="s">
        <v>28</v>
      </c>
      <c r="B571" s="65" t="s">
        <v>40</v>
      </c>
      <c r="C571" s="65" t="s">
        <v>23</v>
      </c>
      <c r="D571" s="65" t="s">
        <v>41</v>
      </c>
      <c r="E571" s="65" t="s">
        <v>25</v>
      </c>
      <c r="F571" s="65" t="s">
        <v>25</v>
      </c>
      <c r="G571" s="65" t="s">
        <v>25</v>
      </c>
      <c r="H571" s="65" t="s">
        <v>25</v>
      </c>
      <c r="I571" s="75">
        <v>44348</v>
      </c>
      <c r="J571" s="76">
        <f>EFEITO!$J$571*EFEITO!$Y$401</f>
        <v>0</v>
      </c>
      <c r="K571" s="76">
        <f ca="1">EFEITO!$L$571*EFEITO!$Z$401</f>
        <v>-1031.3019962164287</v>
      </c>
      <c r="L571" s="76">
        <f>EFEITO!$N$571*EFEITO!$AA$401</f>
        <v>-453.97492674419351</v>
      </c>
      <c r="M571" s="76">
        <f>$J$571-EFEITO!$K$571*EFEITO!$Y$571</f>
        <v>0</v>
      </c>
      <c r="N571" s="76">
        <f ca="1">$K$571-EFEITO!$M$571*EFEITO!$Z$571</f>
        <v>-61.878119772985769</v>
      </c>
      <c r="O571" s="76">
        <f>$L$571-EFEITO!$O$571*EFEITO!$AA$571</f>
        <v>-27.238495604651632</v>
      </c>
      <c r="P571" s="19"/>
      <c r="Q571" s="19"/>
      <c r="R571" s="19"/>
      <c r="S571" s="19"/>
      <c r="T571" s="19"/>
      <c r="U571" s="19"/>
      <c r="V571" s="19"/>
      <c r="W571" s="19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65" t="s">
        <v>21</v>
      </c>
      <c r="B572" s="65" t="s">
        <v>40</v>
      </c>
      <c r="C572" s="65" t="s">
        <v>23</v>
      </c>
      <c r="D572" s="65" t="s">
        <v>41</v>
      </c>
      <c r="E572" s="65" t="s">
        <v>25</v>
      </c>
      <c r="F572" s="65" t="s">
        <v>25</v>
      </c>
      <c r="G572" s="65" t="s">
        <v>25</v>
      </c>
      <c r="H572" s="65" t="s">
        <v>25</v>
      </c>
      <c r="I572" s="75">
        <v>44378</v>
      </c>
      <c r="J572" s="76">
        <f>EFEITO!$J$572*EFEITO!$Y$401</f>
        <v>0</v>
      </c>
      <c r="K572" s="76">
        <f ca="1">EFEITO!$L$572*EFEITO!$Z$401</f>
        <v>992321.1538417018</v>
      </c>
      <c r="L572" s="76">
        <f>EFEITO!$N$572*EFEITO!$AA$401</f>
        <v>436815.71913437924</v>
      </c>
      <c r="M572" s="76">
        <f>$J$572-EFEITO!$K$572*EFEITO!$Y$572</f>
        <v>0</v>
      </c>
      <c r="N572" s="76">
        <f ca="1">$K$572-EFEITO!$M$572*EFEITO!$Z$572</f>
        <v>59539.269230502076</v>
      </c>
      <c r="O572" s="76">
        <f>$L$572-EFEITO!$O$572*EFEITO!$AA$572</f>
        <v>26208.943148062797</v>
      </c>
      <c r="P572" s="19"/>
      <c r="Q572" s="19"/>
      <c r="R572" s="19"/>
      <c r="S572" s="19"/>
      <c r="T572" s="19"/>
      <c r="U572" s="19"/>
      <c r="V572" s="19"/>
      <c r="W572" s="19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65" t="s">
        <v>27</v>
      </c>
      <c r="B573" s="65" t="s">
        <v>40</v>
      </c>
      <c r="C573" s="65" t="s">
        <v>23</v>
      </c>
      <c r="D573" s="65" t="s">
        <v>41</v>
      </c>
      <c r="E573" s="65" t="s">
        <v>25</v>
      </c>
      <c r="F573" s="65" t="s">
        <v>25</v>
      </c>
      <c r="G573" s="65" t="s">
        <v>25</v>
      </c>
      <c r="H573" s="65" t="s">
        <v>25</v>
      </c>
      <c r="I573" s="75">
        <v>44378</v>
      </c>
      <c r="J573" s="76">
        <f>EFEITO!$J$573*EFEITO!$Y$401</f>
        <v>0</v>
      </c>
      <c r="K573" s="76">
        <f ca="1">EFEITO!$L$573*EFEITO!$Z$401</f>
        <v>-4657.1739234701627</v>
      </c>
      <c r="L573" s="76">
        <f>EFEITO!$N$573*EFEITO!$AA$401</f>
        <v>-2050.0689405226763</v>
      </c>
      <c r="M573" s="76">
        <f>$J$573-EFEITO!$K$573*EFEITO!$Y$573</f>
        <v>0</v>
      </c>
      <c r="N573" s="76">
        <f ca="1">$K$573-EFEITO!$M$573*EFEITO!$Z$573</f>
        <v>-279.43043540820963</v>
      </c>
      <c r="O573" s="76">
        <f>$L$573-EFEITO!$O$573*EFEITO!$AA$573</f>
        <v>-123.00413643136039</v>
      </c>
      <c r="P573" s="19"/>
      <c r="Q573" s="19"/>
      <c r="R573" s="19"/>
      <c r="S573" s="19"/>
      <c r="T573" s="19"/>
      <c r="U573" s="19"/>
      <c r="V573" s="19"/>
      <c r="W573" s="19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65" t="s">
        <v>28</v>
      </c>
      <c r="B574" s="65" t="s">
        <v>40</v>
      </c>
      <c r="C574" s="65" t="s">
        <v>23</v>
      </c>
      <c r="D574" s="65" t="s">
        <v>41</v>
      </c>
      <c r="E574" s="65" t="s">
        <v>25</v>
      </c>
      <c r="F574" s="65" t="s">
        <v>25</v>
      </c>
      <c r="G574" s="65" t="s">
        <v>25</v>
      </c>
      <c r="H574" s="65" t="s">
        <v>25</v>
      </c>
      <c r="I574" s="75">
        <v>44378</v>
      </c>
      <c r="J574" s="76">
        <f>EFEITO!$J$574*EFEITO!$Y$401</f>
        <v>0</v>
      </c>
      <c r="K574" s="76">
        <f ca="1">EFEITO!$L$574*EFEITO!$Z$401</f>
        <v>9290.1226322641014</v>
      </c>
      <c r="L574" s="76">
        <f>EFEITO!$N$574*EFEITO!$AA$401</f>
        <v>4089.4740404842478</v>
      </c>
      <c r="M574" s="76">
        <f>$J$574-EFEITO!$K$574*EFEITO!$Y$574</f>
        <v>0</v>
      </c>
      <c r="N574" s="76">
        <f ca="1">$K$574-EFEITO!$M$574*EFEITO!$Z$574</f>
        <v>557.40735793584645</v>
      </c>
      <c r="O574" s="76">
        <f>$L$574-EFEITO!$O$574*EFEITO!$AA$574</f>
        <v>245.36844242905499</v>
      </c>
      <c r="P574" s="19"/>
      <c r="Q574" s="19"/>
      <c r="R574" s="19"/>
      <c r="S574" s="19"/>
      <c r="T574" s="19"/>
      <c r="U574" s="19"/>
      <c r="V574" s="19"/>
      <c r="W574" s="19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65" t="s">
        <v>28</v>
      </c>
      <c r="B575" s="65" t="s">
        <v>40</v>
      </c>
      <c r="C575" s="65" t="s">
        <v>23</v>
      </c>
      <c r="D575" s="65" t="s">
        <v>41</v>
      </c>
      <c r="E575" s="65" t="s">
        <v>25</v>
      </c>
      <c r="F575" s="65" t="s">
        <v>25</v>
      </c>
      <c r="G575" s="65" t="s">
        <v>25</v>
      </c>
      <c r="H575" s="65" t="s">
        <v>25</v>
      </c>
      <c r="I575" s="75">
        <v>44378</v>
      </c>
      <c r="J575" s="76">
        <f>EFEITO!$J$575*EFEITO!$Y$401</f>
        <v>0</v>
      </c>
      <c r="K575" s="76">
        <f ca="1">EFEITO!$L$575*EFEITO!$Z$401</f>
        <v>9.3934505887402437</v>
      </c>
      <c r="L575" s="76">
        <f>EFEITO!$N$575*EFEITO!$AA$401</f>
        <v>4.1349585849183494</v>
      </c>
      <c r="M575" s="76">
        <f>$J$575-EFEITO!$K$575*EFEITO!$Y$575</f>
        <v>0</v>
      </c>
      <c r="N575" s="76">
        <f ca="1">$K$575-EFEITO!$M$575*EFEITO!$Z$575</f>
        <v>0.5636070353244147</v>
      </c>
      <c r="O575" s="76">
        <f>$L$575-EFEITO!$O$575*EFEITO!$AA$575</f>
        <v>0.24809751509510081</v>
      </c>
      <c r="P575" s="19"/>
      <c r="Q575" s="19"/>
      <c r="R575" s="19"/>
      <c r="S575" s="19"/>
      <c r="T575" s="19"/>
      <c r="U575" s="19"/>
      <c r="V575" s="19"/>
      <c r="W575" s="19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65" t="s">
        <v>21</v>
      </c>
      <c r="B576" s="65" t="s">
        <v>40</v>
      </c>
      <c r="C576" s="65" t="s">
        <v>23</v>
      </c>
      <c r="D576" s="65" t="s">
        <v>41</v>
      </c>
      <c r="E576" s="65" t="s">
        <v>25</v>
      </c>
      <c r="F576" s="65" t="s">
        <v>25</v>
      </c>
      <c r="G576" s="65" t="s">
        <v>25</v>
      </c>
      <c r="H576" s="65" t="s">
        <v>25</v>
      </c>
      <c r="I576" s="75">
        <v>44409</v>
      </c>
      <c r="J576" s="76">
        <f>EFEITO!$J$576*EFEITO!$Y$401</f>
        <v>0</v>
      </c>
      <c r="K576" s="76">
        <f ca="1">EFEITO!$L$576*EFEITO!$Z$401</f>
        <v>1157096.6145401571</v>
      </c>
      <c r="L576" s="76">
        <f>EFEITO!$N$576*EFEITO!$AA$401</f>
        <v>509349.2039664241</v>
      </c>
      <c r="M576" s="76">
        <f>$J$576-EFEITO!$K$576*EFEITO!$Y$576</f>
        <v>0</v>
      </c>
      <c r="N576" s="76">
        <f ca="1">$K$576-EFEITO!$M$576*EFEITO!$Z$576</f>
        <v>69425.796872409526</v>
      </c>
      <c r="O576" s="76">
        <f>$L$576-EFEITO!$O$576*EFEITO!$AA$576</f>
        <v>30560.952237985446</v>
      </c>
      <c r="P576" s="19"/>
      <c r="Q576" s="19"/>
      <c r="R576" s="19"/>
      <c r="S576" s="19"/>
      <c r="T576" s="19"/>
      <c r="U576" s="19"/>
      <c r="V576" s="19"/>
      <c r="W576" s="19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65" t="s">
        <v>27</v>
      </c>
      <c r="B577" s="65" t="s">
        <v>40</v>
      </c>
      <c r="C577" s="65" t="s">
        <v>23</v>
      </c>
      <c r="D577" s="65" t="s">
        <v>41</v>
      </c>
      <c r="E577" s="65" t="s">
        <v>25</v>
      </c>
      <c r="F577" s="65" t="s">
        <v>25</v>
      </c>
      <c r="G577" s="65" t="s">
        <v>25</v>
      </c>
      <c r="H577" s="65" t="s">
        <v>25</v>
      </c>
      <c r="I577" s="75">
        <v>44409</v>
      </c>
      <c r="J577" s="76">
        <f>EFEITO!$J$577*EFEITO!$Y$401</f>
        <v>0</v>
      </c>
      <c r="K577" s="76">
        <f ca="1">EFEITO!$L$577*EFEITO!$Z$401</f>
        <v>2600.5026366722986</v>
      </c>
      <c r="L577" s="76">
        <f>EFEITO!$N$577*EFEITO!$AA$401</f>
        <v>1144.730639824764</v>
      </c>
      <c r="M577" s="76">
        <f>$J$577-EFEITO!$K$577*EFEITO!$Y$577</f>
        <v>0</v>
      </c>
      <c r="N577" s="76">
        <f ca="1">$K$577-EFEITO!$M$577*EFEITO!$Z$577</f>
        <v>156.03015820033761</v>
      </c>
      <c r="O577" s="76">
        <f>$L$577-EFEITO!$O$577*EFEITO!$AA$577</f>
        <v>68.6838383894858</v>
      </c>
      <c r="P577" s="19"/>
      <c r="Q577" s="19"/>
      <c r="R577" s="19"/>
      <c r="S577" s="19"/>
      <c r="T577" s="19"/>
      <c r="U577" s="19"/>
      <c r="V577" s="19"/>
      <c r="W577" s="19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65" t="s">
        <v>28</v>
      </c>
      <c r="B578" s="65" t="s">
        <v>40</v>
      </c>
      <c r="C578" s="65" t="s">
        <v>23</v>
      </c>
      <c r="D578" s="65" t="s">
        <v>41</v>
      </c>
      <c r="E578" s="65" t="s">
        <v>25</v>
      </c>
      <c r="F578" s="65" t="s">
        <v>25</v>
      </c>
      <c r="G578" s="65" t="s">
        <v>25</v>
      </c>
      <c r="H578" s="65" t="s">
        <v>25</v>
      </c>
      <c r="I578" s="75">
        <v>44409</v>
      </c>
      <c r="J578" s="76">
        <f>EFEITO!$J$578*EFEITO!$Y$401</f>
        <v>0</v>
      </c>
      <c r="K578" s="76">
        <f ca="1">EFEITO!$L$578*EFEITO!$Z$401</f>
        <v>7318.4867929011489</v>
      </c>
      <c r="L578" s="76">
        <f>EFEITO!$N$578*EFEITO!$AA$401</f>
        <v>3221.5679964498067</v>
      </c>
      <c r="M578" s="76">
        <f>$J$578-EFEITO!$K$578*EFEITO!$Y$578</f>
        <v>0</v>
      </c>
      <c r="N578" s="76">
        <f ca="1">$K$578-EFEITO!$M$578*EFEITO!$Z$578</f>
        <v>439.10920757406893</v>
      </c>
      <c r="O578" s="76">
        <f>$L$578-EFEITO!$O$578*EFEITO!$AA$578</f>
        <v>193.29407978698828</v>
      </c>
      <c r="P578" s="19"/>
      <c r="Q578" s="19"/>
      <c r="R578" s="19"/>
      <c r="S578" s="19"/>
      <c r="T578" s="19"/>
      <c r="U578" s="19"/>
      <c r="V578" s="19"/>
      <c r="W578" s="19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65" t="s">
        <v>21</v>
      </c>
      <c r="B579" s="65" t="s">
        <v>40</v>
      </c>
      <c r="C579" s="65" t="s">
        <v>23</v>
      </c>
      <c r="D579" s="65" t="s">
        <v>41</v>
      </c>
      <c r="E579" s="65" t="s">
        <v>25</v>
      </c>
      <c r="F579" s="65" t="s">
        <v>25</v>
      </c>
      <c r="G579" s="65" t="s">
        <v>25</v>
      </c>
      <c r="H579" s="65" t="s">
        <v>25</v>
      </c>
      <c r="I579" s="75">
        <v>44440</v>
      </c>
      <c r="J579" s="76">
        <f>EFEITO!$J$579*EFEITO!$Y$401</f>
        <v>0</v>
      </c>
      <c r="K579" s="76">
        <f ca="1">EFEITO!$L$579*EFEITO!$Z$401</f>
        <v>1241078.5123327209</v>
      </c>
      <c r="L579" s="76">
        <f>EFEITO!$N$579*EFEITO!$AA$401</f>
        <v>546317.69238018687</v>
      </c>
      <c r="M579" s="76">
        <f>$J$579-EFEITO!$K$579*EFEITO!$Y$579</f>
        <v>0</v>
      </c>
      <c r="N579" s="76">
        <f ca="1">$K$579-EFEITO!$M$579*EFEITO!$Z$579</f>
        <v>74464.710739963222</v>
      </c>
      <c r="O579" s="76">
        <f>$L$579-EFEITO!$O$579*EFEITO!$AA$579</f>
        <v>32779.061542811163</v>
      </c>
      <c r="P579" s="19"/>
      <c r="Q579" s="19"/>
      <c r="R579" s="19"/>
      <c r="S579" s="19"/>
      <c r="T579" s="19"/>
      <c r="U579" s="19"/>
      <c r="V579" s="19"/>
      <c r="W579" s="19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65" t="s">
        <v>27</v>
      </c>
      <c r="B580" s="65" t="s">
        <v>40</v>
      </c>
      <c r="C580" s="65" t="s">
        <v>23</v>
      </c>
      <c r="D580" s="65" t="s">
        <v>41</v>
      </c>
      <c r="E580" s="65" t="s">
        <v>25</v>
      </c>
      <c r="F580" s="65" t="s">
        <v>25</v>
      </c>
      <c r="G580" s="65" t="s">
        <v>25</v>
      </c>
      <c r="H580" s="65" t="s">
        <v>25</v>
      </c>
      <c r="I580" s="75">
        <v>44440</v>
      </c>
      <c r="J580" s="76">
        <f>EFEITO!$J$580*EFEITO!$Y$401</f>
        <v>0</v>
      </c>
      <c r="K580" s="76">
        <f ca="1">EFEITO!$L$580*EFEITO!$Z$401</f>
        <v>-75.14760470992195</v>
      </c>
      <c r="L580" s="76">
        <f>EFEITO!$N$580*EFEITO!$AA$401</f>
        <v>-33.079668679346796</v>
      </c>
      <c r="M580" s="76">
        <f>$J$580-EFEITO!$K$580*EFEITO!$Y$580</f>
        <v>0</v>
      </c>
      <c r="N580" s="76">
        <f ca="1">$K$580-EFEITO!$M$580*EFEITO!$Z$580</f>
        <v>-4.5088562825953176</v>
      </c>
      <c r="O580" s="76">
        <f>$L$580-EFEITO!$O$580*EFEITO!$AA$580</f>
        <v>-1.9847801207608065</v>
      </c>
      <c r="P580" s="19"/>
      <c r="Q580" s="19"/>
      <c r="R580" s="19"/>
      <c r="S580" s="19"/>
      <c r="T580" s="19"/>
      <c r="U580" s="19"/>
      <c r="V580" s="19"/>
      <c r="W580" s="19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65" t="s">
        <v>28</v>
      </c>
      <c r="B581" s="65" t="s">
        <v>40</v>
      </c>
      <c r="C581" s="65" t="s">
        <v>23</v>
      </c>
      <c r="D581" s="65" t="s">
        <v>41</v>
      </c>
      <c r="E581" s="65" t="s">
        <v>25</v>
      </c>
      <c r="F581" s="65" t="s">
        <v>25</v>
      </c>
      <c r="G581" s="65" t="s">
        <v>25</v>
      </c>
      <c r="H581" s="65" t="s">
        <v>25</v>
      </c>
      <c r="I581" s="75">
        <v>44440</v>
      </c>
      <c r="J581" s="76">
        <f>EFEITO!$J$581*EFEITO!$Y$401</f>
        <v>0</v>
      </c>
      <c r="K581" s="76">
        <f ca="1">EFEITO!$L$581*EFEITO!$Z$401</f>
        <v>26770.345393637195</v>
      </c>
      <c r="L581" s="76">
        <f>EFEITO!$N$581*EFEITO!$AA$401</f>
        <v>11784.196708218884</v>
      </c>
      <c r="M581" s="76">
        <f>$J$581-EFEITO!$K$581*EFEITO!$Y$581</f>
        <v>0</v>
      </c>
      <c r="N581" s="76">
        <f ca="1">$K$581-EFEITO!$M$581*EFEITO!$Z$581</f>
        <v>1606.2207236182294</v>
      </c>
      <c r="O581" s="76">
        <f>$L$581-EFEITO!$O$581*EFEITO!$AA$581</f>
        <v>707.05180249313162</v>
      </c>
      <c r="P581" s="19"/>
      <c r="Q581" s="19"/>
      <c r="R581" s="19"/>
      <c r="S581" s="19"/>
      <c r="T581" s="19"/>
      <c r="U581" s="19"/>
      <c r="V581" s="19"/>
      <c r="W581" s="19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65" t="s">
        <v>21</v>
      </c>
      <c r="B582" s="65" t="s">
        <v>40</v>
      </c>
      <c r="C582" s="65" t="s">
        <v>23</v>
      </c>
      <c r="D582" s="65" t="s">
        <v>41</v>
      </c>
      <c r="E582" s="65" t="s">
        <v>25</v>
      </c>
      <c r="F582" s="65" t="s">
        <v>25</v>
      </c>
      <c r="G582" s="65" t="s">
        <v>25</v>
      </c>
      <c r="H582" s="65" t="s">
        <v>25</v>
      </c>
      <c r="I582" s="75">
        <v>44470</v>
      </c>
      <c r="J582" s="76">
        <f>EFEITO!$J$582*EFEITO!$Y$401</f>
        <v>0</v>
      </c>
      <c r="K582" s="76">
        <f ca="1">EFEITO!$L$582*EFEITO!$Z$401</f>
        <v>1065300.8490341697</v>
      </c>
      <c r="L582" s="76">
        <f>EFEITO!$N$582*EFEITO!$AA$401</f>
        <v>468941.08289820666</v>
      </c>
      <c r="M582" s="76">
        <f>$J$582-EFEITO!$K$582*EFEITO!$Y$582</f>
        <v>0</v>
      </c>
      <c r="N582" s="76">
        <f ca="1">$K$582-EFEITO!$M$582*EFEITO!$Z$582</f>
        <v>63918.050942050177</v>
      </c>
      <c r="O582" s="76">
        <f>$L$582-EFEITO!$O$582*EFEITO!$AA$582</f>
        <v>28136.464973892435</v>
      </c>
      <c r="P582" s="19"/>
      <c r="Q582" s="19"/>
      <c r="R582" s="19"/>
      <c r="S582" s="19"/>
      <c r="T582" s="19"/>
      <c r="U582" s="19"/>
      <c r="V582" s="19"/>
      <c r="W582" s="19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65" t="s">
        <v>27</v>
      </c>
      <c r="B583" s="65" t="s">
        <v>40</v>
      </c>
      <c r="C583" s="65" t="s">
        <v>23</v>
      </c>
      <c r="D583" s="65" t="s">
        <v>41</v>
      </c>
      <c r="E583" s="65" t="s">
        <v>25</v>
      </c>
      <c r="F583" s="65" t="s">
        <v>25</v>
      </c>
      <c r="G583" s="65" t="s">
        <v>25</v>
      </c>
      <c r="H583" s="65" t="s">
        <v>25</v>
      </c>
      <c r="I583" s="75">
        <v>44470</v>
      </c>
      <c r="J583" s="76">
        <f>EFEITO!$J$583*EFEITO!$Y$401</f>
        <v>0</v>
      </c>
      <c r="K583" s="76">
        <f ca="1">EFEITO!$L$583*EFEITO!$Z$401</f>
        <v>-4869.2681499211922</v>
      </c>
      <c r="L583" s="76">
        <f>EFEITO!$N$583*EFEITO!$AA$401</f>
        <v>-2143.4319527821485</v>
      </c>
      <c r="M583" s="76">
        <f>$J$583-EFEITO!$K$583*EFEITO!$Y$583</f>
        <v>0</v>
      </c>
      <c r="N583" s="76">
        <f ca="1">$K$583-EFEITO!$M$583*EFEITO!$Z$583</f>
        <v>-292.1560889952716</v>
      </c>
      <c r="O583" s="76">
        <f>$L$583-EFEITO!$O$583*EFEITO!$AA$583</f>
        <v>-128.60591716692875</v>
      </c>
      <c r="P583" s="19"/>
      <c r="Q583" s="19"/>
      <c r="R583" s="19"/>
      <c r="S583" s="19"/>
      <c r="T583" s="19"/>
      <c r="U583" s="19"/>
      <c r="V583" s="19"/>
      <c r="W583" s="19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65" t="s">
        <v>28</v>
      </c>
      <c r="B584" s="65" t="s">
        <v>40</v>
      </c>
      <c r="C584" s="65" t="s">
        <v>23</v>
      </c>
      <c r="D584" s="65" t="s">
        <v>41</v>
      </c>
      <c r="E584" s="65" t="s">
        <v>25</v>
      </c>
      <c r="F584" s="65" t="s">
        <v>25</v>
      </c>
      <c r="G584" s="65" t="s">
        <v>25</v>
      </c>
      <c r="H584" s="65" t="s">
        <v>25</v>
      </c>
      <c r="I584" s="75">
        <v>44470</v>
      </c>
      <c r="J584" s="76">
        <f>EFEITO!$J$584*EFEITO!$Y$401</f>
        <v>0</v>
      </c>
      <c r="K584" s="76">
        <f ca="1">EFEITO!$L$584*EFEITO!$Z$401</f>
        <v>44080.991652276716</v>
      </c>
      <c r="L584" s="76">
        <f>EFEITO!$N$584*EFEITO!$AA$401</f>
        <v>19404.272492025786</v>
      </c>
      <c r="M584" s="76">
        <f>$J$584-EFEITO!$K$584*EFEITO!$Y$584</f>
        <v>0</v>
      </c>
      <c r="N584" s="76">
        <f ca="1">$K$584-EFEITO!$M$584*EFEITO!$Z$584</f>
        <v>2644.8594991366044</v>
      </c>
      <c r="O584" s="76">
        <f>$L$584-EFEITO!$O$584*EFEITO!$AA$584</f>
        <v>1164.2563495215472</v>
      </c>
      <c r="P584" s="19"/>
      <c r="Q584" s="19"/>
      <c r="R584" s="19"/>
      <c r="S584" s="19"/>
      <c r="T584" s="19"/>
      <c r="U584" s="19"/>
      <c r="V584" s="19"/>
      <c r="W584" s="19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65" t="s">
        <v>21</v>
      </c>
      <c r="B585" s="65" t="s">
        <v>40</v>
      </c>
      <c r="C585" s="65" t="s">
        <v>23</v>
      </c>
      <c r="D585" s="65" t="s">
        <v>41</v>
      </c>
      <c r="E585" s="65" t="s">
        <v>25</v>
      </c>
      <c r="F585" s="65" t="s">
        <v>25</v>
      </c>
      <c r="G585" s="65" t="s">
        <v>25</v>
      </c>
      <c r="H585" s="65" t="s">
        <v>25</v>
      </c>
      <c r="I585" s="75">
        <v>44501</v>
      </c>
      <c r="J585" s="76">
        <f>EFEITO!$J$585*EFEITO!$Y$401</f>
        <v>0</v>
      </c>
      <c r="K585" s="76">
        <f ca="1">EFEITO!$L$585*EFEITO!$Z$401</f>
        <v>1230597.8934363681</v>
      </c>
      <c r="L585" s="76">
        <f>EFEITO!$N$585*EFEITO!$AA$401</f>
        <v>541704.16674641403</v>
      </c>
      <c r="M585" s="76">
        <f>$J$585-EFEITO!$K$585*EFEITO!$Y$585</f>
        <v>0</v>
      </c>
      <c r="N585" s="76">
        <f ca="1">$K$585-EFEITO!$M$585*EFEITO!$Z$585</f>
        <v>73835.873606182169</v>
      </c>
      <c r="O585" s="76">
        <f>$L$585-EFEITO!$O$585*EFEITO!$AA$585</f>
        <v>32502.250004784786</v>
      </c>
      <c r="P585" s="19"/>
      <c r="Q585" s="19"/>
      <c r="R585" s="19"/>
      <c r="S585" s="19"/>
      <c r="T585" s="19"/>
      <c r="U585" s="19"/>
      <c r="V585" s="19"/>
      <c r="W585" s="19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65" t="s">
        <v>27</v>
      </c>
      <c r="B586" s="65" t="s">
        <v>40</v>
      </c>
      <c r="C586" s="65" t="s">
        <v>23</v>
      </c>
      <c r="D586" s="65" t="s">
        <v>41</v>
      </c>
      <c r="E586" s="65" t="s">
        <v>25</v>
      </c>
      <c r="F586" s="65" t="s">
        <v>25</v>
      </c>
      <c r="G586" s="65" t="s">
        <v>25</v>
      </c>
      <c r="H586" s="65" t="s">
        <v>25</v>
      </c>
      <c r="I586" s="75">
        <v>44501</v>
      </c>
      <c r="J586" s="76">
        <f>EFEITO!$J$586*EFEITO!$Y$401</f>
        <v>0</v>
      </c>
      <c r="K586" s="76">
        <f ca="1">EFEITO!$L$586*EFEITO!$Z$401</f>
        <v>-346.56888751089002</v>
      </c>
      <c r="L586" s="76">
        <f>EFEITO!$N$586*EFEITO!$AA$401</f>
        <v>-152.55820884356646</v>
      </c>
      <c r="M586" s="76">
        <f>$J$586-EFEITO!$K$586*EFEITO!$Y$586</f>
        <v>0</v>
      </c>
      <c r="N586" s="76">
        <f ca="1">$K$586-EFEITO!$M$586*EFEITO!$Z$586</f>
        <v>-20.794133250653431</v>
      </c>
      <c r="O586" s="76">
        <f>$L$586-EFEITO!$O$586*EFEITO!$AA$586</f>
        <v>-9.1534925306139883</v>
      </c>
      <c r="P586" s="19"/>
      <c r="Q586" s="19"/>
      <c r="R586" s="19"/>
      <c r="S586" s="19"/>
      <c r="T586" s="19"/>
      <c r="U586" s="19"/>
      <c r="V586" s="19"/>
      <c r="W586" s="19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65" t="s">
        <v>28</v>
      </c>
      <c r="B587" s="65" t="s">
        <v>40</v>
      </c>
      <c r="C587" s="65" t="s">
        <v>23</v>
      </c>
      <c r="D587" s="65" t="s">
        <v>41</v>
      </c>
      <c r="E587" s="65" t="s">
        <v>25</v>
      </c>
      <c r="F587" s="65" t="s">
        <v>25</v>
      </c>
      <c r="G587" s="65" t="s">
        <v>25</v>
      </c>
      <c r="H587" s="65" t="s">
        <v>25</v>
      </c>
      <c r="I587" s="75">
        <v>44501</v>
      </c>
      <c r="J587" s="76">
        <f>EFEITO!$J$587*EFEITO!$Y$401</f>
        <v>0</v>
      </c>
      <c r="K587" s="76">
        <f ca="1">EFEITO!$L$587*EFEITO!$Z$401</f>
        <v>33250.343123459214</v>
      </c>
      <c r="L587" s="76">
        <f>EFEITO!$N$587*EFEITO!$AA$401</f>
        <v>14636.665243614925</v>
      </c>
      <c r="M587" s="76">
        <f>$J$587-EFEITO!$K$587*EFEITO!$Y$587</f>
        <v>0</v>
      </c>
      <c r="N587" s="76">
        <f ca="1">$K$587-EFEITO!$M$587*EFEITO!$Z$587</f>
        <v>1995.0205874075546</v>
      </c>
      <c r="O587" s="76">
        <f>$L$587-EFEITO!$O$587*EFEITO!$AA$587</f>
        <v>878.1999146168946</v>
      </c>
      <c r="P587" s="19"/>
      <c r="Q587" s="19"/>
      <c r="R587" s="19"/>
      <c r="S587" s="19"/>
      <c r="T587" s="19"/>
      <c r="U587" s="19"/>
      <c r="V587" s="19"/>
      <c r="W587" s="19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65" t="s">
        <v>21</v>
      </c>
      <c r="B588" s="65" t="s">
        <v>40</v>
      </c>
      <c r="C588" s="65" t="s">
        <v>23</v>
      </c>
      <c r="D588" s="65" t="s">
        <v>41</v>
      </c>
      <c r="E588" s="65" t="s">
        <v>25</v>
      </c>
      <c r="F588" s="65" t="s">
        <v>25</v>
      </c>
      <c r="G588" s="65" t="s">
        <v>25</v>
      </c>
      <c r="H588" s="65" t="s">
        <v>25</v>
      </c>
      <c r="I588" s="75">
        <v>44531</v>
      </c>
      <c r="J588" s="76">
        <f>EFEITO!$J$588*EFEITO!$Y$401</f>
        <v>0</v>
      </c>
      <c r="K588" s="76">
        <f ca="1">EFEITO!$L$588*EFEITO!$Z$401</f>
        <v>1100391.3196887497</v>
      </c>
      <c r="L588" s="76">
        <f>EFEITO!$N$588*EFEITO!$AA$401</f>
        <v>484387.76476566721</v>
      </c>
      <c r="M588" s="76">
        <f>$J$588-EFEITO!$K$588*EFEITO!$Y$588</f>
        <v>0</v>
      </c>
      <c r="N588" s="76">
        <f ca="1">$K$588-EFEITO!$M$588*EFEITO!$Z$588</f>
        <v>66023.479181325063</v>
      </c>
      <c r="O588" s="76">
        <f>$L$588-EFEITO!$O$588*EFEITO!$AA$588</f>
        <v>29063.265885939996</v>
      </c>
      <c r="P588" s="19"/>
      <c r="Q588" s="19"/>
      <c r="R588" s="19"/>
      <c r="S588" s="19"/>
      <c r="T588" s="19"/>
      <c r="U588" s="19"/>
      <c r="V588" s="19"/>
      <c r="W588" s="19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65" t="s">
        <v>27</v>
      </c>
      <c r="B589" s="65" t="s">
        <v>40</v>
      </c>
      <c r="C589" s="65" t="s">
        <v>23</v>
      </c>
      <c r="D589" s="65" t="s">
        <v>41</v>
      </c>
      <c r="E589" s="65" t="s">
        <v>25</v>
      </c>
      <c r="F589" s="65" t="s">
        <v>25</v>
      </c>
      <c r="G589" s="65" t="s">
        <v>25</v>
      </c>
      <c r="H589" s="65" t="s">
        <v>25</v>
      </c>
      <c r="I589" s="75">
        <v>44531</v>
      </c>
      <c r="J589" s="76">
        <f>EFEITO!$J$589*EFEITO!$Y$401</f>
        <v>0</v>
      </c>
      <c r="K589" s="76">
        <f ca="1">EFEITO!$L$589*EFEITO!$Z$401</f>
        <v>-718.35177397050393</v>
      </c>
      <c r="L589" s="76">
        <f>EFEITO!$N$589*EFEITO!$AA$401</f>
        <v>-316.21551704665063</v>
      </c>
      <c r="M589" s="76">
        <f>$J$589-EFEITO!$K$589*EFEITO!$Y$589</f>
        <v>0</v>
      </c>
      <c r="N589" s="76">
        <f ca="1">$K$589-EFEITO!$M$589*EFEITO!$Z$589</f>
        <v>-43.101106438230318</v>
      </c>
      <c r="O589" s="76">
        <f>$L$589-EFEITO!$O$589*EFEITO!$AA$589</f>
        <v>-18.972931022799003</v>
      </c>
      <c r="P589" s="19"/>
      <c r="Q589" s="19"/>
      <c r="R589" s="19"/>
      <c r="S589" s="19"/>
      <c r="T589" s="19"/>
      <c r="U589" s="19"/>
      <c r="V589" s="19"/>
      <c r="W589" s="19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65" t="s">
        <v>28</v>
      </c>
      <c r="B590" s="65" t="s">
        <v>40</v>
      </c>
      <c r="C590" s="65" t="s">
        <v>23</v>
      </c>
      <c r="D590" s="65" t="s">
        <v>41</v>
      </c>
      <c r="E590" s="65" t="s">
        <v>25</v>
      </c>
      <c r="F590" s="65" t="s">
        <v>25</v>
      </c>
      <c r="G590" s="65" t="s">
        <v>25</v>
      </c>
      <c r="H590" s="65" t="s">
        <v>25</v>
      </c>
      <c r="I590" s="75">
        <v>44531</v>
      </c>
      <c r="J590" s="76">
        <f>EFEITO!$J$590*EFEITO!$Y$401</f>
        <v>0</v>
      </c>
      <c r="K590" s="76">
        <f ca="1">EFEITO!$L$590*EFEITO!$Z$401</f>
        <v>37843.246069216948</v>
      </c>
      <c r="L590" s="76">
        <f>EFEITO!$N$590*EFEITO!$AA$401</f>
        <v>16658.442362240792</v>
      </c>
      <c r="M590" s="76">
        <f>$J$590-EFEITO!$K$590*EFEITO!$Y$590</f>
        <v>0</v>
      </c>
      <c r="N590" s="76">
        <f ca="1">$K$590-EFEITO!$M$590*EFEITO!$Z$590</f>
        <v>2270.594764153022</v>
      </c>
      <c r="O590" s="76">
        <f>$L$590-EFEITO!$O$590*EFEITO!$AA$590</f>
        <v>999.50654173444673</v>
      </c>
      <c r="P590" s="19"/>
      <c r="Q590" s="19"/>
      <c r="R590" s="19"/>
      <c r="S590" s="19"/>
      <c r="T590" s="19"/>
      <c r="U590" s="19"/>
      <c r="V590" s="19"/>
      <c r="W590" s="19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65" t="s">
        <v>21</v>
      </c>
      <c r="B591" s="65" t="s">
        <v>40</v>
      </c>
      <c r="C591" s="65" t="s">
        <v>23</v>
      </c>
      <c r="D591" s="65" t="s">
        <v>41</v>
      </c>
      <c r="E591" s="65" t="s">
        <v>25</v>
      </c>
      <c r="F591" s="65" t="s">
        <v>25</v>
      </c>
      <c r="G591" s="65" t="s">
        <v>25</v>
      </c>
      <c r="H591" s="65" t="s">
        <v>25</v>
      </c>
      <c r="I591" s="75">
        <v>44562</v>
      </c>
      <c r="J591" s="76">
        <f>EFEITO!$J$591*EFEITO!$Y$401</f>
        <v>0</v>
      </c>
      <c r="K591" s="76">
        <f ca="1">EFEITO!$L$591*EFEITO!$Z$401</f>
        <v>1074952.8667101685</v>
      </c>
      <c r="L591" s="76">
        <f>EFEITO!$N$591*EFEITO!$AA$401</f>
        <v>473189.86165890988</v>
      </c>
      <c r="M591" s="76">
        <f>$J$591-EFEITO!$K$591*EFEITO!$Y$591</f>
        <v>0</v>
      </c>
      <c r="N591" s="76">
        <f ca="1">$K$591-EFEITO!$M$591*EFEITO!$Z$591</f>
        <v>64497.172002610168</v>
      </c>
      <c r="O591" s="76">
        <f>$L$591-EFEITO!$O$591*EFEITO!$AA$591</f>
        <v>28391.391699534608</v>
      </c>
      <c r="P591" s="19"/>
      <c r="Q591" s="19"/>
      <c r="R591" s="19"/>
      <c r="S591" s="19"/>
      <c r="T591" s="19"/>
      <c r="U591" s="19"/>
      <c r="V591" s="19"/>
      <c r="W591" s="19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65" t="s">
        <v>27</v>
      </c>
      <c r="B592" s="65" t="s">
        <v>40</v>
      </c>
      <c r="C592" s="65" t="s">
        <v>23</v>
      </c>
      <c r="D592" s="65" t="s">
        <v>41</v>
      </c>
      <c r="E592" s="65" t="s">
        <v>25</v>
      </c>
      <c r="F592" s="65" t="s">
        <v>25</v>
      </c>
      <c r="G592" s="65" t="s">
        <v>25</v>
      </c>
      <c r="H592" s="65" t="s">
        <v>25</v>
      </c>
      <c r="I592" s="75">
        <v>44562</v>
      </c>
      <c r="J592" s="76">
        <f>EFEITO!$J$592*EFEITO!$Y$401</f>
        <v>0</v>
      </c>
      <c r="K592" s="76">
        <f ca="1">EFEITO!$L$592*EFEITO!$Z$401</f>
        <v>-2110.5600296490579</v>
      </c>
      <c r="L592" s="76">
        <f>EFEITO!$N$592*EFEITO!$AA$401</f>
        <v>-929.05990521139131</v>
      </c>
      <c r="M592" s="76">
        <f>$J$592-EFEITO!$K$592*EFEITO!$Y$592</f>
        <v>0</v>
      </c>
      <c r="N592" s="76">
        <f ca="1">$K$592-EFEITO!$M$592*EFEITO!$Z$592</f>
        <v>-126.63360177894356</v>
      </c>
      <c r="O592" s="76">
        <f>$L$592-EFEITO!$O$592*EFEITO!$AA$592</f>
        <v>-55.743594312683513</v>
      </c>
      <c r="P592" s="19"/>
      <c r="Q592" s="19"/>
      <c r="R592" s="19"/>
      <c r="S592" s="19"/>
      <c r="T592" s="19"/>
      <c r="U592" s="19"/>
      <c r="V592" s="19"/>
      <c r="W592" s="19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65" t="s">
        <v>28</v>
      </c>
      <c r="B593" s="65" t="s">
        <v>40</v>
      </c>
      <c r="C593" s="65" t="s">
        <v>23</v>
      </c>
      <c r="D593" s="65" t="s">
        <v>41</v>
      </c>
      <c r="E593" s="65" t="s">
        <v>25</v>
      </c>
      <c r="F593" s="65" t="s">
        <v>25</v>
      </c>
      <c r="G593" s="65" t="s">
        <v>25</v>
      </c>
      <c r="H593" s="65" t="s">
        <v>25</v>
      </c>
      <c r="I593" s="75">
        <v>44562</v>
      </c>
      <c r="J593" s="76">
        <f>EFEITO!$J$593*EFEITO!$Y$401</f>
        <v>0</v>
      </c>
      <c r="K593" s="76">
        <f ca="1">EFEITO!$L$593*EFEITO!$Z$401</f>
        <v>38983.808727544514</v>
      </c>
      <c r="L593" s="76">
        <f>EFEITO!$N$593*EFEITO!$AA$401</f>
        <v>17160.513386209564</v>
      </c>
      <c r="M593" s="76">
        <f>$J$593-EFEITO!$K$593*EFEITO!$Y$593</f>
        <v>0</v>
      </c>
      <c r="N593" s="76">
        <f ca="1">$K$593-EFEITO!$M$593*EFEITO!$Z$593</f>
        <v>2339.0285236526761</v>
      </c>
      <c r="O593" s="76">
        <f>$L$593-EFEITO!$O$593*EFEITO!$AA$593</f>
        <v>1029.6308031725748</v>
      </c>
      <c r="P593" s="19"/>
      <c r="Q593" s="19"/>
      <c r="R593" s="19"/>
      <c r="S593" s="19"/>
      <c r="T593" s="19"/>
      <c r="U593" s="19"/>
      <c r="V593" s="19"/>
      <c r="W593" s="19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65" t="s">
        <v>21</v>
      </c>
      <c r="B594" s="65" t="s">
        <v>40</v>
      </c>
      <c r="C594" s="65" t="s">
        <v>23</v>
      </c>
      <c r="D594" s="65" t="s">
        <v>41</v>
      </c>
      <c r="E594" s="65" t="s">
        <v>25</v>
      </c>
      <c r="F594" s="65" t="s">
        <v>25</v>
      </c>
      <c r="G594" s="65" t="s">
        <v>25</v>
      </c>
      <c r="H594" s="65" t="s">
        <v>25</v>
      </c>
      <c r="I594" s="75">
        <v>44593</v>
      </c>
      <c r="J594" s="76">
        <f>EFEITO!$J$594*EFEITO!$Y$401</f>
        <v>0</v>
      </c>
      <c r="K594" s="76">
        <f ca="1">EFEITO!$L$594*EFEITO!$Z$401</f>
        <v>1137746.1063273519</v>
      </c>
      <c r="L594" s="76">
        <f>EFEITO!$N$594*EFEITO!$AA$401</f>
        <v>500831.1892814922</v>
      </c>
      <c r="M594" s="76">
        <f>$J$594-EFEITO!$K$594*EFEITO!$Y$594</f>
        <v>0</v>
      </c>
      <c r="N594" s="76">
        <f ca="1">$K$594-EFEITO!$M$594*EFEITO!$Z$594</f>
        <v>68264.766379641136</v>
      </c>
      <c r="O594" s="76">
        <f>$L$594-EFEITO!$O$594*EFEITO!$AA$594</f>
        <v>30049.871356889489</v>
      </c>
      <c r="P594" s="19"/>
      <c r="Q594" s="19"/>
      <c r="R594" s="19"/>
      <c r="S594" s="19"/>
      <c r="T594" s="19"/>
      <c r="U594" s="19"/>
      <c r="V594" s="19"/>
      <c r="W594" s="19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65" t="s">
        <v>27</v>
      </c>
      <c r="B595" s="65" t="s">
        <v>40</v>
      </c>
      <c r="C595" s="65" t="s">
        <v>23</v>
      </c>
      <c r="D595" s="65" t="s">
        <v>41</v>
      </c>
      <c r="E595" s="65" t="s">
        <v>25</v>
      </c>
      <c r="F595" s="65" t="s">
        <v>25</v>
      </c>
      <c r="G595" s="65" t="s">
        <v>25</v>
      </c>
      <c r="H595" s="65" t="s">
        <v>25</v>
      </c>
      <c r="I595" s="75">
        <v>44593</v>
      </c>
      <c r="J595" s="76">
        <f>EFEITO!$J$595*EFEITO!$Y$401</f>
        <v>0</v>
      </c>
      <c r="K595" s="76">
        <f ca="1">EFEITO!$L$595*EFEITO!$Z$401</f>
        <v>-438.52582485329452</v>
      </c>
      <c r="L595" s="76">
        <f>EFEITO!$N$595*EFEITO!$AA$401</f>
        <v>-193.03727709592505</v>
      </c>
      <c r="M595" s="76">
        <f>$J$595-EFEITO!$K$595*EFEITO!$Y$595</f>
        <v>0</v>
      </c>
      <c r="N595" s="76">
        <f ca="1">$K$595-EFEITO!$M$595*EFEITO!$Z$595</f>
        <v>-26.311549491197695</v>
      </c>
      <c r="O595" s="76">
        <f>$L$595-EFEITO!$O$595*EFEITO!$AA$595</f>
        <v>-11.582236625755485</v>
      </c>
      <c r="P595" s="19"/>
      <c r="Q595" s="19"/>
      <c r="R595" s="19"/>
      <c r="S595" s="19"/>
      <c r="T595" s="19"/>
      <c r="U595" s="19"/>
      <c r="V595" s="19"/>
      <c r="W595" s="19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65" t="s">
        <v>28</v>
      </c>
      <c r="B596" s="65" t="s">
        <v>40</v>
      </c>
      <c r="C596" s="65" t="s">
        <v>23</v>
      </c>
      <c r="D596" s="65" t="s">
        <v>41</v>
      </c>
      <c r="E596" s="65" t="s">
        <v>25</v>
      </c>
      <c r="F596" s="65" t="s">
        <v>25</v>
      </c>
      <c r="G596" s="65" t="s">
        <v>25</v>
      </c>
      <c r="H596" s="65" t="s">
        <v>25</v>
      </c>
      <c r="I596" s="75">
        <v>44593</v>
      </c>
      <c r="J596" s="76">
        <f>EFEITO!$J$596*EFEITO!$Y$401</f>
        <v>0</v>
      </c>
      <c r="K596" s="76">
        <f ca="1">EFEITO!$L$596*EFEITO!$Z$401</f>
        <v>42648.243241425698</v>
      </c>
      <c r="L596" s="76">
        <f>EFEITO!$N$596*EFEITO!$AA$401</f>
        <v>18773.58249312613</v>
      </c>
      <c r="M596" s="76">
        <f>$J$596-EFEITO!$K$596*EFEITO!$Y$596</f>
        <v>0</v>
      </c>
      <c r="N596" s="76">
        <f ca="1">$K$596-EFEITO!$M$596*EFEITO!$Z$596</f>
        <v>2558.8945944855368</v>
      </c>
      <c r="O596" s="76">
        <f>$L$596-EFEITO!$O$596*EFEITO!$AA$596</f>
        <v>1126.4149495875681</v>
      </c>
      <c r="P596" s="19"/>
      <c r="Q596" s="19"/>
      <c r="R596" s="19"/>
      <c r="S596" s="19"/>
      <c r="T596" s="19"/>
      <c r="U596" s="19"/>
      <c r="V596" s="19"/>
      <c r="W596" s="19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65" t="s">
        <v>54</v>
      </c>
      <c r="B597" s="65" t="s">
        <v>40</v>
      </c>
      <c r="C597" s="65" t="s">
        <v>23</v>
      </c>
      <c r="D597" s="65" t="s">
        <v>41</v>
      </c>
      <c r="E597" s="65" t="s">
        <v>25</v>
      </c>
      <c r="F597" s="65" t="s">
        <v>25</v>
      </c>
      <c r="G597" s="65" t="s">
        <v>25</v>
      </c>
      <c r="H597" s="65" t="s">
        <v>25</v>
      </c>
      <c r="I597" s="75">
        <v>44621</v>
      </c>
      <c r="J597" s="76">
        <f>EFEITO!$J$597*EFEITO!$Y$401</f>
        <v>0</v>
      </c>
      <c r="K597" s="76">
        <f ca="1">EFEITO!$L$597*EFEITO!$Z$401</f>
        <v>1137746.1063273519</v>
      </c>
      <c r="L597" s="76">
        <f>EFEITO!$N$597*EFEITO!$AA$401</f>
        <v>500831.1892814922</v>
      </c>
      <c r="M597" s="76">
        <f>$J$597-EFEITO!$K$597*EFEITO!$Y$597</f>
        <v>0</v>
      </c>
      <c r="N597" s="76">
        <f ca="1">$K$597-EFEITO!$M$597*EFEITO!$Z$597</f>
        <v>68264.766379641136</v>
      </c>
      <c r="O597" s="76">
        <f>$L$597-EFEITO!$O$597*EFEITO!$AA$597</f>
        <v>30049.871356889489</v>
      </c>
      <c r="P597" s="19"/>
      <c r="Q597" s="19"/>
      <c r="R597" s="19"/>
      <c r="S597" s="19"/>
      <c r="T597" s="19"/>
      <c r="U597" s="19"/>
      <c r="V597" s="19"/>
      <c r="W597" s="19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65" t="s">
        <v>54</v>
      </c>
      <c r="B598" s="65" t="s">
        <v>40</v>
      </c>
      <c r="C598" s="65" t="s">
        <v>23</v>
      </c>
      <c r="D598" s="65" t="s">
        <v>41</v>
      </c>
      <c r="E598" s="65" t="s">
        <v>25</v>
      </c>
      <c r="F598" s="65" t="s">
        <v>25</v>
      </c>
      <c r="G598" s="65" t="s">
        <v>25</v>
      </c>
      <c r="H598" s="65" t="s">
        <v>25</v>
      </c>
      <c r="I598" s="75">
        <v>44621</v>
      </c>
      <c r="J598" s="76">
        <f>EFEITO!$J$598*EFEITO!$Y$401</f>
        <v>0</v>
      </c>
      <c r="K598" s="76">
        <f ca="1">EFEITO!$L$598*EFEITO!$Z$401</f>
        <v>-438.52582485329452</v>
      </c>
      <c r="L598" s="76">
        <f>EFEITO!$N$598*EFEITO!$AA$401</f>
        <v>-193.03727709592505</v>
      </c>
      <c r="M598" s="76">
        <f>$J$598-EFEITO!$K$598*EFEITO!$Y$598</f>
        <v>0</v>
      </c>
      <c r="N598" s="76">
        <f ca="1">$K$598-EFEITO!$M$598*EFEITO!$Z$598</f>
        <v>-26.311549491197695</v>
      </c>
      <c r="O598" s="76">
        <f>$L$598-EFEITO!$O$598*EFEITO!$AA$598</f>
        <v>-11.582236625755485</v>
      </c>
      <c r="P598" s="19"/>
      <c r="Q598" s="19"/>
      <c r="R598" s="19"/>
      <c r="S598" s="19"/>
      <c r="T598" s="19"/>
      <c r="U598" s="19"/>
      <c r="V598" s="19"/>
      <c r="W598" s="19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65" t="s">
        <v>54</v>
      </c>
      <c r="B599" s="65" t="s">
        <v>40</v>
      </c>
      <c r="C599" s="65" t="s">
        <v>23</v>
      </c>
      <c r="D599" s="65" t="s">
        <v>41</v>
      </c>
      <c r="E599" s="65" t="s">
        <v>25</v>
      </c>
      <c r="F599" s="65" t="s">
        <v>25</v>
      </c>
      <c r="G599" s="65" t="s">
        <v>25</v>
      </c>
      <c r="H599" s="65" t="s">
        <v>25</v>
      </c>
      <c r="I599" s="75">
        <v>44621</v>
      </c>
      <c r="J599" s="76">
        <f>EFEITO!$J$599*EFEITO!$Y$401</f>
        <v>0</v>
      </c>
      <c r="K599" s="76">
        <f ca="1">EFEITO!$L$599*EFEITO!$Z$401</f>
        <v>42648.243241425698</v>
      </c>
      <c r="L599" s="76">
        <f>EFEITO!$N$599*EFEITO!$AA$401</f>
        <v>18773.58249312613</v>
      </c>
      <c r="M599" s="76">
        <f>$J$599-EFEITO!$K$599*EFEITO!$Y$599</f>
        <v>0</v>
      </c>
      <c r="N599" s="76">
        <f ca="1">$K$599-EFEITO!$M$599*EFEITO!$Z$599</f>
        <v>2558.8945944855368</v>
      </c>
      <c r="O599" s="76">
        <f>$L$599-EFEITO!$O$599*EFEITO!$AA$599</f>
        <v>1126.4149495875681</v>
      </c>
      <c r="P599" s="19"/>
      <c r="Q599" s="19"/>
      <c r="R599" s="19"/>
      <c r="S599" s="19"/>
      <c r="T599" s="19"/>
      <c r="U599" s="19"/>
      <c r="V599" s="19"/>
      <c r="W599" s="19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65" t="s">
        <v>21</v>
      </c>
      <c r="B600" s="65" t="s">
        <v>37</v>
      </c>
      <c r="C600" s="65" t="s">
        <v>23</v>
      </c>
      <c r="D600" s="65" t="s">
        <v>39</v>
      </c>
      <c r="E600" s="65" t="s">
        <v>25</v>
      </c>
      <c r="F600" s="65" t="s">
        <v>25</v>
      </c>
      <c r="G600" s="65" t="s">
        <v>25</v>
      </c>
      <c r="H600" s="65" t="s">
        <v>25</v>
      </c>
      <c r="I600" s="75">
        <v>44287</v>
      </c>
      <c r="J600" s="76">
        <f>EFEITO!$J$600*EFEITO!$Y$600</f>
        <v>0</v>
      </c>
      <c r="K600" s="76">
        <f ca="1">EFEITO!$L$600*EFEITO!$Z$600</f>
        <v>309228.93263637507</v>
      </c>
      <c r="L600" s="76">
        <f>EFEITO!$N$600*EFEITO!$AA$600</f>
        <v>136121.31320971763</v>
      </c>
      <c r="M600" s="76">
        <f>$J$600-EFEITO!$K$600*EFEITO!$Y$600</f>
        <v>0</v>
      </c>
      <c r="N600" s="76">
        <f ca="1">$K$600-EFEITO!$M$600*EFEITO!$Z$600</f>
        <v>0</v>
      </c>
      <c r="O600" s="76">
        <f>$L$600-EFEITO!$O$600*EFEITO!$AA$600</f>
        <v>0</v>
      </c>
      <c r="P600" s="19"/>
      <c r="Q600" s="19"/>
      <c r="R600" s="19"/>
      <c r="S600" s="19"/>
      <c r="T600" s="19"/>
      <c r="U600" s="19"/>
      <c r="V600" s="19"/>
      <c r="W600" s="19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65" t="s">
        <v>28</v>
      </c>
      <c r="B601" s="65" t="s">
        <v>37</v>
      </c>
      <c r="C601" s="65" t="s">
        <v>23</v>
      </c>
      <c r="D601" s="65" t="s">
        <v>39</v>
      </c>
      <c r="E601" s="65" t="s">
        <v>25</v>
      </c>
      <c r="F601" s="65" t="s">
        <v>25</v>
      </c>
      <c r="G601" s="65" t="s">
        <v>25</v>
      </c>
      <c r="H601" s="65" t="s">
        <v>25</v>
      </c>
      <c r="I601" s="75">
        <v>44287</v>
      </c>
      <c r="J601" s="76">
        <f>EFEITO!$J$601*EFEITO!$Y$601</f>
        <v>0</v>
      </c>
      <c r="K601" s="76">
        <f ca="1">EFEITO!$L$601*EFEITO!$Z$601</f>
        <v>4727.8719989538395</v>
      </c>
      <c r="L601" s="76">
        <f>EFEITO!$N$601*EFEITO!$AA$601</f>
        <v>2081.1899446091675</v>
      </c>
      <c r="M601" s="76">
        <f>$J$601-EFEITO!$K$601*EFEITO!$Y$601</f>
        <v>0</v>
      </c>
      <c r="N601" s="76">
        <f ca="1">$K$601-EFEITO!$M$601*EFEITO!$Z$601</f>
        <v>0</v>
      </c>
      <c r="O601" s="76">
        <f>$L$601-EFEITO!$O$601*EFEITO!$AA$601</f>
        <v>0</v>
      </c>
      <c r="P601" s="19"/>
      <c r="Q601" s="19"/>
      <c r="R601" s="19"/>
      <c r="S601" s="19"/>
      <c r="T601" s="19"/>
      <c r="U601" s="19"/>
      <c r="V601" s="19"/>
      <c r="W601" s="19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65" t="s">
        <v>21</v>
      </c>
      <c r="B602" s="65" t="s">
        <v>37</v>
      </c>
      <c r="C602" s="65" t="s">
        <v>23</v>
      </c>
      <c r="D602" s="65" t="s">
        <v>39</v>
      </c>
      <c r="E602" s="65" t="s">
        <v>25</v>
      </c>
      <c r="F602" s="65" t="s">
        <v>25</v>
      </c>
      <c r="G602" s="65" t="s">
        <v>25</v>
      </c>
      <c r="H602" s="65" t="s">
        <v>25</v>
      </c>
      <c r="I602" s="75">
        <v>44317</v>
      </c>
      <c r="J602" s="76">
        <f>EFEITO!$J$602*EFEITO!$Y$602</f>
        <v>0</v>
      </c>
      <c r="K602" s="76">
        <f ca="1">EFEITO!$L$602*EFEITO!$Z$602</f>
        <v>300567.67680142028</v>
      </c>
      <c r="L602" s="76">
        <f>EFEITO!$N$602*EFEITO!$AA$602</f>
        <v>132308.6637650237</v>
      </c>
      <c r="M602" s="76">
        <f>$J$602-EFEITO!$K$602*EFEITO!$Y$602</f>
        <v>0</v>
      </c>
      <c r="N602" s="76">
        <f ca="1">$K$602-EFEITO!$M$602*EFEITO!$Z$602</f>
        <v>0</v>
      </c>
      <c r="O602" s="76">
        <f>$L$602-EFEITO!$O$602*EFEITO!$AA$602</f>
        <v>0</v>
      </c>
      <c r="P602" s="19"/>
      <c r="Q602" s="19"/>
      <c r="R602" s="19"/>
      <c r="S602" s="19"/>
      <c r="T602" s="19"/>
      <c r="U602" s="19"/>
      <c r="V602" s="19"/>
      <c r="W602" s="19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65" t="s">
        <v>27</v>
      </c>
      <c r="B603" s="65" t="s">
        <v>37</v>
      </c>
      <c r="C603" s="65" t="s">
        <v>23</v>
      </c>
      <c r="D603" s="65" t="s">
        <v>39</v>
      </c>
      <c r="E603" s="65" t="s">
        <v>25</v>
      </c>
      <c r="F603" s="65" t="s">
        <v>25</v>
      </c>
      <c r="G603" s="65" t="s">
        <v>25</v>
      </c>
      <c r="H603" s="65" t="s">
        <v>25</v>
      </c>
      <c r="I603" s="75">
        <v>44317</v>
      </c>
      <c r="J603" s="76">
        <f>EFEITO!$J$603*EFEITO!$Y$603</f>
        <v>0</v>
      </c>
      <c r="K603" s="76">
        <f ca="1">EFEITO!$L$603*EFEITO!$Z$603</f>
        <v>-509.2239003369711</v>
      </c>
      <c r="L603" s="76">
        <f>EFEITO!$N$603*EFEITO!$AA$603</f>
        <v>-224.15828118241581</v>
      </c>
      <c r="M603" s="76">
        <f>$J$603-EFEITO!$K$603*EFEITO!$Y$603</f>
        <v>0</v>
      </c>
      <c r="N603" s="76">
        <f ca="1">$K$603-EFEITO!$M$603*EFEITO!$Z$603</f>
        <v>0</v>
      </c>
      <c r="O603" s="76">
        <f>$L$603-EFEITO!$O$603*EFEITO!$AA$603</f>
        <v>0</v>
      </c>
      <c r="P603" s="19"/>
      <c r="Q603" s="19"/>
      <c r="R603" s="19"/>
      <c r="S603" s="19"/>
      <c r="T603" s="19"/>
      <c r="U603" s="19"/>
      <c r="V603" s="19"/>
      <c r="W603" s="19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65" t="s">
        <v>28</v>
      </c>
      <c r="B604" s="65" t="s">
        <v>37</v>
      </c>
      <c r="C604" s="65" t="s">
        <v>23</v>
      </c>
      <c r="D604" s="65" t="s">
        <v>39</v>
      </c>
      <c r="E604" s="65" t="s">
        <v>25</v>
      </c>
      <c r="F604" s="65" t="s">
        <v>25</v>
      </c>
      <c r="G604" s="65" t="s">
        <v>25</v>
      </c>
      <c r="H604" s="65" t="s">
        <v>25</v>
      </c>
      <c r="I604" s="75">
        <v>44317</v>
      </c>
      <c r="J604" s="76">
        <f>EFEITO!$J$604*EFEITO!$Y$604</f>
        <v>0</v>
      </c>
      <c r="K604" s="76">
        <f ca="1">EFEITO!$L$604*EFEITO!$Z$604</f>
        <v>3493.8692268751211</v>
      </c>
      <c r="L604" s="76">
        <f>EFEITO!$N$604*EFEITO!$AA$604</f>
        <v>1537.9869641904199</v>
      </c>
      <c r="M604" s="76">
        <f>$J$604-EFEITO!$K$604*EFEITO!$Y$604</f>
        <v>0</v>
      </c>
      <c r="N604" s="76">
        <f ca="1">$K$604-EFEITO!$M$604*EFEITO!$Z$604</f>
        <v>0</v>
      </c>
      <c r="O604" s="76">
        <f>$L$604-EFEITO!$O$604*EFEITO!$AA$604</f>
        <v>0</v>
      </c>
      <c r="P604" s="19"/>
      <c r="Q604" s="19"/>
      <c r="R604" s="19"/>
      <c r="S604" s="19"/>
      <c r="T604" s="19"/>
      <c r="U604" s="19"/>
      <c r="V604" s="19"/>
      <c r="W604" s="19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65" t="s">
        <v>21</v>
      </c>
      <c r="B605" s="65" t="s">
        <v>37</v>
      </c>
      <c r="C605" s="65" t="s">
        <v>23</v>
      </c>
      <c r="D605" s="65" t="s">
        <v>39</v>
      </c>
      <c r="E605" s="65" t="s">
        <v>25</v>
      </c>
      <c r="F605" s="65" t="s">
        <v>25</v>
      </c>
      <c r="G605" s="65" t="s">
        <v>25</v>
      </c>
      <c r="H605" s="65" t="s">
        <v>25</v>
      </c>
      <c r="I605" s="75">
        <v>44348</v>
      </c>
      <c r="J605" s="76">
        <f>EFEITO!$J$605*EFEITO!$Y$605</f>
        <v>0</v>
      </c>
      <c r="K605" s="76">
        <f ca="1">EFEITO!$L$605*EFEITO!$Z$605</f>
        <v>273503.16808671469</v>
      </c>
      <c r="L605" s="76">
        <f>EFEITO!$N$605*EFEITO!$AA$605</f>
        <v>120394.97756427711</v>
      </c>
      <c r="M605" s="76">
        <f>$J$605-EFEITO!$K$605*EFEITO!$Y$605</f>
        <v>0</v>
      </c>
      <c r="N605" s="76">
        <f ca="1">$K$605-EFEITO!$M$605*EFEITO!$Z$605</f>
        <v>0</v>
      </c>
      <c r="O605" s="76">
        <f>$L$605-EFEITO!$O$605*EFEITO!$AA$605</f>
        <v>0</v>
      </c>
      <c r="P605" s="19"/>
      <c r="Q605" s="19"/>
      <c r="R605" s="19"/>
      <c r="S605" s="19"/>
      <c r="T605" s="19"/>
      <c r="U605" s="19"/>
      <c r="V605" s="19"/>
      <c r="W605" s="19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65" t="s">
        <v>27</v>
      </c>
      <c r="B606" s="65" t="s">
        <v>37</v>
      </c>
      <c r="C606" s="65" t="s">
        <v>23</v>
      </c>
      <c r="D606" s="65" t="s">
        <v>39</v>
      </c>
      <c r="E606" s="65" t="s">
        <v>25</v>
      </c>
      <c r="F606" s="65" t="s">
        <v>25</v>
      </c>
      <c r="G606" s="65" t="s">
        <v>25</v>
      </c>
      <c r="H606" s="65" t="s">
        <v>25</v>
      </c>
      <c r="I606" s="75">
        <v>44348</v>
      </c>
      <c r="J606" s="76">
        <f>EFEITO!$J$606*EFEITO!$Y$606</f>
        <v>0</v>
      </c>
      <c r="K606" s="76">
        <f ca="1">EFEITO!$L$606*EFEITO!$Z$606</f>
        <v>-632.82193439934269</v>
      </c>
      <c r="L606" s="76">
        <f>EFEITO!$N$606*EFEITO!$AA$606</f>
        <v>-278.56563098397305</v>
      </c>
      <c r="M606" s="76">
        <f>$J$606-EFEITO!$K$606*EFEITO!$Y$606</f>
        <v>0</v>
      </c>
      <c r="N606" s="76">
        <f ca="1">$K$606-EFEITO!$M$606*EFEITO!$Z$606</f>
        <v>0</v>
      </c>
      <c r="O606" s="76">
        <f>$L$606-EFEITO!$O$606*EFEITO!$AA$606</f>
        <v>0</v>
      </c>
      <c r="P606" s="19"/>
      <c r="Q606" s="19"/>
      <c r="R606" s="19"/>
      <c r="S606" s="19"/>
      <c r="T606" s="19"/>
      <c r="U606" s="19"/>
      <c r="V606" s="19"/>
      <c r="W606" s="19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65" t="s">
        <v>28</v>
      </c>
      <c r="B607" s="65" t="s">
        <v>37</v>
      </c>
      <c r="C607" s="65" t="s">
        <v>23</v>
      </c>
      <c r="D607" s="65" t="s">
        <v>39</v>
      </c>
      <c r="E607" s="65" t="s">
        <v>25</v>
      </c>
      <c r="F607" s="65" t="s">
        <v>25</v>
      </c>
      <c r="G607" s="65" t="s">
        <v>25</v>
      </c>
      <c r="H607" s="65" t="s">
        <v>25</v>
      </c>
      <c r="I607" s="75">
        <v>44348</v>
      </c>
      <c r="J607" s="76">
        <f>EFEITO!$J$607*EFEITO!$Y$607</f>
        <v>0</v>
      </c>
      <c r="K607" s="76">
        <f ca="1">EFEITO!$L$607*EFEITO!$Z$607</f>
        <v>4715.5121955476025</v>
      </c>
      <c r="L607" s="76">
        <f>EFEITO!$N$607*EFEITO!$AA$607</f>
        <v>2075.7492096290116</v>
      </c>
      <c r="M607" s="76">
        <f>$J$607-EFEITO!$K$607*EFEITO!$Y$607</f>
        <v>0</v>
      </c>
      <c r="N607" s="76">
        <f ca="1">$K$607-EFEITO!$M$607*EFEITO!$Z$607</f>
        <v>0</v>
      </c>
      <c r="O607" s="76">
        <f>$L$607-EFEITO!$O$607*EFEITO!$AA$607</f>
        <v>0</v>
      </c>
      <c r="P607" s="19"/>
      <c r="Q607" s="19"/>
      <c r="R607" s="19"/>
      <c r="S607" s="19"/>
      <c r="T607" s="19"/>
      <c r="U607" s="19"/>
      <c r="V607" s="19"/>
      <c r="W607" s="19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65" t="s">
        <v>21</v>
      </c>
      <c r="B608" s="65" t="s">
        <v>37</v>
      </c>
      <c r="C608" s="65" t="s">
        <v>23</v>
      </c>
      <c r="D608" s="65" t="s">
        <v>39</v>
      </c>
      <c r="E608" s="65" t="s">
        <v>25</v>
      </c>
      <c r="F608" s="65" t="s">
        <v>25</v>
      </c>
      <c r="G608" s="65" t="s">
        <v>25</v>
      </c>
      <c r="H608" s="65" t="s">
        <v>25</v>
      </c>
      <c r="I608" s="75">
        <v>44378</v>
      </c>
      <c r="J608" s="76">
        <f>EFEITO!$J$608*EFEITO!$Y$608</f>
        <v>0</v>
      </c>
      <c r="K608" s="76">
        <f ca="1">EFEITO!$L$608*EFEITO!$Z$608</f>
        <v>258255.62021264425</v>
      </c>
      <c r="L608" s="76">
        <f>EFEITO!$N$608*EFEITO!$AA$608</f>
        <v>113683.0692633578</v>
      </c>
      <c r="M608" s="76">
        <f>$J$608-EFEITO!$K$608*EFEITO!$Y$608</f>
        <v>0</v>
      </c>
      <c r="N608" s="76">
        <f ca="1">$K$608-EFEITO!$M$608*EFEITO!$Z$608</f>
        <v>0</v>
      </c>
      <c r="O608" s="76">
        <f>$L$608-EFEITO!$O$608*EFEITO!$AA$608</f>
        <v>0</v>
      </c>
      <c r="P608" s="19"/>
      <c r="Q608" s="19"/>
      <c r="R608" s="19"/>
      <c r="S608" s="19"/>
      <c r="T608" s="19"/>
      <c r="U608" s="19"/>
      <c r="V608" s="19"/>
      <c r="W608" s="19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65" t="s">
        <v>28</v>
      </c>
      <c r="B609" s="65" t="s">
        <v>37</v>
      </c>
      <c r="C609" s="65" t="s">
        <v>23</v>
      </c>
      <c r="D609" s="65" t="s">
        <v>39</v>
      </c>
      <c r="E609" s="65" t="s">
        <v>25</v>
      </c>
      <c r="F609" s="65" t="s">
        <v>25</v>
      </c>
      <c r="G609" s="65" t="s">
        <v>25</v>
      </c>
      <c r="H609" s="65" t="s">
        <v>25</v>
      </c>
      <c r="I609" s="75">
        <v>44378</v>
      </c>
      <c r="J609" s="76">
        <f>EFEITO!$J$609*EFEITO!$Y$609</f>
        <v>0</v>
      </c>
      <c r="K609" s="76">
        <f ca="1">EFEITO!$L$609*EFEITO!$Z$609</f>
        <v>15431.461748755222</v>
      </c>
      <c r="L609" s="76">
        <f>EFEITO!$N$609*EFEITO!$AA$609</f>
        <v>6792.8664374240234</v>
      </c>
      <c r="M609" s="76">
        <f>$J$609-EFEITO!$K$609*EFEITO!$Y$609</f>
        <v>0</v>
      </c>
      <c r="N609" s="76">
        <f ca="1">$K$609-EFEITO!$M$609*EFEITO!$Z$609</f>
        <v>0</v>
      </c>
      <c r="O609" s="76">
        <f>$L$609-EFEITO!$O$609*EFEITO!$AA$609</f>
        <v>0</v>
      </c>
      <c r="P609" s="19"/>
      <c r="Q609" s="19"/>
      <c r="R609" s="19"/>
      <c r="S609" s="19"/>
      <c r="T609" s="19"/>
      <c r="U609" s="19"/>
      <c r="V609" s="19"/>
      <c r="W609" s="19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65" t="s">
        <v>21</v>
      </c>
      <c r="B610" s="65" t="s">
        <v>37</v>
      </c>
      <c r="C610" s="65" t="s">
        <v>23</v>
      </c>
      <c r="D610" s="65" t="s">
        <v>39</v>
      </c>
      <c r="E610" s="65" t="s">
        <v>25</v>
      </c>
      <c r="F610" s="65" t="s">
        <v>25</v>
      </c>
      <c r="G610" s="65" t="s">
        <v>25</v>
      </c>
      <c r="H610" s="65" t="s">
        <v>25</v>
      </c>
      <c r="I610" s="75">
        <v>44409</v>
      </c>
      <c r="J610" s="76">
        <f>EFEITO!$J$610*EFEITO!$Y$610</f>
        <v>0</v>
      </c>
      <c r="K610" s="76">
        <f ca="1">EFEITO!$L$610*EFEITO!$Z$610</f>
        <v>286851.2613733146</v>
      </c>
      <c r="L610" s="76">
        <f>EFEITO!$N$610*EFEITO!$AA$610</f>
        <v>126270.75371344609</v>
      </c>
      <c r="M610" s="76">
        <f>$J$610-EFEITO!$K$610*EFEITO!$Y$610</f>
        <v>0</v>
      </c>
      <c r="N610" s="76">
        <f ca="1">$K$610-EFEITO!$M$610*EFEITO!$Z$610</f>
        <v>0</v>
      </c>
      <c r="O610" s="76">
        <f>$L$610-EFEITO!$O$610*EFEITO!$AA$610</f>
        <v>0</v>
      </c>
      <c r="P610" s="19"/>
      <c r="Q610" s="19"/>
      <c r="R610" s="19"/>
      <c r="S610" s="19"/>
      <c r="T610" s="19"/>
      <c r="U610" s="19"/>
      <c r="V610" s="19"/>
      <c r="W610" s="19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65" t="s">
        <v>28</v>
      </c>
      <c r="B611" s="65" t="s">
        <v>37</v>
      </c>
      <c r="C611" s="65" t="s">
        <v>23</v>
      </c>
      <c r="D611" s="65" t="s">
        <v>39</v>
      </c>
      <c r="E611" s="65" t="s">
        <v>25</v>
      </c>
      <c r="F611" s="65" t="s">
        <v>25</v>
      </c>
      <c r="G611" s="65" t="s">
        <v>25</v>
      </c>
      <c r="H611" s="65" t="s">
        <v>25</v>
      </c>
      <c r="I611" s="75">
        <v>44409</v>
      </c>
      <c r="J611" s="76">
        <f>EFEITO!$J$611*EFEITO!$Y$611</f>
        <v>0</v>
      </c>
      <c r="K611" s="76">
        <f ca="1">EFEITO!$L$611*EFEITO!$Z$611</f>
        <v>12468.075284075801</v>
      </c>
      <c r="L611" s="76">
        <f>EFEITO!$N$611*EFEITO!$AA$611</f>
        <v>5488.3958185818874</v>
      </c>
      <c r="M611" s="76">
        <f>$J$611-EFEITO!$K$611*EFEITO!$Y$611</f>
        <v>0</v>
      </c>
      <c r="N611" s="76">
        <f ca="1">$K$611-EFEITO!$M$611*EFEITO!$Z$611</f>
        <v>0</v>
      </c>
      <c r="O611" s="76">
        <f>$L$611-EFEITO!$O$611*EFEITO!$AA$611</f>
        <v>0</v>
      </c>
      <c r="P611" s="19"/>
      <c r="Q611" s="19"/>
      <c r="R611" s="19"/>
      <c r="S611" s="19"/>
      <c r="T611" s="19"/>
      <c r="U611" s="19"/>
      <c r="V611" s="19"/>
      <c r="W611" s="19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65" t="s">
        <v>21</v>
      </c>
      <c r="B612" s="65" t="s">
        <v>37</v>
      </c>
      <c r="C612" s="65" t="s">
        <v>23</v>
      </c>
      <c r="D612" s="65" t="s">
        <v>39</v>
      </c>
      <c r="E612" s="65" t="s">
        <v>25</v>
      </c>
      <c r="F612" s="65" t="s">
        <v>25</v>
      </c>
      <c r="G612" s="65" t="s">
        <v>25</v>
      </c>
      <c r="H612" s="65" t="s">
        <v>25</v>
      </c>
      <c r="I612" s="75">
        <v>44440</v>
      </c>
      <c r="J612" s="76">
        <f>EFEITO!$J$612*EFEITO!$Y$612</f>
        <v>0</v>
      </c>
      <c r="K612" s="76">
        <f ca="1">EFEITO!$L$612*EFEITO!$Z$612</f>
        <v>311954.02209138224</v>
      </c>
      <c r="L612" s="76">
        <f>EFEITO!$N$612*EFEITO!$AA$612</f>
        <v>137320.88645814237</v>
      </c>
      <c r="M612" s="76">
        <f>$J$612-EFEITO!$K$612*EFEITO!$Y$612</f>
        <v>0</v>
      </c>
      <c r="N612" s="76">
        <f ca="1">$K$612-EFEITO!$M$612*EFEITO!$Z$612</f>
        <v>0</v>
      </c>
      <c r="O612" s="76">
        <f>$L$612-EFEITO!$O$612*EFEITO!$AA$612</f>
        <v>0</v>
      </c>
      <c r="P612" s="19"/>
      <c r="Q612" s="19"/>
      <c r="R612" s="19"/>
      <c r="S612" s="19"/>
      <c r="T612" s="19"/>
      <c r="U612" s="19"/>
      <c r="V612" s="19"/>
      <c r="W612" s="19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65" t="s">
        <v>27</v>
      </c>
      <c r="B613" s="65" t="s">
        <v>37</v>
      </c>
      <c r="C613" s="65" t="s">
        <v>23</v>
      </c>
      <c r="D613" s="65" t="s">
        <v>39</v>
      </c>
      <c r="E613" s="65" t="s">
        <v>25</v>
      </c>
      <c r="F613" s="65" t="s">
        <v>25</v>
      </c>
      <c r="G613" s="65" t="s">
        <v>25</v>
      </c>
      <c r="H613" s="65" t="s">
        <v>25</v>
      </c>
      <c r="I613" s="75">
        <v>44440</v>
      </c>
      <c r="J613" s="76">
        <f>EFEITO!$J$613*EFEITO!$Y$613</f>
        <v>0</v>
      </c>
      <c r="K613" s="76">
        <f ca="1">EFEITO!$L$613*EFEITO!$Z$613</f>
        <v>-553.22480046317537</v>
      </c>
      <c r="L613" s="76">
        <f>EFEITO!$N$613*EFEITO!$AA$613</f>
        <v>-243.52729771177016</v>
      </c>
      <c r="M613" s="76">
        <f>$J$613-EFEITO!$K$613*EFEITO!$Y$613</f>
        <v>0</v>
      </c>
      <c r="N613" s="76">
        <f ca="1">$K$613-EFEITO!$M$613*EFEITO!$Z$613</f>
        <v>0</v>
      </c>
      <c r="O613" s="76">
        <f>$L$613-EFEITO!$O$613*EFEITO!$AA$613</f>
        <v>0</v>
      </c>
      <c r="P613" s="19"/>
      <c r="Q613" s="19"/>
      <c r="R613" s="19"/>
      <c r="S613" s="19"/>
      <c r="T613" s="19"/>
      <c r="U613" s="19"/>
      <c r="V613" s="19"/>
      <c r="W613" s="19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65" t="s">
        <v>28</v>
      </c>
      <c r="B614" s="65" t="s">
        <v>37</v>
      </c>
      <c r="C614" s="65" t="s">
        <v>23</v>
      </c>
      <c r="D614" s="65" t="s">
        <v>39</v>
      </c>
      <c r="E614" s="65" t="s">
        <v>25</v>
      </c>
      <c r="F614" s="65" t="s">
        <v>25</v>
      </c>
      <c r="G614" s="65" t="s">
        <v>25</v>
      </c>
      <c r="H614" s="65" t="s">
        <v>25</v>
      </c>
      <c r="I614" s="75">
        <v>44440</v>
      </c>
      <c r="J614" s="76">
        <f>EFEITO!$J$614*EFEITO!$Y$614</f>
        <v>0</v>
      </c>
      <c r="K614" s="76">
        <f ca="1">EFEITO!$L$614*EFEITO!$Z$614</f>
        <v>14443.666260528747</v>
      </c>
      <c r="L614" s="76">
        <f>EFEITO!$N$614*EFEITO!$AA$614</f>
        <v>6358.0428978099781</v>
      </c>
      <c r="M614" s="76">
        <f>$J$614-EFEITO!$K$614*EFEITO!$Y$614</f>
        <v>0</v>
      </c>
      <c r="N614" s="76">
        <f ca="1">$K$614-EFEITO!$M$614*EFEITO!$Z$614</f>
        <v>0</v>
      </c>
      <c r="O614" s="76">
        <f>$L$614-EFEITO!$O$614*EFEITO!$AA$614</f>
        <v>0</v>
      </c>
      <c r="P614" s="19"/>
      <c r="Q614" s="19"/>
      <c r="R614" s="19"/>
      <c r="S614" s="19"/>
      <c r="T614" s="19"/>
      <c r="U614" s="19"/>
      <c r="V614" s="19"/>
      <c r="W614" s="19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65" t="s">
        <v>21</v>
      </c>
      <c r="B615" s="65" t="s">
        <v>37</v>
      </c>
      <c r="C615" s="65" t="s">
        <v>23</v>
      </c>
      <c r="D615" s="65" t="s">
        <v>39</v>
      </c>
      <c r="E615" s="65" t="s">
        <v>25</v>
      </c>
      <c r="F615" s="65" t="s">
        <v>25</v>
      </c>
      <c r="G615" s="65" t="s">
        <v>25</v>
      </c>
      <c r="H615" s="65" t="s">
        <v>25</v>
      </c>
      <c r="I615" s="75">
        <v>44470</v>
      </c>
      <c r="J615" s="76">
        <f>EFEITO!$J$615*EFEITO!$Y$615</f>
        <v>0</v>
      </c>
      <c r="K615" s="76">
        <f ca="1">EFEITO!$L$615*EFEITO!$Z$615</f>
        <v>295084.37361827731</v>
      </c>
      <c r="L615" s="76">
        <f>EFEITO!$N$615*EFEITO!$AA$615</f>
        <v>129894.93609842742</v>
      </c>
      <c r="M615" s="76">
        <f>$J$615-EFEITO!$K$615*EFEITO!$Y$615</f>
        <v>0</v>
      </c>
      <c r="N615" s="76">
        <f ca="1">$K$615-EFEITO!$M$615*EFEITO!$Z$615</f>
        <v>0</v>
      </c>
      <c r="O615" s="76">
        <f>$L$615-EFEITO!$O$615*EFEITO!$AA$615</f>
        <v>0</v>
      </c>
      <c r="P615" s="19"/>
      <c r="Q615" s="19"/>
      <c r="R615" s="19"/>
      <c r="S615" s="19"/>
      <c r="T615" s="19"/>
      <c r="U615" s="19"/>
      <c r="V615" s="19"/>
      <c r="W615" s="19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65" t="s">
        <v>28</v>
      </c>
      <c r="B616" s="65" t="s">
        <v>37</v>
      </c>
      <c r="C616" s="65" t="s">
        <v>23</v>
      </c>
      <c r="D616" s="65" t="s">
        <v>39</v>
      </c>
      <c r="E616" s="65" t="s">
        <v>25</v>
      </c>
      <c r="F616" s="65" t="s">
        <v>25</v>
      </c>
      <c r="G616" s="65" t="s">
        <v>25</v>
      </c>
      <c r="H616" s="65" t="s">
        <v>25</v>
      </c>
      <c r="I616" s="75">
        <v>44470</v>
      </c>
      <c r="J616" s="76">
        <f>EFEITO!$J$616*EFEITO!$Y$616</f>
        <v>0</v>
      </c>
      <c r="K616" s="76">
        <f ca="1">EFEITO!$L$616*EFEITO!$Z$616</f>
        <v>13924.060125330538</v>
      </c>
      <c r="L616" s="76">
        <f>EFEITO!$N$616*EFEITO!$AA$616</f>
        <v>6129.3143992442319</v>
      </c>
      <c r="M616" s="76">
        <f>$J$616-EFEITO!$K$616*EFEITO!$Y$616</f>
        <v>0</v>
      </c>
      <c r="N616" s="76">
        <f ca="1">$K$616-EFEITO!$M$616*EFEITO!$Z$616</f>
        <v>0</v>
      </c>
      <c r="O616" s="76">
        <f>$L$616-EFEITO!$O$616*EFEITO!$AA$616</f>
        <v>0</v>
      </c>
      <c r="P616" s="19"/>
      <c r="Q616" s="19"/>
      <c r="R616" s="19"/>
      <c r="S616" s="19"/>
      <c r="T616" s="19"/>
      <c r="U616" s="19"/>
      <c r="V616" s="19"/>
      <c r="W616" s="19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65" t="s">
        <v>21</v>
      </c>
      <c r="B617" s="65" t="s">
        <v>37</v>
      </c>
      <c r="C617" s="65" t="s">
        <v>23</v>
      </c>
      <c r="D617" s="65" t="s">
        <v>39</v>
      </c>
      <c r="E617" s="65" t="s">
        <v>25</v>
      </c>
      <c r="F617" s="65" t="s">
        <v>25</v>
      </c>
      <c r="G617" s="65" t="s">
        <v>25</v>
      </c>
      <c r="H617" s="65" t="s">
        <v>25</v>
      </c>
      <c r="I617" s="75">
        <v>44501</v>
      </c>
      <c r="J617" s="76">
        <f>EFEITO!$J$617*EFEITO!$Y$617</f>
        <v>0</v>
      </c>
      <c r="K617" s="76">
        <f ca="1">EFEITO!$L$617*EFEITO!$Z$617</f>
        <v>326406.58741036349</v>
      </c>
      <c r="L617" s="76">
        <f>EFEITO!$N$617*EFEITO!$AA$617</f>
        <v>143682.84668513804</v>
      </c>
      <c r="M617" s="76">
        <f>$J$617-EFEITO!$K$617*EFEITO!$Y$617</f>
        <v>0</v>
      </c>
      <c r="N617" s="76">
        <f ca="1">$K$617-EFEITO!$M$617*EFEITO!$Z$617</f>
        <v>0</v>
      </c>
      <c r="O617" s="76">
        <f>$L$617-EFEITO!$O$617*EFEITO!$AA$617</f>
        <v>0</v>
      </c>
      <c r="P617" s="19"/>
      <c r="Q617" s="19"/>
      <c r="R617" s="19"/>
      <c r="S617" s="19"/>
      <c r="T617" s="19"/>
      <c r="U617" s="19"/>
      <c r="V617" s="19"/>
      <c r="W617" s="19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65" t="s">
        <v>28</v>
      </c>
      <c r="B618" s="65" t="s">
        <v>37</v>
      </c>
      <c r="C618" s="65" t="s">
        <v>23</v>
      </c>
      <c r="D618" s="65" t="s">
        <v>39</v>
      </c>
      <c r="E618" s="65" t="s">
        <v>25</v>
      </c>
      <c r="F618" s="65" t="s">
        <v>25</v>
      </c>
      <c r="G618" s="65" t="s">
        <v>25</v>
      </c>
      <c r="H618" s="65" t="s">
        <v>25</v>
      </c>
      <c r="I618" s="75">
        <v>44501</v>
      </c>
      <c r="J618" s="76">
        <f>EFEITO!$J$618*EFEITO!$Y$618</f>
        <v>0</v>
      </c>
      <c r="K618" s="76">
        <f ca="1">EFEITO!$L$618*EFEITO!$Z$618</f>
        <v>13157.257922007584</v>
      </c>
      <c r="L618" s="76">
        <f>EFEITO!$N$618*EFEITO!$AA$618</f>
        <v>5791.7712010753703</v>
      </c>
      <c r="M618" s="76">
        <f>$J$618-EFEITO!$K$618*EFEITO!$Y$618</f>
        <v>0</v>
      </c>
      <c r="N618" s="76">
        <f ca="1">$K$618-EFEITO!$M$618*EFEITO!$Z$618</f>
        <v>0</v>
      </c>
      <c r="O618" s="76">
        <f>$L$618-EFEITO!$O$618*EFEITO!$AA$618</f>
        <v>0</v>
      </c>
      <c r="P618" s="19"/>
      <c r="Q618" s="19"/>
      <c r="R618" s="19"/>
      <c r="S618" s="19"/>
      <c r="T618" s="19"/>
      <c r="U618" s="19"/>
      <c r="V618" s="19"/>
      <c r="W618" s="19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65" t="s">
        <v>21</v>
      </c>
      <c r="B619" s="65" t="s">
        <v>37</v>
      </c>
      <c r="C619" s="65" t="s">
        <v>23</v>
      </c>
      <c r="D619" s="65" t="s">
        <v>39</v>
      </c>
      <c r="E619" s="65" t="s">
        <v>25</v>
      </c>
      <c r="F619" s="65" t="s">
        <v>25</v>
      </c>
      <c r="G619" s="65" t="s">
        <v>25</v>
      </c>
      <c r="H619" s="65" t="s">
        <v>25</v>
      </c>
      <c r="I619" s="75">
        <v>44531</v>
      </c>
      <c r="J619" s="76">
        <f>EFEITO!$J$619*EFEITO!$Y$619</f>
        <v>0</v>
      </c>
      <c r="K619" s="76">
        <f ca="1">EFEITO!$L$619*EFEITO!$Z$619</f>
        <v>314731.02272069559</v>
      </c>
      <c r="L619" s="76">
        <f>EFEITO!$N$619*EFEITO!$AA$619</f>
        <v>138543.31079348375</v>
      </c>
      <c r="M619" s="76">
        <f>$J$619-EFEITO!$K$619*EFEITO!$Y$619</f>
        <v>0</v>
      </c>
      <c r="N619" s="76">
        <f ca="1">$K$619-EFEITO!$M$619*EFEITO!$Z$619</f>
        <v>0</v>
      </c>
      <c r="O619" s="76">
        <f>$L$619-EFEITO!$O$619*EFEITO!$AA$619</f>
        <v>0</v>
      </c>
      <c r="P619" s="19"/>
      <c r="Q619" s="19"/>
      <c r="R619" s="19"/>
      <c r="S619" s="19"/>
      <c r="T619" s="19"/>
      <c r="U619" s="19"/>
      <c r="V619" s="19"/>
      <c r="W619" s="19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65" t="s">
        <v>28</v>
      </c>
      <c r="B620" s="65" t="s">
        <v>37</v>
      </c>
      <c r="C620" s="65" t="s">
        <v>23</v>
      </c>
      <c r="D620" s="65" t="s">
        <v>39</v>
      </c>
      <c r="E620" s="65" t="s">
        <v>25</v>
      </c>
      <c r="F620" s="65" t="s">
        <v>25</v>
      </c>
      <c r="G620" s="65" t="s">
        <v>25</v>
      </c>
      <c r="H620" s="65" t="s">
        <v>25</v>
      </c>
      <c r="I620" s="75">
        <v>44531</v>
      </c>
      <c r="J620" s="76">
        <f>EFEITO!$J$620*EFEITO!$Y$620</f>
        <v>0</v>
      </c>
      <c r="K620" s="76">
        <f ca="1">EFEITO!$L$620*EFEITO!$Z$620</f>
        <v>8973.2172729281792</v>
      </c>
      <c r="L620" s="76">
        <f>EFEITO!$N$620*EFEITO!$AA$620</f>
        <v>3949.9735955930546</v>
      </c>
      <c r="M620" s="76">
        <f>$J$620-EFEITO!$K$620*EFEITO!$Y$620</f>
        <v>0</v>
      </c>
      <c r="N620" s="76">
        <f ca="1">$K$620-EFEITO!$M$620*EFEITO!$Z$620</f>
        <v>0</v>
      </c>
      <c r="O620" s="76">
        <f>$L$620-EFEITO!$O$620*EFEITO!$AA$620</f>
        <v>0</v>
      </c>
      <c r="P620" s="19"/>
      <c r="Q620" s="19"/>
      <c r="R620" s="19"/>
      <c r="S620" s="19"/>
      <c r="T620" s="19"/>
      <c r="U620" s="19"/>
      <c r="V620" s="19"/>
      <c r="W620" s="19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65" t="s">
        <v>21</v>
      </c>
      <c r="B621" s="65" t="s">
        <v>37</v>
      </c>
      <c r="C621" s="65" t="s">
        <v>23</v>
      </c>
      <c r="D621" s="65" t="s">
        <v>39</v>
      </c>
      <c r="E621" s="65" t="s">
        <v>25</v>
      </c>
      <c r="F621" s="65" t="s">
        <v>25</v>
      </c>
      <c r="G621" s="65" t="s">
        <v>25</v>
      </c>
      <c r="H621" s="65" t="s">
        <v>25</v>
      </c>
      <c r="I621" s="75">
        <v>44562</v>
      </c>
      <c r="J621" s="76">
        <f>EFEITO!$J$621*EFEITO!$Y$621</f>
        <v>0</v>
      </c>
      <c r="K621" s="76">
        <f ca="1">EFEITO!$L$621*EFEITO!$Z$621</f>
        <v>344687.72543246078</v>
      </c>
      <c r="L621" s="76">
        <f>EFEITO!$N$621*EFEITO!$AA$621</f>
        <v>151730.12897958679</v>
      </c>
      <c r="M621" s="76">
        <f>$J$621-EFEITO!$K$621*EFEITO!$Y$621</f>
        <v>0</v>
      </c>
      <c r="N621" s="76">
        <f ca="1">$K$621-EFEITO!$M$621*EFEITO!$Z$621</f>
        <v>0</v>
      </c>
      <c r="O621" s="76">
        <f>$L$621-EFEITO!$O$621*EFEITO!$AA$621</f>
        <v>0</v>
      </c>
      <c r="P621" s="19"/>
      <c r="Q621" s="19"/>
      <c r="R621" s="19"/>
      <c r="S621" s="19"/>
      <c r="T621" s="19"/>
      <c r="U621" s="19"/>
      <c r="V621" s="19"/>
      <c r="W621" s="19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65" t="s">
        <v>28</v>
      </c>
      <c r="B622" s="65" t="s">
        <v>37</v>
      </c>
      <c r="C622" s="65" t="s">
        <v>23</v>
      </c>
      <c r="D622" s="65" t="s">
        <v>39</v>
      </c>
      <c r="E622" s="65" t="s">
        <v>25</v>
      </c>
      <c r="F622" s="65" t="s">
        <v>25</v>
      </c>
      <c r="G622" s="65" t="s">
        <v>25</v>
      </c>
      <c r="H622" s="65" t="s">
        <v>25</v>
      </c>
      <c r="I622" s="75">
        <v>44562</v>
      </c>
      <c r="J622" s="76">
        <f>EFEITO!$J$622*EFEITO!$Y$622</f>
        <v>0</v>
      </c>
      <c r="K622" s="76">
        <f ca="1">EFEITO!$L$622*EFEITO!$Z$622</f>
        <v>10744.129904973841</v>
      </c>
      <c r="L622" s="76">
        <f>EFEITO!$N$622*EFEITO!$AA$622</f>
        <v>4729.5221035497671</v>
      </c>
      <c r="M622" s="76">
        <f>$J$622-EFEITO!$K$622*EFEITO!$Y$622</f>
        <v>0</v>
      </c>
      <c r="N622" s="76">
        <f ca="1">$K$622-EFEITO!$M$622*EFEITO!$Z$622</f>
        <v>0</v>
      </c>
      <c r="O622" s="76">
        <f>$L$622-EFEITO!$O$622*EFEITO!$AA$622</f>
        <v>0</v>
      </c>
      <c r="P622" s="19"/>
      <c r="Q622" s="19"/>
      <c r="R622" s="19"/>
      <c r="S622" s="19"/>
      <c r="T622" s="19"/>
      <c r="U622" s="19"/>
      <c r="V622" s="19"/>
      <c r="W622" s="19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65" t="s">
        <v>21</v>
      </c>
      <c r="B623" s="65" t="s">
        <v>37</v>
      </c>
      <c r="C623" s="65" t="s">
        <v>23</v>
      </c>
      <c r="D623" s="65" t="s">
        <v>39</v>
      </c>
      <c r="E623" s="65" t="s">
        <v>25</v>
      </c>
      <c r="F623" s="65" t="s">
        <v>25</v>
      </c>
      <c r="G623" s="65" t="s">
        <v>25</v>
      </c>
      <c r="H623" s="65" t="s">
        <v>25</v>
      </c>
      <c r="I623" s="75">
        <v>44593</v>
      </c>
      <c r="J623" s="76">
        <f>EFEITO!$J$623*EFEITO!$Y$623</f>
        <v>0</v>
      </c>
      <c r="K623" s="76">
        <f ca="1">EFEITO!$L$623*EFEITO!$Z$623</f>
        <v>333927.28058699064</v>
      </c>
      <c r="L623" s="76">
        <f>EFEITO!$N$623*EFEITO!$AA$623</f>
        <v>146993.42510586319</v>
      </c>
      <c r="M623" s="76">
        <f>$J$623-EFEITO!$K$623*EFEITO!$Y$623</f>
        <v>0</v>
      </c>
      <c r="N623" s="76">
        <f ca="1">$K$623-EFEITO!$M$623*EFEITO!$Z$623</f>
        <v>0</v>
      </c>
      <c r="O623" s="76">
        <f>$L$623-EFEITO!$O$623*EFEITO!$AA$623</f>
        <v>0</v>
      </c>
      <c r="P623" s="19"/>
      <c r="Q623" s="19"/>
      <c r="R623" s="19"/>
      <c r="S623" s="19"/>
      <c r="T623" s="19"/>
      <c r="U623" s="19"/>
      <c r="V623" s="19"/>
      <c r="W623" s="19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65" t="s">
        <v>27</v>
      </c>
      <c r="B624" s="65" t="s">
        <v>37</v>
      </c>
      <c r="C624" s="65" t="s">
        <v>23</v>
      </c>
      <c r="D624" s="65" t="s">
        <v>39</v>
      </c>
      <c r="E624" s="65" t="s">
        <v>25</v>
      </c>
      <c r="F624" s="65" t="s">
        <v>25</v>
      </c>
      <c r="G624" s="65" t="s">
        <v>25</v>
      </c>
      <c r="H624" s="65" t="s">
        <v>25</v>
      </c>
      <c r="I624" s="75">
        <v>44593</v>
      </c>
      <c r="J624" s="76">
        <f>EFEITO!$J$624*EFEITO!$Y$624</f>
        <v>0</v>
      </c>
      <c r="K624" s="76">
        <f ca="1">EFEITO!$L$624*EFEITO!$Z$624</f>
        <v>-4457.9338925616194</v>
      </c>
      <c r="L624" s="76">
        <f>EFEITO!$N$624*EFEITO!$AA$624</f>
        <v>-1962.3642926425662</v>
      </c>
      <c r="M624" s="76">
        <f>$J$624-EFEITO!$K$624*EFEITO!$Y$624</f>
        <v>0</v>
      </c>
      <c r="N624" s="76">
        <f ca="1">$K$624-EFEITO!$M$624*EFEITO!$Z$624</f>
        <v>0</v>
      </c>
      <c r="O624" s="76">
        <f>$L$624-EFEITO!$O$624*EFEITO!$AA$624</f>
        <v>0</v>
      </c>
      <c r="P624" s="19"/>
      <c r="Q624" s="19"/>
      <c r="R624" s="19"/>
      <c r="S624" s="19"/>
      <c r="T624" s="19"/>
      <c r="U624" s="19"/>
      <c r="V624" s="19"/>
      <c r="W624" s="19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65" t="s">
        <v>28</v>
      </c>
      <c r="B625" s="65" t="s">
        <v>37</v>
      </c>
      <c r="C625" s="65" t="s">
        <v>23</v>
      </c>
      <c r="D625" s="65" t="s">
        <v>39</v>
      </c>
      <c r="E625" s="65" t="s">
        <v>25</v>
      </c>
      <c r="F625" s="65" t="s">
        <v>25</v>
      </c>
      <c r="G625" s="65" t="s">
        <v>25</v>
      </c>
      <c r="H625" s="65" t="s">
        <v>25</v>
      </c>
      <c r="I625" s="75">
        <v>44593</v>
      </c>
      <c r="J625" s="76">
        <f>EFEITO!$J$625*EFEITO!$Y$625</f>
        <v>0</v>
      </c>
      <c r="K625" s="76">
        <f ca="1">EFEITO!$L$625*EFEITO!$Z$625</f>
        <v>11425.402268725633</v>
      </c>
      <c r="L625" s="76">
        <f>EFEITO!$N$625*EFEITO!$AA$625</f>
        <v>5029.4154156559507</v>
      </c>
      <c r="M625" s="76">
        <f>$J$625-EFEITO!$K$625*EFEITO!$Y$625</f>
        <v>0</v>
      </c>
      <c r="N625" s="76">
        <f ca="1">$K$625-EFEITO!$M$625*EFEITO!$Z$625</f>
        <v>0</v>
      </c>
      <c r="O625" s="76">
        <f>$L$625-EFEITO!$O$625*EFEITO!$AA$625</f>
        <v>0</v>
      </c>
      <c r="P625" s="19"/>
      <c r="Q625" s="19"/>
      <c r="R625" s="19"/>
      <c r="S625" s="19"/>
      <c r="T625" s="19"/>
      <c r="U625" s="19"/>
      <c r="V625" s="19"/>
      <c r="W625" s="19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65" t="s">
        <v>54</v>
      </c>
      <c r="B626" s="65" t="s">
        <v>37</v>
      </c>
      <c r="C626" s="65" t="s">
        <v>23</v>
      </c>
      <c r="D626" s="65" t="s">
        <v>39</v>
      </c>
      <c r="E626" s="65" t="s">
        <v>25</v>
      </c>
      <c r="F626" s="65" t="s">
        <v>25</v>
      </c>
      <c r="G626" s="65" t="s">
        <v>25</v>
      </c>
      <c r="H626" s="65" t="s">
        <v>25</v>
      </c>
      <c r="I626" s="75">
        <v>44621</v>
      </c>
      <c r="J626" s="76">
        <f>EFEITO!$J$626*EFEITO!$Y$626</f>
        <v>0</v>
      </c>
      <c r="K626" s="76">
        <f ca="1">EFEITO!$L$626*EFEITO!$Z$626</f>
        <v>333927.28058699064</v>
      </c>
      <c r="L626" s="76">
        <f>EFEITO!$N$626*EFEITO!$AA$626</f>
        <v>146993.42510586319</v>
      </c>
      <c r="M626" s="76">
        <f>$J$626-EFEITO!$K$626*EFEITO!$Y$626</f>
        <v>0</v>
      </c>
      <c r="N626" s="76">
        <f ca="1">$K$626-EFEITO!$M$626*EFEITO!$Z$626</f>
        <v>0</v>
      </c>
      <c r="O626" s="76">
        <f>$L$626-EFEITO!$O$626*EFEITO!$AA$626</f>
        <v>0</v>
      </c>
      <c r="P626" s="19"/>
      <c r="Q626" s="19"/>
      <c r="R626" s="19"/>
      <c r="S626" s="19"/>
      <c r="T626" s="19"/>
      <c r="U626" s="19"/>
      <c r="V626" s="19"/>
      <c r="W626" s="19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65" t="s">
        <v>54</v>
      </c>
      <c r="B627" s="65" t="s">
        <v>37</v>
      </c>
      <c r="C627" s="65" t="s">
        <v>23</v>
      </c>
      <c r="D627" s="65" t="s">
        <v>39</v>
      </c>
      <c r="E627" s="65" t="s">
        <v>25</v>
      </c>
      <c r="F627" s="65" t="s">
        <v>25</v>
      </c>
      <c r="G627" s="65" t="s">
        <v>25</v>
      </c>
      <c r="H627" s="65" t="s">
        <v>25</v>
      </c>
      <c r="I627" s="75">
        <v>44621</v>
      </c>
      <c r="J627" s="76">
        <f>EFEITO!$J$627*EFEITO!$Y$627</f>
        <v>0</v>
      </c>
      <c r="K627" s="76">
        <f ca="1">EFEITO!$L$627*EFEITO!$Z$627</f>
        <v>-4457.9338925616194</v>
      </c>
      <c r="L627" s="76">
        <f>EFEITO!$N$627*EFEITO!$AA$627</f>
        <v>-1962.3642926425662</v>
      </c>
      <c r="M627" s="76">
        <f>$J$627-EFEITO!$K$627*EFEITO!$Y$627</f>
        <v>0</v>
      </c>
      <c r="N627" s="76">
        <f ca="1">$K$627-EFEITO!$M$627*EFEITO!$Z$627</f>
        <v>0</v>
      </c>
      <c r="O627" s="76">
        <f>$L$627-EFEITO!$O$627*EFEITO!$AA$627</f>
        <v>0</v>
      </c>
      <c r="P627" s="19"/>
      <c r="Q627" s="19"/>
      <c r="R627" s="19"/>
      <c r="S627" s="19"/>
      <c r="T627" s="19"/>
      <c r="U627" s="19"/>
      <c r="V627" s="19"/>
      <c r="W627" s="19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65" t="s">
        <v>54</v>
      </c>
      <c r="B628" s="65" t="s">
        <v>37</v>
      </c>
      <c r="C628" s="65" t="s">
        <v>23</v>
      </c>
      <c r="D628" s="65" t="s">
        <v>39</v>
      </c>
      <c r="E628" s="65" t="s">
        <v>25</v>
      </c>
      <c r="F628" s="65" t="s">
        <v>25</v>
      </c>
      <c r="G628" s="65" t="s">
        <v>25</v>
      </c>
      <c r="H628" s="65" t="s">
        <v>25</v>
      </c>
      <c r="I628" s="75">
        <v>44621</v>
      </c>
      <c r="J628" s="76">
        <f>EFEITO!$J$628*EFEITO!$Y$628</f>
        <v>0</v>
      </c>
      <c r="K628" s="76">
        <f ca="1">EFEITO!$L$628*EFEITO!$Z$628</f>
        <v>11425.402268725633</v>
      </c>
      <c r="L628" s="76">
        <f>EFEITO!$N$628*EFEITO!$AA$628</f>
        <v>5029.4154156559507</v>
      </c>
      <c r="M628" s="76">
        <f>$J$628-EFEITO!$K$628*EFEITO!$Y$628</f>
        <v>0</v>
      </c>
      <c r="N628" s="76">
        <f ca="1">$K$628-EFEITO!$M$628*EFEITO!$Z$628</f>
        <v>0</v>
      </c>
      <c r="O628" s="76">
        <f>$L$628-EFEITO!$O$628*EFEITO!$AA$628</f>
        <v>0</v>
      </c>
      <c r="P628" s="19"/>
      <c r="Q628" s="19"/>
      <c r="R628" s="19"/>
      <c r="S628" s="19"/>
      <c r="T628" s="19"/>
      <c r="U628" s="19"/>
      <c r="V628" s="19"/>
      <c r="W628" s="19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65" t="s">
        <v>21</v>
      </c>
      <c r="B629" s="65" t="s">
        <v>37</v>
      </c>
      <c r="C629" s="65" t="s">
        <v>23</v>
      </c>
      <c r="D629" s="65" t="s">
        <v>38</v>
      </c>
      <c r="E629" s="65" t="s">
        <v>25</v>
      </c>
      <c r="F629" s="65" t="s">
        <v>25</v>
      </c>
      <c r="G629" s="65" t="s">
        <v>25</v>
      </c>
      <c r="H629" s="65" t="s">
        <v>25</v>
      </c>
      <c r="I629" s="75">
        <v>44287</v>
      </c>
      <c r="J629" s="76">
        <f>EFEITO!$J$629*EFEITO!$Y$629</f>
        <v>0</v>
      </c>
      <c r="K629" s="76">
        <f ca="1">EFEITO!$L$629*EFEITO!$Z$629</f>
        <v>26237.390670760247</v>
      </c>
      <c r="L629" s="76">
        <f>EFEITO!$N$629*EFEITO!$AA$629</f>
        <v>11549.592215874569</v>
      </c>
      <c r="M629" s="76">
        <f>$J$629-EFEITO!$K$629*EFEITO!$Y$629</f>
        <v>0</v>
      </c>
      <c r="N629" s="76">
        <f ca="1">$K$629-EFEITO!$M$629*EFEITO!$Z$629</f>
        <v>0</v>
      </c>
      <c r="O629" s="76">
        <f>$L$629-EFEITO!$O$629*EFEITO!$AA$629</f>
        <v>0</v>
      </c>
      <c r="P629" s="19"/>
      <c r="Q629" s="19"/>
      <c r="R629" s="19"/>
      <c r="S629" s="19"/>
      <c r="T629" s="19"/>
      <c r="U629" s="19"/>
      <c r="V629" s="19"/>
      <c r="W629" s="19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65" t="s">
        <v>21</v>
      </c>
      <c r="B630" s="65" t="s">
        <v>37</v>
      </c>
      <c r="C630" s="65" t="s">
        <v>23</v>
      </c>
      <c r="D630" s="65" t="s">
        <v>38</v>
      </c>
      <c r="E630" s="65" t="s">
        <v>25</v>
      </c>
      <c r="F630" s="65" t="s">
        <v>25</v>
      </c>
      <c r="G630" s="65" t="s">
        <v>25</v>
      </c>
      <c r="H630" s="65" t="s">
        <v>25</v>
      </c>
      <c r="I630" s="75">
        <v>44317</v>
      </c>
      <c r="J630" s="76">
        <f>EFEITO!$J$630*EFEITO!$Y$630</f>
        <v>0</v>
      </c>
      <c r="K630" s="76">
        <f ca="1">EFEITO!$L$630*EFEITO!$Z$630</f>
        <v>34777.026040197634</v>
      </c>
      <c r="L630" s="76">
        <f>EFEITO!$N$630*EFEITO!$AA$630</f>
        <v>15308.704828363761</v>
      </c>
      <c r="M630" s="76">
        <f>$J$630-EFEITO!$K$630*EFEITO!$Y$630</f>
        <v>0</v>
      </c>
      <c r="N630" s="76">
        <f ca="1">$K$630-EFEITO!$M$630*EFEITO!$Z$630</f>
        <v>0</v>
      </c>
      <c r="O630" s="76">
        <f>$L$630-EFEITO!$O$630*EFEITO!$AA$630</f>
        <v>0</v>
      </c>
      <c r="P630" s="19"/>
      <c r="Q630" s="19"/>
      <c r="R630" s="19"/>
      <c r="S630" s="19"/>
      <c r="T630" s="19"/>
      <c r="U630" s="19"/>
      <c r="V630" s="19"/>
      <c r="W630" s="19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65" t="s">
        <v>21</v>
      </c>
      <c r="B631" s="65" t="s">
        <v>37</v>
      </c>
      <c r="C631" s="65" t="s">
        <v>23</v>
      </c>
      <c r="D631" s="65" t="s">
        <v>38</v>
      </c>
      <c r="E631" s="65" t="s">
        <v>25</v>
      </c>
      <c r="F631" s="65" t="s">
        <v>25</v>
      </c>
      <c r="G631" s="65" t="s">
        <v>25</v>
      </c>
      <c r="H631" s="65" t="s">
        <v>25</v>
      </c>
      <c r="I631" s="75">
        <v>44348</v>
      </c>
      <c r="J631" s="76">
        <f>EFEITO!$J$631*EFEITO!$Y$631</f>
        <v>0</v>
      </c>
      <c r="K631" s="76">
        <f ca="1">EFEITO!$L$631*EFEITO!$Z$631</f>
        <v>25256.516672441267</v>
      </c>
      <c r="L631" s="76">
        <f>EFEITO!$N$631*EFEITO!$AA$631</f>
        <v>11117.81548784941</v>
      </c>
      <c r="M631" s="76">
        <f>$J$631-EFEITO!$K$631*EFEITO!$Y$631</f>
        <v>0</v>
      </c>
      <c r="N631" s="76">
        <f ca="1">$K$631-EFEITO!$M$631*EFEITO!$Z$631</f>
        <v>0</v>
      </c>
      <c r="O631" s="76">
        <f>$L$631-EFEITO!$O$631*EFEITO!$AA$631</f>
        <v>0</v>
      </c>
      <c r="P631" s="19"/>
      <c r="Q631" s="19"/>
      <c r="R631" s="19"/>
      <c r="S631" s="19"/>
      <c r="T631" s="19"/>
      <c r="U631" s="19"/>
      <c r="V631" s="19"/>
      <c r="W631" s="19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65" t="s">
        <v>21</v>
      </c>
      <c r="B632" s="65" t="s">
        <v>37</v>
      </c>
      <c r="C632" s="65" t="s">
        <v>23</v>
      </c>
      <c r="D632" s="65" t="s">
        <v>38</v>
      </c>
      <c r="E632" s="65" t="s">
        <v>25</v>
      </c>
      <c r="F632" s="65" t="s">
        <v>25</v>
      </c>
      <c r="G632" s="65" t="s">
        <v>25</v>
      </c>
      <c r="H632" s="65" t="s">
        <v>25</v>
      </c>
      <c r="I632" s="75">
        <v>44378</v>
      </c>
      <c r="J632" s="76">
        <f>EFEITO!$J$632*EFEITO!$Y$632</f>
        <v>0</v>
      </c>
      <c r="K632" s="76">
        <f ca="1">EFEITO!$L$632*EFEITO!$Z$632</f>
        <v>24806.619828454237</v>
      </c>
      <c r="L632" s="76">
        <f>EFEITO!$N$632*EFEITO!$AA$632</f>
        <v>10919.772734571743</v>
      </c>
      <c r="M632" s="76">
        <f>$J$632-EFEITO!$K$632*EFEITO!$Y$632</f>
        <v>0</v>
      </c>
      <c r="N632" s="76">
        <f ca="1">$K$632-EFEITO!$M$632*EFEITO!$Z$632</f>
        <v>0</v>
      </c>
      <c r="O632" s="76">
        <f>$L$632-EFEITO!$O$632*EFEITO!$AA$632</f>
        <v>0</v>
      </c>
      <c r="P632" s="19"/>
      <c r="Q632" s="19"/>
      <c r="R632" s="19"/>
      <c r="S632" s="19"/>
      <c r="T632" s="19"/>
      <c r="U632" s="19"/>
      <c r="V632" s="19"/>
      <c r="W632" s="19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65" t="s">
        <v>21</v>
      </c>
      <c r="B633" s="65" t="s">
        <v>37</v>
      </c>
      <c r="C633" s="65" t="s">
        <v>23</v>
      </c>
      <c r="D633" s="65" t="s">
        <v>38</v>
      </c>
      <c r="E633" s="65" t="s">
        <v>25</v>
      </c>
      <c r="F633" s="65" t="s">
        <v>25</v>
      </c>
      <c r="G633" s="65" t="s">
        <v>25</v>
      </c>
      <c r="H633" s="65" t="s">
        <v>25</v>
      </c>
      <c r="I633" s="75">
        <v>44409</v>
      </c>
      <c r="J633" s="76">
        <f>EFEITO!$J$633*EFEITO!$Y$633</f>
        <v>0</v>
      </c>
      <c r="K633" s="76">
        <f ca="1">EFEITO!$L$633*EFEITO!$Z$633</f>
        <v>27857.019309113566</v>
      </c>
      <c r="L633" s="76">
        <f>EFEITO!$N$633*EFEITO!$AA$633</f>
        <v>12262.546127674173</v>
      </c>
      <c r="M633" s="76">
        <f>$J$633-EFEITO!$K$633*EFEITO!$Y$633</f>
        <v>0</v>
      </c>
      <c r="N633" s="76">
        <f ca="1">$K$633-EFEITO!$M$633*EFEITO!$Z$633</f>
        <v>0</v>
      </c>
      <c r="O633" s="76">
        <f>$L$633-EFEITO!$O$633*EFEITO!$AA$633</f>
        <v>0</v>
      </c>
      <c r="P633" s="19"/>
      <c r="Q633" s="19"/>
      <c r="R633" s="19"/>
      <c r="S633" s="19"/>
      <c r="T633" s="19"/>
      <c r="U633" s="19"/>
      <c r="V633" s="19"/>
      <c r="W633" s="19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65" t="s">
        <v>21</v>
      </c>
      <c r="B634" s="65" t="s">
        <v>37</v>
      </c>
      <c r="C634" s="65" t="s">
        <v>23</v>
      </c>
      <c r="D634" s="65" t="s">
        <v>38</v>
      </c>
      <c r="E634" s="65" t="s">
        <v>25</v>
      </c>
      <c r="F634" s="65" t="s">
        <v>25</v>
      </c>
      <c r="G634" s="65" t="s">
        <v>25</v>
      </c>
      <c r="H634" s="65" t="s">
        <v>25</v>
      </c>
      <c r="I634" s="75">
        <v>44440</v>
      </c>
      <c r="J634" s="76">
        <f>EFEITO!$J$634*EFEITO!$Y$634</f>
        <v>0</v>
      </c>
      <c r="K634" s="76">
        <f ca="1">EFEITO!$L$634*EFEITO!$Z$634</f>
        <v>31118.524231951429</v>
      </c>
      <c r="L634" s="76">
        <f>EFEITO!$N$634*EFEITO!$AA$634</f>
        <v>13698.247274237667</v>
      </c>
      <c r="M634" s="76">
        <f>$J$634-EFEITO!$K$634*EFEITO!$Y$634</f>
        <v>0</v>
      </c>
      <c r="N634" s="76">
        <f ca="1">$K$634-EFEITO!$M$634*EFEITO!$Z$634</f>
        <v>0</v>
      </c>
      <c r="O634" s="76">
        <f>$L$634-EFEITO!$O$634*EFEITO!$AA$634</f>
        <v>0</v>
      </c>
      <c r="P634" s="19"/>
      <c r="Q634" s="19"/>
      <c r="R634" s="19"/>
      <c r="S634" s="19"/>
      <c r="T634" s="19"/>
      <c r="U634" s="19"/>
      <c r="V634" s="19"/>
      <c r="W634" s="19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65" t="s">
        <v>21</v>
      </c>
      <c r="B635" s="65" t="s">
        <v>37</v>
      </c>
      <c r="C635" s="65" t="s">
        <v>23</v>
      </c>
      <c r="D635" s="65" t="s">
        <v>38</v>
      </c>
      <c r="E635" s="65" t="s">
        <v>25</v>
      </c>
      <c r="F635" s="65" t="s">
        <v>25</v>
      </c>
      <c r="G635" s="65" t="s">
        <v>25</v>
      </c>
      <c r="H635" s="65" t="s">
        <v>25</v>
      </c>
      <c r="I635" s="75">
        <v>44470</v>
      </c>
      <c r="J635" s="76">
        <f>EFEITO!$J$635*EFEITO!$Y$635</f>
        <v>0</v>
      </c>
      <c r="K635" s="76">
        <f ca="1">EFEITO!$L$635*EFEITO!$Z$635</f>
        <v>26852.41448825461</v>
      </c>
      <c r="L635" s="76">
        <f>EFEITO!$N$635*EFEITO!$AA$635</f>
        <v>11820.323188487118</v>
      </c>
      <c r="M635" s="76">
        <f>$J$635-EFEITO!$K$635*EFEITO!$Y$635</f>
        <v>0</v>
      </c>
      <c r="N635" s="76">
        <f ca="1">$K$635-EFEITO!$M$635*EFEITO!$Z$635</f>
        <v>0</v>
      </c>
      <c r="O635" s="76">
        <f>$L$635-EFEITO!$O$635*EFEITO!$AA$635</f>
        <v>0</v>
      </c>
      <c r="P635" s="19"/>
      <c r="Q635" s="19"/>
      <c r="R635" s="19"/>
      <c r="S635" s="19"/>
      <c r="T635" s="19"/>
      <c r="U635" s="19"/>
      <c r="V635" s="19"/>
      <c r="W635" s="19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65" t="s">
        <v>21</v>
      </c>
      <c r="B636" s="65" t="s">
        <v>37</v>
      </c>
      <c r="C636" s="65" t="s">
        <v>23</v>
      </c>
      <c r="D636" s="65" t="s">
        <v>38</v>
      </c>
      <c r="E636" s="65" t="s">
        <v>25</v>
      </c>
      <c r="F636" s="65" t="s">
        <v>25</v>
      </c>
      <c r="G636" s="65" t="s">
        <v>25</v>
      </c>
      <c r="H636" s="65" t="s">
        <v>25</v>
      </c>
      <c r="I636" s="75">
        <v>44501</v>
      </c>
      <c r="J636" s="76">
        <f>EFEITO!$J$636*EFEITO!$Y$636</f>
        <v>0</v>
      </c>
      <c r="K636" s="76">
        <f ca="1">EFEITO!$L$636*EFEITO!$Z$636</f>
        <v>27139.16192727931</v>
      </c>
      <c r="L636" s="76">
        <f>EFEITO!$N$636*EFEITO!$AA$636</f>
        <v>11946.54824002673</v>
      </c>
      <c r="M636" s="76">
        <f>$J$636-EFEITO!$K$636*EFEITO!$Y$636</f>
        <v>0</v>
      </c>
      <c r="N636" s="76">
        <f ca="1">$K$636-EFEITO!$M$636*EFEITO!$Z$636</f>
        <v>0</v>
      </c>
      <c r="O636" s="76">
        <f>$L$636-EFEITO!$O$636*EFEITO!$AA$636</f>
        <v>0</v>
      </c>
      <c r="P636" s="19"/>
      <c r="Q636" s="19"/>
      <c r="R636" s="19"/>
      <c r="S636" s="19"/>
      <c r="T636" s="19"/>
      <c r="U636" s="19"/>
      <c r="V636" s="19"/>
      <c r="W636" s="19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65" t="s">
        <v>28</v>
      </c>
      <c r="B637" s="65" t="s">
        <v>37</v>
      </c>
      <c r="C637" s="65" t="s">
        <v>23</v>
      </c>
      <c r="D637" s="65" t="s">
        <v>38</v>
      </c>
      <c r="E637" s="65" t="s">
        <v>25</v>
      </c>
      <c r="F637" s="65" t="s">
        <v>25</v>
      </c>
      <c r="G637" s="65" t="s">
        <v>25</v>
      </c>
      <c r="H637" s="65" t="s">
        <v>25</v>
      </c>
      <c r="I637" s="75">
        <v>44501</v>
      </c>
      <c r="J637" s="76">
        <f>EFEITO!$J$637*EFEITO!$Y$637</f>
        <v>0</v>
      </c>
      <c r="K637" s="76">
        <f ca="1">EFEITO!$L$637*EFEITO!$Z$637</f>
        <v>49.43921362494865</v>
      </c>
      <c r="L637" s="76">
        <f>EFEITO!$N$637*EFEITO!$AA$637</f>
        <v>21.762939920622895</v>
      </c>
      <c r="M637" s="76">
        <f>$J$637-EFEITO!$K$637*EFEITO!$Y$637</f>
        <v>0</v>
      </c>
      <c r="N637" s="76">
        <f ca="1">$K$637-EFEITO!$M$637*EFEITO!$Z$637</f>
        <v>0</v>
      </c>
      <c r="O637" s="76">
        <f>$L$637-EFEITO!$O$637*EFEITO!$AA$637</f>
        <v>0</v>
      </c>
      <c r="P637" s="19"/>
      <c r="Q637" s="19"/>
      <c r="R637" s="19"/>
      <c r="S637" s="19"/>
      <c r="T637" s="19"/>
      <c r="U637" s="19"/>
      <c r="V637" s="19"/>
      <c r="W637" s="19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65" t="s">
        <v>21</v>
      </c>
      <c r="B638" s="65" t="s">
        <v>37</v>
      </c>
      <c r="C638" s="65" t="s">
        <v>23</v>
      </c>
      <c r="D638" s="65" t="s">
        <v>38</v>
      </c>
      <c r="E638" s="65" t="s">
        <v>25</v>
      </c>
      <c r="F638" s="65" t="s">
        <v>25</v>
      </c>
      <c r="G638" s="65" t="s">
        <v>25</v>
      </c>
      <c r="H638" s="65" t="s">
        <v>25</v>
      </c>
      <c r="I638" s="75">
        <v>44531</v>
      </c>
      <c r="J638" s="76">
        <f>EFEITO!$J$638*EFEITO!$Y$638</f>
        <v>0</v>
      </c>
      <c r="K638" s="76">
        <f ca="1">EFEITO!$L$638*EFEITO!$Z$638</f>
        <v>22556.641216382821</v>
      </c>
      <c r="L638" s="76">
        <f>EFEITO!$N$638*EFEITO!$AA$638</f>
        <v>9929.3413387841938</v>
      </c>
      <c r="M638" s="76">
        <f>$J$638-EFEITO!$K$638*EFEITO!$Y$638</f>
        <v>0</v>
      </c>
      <c r="N638" s="76">
        <f ca="1">$K$638-EFEITO!$M$638*EFEITO!$Z$638</f>
        <v>0</v>
      </c>
      <c r="O638" s="76">
        <f>$L$638-EFEITO!$O$638*EFEITO!$AA$638</f>
        <v>0</v>
      </c>
      <c r="P638" s="19"/>
      <c r="Q638" s="19"/>
      <c r="R638" s="19"/>
      <c r="S638" s="19"/>
      <c r="T638" s="19"/>
      <c r="U638" s="19"/>
      <c r="V638" s="19"/>
      <c r="W638" s="19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65" t="s">
        <v>28</v>
      </c>
      <c r="B639" s="65" t="s">
        <v>37</v>
      </c>
      <c r="C639" s="65" t="s">
        <v>23</v>
      </c>
      <c r="D639" s="65" t="s">
        <v>38</v>
      </c>
      <c r="E639" s="65" t="s">
        <v>25</v>
      </c>
      <c r="F639" s="65" t="s">
        <v>25</v>
      </c>
      <c r="G639" s="65" t="s">
        <v>25</v>
      </c>
      <c r="H639" s="65" t="s">
        <v>25</v>
      </c>
      <c r="I639" s="75">
        <v>44531</v>
      </c>
      <c r="J639" s="76">
        <f>EFEITO!$J$639*EFEITO!$Y$639</f>
        <v>0</v>
      </c>
      <c r="K639" s="76">
        <f ca="1">EFEITO!$L$639*EFEITO!$Z$639</f>
        <v>49.43921362494865</v>
      </c>
      <c r="L639" s="76">
        <f>EFEITO!$N$639*EFEITO!$AA$639</f>
        <v>21.762939920622895</v>
      </c>
      <c r="M639" s="76">
        <f>$J$639-EFEITO!$K$639*EFEITO!$Y$639</f>
        <v>0</v>
      </c>
      <c r="N639" s="76">
        <f ca="1">$K$639-EFEITO!$M$639*EFEITO!$Z$639</f>
        <v>0</v>
      </c>
      <c r="O639" s="76">
        <f>$L$639-EFEITO!$O$639*EFEITO!$AA$639</f>
        <v>0</v>
      </c>
      <c r="P639" s="19"/>
      <c r="Q639" s="19"/>
      <c r="R639" s="19"/>
      <c r="S639" s="19"/>
      <c r="T639" s="19"/>
      <c r="U639" s="19"/>
      <c r="V639" s="19"/>
      <c r="W639" s="19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65" t="s">
        <v>21</v>
      </c>
      <c r="B640" s="65" t="s">
        <v>37</v>
      </c>
      <c r="C640" s="65" t="s">
        <v>23</v>
      </c>
      <c r="D640" s="65" t="s">
        <v>38</v>
      </c>
      <c r="E640" s="65" t="s">
        <v>25</v>
      </c>
      <c r="F640" s="65" t="s">
        <v>25</v>
      </c>
      <c r="G640" s="65" t="s">
        <v>25</v>
      </c>
      <c r="H640" s="65" t="s">
        <v>25</v>
      </c>
      <c r="I640" s="75">
        <v>44562</v>
      </c>
      <c r="J640" s="76">
        <f>EFEITO!$J$640*EFEITO!$Y$640</f>
        <v>0</v>
      </c>
      <c r="K640" s="76">
        <f ca="1">EFEITO!$L$640*EFEITO!$Z$640</f>
        <v>28063.180829929603</v>
      </c>
      <c r="L640" s="76">
        <f>EFEITO!$N$640*EFEITO!$AA$640</f>
        <v>12353.297587143172</v>
      </c>
      <c r="M640" s="76">
        <f>$J$640-EFEITO!$K$640*EFEITO!$Y$640</f>
        <v>0</v>
      </c>
      <c r="N640" s="76">
        <f ca="1">$K$640-EFEITO!$M$640*EFEITO!$Z$640</f>
        <v>0</v>
      </c>
      <c r="O640" s="76">
        <f>$L$640-EFEITO!$O$640*EFEITO!$AA$640</f>
        <v>0</v>
      </c>
      <c r="P640" s="19"/>
      <c r="Q640" s="19"/>
      <c r="R640" s="19"/>
      <c r="S640" s="19"/>
      <c r="T640" s="19"/>
      <c r="U640" s="19"/>
      <c r="V640" s="19"/>
      <c r="W640" s="19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65" t="s">
        <v>28</v>
      </c>
      <c r="B641" s="65" t="s">
        <v>37</v>
      </c>
      <c r="C641" s="65" t="s">
        <v>23</v>
      </c>
      <c r="D641" s="65" t="s">
        <v>38</v>
      </c>
      <c r="E641" s="65" t="s">
        <v>25</v>
      </c>
      <c r="F641" s="65" t="s">
        <v>25</v>
      </c>
      <c r="G641" s="65" t="s">
        <v>25</v>
      </c>
      <c r="H641" s="65" t="s">
        <v>25</v>
      </c>
      <c r="I641" s="75">
        <v>44562</v>
      </c>
      <c r="J641" s="76">
        <f>EFEITO!$J$641*EFEITO!$Y$641</f>
        <v>0</v>
      </c>
      <c r="K641" s="76">
        <f ca="1">EFEITO!$L$641*EFEITO!$Z$641</f>
        <v>49.43921362494865</v>
      </c>
      <c r="L641" s="76">
        <f>EFEITO!$N$641*EFEITO!$AA$641</f>
        <v>21.762939920622895</v>
      </c>
      <c r="M641" s="76">
        <f>$J$641-EFEITO!$K$641*EFEITO!$Y$641</f>
        <v>0</v>
      </c>
      <c r="N641" s="76">
        <f ca="1">$K$641-EFEITO!$M$641*EFEITO!$Z$641</f>
        <v>0</v>
      </c>
      <c r="O641" s="76">
        <f>$L$641-EFEITO!$O$641*EFEITO!$AA$641</f>
        <v>0</v>
      </c>
      <c r="P641" s="19"/>
      <c r="Q641" s="19"/>
      <c r="R641" s="19"/>
      <c r="S641" s="19"/>
      <c r="T641" s="19"/>
      <c r="U641" s="19"/>
      <c r="V641" s="19"/>
      <c r="W641" s="19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65" t="s">
        <v>21</v>
      </c>
      <c r="B642" s="65" t="s">
        <v>37</v>
      </c>
      <c r="C642" s="65" t="s">
        <v>23</v>
      </c>
      <c r="D642" s="65" t="s">
        <v>38</v>
      </c>
      <c r="E642" s="65" t="s">
        <v>25</v>
      </c>
      <c r="F642" s="65" t="s">
        <v>25</v>
      </c>
      <c r="G642" s="65" t="s">
        <v>25</v>
      </c>
      <c r="H642" s="65" t="s">
        <v>25</v>
      </c>
      <c r="I642" s="75">
        <v>44593</v>
      </c>
      <c r="J642" s="76">
        <f>EFEITO!$J$642*EFEITO!$Y$642</f>
        <v>0</v>
      </c>
      <c r="K642" s="76">
        <f ca="1">EFEITO!$L$642*EFEITO!$Z$642</f>
        <v>25189.279341911337</v>
      </c>
      <c r="L642" s="76">
        <f>EFEITO!$N$642*EFEITO!$AA$642</f>
        <v>11088.217889557365</v>
      </c>
      <c r="M642" s="76">
        <f>$J$642-EFEITO!$K$642*EFEITO!$Y$642</f>
        <v>0</v>
      </c>
      <c r="N642" s="76">
        <f ca="1">$K$642-EFEITO!$M$642*EFEITO!$Z$642</f>
        <v>0</v>
      </c>
      <c r="O642" s="76">
        <f>$L$642-EFEITO!$O$642*EFEITO!$AA$642</f>
        <v>0</v>
      </c>
      <c r="P642" s="19"/>
      <c r="Q642" s="19"/>
      <c r="R642" s="19"/>
      <c r="S642" s="19"/>
      <c r="T642" s="19"/>
      <c r="U642" s="19"/>
      <c r="V642" s="19"/>
      <c r="W642" s="19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65" t="s">
        <v>28</v>
      </c>
      <c r="B643" s="65" t="s">
        <v>37</v>
      </c>
      <c r="C643" s="65" t="s">
        <v>23</v>
      </c>
      <c r="D643" s="65" t="s">
        <v>38</v>
      </c>
      <c r="E643" s="65" t="s">
        <v>25</v>
      </c>
      <c r="F643" s="65" t="s">
        <v>25</v>
      </c>
      <c r="G643" s="65" t="s">
        <v>25</v>
      </c>
      <c r="H643" s="65" t="s">
        <v>25</v>
      </c>
      <c r="I643" s="75">
        <v>44593</v>
      </c>
      <c r="J643" s="76">
        <f>EFEITO!$J$643*EFEITO!$Y$643</f>
        <v>0</v>
      </c>
      <c r="K643" s="76">
        <f ca="1">EFEITO!$L$643*EFEITO!$Z$643</f>
        <v>74.158820437422975</v>
      </c>
      <c r="L643" s="76">
        <f>EFEITO!$N$643*EFEITO!$AA$643</f>
        <v>32.64440988093434</v>
      </c>
      <c r="M643" s="76">
        <f>$J$643-EFEITO!$K$643*EFEITO!$Y$643</f>
        <v>0</v>
      </c>
      <c r="N643" s="76">
        <f ca="1">$K$643-EFEITO!$M$643*EFEITO!$Z$643</f>
        <v>0</v>
      </c>
      <c r="O643" s="76">
        <f>$L$643-EFEITO!$O$643*EFEITO!$AA$643</f>
        <v>0</v>
      </c>
      <c r="P643" s="19"/>
      <c r="Q643" s="19"/>
      <c r="R643" s="19"/>
      <c r="S643" s="19"/>
      <c r="T643" s="19"/>
      <c r="U643" s="19"/>
      <c r="V643" s="19"/>
      <c r="W643" s="19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65" t="s">
        <v>54</v>
      </c>
      <c r="B644" s="65" t="s">
        <v>37</v>
      </c>
      <c r="C644" s="65" t="s">
        <v>23</v>
      </c>
      <c r="D644" s="65" t="s">
        <v>38</v>
      </c>
      <c r="E644" s="65" t="s">
        <v>25</v>
      </c>
      <c r="F644" s="65" t="s">
        <v>25</v>
      </c>
      <c r="G644" s="65" t="s">
        <v>25</v>
      </c>
      <c r="H644" s="65" t="s">
        <v>25</v>
      </c>
      <c r="I644" s="75">
        <v>44621</v>
      </c>
      <c r="J644" s="76">
        <f>EFEITO!$J$644*EFEITO!$Y$644</f>
        <v>0</v>
      </c>
      <c r="K644" s="76">
        <f ca="1">EFEITO!$L$644*EFEITO!$Z$644</f>
        <v>25189.279341911337</v>
      </c>
      <c r="L644" s="76">
        <f>EFEITO!$N$644*EFEITO!$AA$644</f>
        <v>11088.217889557365</v>
      </c>
      <c r="M644" s="76">
        <f>$J$644-EFEITO!$K$644*EFEITO!$Y$644</f>
        <v>0</v>
      </c>
      <c r="N644" s="76">
        <f ca="1">$K$644-EFEITO!$M$644*EFEITO!$Z$644</f>
        <v>0</v>
      </c>
      <c r="O644" s="76">
        <f>$L$644-EFEITO!$O$644*EFEITO!$AA$644</f>
        <v>0</v>
      </c>
      <c r="P644" s="19"/>
      <c r="Q644" s="19"/>
      <c r="R644" s="19"/>
      <c r="S644" s="19"/>
      <c r="T644" s="19"/>
      <c r="U644" s="19"/>
      <c r="V644" s="19"/>
      <c r="W644" s="19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65" t="s">
        <v>54</v>
      </c>
      <c r="B645" s="65" t="s">
        <v>37</v>
      </c>
      <c r="C645" s="65" t="s">
        <v>23</v>
      </c>
      <c r="D645" s="65" t="s">
        <v>38</v>
      </c>
      <c r="E645" s="65" t="s">
        <v>25</v>
      </c>
      <c r="F645" s="65" t="s">
        <v>25</v>
      </c>
      <c r="G645" s="65" t="s">
        <v>25</v>
      </c>
      <c r="H645" s="65" t="s">
        <v>25</v>
      </c>
      <c r="I645" s="75">
        <v>44621</v>
      </c>
      <c r="J645" s="76">
        <f>EFEITO!$J$645*EFEITO!$Y$645</f>
        <v>0</v>
      </c>
      <c r="K645" s="76">
        <f ca="1">EFEITO!$L$645*EFEITO!$Z$645</f>
        <v>74.158820437422975</v>
      </c>
      <c r="L645" s="76">
        <f>EFEITO!$N$645*EFEITO!$AA$645</f>
        <v>32.64440988093434</v>
      </c>
      <c r="M645" s="76">
        <f>$J$645-EFEITO!$K$645*EFEITO!$Y$645</f>
        <v>0</v>
      </c>
      <c r="N645" s="76">
        <f ca="1">$K$645-EFEITO!$M$645*EFEITO!$Z$645</f>
        <v>0</v>
      </c>
      <c r="O645" s="76">
        <f>$L$645-EFEITO!$O$645*EFEITO!$AA$645</f>
        <v>0</v>
      </c>
      <c r="P645" s="19"/>
      <c r="Q645" s="19"/>
      <c r="R645" s="19"/>
      <c r="S645" s="19"/>
      <c r="T645" s="19"/>
      <c r="U645" s="19"/>
      <c r="V645" s="19"/>
      <c r="W645" s="19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65" t="s">
        <v>21</v>
      </c>
      <c r="B646" s="65" t="s">
        <v>37</v>
      </c>
      <c r="C646" s="65" t="s">
        <v>23</v>
      </c>
      <c r="D646" s="65" t="s">
        <v>42</v>
      </c>
      <c r="E646" s="65" t="s">
        <v>25</v>
      </c>
      <c r="F646" s="65" t="s">
        <v>25</v>
      </c>
      <c r="G646" s="65" t="s">
        <v>25</v>
      </c>
      <c r="H646" s="65" t="s">
        <v>25</v>
      </c>
      <c r="I646" s="75">
        <v>44287</v>
      </c>
      <c r="J646" s="76">
        <f>EFEITO!$J$646*EFEITO!$Y$646</f>
        <v>0</v>
      </c>
      <c r="K646" s="76">
        <f ca="1">EFEITO!$L$646*EFEITO!$Z$646</f>
        <v>15505.126177056394</v>
      </c>
      <c r="L646" s="76">
        <f>EFEITO!$N$646*EFEITO!$AA$646</f>
        <v>6825.2932179057516</v>
      </c>
      <c r="M646" s="76">
        <f>$J$646-EFEITO!$K$646*EFEITO!$Y$646</f>
        <v>0</v>
      </c>
      <c r="N646" s="76">
        <f ca="1">$K$646-EFEITO!$M$646*EFEITO!$Z$646</f>
        <v>0</v>
      </c>
      <c r="O646" s="76">
        <f>$L$646-EFEITO!$O$646*EFEITO!$AA$646</f>
        <v>0</v>
      </c>
      <c r="P646" s="19"/>
      <c r="Q646" s="19"/>
      <c r="R646" s="19"/>
      <c r="S646" s="19"/>
      <c r="T646" s="19"/>
      <c r="U646" s="19"/>
      <c r="V646" s="19"/>
      <c r="W646" s="19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65" t="s">
        <v>21</v>
      </c>
      <c r="B647" s="65" t="s">
        <v>37</v>
      </c>
      <c r="C647" s="65" t="s">
        <v>23</v>
      </c>
      <c r="D647" s="65" t="s">
        <v>42</v>
      </c>
      <c r="E647" s="65" t="s">
        <v>25</v>
      </c>
      <c r="F647" s="65" t="s">
        <v>25</v>
      </c>
      <c r="G647" s="65" t="s">
        <v>25</v>
      </c>
      <c r="H647" s="65" t="s">
        <v>25</v>
      </c>
      <c r="I647" s="75">
        <v>44317</v>
      </c>
      <c r="J647" s="76">
        <f>EFEITO!$J$647*EFEITO!$Y$647</f>
        <v>0</v>
      </c>
      <c r="K647" s="76">
        <f ca="1">EFEITO!$L$647*EFEITO!$Z$647</f>
        <v>14427.845712168764</v>
      </c>
      <c r="L647" s="76">
        <f>EFEITO!$N$647*EFEITO!$AA$647</f>
        <v>6351.0787570353787</v>
      </c>
      <c r="M647" s="76">
        <f>$J$647-EFEITO!$K$647*EFEITO!$Y$647</f>
        <v>0</v>
      </c>
      <c r="N647" s="76">
        <f ca="1">$K$647-EFEITO!$M$647*EFEITO!$Z$647</f>
        <v>0</v>
      </c>
      <c r="O647" s="76">
        <f>$L$647-EFEITO!$O$647*EFEITO!$AA$647</f>
        <v>0</v>
      </c>
      <c r="P647" s="19"/>
      <c r="Q647" s="19"/>
      <c r="R647" s="19"/>
      <c r="S647" s="19"/>
      <c r="T647" s="19"/>
      <c r="U647" s="19"/>
      <c r="V647" s="19"/>
      <c r="W647" s="19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65" t="s">
        <v>21</v>
      </c>
      <c r="B648" s="65" t="s">
        <v>37</v>
      </c>
      <c r="C648" s="65" t="s">
        <v>23</v>
      </c>
      <c r="D648" s="65" t="s">
        <v>42</v>
      </c>
      <c r="E648" s="65" t="s">
        <v>25</v>
      </c>
      <c r="F648" s="65" t="s">
        <v>25</v>
      </c>
      <c r="G648" s="65" t="s">
        <v>25</v>
      </c>
      <c r="H648" s="65" t="s">
        <v>25</v>
      </c>
      <c r="I648" s="75">
        <v>44348</v>
      </c>
      <c r="J648" s="76">
        <f>EFEITO!$J$648*EFEITO!$Y$648</f>
        <v>0</v>
      </c>
      <c r="K648" s="76">
        <f ca="1">EFEITO!$L$648*EFEITO!$Z$648</f>
        <v>14940.035965323234</v>
      </c>
      <c r="L648" s="76">
        <f>EFEITO!$N$648*EFEITO!$AA$648</f>
        <v>6576.5428146130325</v>
      </c>
      <c r="M648" s="76">
        <f>$J$648-EFEITO!$K$648*EFEITO!$Y$648</f>
        <v>0</v>
      </c>
      <c r="N648" s="76">
        <f ca="1">$K$648-EFEITO!$M$648*EFEITO!$Z$648</f>
        <v>0</v>
      </c>
      <c r="O648" s="76">
        <f>$L$648-EFEITO!$O$648*EFEITO!$AA$648</f>
        <v>0</v>
      </c>
      <c r="P648" s="19"/>
      <c r="Q648" s="19"/>
      <c r="R648" s="19"/>
      <c r="S648" s="19"/>
      <c r="T648" s="19"/>
      <c r="U648" s="19"/>
      <c r="V648" s="19"/>
      <c r="W648" s="19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65" t="s">
        <v>21</v>
      </c>
      <c r="B649" s="65" t="s">
        <v>37</v>
      </c>
      <c r="C649" s="65" t="s">
        <v>23</v>
      </c>
      <c r="D649" s="65" t="s">
        <v>42</v>
      </c>
      <c r="E649" s="65" t="s">
        <v>25</v>
      </c>
      <c r="F649" s="65" t="s">
        <v>25</v>
      </c>
      <c r="G649" s="65" t="s">
        <v>25</v>
      </c>
      <c r="H649" s="65" t="s">
        <v>25</v>
      </c>
      <c r="I649" s="75">
        <v>44378</v>
      </c>
      <c r="J649" s="76">
        <f>EFEITO!$J$649*EFEITO!$Y$649</f>
        <v>0</v>
      </c>
      <c r="K649" s="76">
        <f ca="1">EFEITO!$L$649*EFEITO!$Z$649</f>
        <v>13920.599380376791</v>
      </c>
      <c r="L649" s="76">
        <f>EFEITO!$N$649*EFEITO!$AA$649</f>
        <v>6127.7909934497875</v>
      </c>
      <c r="M649" s="76">
        <f>$J$649-EFEITO!$K$649*EFEITO!$Y$649</f>
        <v>0</v>
      </c>
      <c r="N649" s="76">
        <f ca="1">$K$649-EFEITO!$M$649*EFEITO!$Z$649</f>
        <v>0</v>
      </c>
      <c r="O649" s="76">
        <f>$L$649-EFEITO!$O$649*EFEITO!$AA$649</f>
        <v>0</v>
      </c>
      <c r="P649" s="19"/>
      <c r="Q649" s="19"/>
      <c r="R649" s="19"/>
      <c r="S649" s="19"/>
      <c r="T649" s="19"/>
      <c r="U649" s="19"/>
      <c r="V649" s="19"/>
      <c r="W649" s="19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65" t="s">
        <v>21</v>
      </c>
      <c r="B650" s="65" t="s">
        <v>37</v>
      </c>
      <c r="C650" s="65" t="s">
        <v>23</v>
      </c>
      <c r="D650" s="65" t="s">
        <v>42</v>
      </c>
      <c r="E650" s="65" t="s">
        <v>25</v>
      </c>
      <c r="F650" s="65" t="s">
        <v>25</v>
      </c>
      <c r="G650" s="65" t="s">
        <v>25</v>
      </c>
      <c r="H650" s="65" t="s">
        <v>25</v>
      </c>
      <c r="I650" s="75">
        <v>44409</v>
      </c>
      <c r="J650" s="76">
        <f>EFEITO!$J$650*EFEITO!$Y$650</f>
        <v>0</v>
      </c>
      <c r="K650" s="76">
        <f ca="1">EFEITO!$L$650*EFEITO!$Z$650</f>
        <v>15777.041851993612</v>
      </c>
      <c r="L650" s="76">
        <f>EFEITO!$N$650*EFEITO!$AA$650</f>
        <v>6944.989387469177</v>
      </c>
      <c r="M650" s="76">
        <f>$J$650-EFEITO!$K$650*EFEITO!$Y$650</f>
        <v>0</v>
      </c>
      <c r="N650" s="76">
        <f ca="1">$K$650-EFEITO!$M$650*EFEITO!$Z$650</f>
        <v>0</v>
      </c>
      <c r="O650" s="76">
        <f>$L$650-EFEITO!$O$650*EFEITO!$AA$650</f>
        <v>0</v>
      </c>
      <c r="P650" s="19"/>
      <c r="Q650" s="19"/>
      <c r="R650" s="19"/>
      <c r="S650" s="19"/>
      <c r="T650" s="19"/>
      <c r="U650" s="19"/>
      <c r="V650" s="19"/>
      <c r="W650" s="19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65" t="s">
        <v>21</v>
      </c>
      <c r="B651" s="65" t="s">
        <v>37</v>
      </c>
      <c r="C651" s="65" t="s">
        <v>23</v>
      </c>
      <c r="D651" s="65" t="s">
        <v>42</v>
      </c>
      <c r="E651" s="65" t="s">
        <v>25</v>
      </c>
      <c r="F651" s="65" t="s">
        <v>25</v>
      </c>
      <c r="G651" s="65" t="s">
        <v>25</v>
      </c>
      <c r="H651" s="65" t="s">
        <v>25</v>
      </c>
      <c r="I651" s="75">
        <v>44440</v>
      </c>
      <c r="J651" s="76">
        <f>EFEITO!$J$651*EFEITO!$Y$651</f>
        <v>0</v>
      </c>
      <c r="K651" s="76">
        <f ca="1">EFEITO!$L$651*EFEITO!$Z$651</f>
        <v>18709.776004225569</v>
      </c>
      <c r="L651" s="76">
        <f>EFEITO!$N$651*EFEITO!$AA$651</f>
        <v>8235.9669835605273</v>
      </c>
      <c r="M651" s="76">
        <f>$J$651-EFEITO!$K$651*EFEITO!$Y$651</f>
        <v>0</v>
      </c>
      <c r="N651" s="76">
        <f ca="1">$K$651-EFEITO!$M$651*EFEITO!$Z$651</f>
        <v>0</v>
      </c>
      <c r="O651" s="76">
        <f>$L$651-EFEITO!$O$651*EFEITO!$AA$651</f>
        <v>0</v>
      </c>
      <c r="P651" s="19"/>
      <c r="Q651" s="19"/>
      <c r="R651" s="19"/>
      <c r="S651" s="19"/>
      <c r="T651" s="19"/>
      <c r="U651" s="19"/>
      <c r="V651" s="19"/>
      <c r="W651" s="19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65" t="s">
        <v>21</v>
      </c>
      <c r="B652" s="65" t="s">
        <v>37</v>
      </c>
      <c r="C652" s="65" t="s">
        <v>23</v>
      </c>
      <c r="D652" s="65" t="s">
        <v>42</v>
      </c>
      <c r="E652" s="65" t="s">
        <v>25</v>
      </c>
      <c r="F652" s="65" t="s">
        <v>25</v>
      </c>
      <c r="G652" s="65" t="s">
        <v>25</v>
      </c>
      <c r="H652" s="65" t="s">
        <v>25</v>
      </c>
      <c r="I652" s="75">
        <v>44470</v>
      </c>
      <c r="J652" s="76">
        <f>EFEITO!$J$652*EFEITO!$Y$652</f>
        <v>0</v>
      </c>
      <c r="K652" s="76">
        <f ca="1">EFEITO!$L$652*EFEITO!$Z$652</f>
        <v>17753.12722058281</v>
      </c>
      <c r="L652" s="76">
        <f>EFEITO!$N$652*EFEITO!$AA$652</f>
        <v>7814.8540960964747</v>
      </c>
      <c r="M652" s="76">
        <f>$J$652-EFEITO!$K$652*EFEITO!$Y$652</f>
        <v>0</v>
      </c>
      <c r="N652" s="76">
        <f ca="1">$K$652-EFEITO!$M$652*EFEITO!$Z$652</f>
        <v>0</v>
      </c>
      <c r="O652" s="76">
        <f>$L$652-EFEITO!$O$652*EFEITO!$AA$652</f>
        <v>0</v>
      </c>
      <c r="P652" s="19"/>
      <c r="Q652" s="19"/>
      <c r="R652" s="19"/>
      <c r="S652" s="19"/>
      <c r="T652" s="19"/>
      <c r="U652" s="19"/>
      <c r="V652" s="19"/>
      <c r="W652" s="19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65" t="s">
        <v>21</v>
      </c>
      <c r="B653" s="65" t="s">
        <v>37</v>
      </c>
      <c r="C653" s="65" t="s">
        <v>23</v>
      </c>
      <c r="D653" s="65" t="s">
        <v>42</v>
      </c>
      <c r="E653" s="65" t="s">
        <v>25</v>
      </c>
      <c r="F653" s="65" t="s">
        <v>25</v>
      </c>
      <c r="G653" s="65" t="s">
        <v>25</v>
      </c>
      <c r="H653" s="65" t="s">
        <v>25</v>
      </c>
      <c r="I653" s="75">
        <v>44501</v>
      </c>
      <c r="J653" s="76">
        <f>EFEITO!$J$653*EFEITO!$Y$653</f>
        <v>0</v>
      </c>
      <c r="K653" s="76">
        <f ca="1">EFEITO!$L$653*EFEITO!$Z$653</f>
        <v>18160.506340852386</v>
      </c>
      <c r="L653" s="76">
        <f>EFEITO!$N$653*EFEITO!$AA$653</f>
        <v>7994.1807210424067</v>
      </c>
      <c r="M653" s="76">
        <f>$J$653-EFEITO!$K$653*EFEITO!$Y$653</f>
        <v>0</v>
      </c>
      <c r="N653" s="76">
        <f ca="1">$K$653-EFEITO!$M$653*EFEITO!$Z$653</f>
        <v>0</v>
      </c>
      <c r="O653" s="76">
        <f>$L$653-EFEITO!$O$653*EFEITO!$AA$653</f>
        <v>0</v>
      </c>
      <c r="P653" s="19"/>
      <c r="Q653" s="19"/>
      <c r="R653" s="19"/>
      <c r="S653" s="19"/>
      <c r="T653" s="19"/>
      <c r="U653" s="19"/>
      <c r="V653" s="19"/>
      <c r="W653" s="19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65" t="s">
        <v>21</v>
      </c>
      <c r="B654" s="65" t="s">
        <v>37</v>
      </c>
      <c r="C654" s="65" t="s">
        <v>23</v>
      </c>
      <c r="D654" s="65" t="s">
        <v>42</v>
      </c>
      <c r="E654" s="65" t="s">
        <v>25</v>
      </c>
      <c r="F654" s="65" t="s">
        <v>25</v>
      </c>
      <c r="G654" s="65" t="s">
        <v>25</v>
      </c>
      <c r="H654" s="65" t="s">
        <v>25</v>
      </c>
      <c r="I654" s="75">
        <v>44531</v>
      </c>
      <c r="J654" s="76">
        <f>EFEITO!$J$654*EFEITO!$Y$654</f>
        <v>0</v>
      </c>
      <c r="K654" s="76">
        <f ca="1">EFEITO!$L$654*EFEITO!$Z$654</f>
        <v>19733.167726262003</v>
      </c>
      <c r="L654" s="76">
        <f>EFEITO!$N$654*EFEITO!$AA$654</f>
        <v>8686.459839917421</v>
      </c>
      <c r="M654" s="76">
        <f>$J$654-EFEITO!$K$654*EFEITO!$Y$654</f>
        <v>0</v>
      </c>
      <c r="N654" s="76">
        <f ca="1">$K$654-EFEITO!$M$654*EFEITO!$Z$654</f>
        <v>0</v>
      </c>
      <c r="O654" s="76">
        <f>$L$654-EFEITO!$O$654*EFEITO!$AA$654</f>
        <v>0</v>
      </c>
      <c r="P654" s="19"/>
      <c r="Q654" s="19"/>
      <c r="R654" s="19"/>
      <c r="S654" s="19"/>
      <c r="T654" s="19"/>
      <c r="U654" s="19"/>
      <c r="V654" s="19"/>
      <c r="W654" s="19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65" t="s">
        <v>21</v>
      </c>
      <c r="B655" s="65" t="s">
        <v>37</v>
      </c>
      <c r="C655" s="65" t="s">
        <v>23</v>
      </c>
      <c r="D655" s="65" t="s">
        <v>42</v>
      </c>
      <c r="E655" s="65" t="s">
        <v>25</v>
      </c>
      <c r="F655" s="65" t="s">
        <v>25</v>
      </c>
      <c r="G655" s="65" t="s">
        <v>25</v>
      </c>
      <c r="H655" s="65" t="s">
        <v>25</v>
      </c>
      <c r="I655" s="75">
        <v>44562</v>
      </c>
      <c r="J655" s="76">
        <f>EFEITO!$J$655*EFEITO!$Y$655</f>
        <v>0</v>
      </c>
      <c r="K655" s="76">
        <f ca="1">EFEITO!$L$655*EFEITO!$Z$655</f>
        <v>16337.188142364283</v>
      </c>
      <c r="L655" s="76">
        <f>EFEITO!$N$655*EFEITO!$AA$655</f>
        <v>7191.5634967698352</v>
      </c>
      <c r="M655" s="76">
        <f>$J$655-EFEITO!$K$655*EFEITO!$Y$655</f>
        <v>0</v>
      </c>
      <c r="N655" s="76">
        <f ca="1">$K$655-EFEITO!$M$655*EFEITO!$Z$655</f>
        <v>0</v>
      </c>
      <c r="O655" s="76">
        <f>$L$655-EFEITO!$O$655*EFEITO!$AA$655</f>
        <v>0</v>
      </c>
      <c r="P655" s="19"/>
      <c r="Q655" s="19"/>
      <c r="R655" s="19"/>
      <c r="S655" s="19"/>
      <c r="T655" s="19"/>
      <c r="U655" s="19"/>
      <c r="V655" s="19"/>
      <c r="W655" s="19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65" t="s">
        <v>21</v>
      </c>
      <c r="B656" s="65" t="s">
        <v>37</v>
      </c>
      <c r="C656" s="65" t="s">
        <v>23</v>
      </c>
      <c r="D656" s="65" t="s">
        <v>42</v>
      </c>
      <c r="E656" s="65" t="s">
        <v>25</v>
      </c>
      <c r="F656" s="65" t="s">
        <v>25</v>
      </c>
      <c r="G656" s="65" t="s">
        <v>25</v>
      </c>
      <c r="H656" s="65" t="s">
        <v>25</v>
      </c>
      <c r="I656" s="75">
        <v>44593</v>
      </c>
      <c r="J656" s="76">
        <f>EFEITO!$J$656*EFEITO!$Y$656</f>
        <v>0</v>
      </c>
      <c r="K656" s="76">
        <f ca="1">EFEITO!$L$656*EFEITO!$Z$656</f>
        <v>17668.586165284149</v>
      </c>
      <c r="L656" s="76">
        <f>EFEITO!$N$656*EFEITO!$AA$656</f>
        <v>7777.6394688322089</v>
      </c>
      <c r="M656" s="76">
        <f>$J$656-EFEITO!$K$656*EFEITO!$Y$656</f>
        <v>0</v>
      </c>
      <c r="N656" s="76">
        <f ca="1">$K$656-EFEITO!$M$656*EFEITO!$Z$656</f>
        <v>0</v>
      </c>
      <c r="O656" s="76">
        <f>$L$656-EFEITO!$O$656*EFEITO!$AA$656</f>
        <v>0</v>
      </c>
      <c r="P656" s="19"/>
      <c r="Q656" s="19"/>
      <c r="R656" s="19"/>
      <c r="S656" s="19"/>
      <c r="T656" s="19"/>
      <c r="U656" s="19"/>
      <c r="V656" s="19"/>
      <c r="W656" s="19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65" t="s">
        <v>54</v>
      </c>
      <c r="B657" s="65" t="s">
        <v>37</v>
      </c>
      <c r="C657" s="65" t="s">
        <v>23</v>
      </c>
      <c r="D657" s="65" t="s">
        <v>42</v>
      </c>
      <c r="E657" s="65" t="s">
        <v>25</v>
      </c>
      <c r="F657" s="65" t="s">
        <v>25</v>
      </c>
      <c r="G657" s="65" t="s">
        <v>25</v>
      </c>
      <c r="H657" s="65" t="s">
        <v>25</v>
      </c>
      <c r="I657" s="75">
        <v>44621</v>
      </c>
      <c r="J657" s="76">
        <f>EFEITO!$J$657*EFEITO!$Y$657</f>
        <v>0</v>
      </c>
      <c r="K657" s="76">
        <f ca="1">EFEITO!$L$657*EFEITO!$Z$657</f>
        <v>17668.586165284149</v>
      </c>
      <c r="L657" s="76">
        <f>EFEITO!$N$657*EFEITO!$AA$657</f>
        <v>7777.6394688322089</v>
      </c>
      <c r="M657" s="76">
        <f>$J$657-EFEITO!$K$657*EFEITO!$Y$657</f>
        <v>0</v>
      </c>
      <c r="N657" s="76">
        <f ca="1">$K$657-EFEITO!$M$657*EFEITO!$Z$657</f>
        <v>0</v>
      </c>
      <c r="O657" s="76">
        <f>$L$657-EFEITO!$O$657*EFEITO!$AA$657</f>
        <v>0</v>
      </c>
      <c r="P657" s="19"/>
      <c r="Q657" s="19"/>
      <c r="R657" s="19"/>
      <c r="S657" s="19"/>
      <c r="T657" s="19"/>
      <c r="U657" s="19"/>
      <c r="V657" s="19"/>
      <c r="W657" s="19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65" t="s">
        <v>21</v>
      </c>
      <c r="B658" s="65" t="s">
        <v>37</v>
      </c>
      <c r="C658" s="65" t="s">
        <v>23</v>
      </c>
      <c r="D658" s="65" t="s">
        <v>48</v>
      </c>
      <c r="E658" s="65" t="s">
        <v>49</v>
      </c>
      <c r="F658" s="65" t="s">
        <v>25</v>
      </c>
      <c r="G658" s="65" t="s">
        <v>25</v>
      </c>
      <c r="H658" s="65" t="s">
        <v>25</v>
      </c>
      <c r="I658" s="75">
        <v>44287</v>
      </c>
      <c r="J658" s="76">
        <f>EFEITO!$J$658*EFEITO!$Y$657</f>
        <v>0</v>
      </c>
      <c r="K658" s="76">
        <f ca="1">EFEITO!$L$658*EFEITO!$Z$657</f>
        <v>21637.566235095026</v>
      </c>
      <c r="L658" s="76">
        <f>EFEITO!$N$658*EFEITO!$AA$657</f>
        <v>9524.7682856598149</v>
      </c>
      <c r="M658" s="76">
        <f>$J$658-EFEITO!$K$658*EFEITO!$Y$658</f>
        <v>0</v>
      </c>
      <c r="N658" s="76">
        <f ca="1">$K$658-EFEITO!$M$658*EFEITO!$Z$658</f>
        <v>649.1269870528522</v>
      </c>
      <c r="O658" s="76">
        <f>$L$658-EFEITO!$O$658*EFEITO!$AA$658</f>
        <v>285.74304856979506</v>
      </c>
      <c r="P658" s="19"/>
      <c r="Q658" s="19"/>
      <c r="R658" s="19"/>
      <c r="S658" s="19"/>
      <c r="T658" s="19"/>
      <c r="U658" s="19"/>
      <c r="V658" s="19"/>
      <c r="W658" s="19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65" t="s">
        <v>21</v>
      </c>
      <c r="B659" s="65" t="s">
        <v>37</v>
      </c>
      <c r="C659" s="65" t="s">
        <v>23</v>
      </c>
      <c r="D659" s="65" t="s">
        <v>48</v>
      </c>
      <c r="E659" s="65" t="s">
        <v>49</v>
      </c>
      <c r="F659" s="65" t="s">
        <v>25</v>
      </c>
      <c r="G659" s="65" t="s">
        <v>25</v>
      </c>
      <c r="H659" s="65" t="s">
        <v>25</v>
      </c>
      <c r="I659" s="75">
        <v>44317</v>
      </c>
      <c r="J659" s="76">
        <f>EFEITO!$J$659*EFEITO!$Y$657</f>
        <v>0</v>
      </c>
      <c r="K659" s="76">
        <f ca="1">EFEITO!$L$659*EFEITO!$Z$657</f>
        <v>22059.282727315836</v>
      </c>
      <c r="L659" s="76">
        <f>EFEITO!$N$659*EFEITO!$AA$657</f>
        <v>9710.4061631827281</v>
      </c>
      <c r="M659" s="76">
        <f>$J$659-EFEITO!$K$659*EFEITO!$Y$659</f>
        <v>0</v>
      </c>
      <c r="N659" s="76">
        <f ca="1">$K$659-EFEITO!$M$659*EFEITO!$Z$659</f>
        <v>661.77848181947411</v>
      </c>
      <c r="O659" s="76">
        <f>$L$659-EFEITO!$O$659*EFEITO!$AA$659</f>
        <v>291.31218489548155</v>
      </c>
      <c r="P659" s="19"/>
      <c r="Q659" s="19"/>
      <c r="R659" s="19"/>
      <c r="S659" s="19"/>
      <c r="T659" s="19"/>
      <c r="U659" s="19"/>
      <c r="V659" s="19"/>
      <c r="W659" s="19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65" t="s">
        <v>21</v>
      </c>
      <c r="B660" s="65" t="s">
        <v>37</v>
      </c>
      <c r="C660" s="65" t="s">
        <v>23</v>
      </c>
      <c r="D660" s="65" t="s">
        <v>48</v>
      </c>
      <c r="E660" s="65" t="s">
        <v>49</v>
      </c>
      <c r="F660" s="65" t="s">
        <v>25</v>
      </c>
      <c r="G660" s="65" t="s">
        <v>25</v>
      </c>
      <c r="H660" s="65" t="s">
        <v>25</v>
      </c>
      <c r="I660" s="75">
        <v>44348</v>
      </c>
      <c r="J660" s="76">
        <f>EFEITO!$J$660*EFEITO!$Y$657</f>
        <v>0</v>
      </c>
      <c r="K660" s="76">
        <f ca="1">EFEITO!$L$660*EFEITO!$Z$657</f>
        <v>23716.979560160366</v>
      </c>
      <c r="L660" s="76">
        <f>EFEITO!$N$660*EFEITO!$AA$657</f>
        <v>10440.117538721215</v>
      </c>
      <c r="M660" s="76">
        <f>$J$660-EFEITO!$K$660*EFEITO!$Y$660</f>
        <v>0</v>
      </c>
      <c r="N660" s="76">
        <f ca="1">$K$660-EFEITO!$M$660*EFEITO!$Z$660</f>
        <v>711.50938680480976</v>
      </c>
      <c r="O660" s="76">
        <f>$L$660-EFEITO!$O$660*EFEITO!$AA$660</f>
        <v>313.20352616163837</v>
      </c>
      <c r="P660" s="19"/>
      <c r="Q660" s="19"/>
      <c r="R660" s="19"/>
      <c r="S660" s="19"/>
      <c r="T660" s="19"/>
      <c r="U660" s="19"/>
      <c r="V660" s="19"/>
      <c r="W660" s="19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65" t="s">
        <v>21</v>
      </c>
      <c r="B661" s="65" t="s">
        <v>37</v>
      </c>
      <c r="C661" s="65" t="s">
        <v>23</v>
      </c>
      <c r="D661" s="65" t="s">
        <v>48</v>
      </c>
      <c r="E661" s="65" t="s">
        <v>49</v>
      </c>
      <c r="F661" s="65" t="s">
        <v>25</v>
      </c>
      <c r="G661" s="65" t="s">
        <v>25</v>
      </c>
      <c r="H661" s="65" t="s">
        <v>25</v>
      </c>
      <c r="I661" s="75">
        <v>44378</v>
      </c>
      <c r="J661" s="76">
        <f>EFEITO!$J$661*EFEITO!$Y$657</f>
        <v>0</v>
      </c>
      <c r="K661" s="76">
        <f ca="1">EFEITO!$L$661*EFEITO!$Z$657</f>
        <v>18044.818580970008</v>
      </c>
      <c r="L661" s="76">
        <f>EFEITO!$N$661*EFEITO!$AA$657</f>
        <v>7943.25544162815</v>
      </c>
      <c r="M661" s="76">
        <f>$J$661-EFEITO!$K$661*EFEITO!$Y$661</f>
        <v>0</v>
      </c>
      <c r="N661" s="76">
        <f ca="1">$K$661-EFEITO!$M$661*EFEITO!$Z$661</f>
        <v>541.34455742909995</v>
      </c>
      <c r="O661" s="76">
        <f>$L$661-EFEITO!$O$661*EFEITO!$AA$661</f>
        <v>238.29766324884531</v>
      </c>
      <c r="P661" s="19"/>
      <c r="Q661" s="19"/>
      <c r="R661" s="19"/>
      <c r="S661" s="19"/>
      <c r="T661" s="19"/>
      <c r="U661" s="19"/>
      <c r="V661" s="19"/>
      <c r="W661" s="19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65" t="s">
        <v>21</v>
      </c>
      <c r="B662" s="65" t="s">
        <v>37</v>
      </c>
      <c r="C662" s="65" t="s">
        <v>23</v>
      </c>
      <c r="D662" s="65" t="s">
        <v>48</v>
      </c>
      <c r="E662" s="65" t="s">
        <v>49</v>
      </c>
      <c r="F662" s="65" t="s">
        <v>25</v>
      </c>
      <c r="G662" s="65" t="s">
        <v>25</v>
      </c>
      <c r="H662" s="65" t="s">
        <v>25</v>
      </c>
      <c r="I662" s="75">
        <v>44409</v>
      </c>
      <c r="J662" s="76">
        <f>EFEITO!$J$662*EFEITO!$Y$657</f>
        <v>0</v>
      </c>
      <c r="K662" s="76">
        <f ca="1">EFEITO!$L$662*EFEITO!$Z$657</f>
        <v>20692.288470586009</v>
      </c>
      <c r="L662" s="76">
        <f>EFEITO!$N$662*EFEITO!$AA$657</f>
        <v>9108.660874377505</v>
      </c>
      <c r="M662" s="76">
        <f>$J$662-EFEITO!$K$662*EFEITO!$Y$662</f>
        <v>0</v>
      </c>
      <c r="N662" s="76">
        <f ca="1">$K$662-EFEITO!$M$662*EFEITO!$Z$662</f>
        <v>620.76865411758263</v>
      </c>
      <c r="O662" s="76">
        <f>$L$662-EFEITO!$O$662*EFEITO!$AA$662</f>
        <v>273.25982623132586</v>
      </c>
      <c r="P662" s="19"/>
      <c r="Q662" s="19"/>
      <c r="R662" s="19"/>
      <c r="S662" s="19"/>
      <c r="T662" s="19"/>
      <c r="U662" s="19"/>
      <c r="V662" s="19"/>
      <c r="W662" s="19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65" t="s">
        <v>21</v>
      </c>
      <c r="B663" s="65" t="s">
        <v>37</v>
      </c>
      <c r="C663" s="65" t="s">
        <v>23</v>
      </c>
      <c r="D663" s="65" t="s">
        <v>48</v>
      </c>
      <c r="E663" s="65" t="s">
        <v>49</v>
      </c>
      <c r="F663" s="65" t="s">
        <v>25</v>
      </c>
      <c r="G663" s="65" t="s">
        <v>25</v>
      </c>
      <c r="H663" s="65" t="s">
        <v>25</v>
      </c>
      <c r="I663" s="75">
        <v>44440</v>
      </c>
      <c r="J663" s="76">
        <f>EFEITO!$J$663*EFEITO!$Y$657</f>
        <v>0</v>
      </c>
      <c r="K663" s="76">
        <f ca="1">EFEITO!$L$663*EFEITO!$Z$657</f>
        <v>21810.1090906461</v>
      </c>
      <c r="L663" s="76">
        <f>EFEITO!$N$663*EFEITO!$AA$657</f>
        <v>9600.72094598279</v>
      </c>
      <c r="M663" s="76">
        <f>$J$663-EFEITO!$K$663*EFEITO!$Y$663</f>
        <v>0</v>
      </c>
      <c r="N663" s="76">
        <f ca="1">$K$663-EFEITO!$M$663*EFEITO!$Z$663</f>
        <v>654.30327271938586</v>
      </c>
      <c r="O663" s="76">
        <f>$L$663-EFEITO!$O$663*EFEITO!$AA$663</f>
        <v>288.02162837948526</v>
      </c>
      <c r="P663" s="19"/>
      <c r="Q663" s="19"/>
      <c r="R663" s="19"/>
      <c r="S663" s="19"/>
      <c r="T663" s="19"/>
      <c r="U663" s="19"/>
      <c r="V663" s="19"/>
      <c r="W663" s="19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65" t="s">
        <v>21</v>
      </c>
      <c r="B664" s="65" t="s">
        <v>37</v>
      </c>
      <c r="C664" s="65" t="s">
        <v>23</v>
      </c>
      <c r="D664" s="65" t="s">
        <v>48</v>
      </c>
      <c r="E664" s="65" t="s">
        <v>49</v>
      </c>
      <c r="F664" s="65" t="s">
        <v>25</v>
      </c>
      <c r="G664" s="65" t="s">
        <v>25</v>
      </c>
      <c r="H664" s="65" t="s">
        <v>25</v>
      </c>
      <c r="I664" s="75">
        <v>44470</v>
      </c>
      <c r="J664" s="76">
        <f>EFEITO!$J$664*EFEITO!$Y$657</f>
        <v>0</v>
      </c>
      <c r="K664" s="76">
        <f ca="1">EFEITO!$L$664*EFEITO!$Z$657</f>
        <v>20027.825439466698</v>
      </c>
      <c r="L664" s="76">
        <f>EFEITO!$N$664*EFEITO!$AA$657</f>
        <v>8816.1669618443339</v>
      </c>
      <c r="M664" s="76">
        <f>$J$664-EFEITO!$K$664*EFEITO!$Y$664</f>
        <v>0</v>
      </c>
      <c r="N664" s="76">
        <f ca="1">$K$664-EFEITO!$M$664*EFEITO!$Z$664</f>
        <v>600.83476318400062</v>
      </c>
      <c r="O664" s="76">
        <f>$L$664-EFEITO!$O$664*EFEITO!$AA$664</f>
        <v>264.48500885533031</v>
      </c>
      <c r="P664" s="19"/>
      <c r="Q664" s="19"/>
      <c r="R664" s="19"/>
      <c r="S664" s="19"/>
      <c r="T664" s="19"/>
      <c r="U664" s="19"/>
      <c r="V664" s="19"/>
      <c r="W664" s="19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65" t="s">
        <v>21</v>
      </c>
      <c r="B665" s="65" t="s">
        <v>37</v>
      </c>
      <c r="C665" s="65" t="s">
        <v>23</v>
      </c>
      <c r="D665" s="65" t="s">
        <v>48</v>
      </c>
      <c r="E665" s="65" t="s">
        <v>49</v>
      </c>
      <c r="F665" s="65" t="s">
        <v>25</v>
      </c>
      <c r="G665" s="65" t="s">
        <v>25</v>
      </c>
      <c r="H665" s="65" t="s">
        <v>25</v>
      </c>
      <c r="I665" s="75">
        <v>44501</v>
      </c>
      <c r="J665" s="76">
        <f>EFEITO!$J$665*EFEITO!$Y$657</f>
        <v>0</v>
      </c>
      <c r="K665" s="76">
        <f ca="1">EFEITO!$L$665*EFEITO!$Z$657</f>
        <v>32499.855860632491</v>
      </c>
      <c r="L665" s="76">
        <f>EFEITO!$N$665*EFEITO!$AA$657</f>
        <v>14306.303815619869</v>
      </c>
      <c r="M665" s="76">
        <f>$J$665-EFEITO!$K$665*EFEITO!$Y$665</f>
        <v>0</v>
      </c>
      <c r="N665" s="76">
        <f ca="1">$K$665-EFEITO!$M$665*EFEITO!$Z$665</f>
        <v>974.99567581897645</v>
      </c>
      <c r="O665" s="76">
        <f>$L$665-EFEITO!$O$665*EFEITO!$AA$665</f>
        <v>429.18911446859602</v>
      </c>
      <c r="P665" s="19"/>
      <c r="Q665" s="19"/>
      <c r="R665" s="19"/>
      <c r="S665" s="19"/>
      <c r="T665" s="19"/>
      <c r="U665" s="19"/>
      <c r="V665" s="19"/>
      <c r="W665" s="19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65" t="s">
        <v>21</v>
      </c>
      <c r="B666" s="65" t="s">
        <v>37</v>
      </c>
      <c r="C666" s="65" t="s">
        <v>23</v>
      </c>
      <c r="D666" s="65" t="s">
        <v>48</v>
      </c>
      <c r="E666" s="65" t="s">
        <v>49</v>
      </c>
      <c r="F666" s="65" t="s">
        <v>25</v>
      </c>
      <c r="G666" s="65" t="s">
        <v>25</v>
      </c>
      <c r="H666" s="65" t="s">
        <v>25</v>
      </c>
      <c r="I666" s="75">
        <v>44531</v>
      </c>
      <c r="J666" s="76">
        <f>EFEITO!$J$666*EFEITO!$Y$657</f>
        <v>0</v>
      </c>
      <c r="K666" s="76">
        <f ca="1">EFEITO!$L$666*EFEITO!$Z$657</f>
        <v>25216.47090940506</v>
      </c>
      <c r="L666" s="76">
        <f>EFEITO!$N$666*EFEITO!$AA$657</f>
        <v>11100.187506513706</v>
      </c>
      <c r="M666" s="76">
        <f>$J$666-EFEITO!$K$666*EFEITO!$Y$666</f>
        <v>0</v>
      </c>
      <c r="N666" s="76">
        <f ca="1">$K$666-EFEITO!$M$666*EFEITO!$Z$666</f>
        <v>756.49412728215248</v>
      </c>
      <c r="O666" s="76">
        <f>$L$666-EFEITO!$O$666*EFEITO!$AA$666</f>
        <v>333.00562519541199</v>
      </c>
      <c r="P666" s="19"/>
      <c r="Q666" s="19"/>
      <c r="R666" s="19"/>
      <c r="S666" s="19"/>
      <c r="T666" s="19"/>
      <c r="U666" s="19"/>
      <c r="V666" s="19"/>
      <c r="W666" s="19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65" t="s">
        <v>21</v>
      </c>
      <c r="B667" s="65" t="s">
        <v>37</v>
      </c>
      <c r="C667" s="65" t="s">
        <v>23</v>
      </c>
      <c r="D667" s="65" t="s">
        <v>48</v>
      </c>
      <c r="E667" s="65" t="s">
        <v>49</v>
      </c>
      <c r="F667" s="65" t="s">
        <v>25</v>
      </c>
      <c r="G667" s="65" t="s">
        <v>25</v>
      </c>
      <c r="H667" s="65" t="s">
        <v>25</v>
      </c>
      <c r="I667" s="75">
        <v>44562</v>
      </c>
      <c r="J667" s="76">
        <f>EFEITO!$J$667*EFEITO!$Y$657</f>
        <v>0</v>
      </c>
      <c r="K667" s="76">
        <f ca="1">EFEITO!$L$667*EFEITO!$Z$657</f>
        <v>27349.278585185344</v>
      </c>
      <c r="L667" s="76">
        <f>EFEITO!$N$667*EFEITO!$AA$657</f>
        <v>12039.040734689379</v>
      </c>
      <c r="M667" s="76">
        <f>$J$667-EFEITO!$K$667*EFEITO!$Y$667</f>
        <v>0</v>
      </c>
      <c r="N667" s="76">
        <f ca="1">$K$667-EFEITO!$M$667*EFEITO!$Z$667</f>
        <v>820.47835755555934</v>
      </c>
      <c r="O667" s="76">
        <f>$L$667-EFEITO!$O$667*EFEITO!$AA$667</f>
        <v>361.17122204068255</v>
      </c>
      <c r="P667" s="19"/>
      <c r="Q667" s="19"/>
      <c r="R667" s="19"/>
      <c r="S667" s="19"/>
      <c r="T667" s="19"/>
      <c r="U667" s="19"/>
      <c r="V667" s="19"/>
      <c r="W667" s="19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65" t="s">
        <v>21</v>
      </c>
      <c r="B668" s="65" t="s">
        <v>37</v>
      </c>
      <c r="C668" s="65" t="s">
        <v>23</v>
      </c>
      <c r="D668" s="65" t="s">
        <v>48</v>
      </c>
      <c r="E668" s="65" t="s">
        <v>49</v>
      </c>
      <c r="F668" s="65" t="s">
        <v>25</v>
      </c>
      <c r="G668" s="65" t="s">
        <v>25</v>
      </c>
      <c r="H668" s="65" t="s">
        <v>25</v>
      </c>
      <c r="I668" s="75">
        <v>44593</v>
      </c>
      <c r="J668" s="76">
        <f>EFEITO!$J$668*EFEITO!$Y$657</f>
        <v>0</v>
      </c>
      <c r="K668" s="76">
        <f ca="1">EFEITO!$L$668*EFEITO!$Z$657</f>
        <v>30342.328578039735</v>
      </c>
      <c r="L668" s="76">
        <f>EFEITO!$N$668*EFEITO!$AA$657</f>
        <v>13356.569117483887</v>
      </c>
      <c r="M668" s="76">
        <f>$J$668-EFEITO!$K$668*EFEITO!$Y$668</f>
        <v>0</v>
      </c>
      <c r="N668" s="76">
        <f ca="1">$K$668-EFEITO!$M$668*EFEITO!$Z$668</f>
        <v>910.26985734119444</v>
      </c>
      <c r="O668" s="76">
        <f>$L$668-EFEITO!$O$668*EFEITO!$AA$668</f>
        <v>400.69707352451769</v>
      </c>
      <c r="P668" s="19"/>
      <c r="Q668" s="19"/>
      <c r="R668" s="19"/>
      <c r="S668" s="19"/>
      <c r="T668" s="19"/>
      <c r="U668" s="19"/>
      <c r="V668" s="19"/>
      <c r="W668" s="19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65" t="s">
        <v>54</v>
      </c>
      <c r="B669" s="65" t="s">
        <v>37</v>
      </c>
      <c r="C669" s="65" t="s">
        <v>23</v>
      </c>
      <c r="D669" s="65" t="s">
        <v>48</v>
      </c>
      <c r="E669" s="65" t="s">
        <v>49</v>
      </c>
      <c r="F669" s="65" t="s">
        <v>25</v>
      </c>
      <c r="G669" s="65" t="s">
        <v>25</v>
      </c>
      <c r="H669" s="65" t="s">
        <v>25</v>
      </c>
      <c r="I669" s="75">
        <v>44621</v>
      </c>
      <c r="J669" s="76">
        <f>EFEITO!$J$669*EFEITO!$Y$657</f>
        <v>0</v>
      </c>
      <c r="K669" s="76">
        <f ca="1">EFEITO!$L$669*EFEITO!$Z$657</f>
        <v>30342.328578039735</v>
      </c>
      <c r="L669" s="76">
        <f>EFEITO!$N$669*EFEITO!$AA$657</f>
        <v>13356.569117483887</v>
      </c>
      <c r="M669" s="76">
        <f>$J$669-EFEITO!$K$669*EFEITO!$Y$669</f>
        <v>0</v>
      </c>
      <c r="N669" s="76">
        <f ca="1">$K$669-EFEITO!$M$669*EFEITO!$Z$669</f>
        <v>910.26985734119444</v>
      </c>
      <c r="O669" s="76">
        <f>$L$669-EFEITO!$O$669*EFEITO!$AA$669</f>
        <v>400.69707352451769</v>
      </c>
      <c r="P669" s="19"/>
      <c r="Q669" s="19"/>
      <c r="R669" s="19"/>
      <c r="S669" s="19"/>
      <c r="T669" s="19"/>
      <c r="U669" s="19"/>
      <c r="V669" s="19"/>
      <c r="W669" s="19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65" t="s">
        <v>21</v>
      </c>
      <c r="B670" s="65" t="s">
        <v>44</v>
      </c>
      <c r="C670" s="65" t="s">
        <v>23</v>
      </c>
      <c r="D670" s="65" t="s">
        <v>45</v>
      </c>
      <c r="E670" s="65" t="s">
        <v>46</v>
      </c>
      <c r="F670" s="65" t="s">
        <v>25</v>
      </c>
      <c r="G670" s="65" t="s">
        <v>25</v>
      </c>
      <c r="H670" s="65" t="s">
        <v>25</v>
      </c>
      <c r="I670" s="75">
        <v>44287</v>
      </c>
      <c r="J670" s="76">
        <f>EFEITO!$J$670*EFEITO!$Y$670</f>
        <v>0</v>
      </c>
      <c r="K670" s="76">
        <f ca="1">EFEITO!$L$670*EFEITO!$Z$670</f>
        <v>3096.3037905100978</v>
      </c>
      <c r="L670" s="76">
        <f>EFEITO!$N$670*EFEITO!$AA$670</f>
        <v>1362.980282818731</v>
      </c>
      <c r="M670" s="76">
        <f>$J$670-EFEITO!$K$670*EFEITO!$Y$670</f>
        <v>0</v>
      </c>
      <c r="N670" s="76">
        <f ca="1">$K$670-EFEITO!$M$670*EFEITO!$Z$670</f>
        <v>0</v>
      </c>
      <c r="O670" s="76">
        <f>$L$670-EFEITO!$O$670*EFEITO!$AA$670</f>
        <v>0</v>
      </c>
      <c r="P670" s="19"/>
      <c r="Q670" s="19"/>
      <c r="R670" s="19"/>
      <c r="S670" s="19"/>
      <c r="T670" s="19"/>
      <c r="U670" s="19"/>
      <c r="V670" s="19"/>
      <c r="W670" s="19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65" t="s">
        <v>21</v>
      </c>
      <c r="B671" s="65" t="s">
        <v>44</v>
      </c>
      <c r="C671" s="65" t="s">
        <v>23</v>
      </c>
      <c r="D671" s="65" t="s">
        <v>45</v>
      </c>
      <c r="E671" s="65" t="s">
        <v>46</v>
      </c>
      <c r="F671" s="65" t="s">
        <v>25</v>
      </c>
      <c r="G671" s="65" t="s">
        <v>25</v>
      </c>
      <c r="H671" s="65" t="s">
        <v>25</v>
      </c>
      <c r="I671" s="75">
        <v>44317</v>
      </c>
      <c r="J671" s="76">
        <f>EFEITO!$J$671*EFEITO!$Y$671</f>
        <v>0</v>
      </c>
      <c r="K671" s="76">
        <f ca="1">EFEITO!$L$671*EFEITO!$Z$671</f>
        <v>2821.9408744984448</v>
      </c>
      <c r="L671" s="76">
        <f>EFEITO!$N$671*EFEITO!$AA$671</f>
        <v>1242.2068477292341</v>
      </c>
      <c r="M671" s="76">
        <f>$J$671-EFEITO!$K$671*EFEITO!$Y$671</f>
        <v>0</v>
      </c>
      <c r="N671" s="76">
        <f ca="1">$K$671-EFEITO!$M$671*EFEITO!$Z$671</f>
        <v>0</v>
      </c>
      <c r="O671" s="76">
        <f>$L$671-EFEITO!$O$671*EFEITO!$AA$671</f>
        <v>0</v>
      </c>
      <c r="P671" s="19"/>
      <c r="Q671" s="19"/>
      <c r="R671" s="19"/>
      <c r="S671" s="19"/>
      <c r="T671" s="19"/>
      <c r="U671" s="19"/>
      <c r="V671" s="19"/>
      <c r="W671" s="19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65" t="s">
        <v>21</v>
      </c>
      <c r="B672" s="65" t="s">
        <v>44</v>
      </c>
      <c r="C672" s="65" t="s">
        <v>23</v>
      </c>
      <c r="D672" s="65" t="s">
        <v>45</v>
      </c>
      <c r="E672" s="65" t="s">
        <v>46</v>
      </c>
      <c r="F672" s="65" t="s">
        <v>25</v>
      </c>
      <c r="G672" s="65" t="s">
        <v>25</v>
      </c>
      <c r="H672" s="65" t="s">
        <v>25</v>
      </c>
      <c r="I672" s="75">
        <v>44348</v>
      </c>
      <c r="J672" s="76">
        <f>EFEITO!$J$672*EFEITO!$Y$672</f>
        <v>0</v>
      </c>
      <c r="K672" s="76">
        <f ca="1">EFEITO!$L$672*EFEITO!$Z$672</f>
        <v>2769.1892335606244</v>
      </c>
      <c r="L672" s="76">
        <f>EFEITO!$N$672*EFEITO!$AA$672</f>
        <v>1218.9857908339293</v>
      </c>
      <c r="M672" s="76">
        <f>$J$672-EFEITO!$K$672*EFEITO!$Y$672</f>
        <v>0</v>
      </c>
      <c r="N672" s="76">
        <f ca="1">$K$672-EFEITO!$M$672*EFEITO!$Z$672</f>
        <v>0</v>
      </c>
      <c r="O672" s="76">
        <f>$L$672-EFEITO!$O$672*EFEITO!$AA$672</f>
        <v>0</v>
      </c>
      <c r="P672" s="19"/>
      <c r="Q672" s="19"/>
      <c r="R672" s="19"/>
      <c r="S672" s="19"/>
      <c r="T672" s="19"/>
      <c r="U672" s="19"/>
      <c r="V672" s="19"/>
      <c r="W672" s="19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65" t="s">
        <v>21</v>
      </c>
      <c r="B673" s="65" t="s">
        <v>44</v>
      </c>
      <c r="C673" s="65" t="s">
        <v>23</v>
      </c>
      <c r="D673" s="65" t="s">
        <v>45</v>
      </c>
      <c r="E673" s="65" t="s">
        <v>46</v>
      </c>
      <c r="F673" s="65" t="s">
        <v>25</v>
      </c>
      <c r="G673" s="65" t="s">
        <v>25</v>
      </c>
      <c r="H673" s="65" t="s">
        <v>25</v>
      </c>
      <c r="I673" s="75">
        <v>44378</v>
      </c>
      <c r="J673" s="76">
        <f>EFEITO!$J$673*EFEITO!$Y$673</f>
        <v>0</v>
      </c>
      <c r="K673" s="76">
        <f ca="1">EFEITO!$L$673*EFEITO!$Z$673</f>
        <v>2760.2160162876962</v>
      </c>
      <c r="L673" s="76">
        <f>EFEITO!$N$673*EFEITO!$AA$673</f>
        <v>1215.0358172383364</v>
      </c>
      <c r="M673" s="76">
        <f>$J$673-EFEITO!$K$673*EFEITO!$Y$673</f>
        <v>0</v>
      </c>
      <c r="N673" s="76">
        <f ca="1">$K$673-EFEITO!$M$673*EFEITO!$Z$673</f>
        <v>0</v>
      </c>
      <c r="O673" s="76">
        <f>$L$673-EFEITO!$O$673*EFEITO!$AA$673</f>
        <v>0</v>
      </c>
      <c r="P673" s="19"/>
      <c r="Q673" s="19"/>
      <c r="R673" s="19"/>
      <c r="S673" s="19"/>
      <c r="T673" s="19"/>
      <c r="U673" s="19"/>
      <c r="V673" s="19"/>
      <c r="W673" s="19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65" t="s">
        <v>21</v>
      </c>
      <c r="B674" s="65" t="s">
        <v>44</v>
      </c>
      <c r="C674" s="65" t="s">
        <v>23</v>
      </c>
      <c r="D674" s="65" t="s">
        <v>45</v>
      </c>
      <c r="E674" s="65" t="s">
        <v>46</v>
      </c>
      <c r="F674" s="65" t="s">
        <v>25</v>
      </c>
      <c r="G674" s="65" t="s">
        <v>25</v>
      </c>
      <c r="H674" s="65" t="s">
        <v>25</v>
      </c>
      <c r="I674" s="75">
        <v>44409</v>
      </c>
      <c r="J674" s="76">
        <f>EFEITO!$J$674*EFEITO!$Y$674</f>
        <v>0</v>
      </c>
      <c r="K674" s="76">
        <f ca="1">EFEITO!$L$674*EFEITO!$Z$674</f>
        <v>2774.0837157094948</v>
      </c>
      <c r="L674" s="76">
        <f>EFEITO!$N$674*EFEITO!$AA$674</f>
        <v>1221.1403218860712</v>
      </c>
      <c r="M674" s="76">
        <f>$J$674-EFEITO!$K$674*EFEITO!$Y$674</f>
        <v>0</v>
      </c>
      <c r="N674" s="76">
        <f ca="1">$K$674-EFEITO!$M$674*EFEITO!$Z$674</f>
        <v>0</v>
      </c>
      <c r="O674" s="76">
        <f>$L$674-EFEITO!$O$674*EFEITO!$AA$674</f>
        <v>0</v>
      </c>
      <c r="P674" s="19"/>
      <c r="Q674" s="19"/>
      <c r="R674" s="19"/>
      <c r="S674" s="19"/>
      <c r="T674" s="19"/>
      <c r="U674" s="19"/>
      <c r="V674" s="19"/>
      <c r="W674" s="19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65" t="s">
        <v>21</v>
      </c>
      <c r="B675" s="65" t="s">
        <v>44</v>
      </c>
      <c r="C675" s="65" t="s">
        <v>23</v>
      </c>
      <c r="D675" s="65" t="s">
        <v>45</v>
      </c>
      <c r="E675" s="65" t="s">
        <v>46</v>
      </c>
      <c r="F675" s="65" t="s">
        <v>25</v>
      </c>
      <c r="G675" s="65" t="s">
        <v>25</v>
      </c>
      <c r="H675" s="65" t="s">
        <v>25</v>
      </c>
      <c r="I675" s="75">
        <v>44440</v>
      </c>
      <c r="J675" s="76">
        <f>EFEITO!$J$675*EFEITO!$Y$675</f>
        <v>0</v>
      </c>
      <c r="K675" s="76">
        <f ca="1">EFEITO!$L$675*EFEITO!$Z$675</f>
        <v>2950.2850730688115</v>
      </c>
      <c r="L675" s="76">
        <f>EFEITO!$N$675*EFEITO!$AA$675</f>
        <v>1298.703439763171</v>
      </c>
      <c r="M675" s="76">
        <f>$J$675-EFEITO!$K$675*EFEITO!$Y$675</f>
        <v>0</v>
      </c>
      <c r="N675" s="76">
        <f ca="1">$K$675-EFEITO!$M$675*EFEITO!$Z$675</f>
        <v>0</v>
      </c>
      <c r="O675" s="76">
        <f>$L$675-EFEITO!$O$675*EFEITO!$AA$675</f>
        <v>0</v>
      </c>
      <c r="P675" s="19"/>
      <c r="Q675" s="19"/>
      <c r="R675" s="19"/>
      <c r="S675" s="19"/>
      <c r="T675" s="19"/>
      <c r="U675" s="19"/>
      <c r="V675" s="19"/>
      <c r="W675" s="19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65" t="s">
        <v>21</v>
      </c>
      <c r="B676" s="65" t="s">
        <v>44</v>
      </c>
      <c r="C676" s="65" t="s">
        <v>23</v>
      </c>
      <c r="D676" s="65" t="s">
        <v>45</v>
      </c>
      <c r="E676" s="65" t="s">
        <v>46</v>
      </c>
      <c r="F676" s="65" t="s">
        <v>25</v>
      </c>
      <c r="G676" s="65" t="s">
        <v>25</v>
      </c>
      <c r="H676" s="65" t="s">
        <v>25</v>
      </c>
      <c r="I676" s="75">
        <v>44470</v>
      </c>
      <c r="J676" s="76">
        <f>EFEITO!$J$676*EFEITO!$Y$676</f>
        <v>0</v>
      </c>
      <c r="K676" s="76">
        <f ca="1">EFEITO!$L$676*EFEITO!$Z$676</f>
        <v>2452.9513036086405</v>
      </c>
      <c r="L676" s="76">
        <f>EFEITO!$N$676*EFEITO!$AA$676</f>
        <v>1079.7791456316652</v>
      </c>
      <c r="M676" s="76">
        <f>$J$676-EFEITO!$K$676*EFEITO!$Y$676</f>
        <v>0</v>
      </c>
      <c r="N676" s="76">
        <f ca="1">$K$676-EFEITO!$M$676*EFEITO!$Z$676</f>
        <v>0</v>
      </c>
      <c r="O676" s="76">
        <f>$L$676-EFEITO!$O$676*EFEITO!$AA$676</f>
        <v>0</v>
      </c>
      <c r="P676" s="19"/>
      <c r="Q676" s="19"/>
      <c r="R676" s="19"/>
      <c r="S676" s="19"/>
      <c r="T676" s="19"/>
      <c r="U676" s="19"/>
      <c r="V676" s="19"/>
      <c r="W676" s="19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65" t="s">
        <v>21</v>
      </c>
      <c r="B677" s="65" t="s">
        <v>44</v>
      </c>
      <c r="C677" s="65" t="s">
        <v>23</v>
      </c>
      <c r="D677" s="65" t="s">
        <v>45</v>
      </c>
      <c r="E677" s="65" t="s">
        <v>46</v>
      </c>
      <c r="F677" s="65" t="s">
        <v>25</v>
      </c>
      <c r="G677" s="65" t="s">
        <v>25</v>
      </c>
      <c r="H677" s="65" t="s">
        <v>25</v>
      </c>
      <c r="I677" s="75">
        <v>44501</v>
      </c>
      <c r="J677" s="76">
        <f>EFEITO!$J$677*EFEITO!$Y$677</f>
        <v>0</v>
      </c>
      <c r="K677" s="76">
        <f ca="1">EFEITO!$L$677*EFEITO!$Z$677</f>
        <v>2790.1267405307904</v>
      </c>
      <c r="L677" s="76">
        <f>EFEITO!$N$677*EFEITO!$AA$677</f>
        <v>1228.2023958903133</v>
      </c>
      <c r="M677" s="76">
        <f>$J$677-EFEITO!$K$677*EFEITO!$Y$677</f>
        <v>0</v>
      </c>
      <c r="N677" s="76">
        <f ca="1">$K$677-EFEITO!$M$677*EFEITO!$Z$677</f>
        <v>0</v>
      </c>
      <c r="O677" s="76">
        <f>$L$677-EFEITO!$O$677*EFEITO!$AA$677</f>
        <v>0</v>
      </c>
      <c r="P677" s="19"/>
      <c r="Q677" s="19"/>
      <c r="R677" s="19"/>
      <c r="S677" s="19"/>
      <c r="T677" s="19"/>
      <c r="U677" s="19"/>
      <c r="V677" s="19"/>
      <c r="W677" s="19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65" t="s">
        <v>21</v>
      </c>
      <c r="B678" s="65" t="s">
        <v>44</v>
      </c>
      <c r="C678" s="65" t="s">
        <v>23</v>
      </c>
      <c r="D678" s="65" t="s">
        <v>45</v>
      </c>
      <c r="E678" s="65" t="s">
        <v>46</v>
      </c>
      <c r="F678" s="65" t="s">
        <v>25</v>
      </c>
      <c r="G678" s="65" t="s">
        <v>25</v>
      </c>
      <c r="H678" s="65" t="s">
        <v>25</v>
      </c>
      <c r="I678" s="75">
        <v>44531</v>
      </c>
      <c r="J678" s="76">
        <f>EFEITO!$J$678*EFEITO!$Y$678</f>
        <v>0</v>
      </c>
      <c r="K678" s="76">
        <f ca="1">EFEITO!$L$678*EFEITO!$Z$678</f>
        <v>2459.7491954820707</v>
      </c>
      <c r="L678" s="76">
        <f>EFEITO!$N$678*EFEITO!$AA$678</f>
        <v>1082.7715498707507</v>
      </c>
      <c r="M678" s="76">
        <f>$J$678-EFEITO!$K$678*EFEITO!$Y$678</f>
        <v>0</v>
      </c>
      <c r="N678" s="76">
        <f ca="1">$K$678-EFEITO!$M$678*EFEITO!$Z$678</f>
        <v>0</v>
      </c>
      <c r="O678" s="76">
        <f>$L$678-EFEITO!$O$678*EFEITO!$AA$678</f>
        <v>0</v>
      </c>
      <c r="P678" s="19"/>
      <c r="Q678" s="19"/>
      <c r="R678" s="19"/>
      <c r="S678" s="19"/>
      <c r="T678" s="19"/>
      <c r="U678" s="19"/>
      <c r="V678" s="19"/>
      <c r="W678" s="19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65" t="s">
        <v>21</v>
      </c>
      <c r="B679" s="65" t="s">
        <v>44</v>
      </c>
      <c r="C679" s="65" t="s">
        <v>23</v>
      </c>
      <c r="D679" s="65" t="s">
        <v>45</v>
      </c>
      <c r="E679" s="65" t="s">
        <v>46</v>
      </c>
      <c r="F679" s="65" t="s">
        <v>25</v>
      </c>
      <c r="G679" s="65" t="s">
        <v>25</v>
      </c>
      <c r="H679" s="65" t="s">
        <v>25</v>
      </c>
      <c r="I679" s="75">
        <v>44562</v>
      </c>
      <c r="J679" s="76">
        <f>EFEITO!$J$679*EFEITO!$Y$679</f>
        <v>0</v>
      </c>
      <c r="K679" s="76">
        <f ca="1">EFEITO!$L$679*EFEITO!$Z$679</f>
        <v>2591.9002135015589</v>
      </c>
      <c r="L679" s="76">
        <f>EFEITO!$N$679*EFEITO!$AA$679</f>
        <v>1140.9438882785757</v>
      </c>
      <c r="M679" s="76">
        <f>$J$679-EFEITO!$K$679*EFEITO!$Y$679</f>
        <v>0</v>
      </c>
      <c r="N679" s="76">
        <f ca="1">$K$679-EFEITO!$M$679*EFEITO!$Z$679</f>
        <v>0</v>
      </c>
      <c r="O679" s="76">
        <f>$L$679-EFEITO!$O$679*EFEITO!$AA$679</f>
        <v>0</v>
      </c>
      <c r="P679" s="19"/>
      <c r="Q679" s="19"/>
      <c r="R679" s="19"/>
      <c r="S679" s="19"/>
      <c r="T679" s="19"/>
      <c r="U679" s="19"/>
      <c r="V679" s="19"/>
      <c r="W679" s="19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65" t="s">
        <v>21</v>
      </c>
      <c r="B680" s="65" t="s">
        <v>44</v>
      </c>
      <c r="C680" s="65" t="s">
        <v>23</v>
      </c>
      <c r="D680" s="65" t="s">
        <v>45</v>
      </c>
      <c r="E680" s="65" t="s">
        <v>46</v>
      </c>
      <c r="F680" s="65" t="s">
        <v>25</v>
      </c>
      <c r="G680" s="65" t="s">
        <v>25</v>
      </c>
      <c r="H680" s="65" t="s">
        <v>25</v>
      </c>
      <c r="I680" s="75">
        <v>44593</v>
      </c>
      <c r="J680" s="76">
        <f>EFEITO!$J$680*EFEITO!$Y$680</f>
        <v>0</v>
      </c>
      <c r="K680" s="76">
        <f ca="1">EFEITO!$L$680*EFEITO!$Z$680</f>
        <v>2800.4595361784045</v>
      </c>
      <c r="L680" s="76">
        <f>EFEITO!$N$680*EFEITO!$AA$680</f>
        <v>1232.7508503337233</v>
      </c>
      <c r="M680" s="76">
        <f>$J$680-EFEITO!$K$680*EFEITO!$Y$680</f>
        <v>0</v>
      </c>
      <c r="N680" s="76">
        <f ca="1">$K$680-EFEITO!$M$680*EFEITO!$Z$680</f>
        <v>0</v>
      </c>
      <c r="O680" s="76">
        <f>$L$680-EFEITO!$O$680*EFEITO!$AA$680</f>
        <v>0</v>
      </c>
      <c r="P680" s="19"/>
      <c r="Q680" s="19"/>
      <c r="R680" s="19"/>
      <c r="S680" s="19"/>
      <c r="T680" s="19"/>
      <c r="U680" s="19"/>
      <c r="V680" s="19"/>
      <c r="W680" s="19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65" t="s">
        <v>54</v>
      </c>
      <c r="B681" s="65" t="s">
        <v>44</v>
      </c>
      <c r="C681" s="65" t="s">
        <v>23</v>
      </c>
      <c r="D681" s="65" t="s">
        <v>45</v>
      </c>
      <c r="E681" s="65" t="s">
        <v>46</v>
      </c>
      <c r="F681" s="65" t="s">
        <v>25</v>
      </c>
      <c r="G681" s="65" t="s">
        <v>25</v>
      </c>
      <c r="H681" s="65" t="s">
        <v>25</v>
      </c>
      <c r="I681" s="75">
        <v>44621</v>
      </c>
      <c r="J681" s="76">
        <f>EFEITO!$J$681*EFEITO!$Y$681</f>
        <v>0</v>
      </c>
      <c r="K681" s="76">
        <f ca="1">EFEITO!$L$681*EFEITO!$Z$681</f>
        <v>2800.4595361784045</v>
      </c>
      <c r="L681" s="76">
        <f>EFEITO!$N$681*EFEITO!$AA$681</f>
        <v>1232.7508503337233</v>
      </c>
      <c r="M681" s="76">
        <f>$J$681-EFEITO!$K$681*EFEITO!$Y$681</f>
        <v>0</v>
      </c>
      <c r="N681" s="76">
        <f ca="1">$K$681-EFEITO!$M$681*EFEITO!$Z$681</f>
        <v>0</v>
      </c>
      <c r="O681" s="76">
        <f>$L$681-EFEITO!$O$681*EFEITO!$AA$681</f>
        <v>0</v>
      </c>
      <c r="P681" s="19"/>
      <c r="Q681" s="19"/>
      <c r="R681" s="19"/>
      <c r="S681" s="19"/>
      <c r="T681" s="19"/>
      <c r="U681" s="19"/>
      <c r="V681" s="19"/>
      <c r="W681" s="19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65" t="s">
        <v>21</v>
      </c>
      <c r="B682" s="65" t="s">
        <v>44</v>
      </c>
      <c r="C682" s="65" t="s">
        <v>23</v>
      </c>
      <c r="D682" s="65" t="s">
        <v>45</v>
      </c>
      <c r="E682" s="65" t="s">
        <v>47</v>
      </c>
      <c r="F682" s="65" t="s">
        <v>25</v>
      </c>
      <c r="G682" s="65" t="s">
        <v>25</v>
      </c>
      <c r="H682" s="65" t="s">
        <v>25</v>
      </c>
      <c r="I682" s="75">
        <v>44287</v>
      </c>
      <c r="J682" s="76">
        <f>EFEITO!$J$682*EFEITO!$Y$682</f>
        <v>0</v>
      </c>
      <c r="K682" s="76">
        <f ca="1">EFEITO!$L$682*EFEITO!$Z$682</f>
        <v>57485.544520836294</v>
      </c>
      <c r="L682" s="76">
        <f>EFEITO!$N$682*EFEITO!$AA$682</f>
        <v>25304.901918584106</v>
      </c>
      <c r="M682" s="76">
        <f>$J$682-EFEITO!$K$682*EFEITO!$Y$682</f>
        <v>0</v>
      </c>
      <c r="N682" s="76">
        <f ca="1">$K$682-EFEITO!$M$682*EFEITO!$Z$682</f>
        <v>0</v>
      </c>
      <c r="O682" s="76">
        <f>$L$682-EFEITO!$O$682*EFEITO!$AA$682</f>
        <v>0</v>
      </c>
      <c r="P682" s="19"/>
      <c r="Q682" s="19"/>
      <c r="R682" s="19"/>
      <c r="S682" s="19"/>
      <c r="T682" s="19"/>
      <c r="U682" s="19"/>
      <c r="V682" s="19"/>
      <c r="W682" s="19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65" t="s">
        <v>21</v>
      </c>
      <c r="B683" s="65" t="s">
        <v>44</v>
      </c>
      <c r="C683" s="65" t="s">
        <v>23</v>
      </c>
      <c r="D683" s="65" t="s">
        <v>45</v>
      </c>
      <c r="E683" s="65" t="s">
        <v>47</v>
      </c>
      <c r="F683" s="65" t="s">
        <v>25</v>
      </c>
      <c r="G683" s="65" t="s">
        <v>25</v>
      </c>
      <c r="H683" s="65" t="s">
        <v>25</v>
      </c>
      <c r="I683" s="75">
        <v>44317</v>
      </c>
      <c r="J683" s="76">
        <f>EFEITO!$J$683*EFEITO!$Y$683</f>
        <v>0</v>
      </c>
      <c r="K683" s="76">
        <f ca="1">EFEITO!$L$683*EFEITO!$Z$683</f>
        <v>58221.200019575524</v>
      </c>
      <c r="L683" s="76">
        <f>EFEITO!$N$683*EFEITO!$AA$683</f>
        <v>25628.734464602974</v>
      </c>
      <c r="M683" s="76">
        <f>$J$683-EFEITO!$K$683*EFEITO!$Y$683</f>
        <v>0</v>
      </c>
      <c r="N683" s="76">
        <f ca="1">$K$683-EFEITO!$M$683*EFEITO!$Z$683</f>
        <v>0</v>
      </c>
      <c r="O683" s="76">
        <f>$L$683-EFEITO!$O$683*EFEITO!$AA$683</f>
        <v>0</v>
      </c>
      <c r="P683" s="19"/>
      <c r="Q683" s="19"/>
      <c r="R683" s="19"/>
      <c r="S683" s="19"/>
      <c r="T683" s="19"/>
      <c r="U683" s="19"/>
      <c r="V683" s="19"/>
      <c r="W683" s="19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65" t="s">
        <v>21</v>
      </c>
      <c r="B684" s="65" t="s">
        <v>44</v>
      </c>
      <c r="C684" s="65" t="s">
        <v>23</v>
      </c>
      <c r="D684" s="65" t="s">
        <v>45</v>
      </c>
      <c r="E684" s="65" t="s">
        <v>47</v>
      </c>
      <c r="F684" s="65" t="s">
        <v>25</v>
      </c>
      <c r="G684" s="65" t="s">
        <v>25</v>
      </c>
      <c r="H684" s="65" t="s">
        <v>25</v>
      </c>
      <c r="I684" s="75">
        <v>44348</v>
      </c>
      <c r="J684" s="76">
        <f>EFEITO!$J$684*EFEITO!$Y$684</f>
        <v>0</v>
      </c>
      <c r="K684" s="76">
        <f ca="1">EFEITO!$L$684*EFEITO!$Z$684</f>
        <v>62781.967476477039</v>
      </c>
      <c r="L684" s="76">
        <f>EFEITO!$N$684*EFEITO!$AA$684</f>
        <v>27636.365672280434</v>
      </c>
      <c r="M684" s="76">
        <f>$J$684-EFEITO!$K$684*EFEITO!$Y$684</f>
        <v>0</v>
      </c>
      <c r="N684" s="76">
        <f ca="1">$K$684-EFEITO!$M$684*EFEITO!$Z$684</f>
        <v>0</v>
      </c>
      <c r="O684" s="76">
        <f>$L$684-EFEITO!$O$684*EFEITO!$AA$684</f>
        <v>0</v>
      </c>
      <c r="P684" s="19"/>
      <c r="Q684" s="19"/>
      <c r="R684" s="19"/>
      <c r="S684" s="19"/>
      <c r="T684" s="19"/>
      <c r="U684" s="19"/>
      <c r="V684" s="19"/>
      <c r="W684" s="19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65" t="s">
        <v>21</v>
      </c>
      <c r="B685" s="65" t="s">
        <v>44</v>
      </c>
      <c r="C685" s="65" t="s">
        <v>23</v>
      </c>
      <c r="D685" s="65" t="s">
        <v>45</v>
      </c>
      <c r="E685" s="65" t="s">
        <v>47</v>
      </c>
      <c r="F685" s="65" t="s">
        <v>25</v>
      </c>
      <c r="G685" s="65" t="s">
        <v>25</v>
      </c>
      <c r="H685" s="65" t="s">
        <v>25</v>
      </c>
      <c r="I685" s="75">
        <v>44378</v>
      </c>
      <c r="J685" s="76">
        <f>EFEITO!$J$685*EFEITO!$Y$685</f>
        <v>0</v>
      </c>
      <c r="K685" s="76">
        <f ca="1">EFEITO!$L$685*EFEITO!$Z$685</f>
        <v>60195.011184337978</v>
      </c>
      <c r="L685" s="76">
        <f>EFEITO!$N$685*EFEITO!$AA$685</f>
        <v>26497.59807799392</v>
      </c>
      <c r="M685" s="76">
        <f>$J$685-EFEITO!$K$685*EFEITO!$Y$685</f>
        <v>0</v>
      </c>
      <c r="N685" s="76">
        <f ca="1">$K$685-EFEITO!$M$685*EFEITO!$Z$685</f>
        <v>0</v>
      </c>
      <c r="O685" s="76">
        <f>$L$685-EFEITO!$O$685*EFEITO!$AA$685</f>
        <v>0</v>
      </c>
      <c r="P685" s="19"/>
      <c r="Q685" s="19"/>
      <c r="R685" s="19"/>
      <c r="S685" s="19"/>
      <c r="T685" s="19"/>
      <c r="U685" s="19"/>
      <c r="V685" s="19"/>
      <c r="W685" s="19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65" t="s">
        <v>21</v>
      </c>
      <c r="B686" s="65" t="s">
        <v>44</v>
      </c>
      <c r="C686" s="65" t="s">
        <v>23</v>
      </c>
      <c r="D686" s="65" t="s">
        <v>45</v>
      </c>
      <c r="E686" s="65" t="s">
        <v>47</v>
      </c>
      <c r="F686" s="65" t="s">
        <v>25</v>
      </c>
      <c r="G686" s="65" t="s">
        <v>25</v>
      </c>
      <c r="H686" s="65" t="s">
        <v>25</v>
      </c>
      <c r="I686" s="75">
        <v>44409</v>
      </c>
      <c r="J686" s="76">
        <f>EFEITO!$J$686*EFEITO!$Y$686</f>
        <v>0</v>
      </c>
      <c r="K686" s="76">
        <f ca="1">EFEITO!$L$686*EFEITO!$Z$686</f>
        <v>59899.562443715287</v>
      </c>
      <c r="L686" s="76">
        <f>EFEITO!$N$686*EFEITO!$AA$686</f>
        <v>26367.542749028282</v>
      </c>
      <c r="M686" s="76">
        <f>$J$686-EFEITO!$K$686*EFEITO!$Y$686</f>
        <v>0</v>
      </c>
      <c r="N686" s="76">
        <f ca="1">$K$686-EFEITO!$M$686*EFEITO!$Z$686</f>
        <v>0</v>
      </c>
      <c r="O686" s="76">
        <f>$L$686-EFEITO!$O$686*EFEITO!$AA$686</f>
        <v>0</v>
      </c>
      <c r="P686" s="19"/>
      <c r="Q686" s="19"/>
      <c r="R686" s="19"/>
      <c r="S686" s="19"/>
      <c r="T686" s="19"/>
      <c r="U686" s="19"/>
      <c r="V686" s="19"/>
      <c r="W686" s="19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65" t="s">
        <v>21</v>
      </c>
      <c r="B687" s="65" t="s">
        <v>44</v>
      </c>
      <c r="C687" s="65" t="s">
        <v>23</v>
      </c>
      <c r="D687" s="65" t="s">
        <v>45</v>
      </c>
      <c r="E687" s="65" t="s">
        <v>47</v>
      </c>
      <c r="F687" s="65" t="s">
        <v>25</v>
      </c>
      <c r="G687" s="65" t="s">
        <v>25</v>
      </c>
      <c r="H687" s="65" t="s">
        <v>25</v>
      </c>
      <c r="I687" s="75">
        <v>44440</v>
      </c>
      <c r="J687" s="76">
        <f>EFEITO!$J$687*EFEITO!$Y$687</f>
        <v>0</v>
      </c>
      <c r="K687" s="76">
        <f ca="1">EFEITO!$L$687*EFEITO!$Z$687</f>
        <v>56677.213378068387</v>
      </c>
      <c r="L687" s="76">
        <f>EFEITO!$N$687*EFEITO!$AA$687</f>
        <v>24949.07785088192</v>
      </c>
      <c r="M687" s="76">
        <f>$J$687-EFEITO!$K$687*EFEITO!$Y$687</f>
        <v>0</v>
      </c>
      <c r="N687" s="76">
        <f ca="1">$K$687-EFEITO!$M$687*EFEITO!$Z$687</f>
        <v>0</v>
      </c>
      <c r="O687" s="76">
        <f>$L$687-EFEITO!$O$687*EFEITO!$AA$687</f>
        <v>0</v>
      </c>
      <c r="P687" s="19"/>
      <c r="Q687" s="19"/>
      <c r="R687" s="19"/>
      <c r="S687" s="19"/>
      <c r="T687" s="19"/>
      <c r="U687" s="19"/>
      <c r="V687" s="19"/>
      <c r="W687" s="19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65" t="s">
        <v>21</v>
      </c>
      <c r="B688" s="65" t="s">
        <v>44</v>
      </c>
      <c r="C688" s="65" t="s">
        <v>23</v>
      </c>
      <c r="D688" s="65" t="s">
        <v>45</v>
      </c>
      <c r="E688" s="65" t="s">
        <v>47</v>
      </c>
      <c r="F688" s="65" t="s">
        <v>25</v>
      </c>
      <c r="G688" s="65" t="s">
        <v>25</v>
      </c>
      <c r="H688" s="65" t="s">
        <v>25</v>
      </c>
      <c r="I688" s="75">
        <v>44470</v>
      </c>
      <c r="J688" s="76">
        <f>EFEITO!$J$688*EFEITO!$Y$688</f>
        <v>0</v>
      </c>
      <c r="K688" s="76">
        <f ca="1">EFEITO!$L$688*EFEITO!$Z$688</f>
        <v>51570.043732183934</v>
      </c>
      <c r="L688" s="76">
        <f>EFEITO!$N$688*EFEITO!$AA$688</f>
        <v>22700.922631201734</v>
      </c>
      <c r="M688" s="76">
        <f>$J$688-EFEITO!$K$688*EFEITO!$Y$688</f>
        <v>0</v>
      </c>
      <c r="N688" s="76">
        <f ca="1">$K$688-EFEITO!$M$688*EFEITO!$Z$688</f>
        <v>0</v>
      </c>
      <c r="O688" s="76">
        <f>$L$688-EFEITO!$O$688*EFEITO!$AA$688</f>
        <v>0</v>
      </c>
      <c r="P688" s="19"/>
      <c r="Q688" s="19"/>
      <c r="R688" s="19"/>
      <c r="S688" s="19"/>
      <c r="T688" s="19"/>
      <c r="U688" s="19"/>
      <c r="V688" s="19"/>
      <c r="W688" s="19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65" t="s">
        <v>21</v>
      </c>
      <c r="B689" s="65" t="s">
        <v>44</v>
      </c>
      <c r="C689" s="65" t="s">
        <v>23</v>
      </c>
      <c r="D689" s="65" t="s">
        <v>45</v>
      </c>
      <c r="E689" s="65" t="s">
        <v>47</v>
      </c>
      <c r="F689" s="65" t="s">
        <v>25</v>
      </c>
      <c r="G689" s="65" t="s">
        <v>25</v>
      </c>
      <c r="H689" s="65" t="s">
        <v>25</v>
      </c>
      <c r="I689" s="75">
        <v>44501</v>
      </c>
      <c r="J689" s="76">
        <f>EFEITO!$J$689*EFEITO!$Y$689</f>
        <v>0</v>
      </c>
      <c r="K689" s="76">
        <f ca="1">EFEITO!$L$689*EFEITO!$Z$689</f>
        <v>50349.389547783961</v>
      </c>
      <c r="L689" s="76">
        <f>EFEITO!$N$689*EFEITO!$AA$689</f>
        <v>22163.595644561559</v>
      </c>
      <c r="M689" s="76">
        <f>$J$689-EFEITO!$K$689*EFEITO!$Y$689</f>
        <v>0</v>
      </c>
      <c r="N689" s="76">
        <f ca="1">$K$689-EFEITO!$M$689*EFEITO!$Z$689</f>
        <v>0</v>
      </c>
      <c r="O689" s="76">
        <f>$L$689-EFEITO!$O$689*EFEITO!$AA$689</f>
        <v>0</v>
      </c>
      <c r="P689" s="19"/>
      <c r="Q689" s="19"/>
      <c r="R689" s="19"/>
      <c r="S689" s="19"/>
      <c r="T689" s="19"/>
      <c r="U689" s="19"/>
      <c r="V689" s="19"/>
      <c r="W689" s="19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65" t="s">
        <v>21</v>
      </c>
      <c r="B690" s="65" t="s">
        <v>44</v>
      </c>
      <c r="C690" s="65" t="s">
        <v>23</v>
      </c>
      <c r="D690" s="65" t="s">
        <v>45</v>
      </c>
      <c r="E690" s="65" t="s">
        <v>47</v>
      </c>
      <c r="F690" s="65" t="s">
        <v>25</v>
      </c>
      <c r="G690" s="65" t="s">
        <v>25</v>
      </c>
      <c r="H690" s="65" t="s">
        <v>25</v>
      </c>
      <c r="I690" s="75">
        <v>44531</v>
      </c>
      <c r="J690" s="76">
        <f>EFEITO!$J$690*EFEITO!$Y$690</f>
        <v>0</v>
      </c>
      <c r="K690" s="76">
        <f ca="1">EFEITO!$L$690*EFEITO!$Z$690</f>
        <v>47373.544401271043</v>
      </c>
      <c r="L690" s="76">
        <f>EFEITO!$N$690*EFEITO!$AA$690</f>
        <v>20853.640764859425</v>
      </c>
      <c r="M690" s="76">
        <f>$J$690-EFEITO!$K$690*EFEITO!$Y$690</f>
        <v>0</v>
      </c>
      <c r="N690" s="76">
        <f ca="1">$K$690-EFEITO!$M$690*EFEITO!$Z$690</f>
        <v>0</v>
      </c>
      <c r="O690" s="76">
        <f>$L$690-EFEITO!$O$690*EFEITO!$AA$690</f>
        <v>0</v>
      </c>
      <c r="P690" s="19"/>
      <c r="Q690" s="19"/>
      <c r="R690" s="19"/>
      <c r="S690" s="19"/>
      <c r="T690" s="19"/>
      <c r="U690" s="19"/>
      <c r="V690" s="19"/>
      <c r="W690" s="19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65" t="s">
        <v>21</v>
      </c>
      <c r="B691" s="65" t="s">
        <v>44</v>
      </c>
      <c r="C691" s="65" t="s">
        <v>23</v>
      </c>
      <c r="D691" s="65" t="s">
        <v>45</v>
      </c>
      <c r="E691" s="65" t="s">
        <v>47</v>
      </c>
      <c r="F691" s="65" t="s">
        <v>25</v>
      </c>
      <c r="G691" s="65" t="s">
        <v>25</v>
      </c>
      <c r="H691" s="65" t="s">
        <v>25</v>
      </c>
      <c r="I691" s="75">
        <v>44562</v>
      </c>
      <c r="J691" s="76">
        <f>EFEITO!$J$691*EFEITO!$Y$691</f>
        <v>0</v>
      </c>
      <c r="K691" s="76">
        <f ca="1">EFEITO!$L$691*EFEITO!$Z$691</f>
        <v>49776.883454007053</v>
      </c>
      <c r="L691" s="76">
        <f>EFEITO!$N$691*EFEITO!$AA$691</f>
        <v>21911.580800280743</v>
      </c>
      <c r="M691" s="76">
        <f>$J$691-EFEITO!$K$691*EFEITO!$Y$691</f>
        <v>0</v>
      </c>
      <c r="N691" s="76">
        <f ca="1">$K$691-EFEITO!$M$691*EFEITO!$Z$691</f>
        <v>0</v>
      </c>
      <c r="O691" s="76">
        <f>$L$691-EFEITO!$O$691*EFEITO!$AA$691</f>
        <v>0</v>
      </c>
      <c r="P691" s="19"/>
      <c r="Q691" s="19"/>
      <c r="R691" s="19"/>
      <c r="S691" s="19"/>
      <c r="T691" s="19"/>
      <c r="U691" s="19"/>
      <c r="V691" s="19"/>
      <c r="W691" s="19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65" t="s">
        <v>21</v>
      </c>
      <c r="B692" s="65" t="s">
        <v>44</v>
      </c>
      <c r="C692" s="65" t="s">
        <v>23</v>
      </c>
      <c r="D692" s="65" t="s">
        <v>45</v>
      </c>
      <c r="E692" s="65" t="s">
        <v>47</v>
      </c>
      <c r="F692" s="65" t="s">
        <v>25</v>
      </c>
      <c r="G692" s="65" t="s">
        <v>25</v>
      </c>
      <c r="H692" s="65" t="s">
        <v>25</v>
      </c>
      <c r="I692" s="75">
        <v>44593</v>
      </c>
      <c r="J692" s="76">
        <f>EFEITO!$J$692*EFEITO!$Y$692</f>
        <v>0</v>
      </c>
      <c r="K692" s="76">
        <f ca="1">EFEITO!$L$692*EFEITO!$Z$692</f>
        <v>52228.574057668251</v>
      </c>
      <c r="L692" s="76">
        <f>EFEITO!$N$692*EFEITO!$AA$692</f>
        <v>22990.804990944431</v>
      </c>
      <c r="M692" s="76">
        <f>$J$692-EFEITO!$K$692*EFEITO!$Y$692</f>
        <v>0</v>
      </c>
      <c r="N692" s="76">
        <f ca="1">$K$692-EFEITO!$M$692*EFEITO!$Z$692</f>
        <v>0</v>
      </c>
      <c r="O692" s="76">
        <f>$L$692-EFEITO!$O$692*EFEITO!$AA$692</f>
        <v>0</v>
      </c>
      <c r="P692" s="19"/>
      <c r="Q692" s="19"/>
      <c r="R692" s="19"/>
      <c r="S692" s="19"/>
      <c r="T692" s="19"/>
      <c r="U692" s="19"/>
      <c r="V692" s="19"/>
      <c r="W692" s="19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65" t="s">
        <v>54</v>
      </c>
      <c r="B693" s="65" t="s">
        <v>44</v>
      </c>
      <c r="C693" s="65" t="s">
        <v>23</v>
      </c>
      <c r="D693" s="65" t="s">
        <v>45</v>
      </c>
      <c r="E693" s="65" t="s">
        <v>47</v>
      </c>
      <c r="F693" s="65" t="s">
        <v>25</v>
      </c>
      <c r="G693" s="65" t="s">
        <v>25</v>
      </c>
      <c r="H693" s="65" t="s">
        <v>25</v>
      </c>
      <c r="I693" s="75">
        <v>44621</v>
      </c>
      <c r="J693" s="76">
        <f>EFEITO!$J$693*EFEITO!$Y$693</f>
        <v>0</v>
      </c>
      <c r="K693" s="76">
        <f ca="1">EFEITO!$L$693*EFEITO!$Z$693</f>
        <v>52228.574057668251</v>
      </c>
      <c r="L693" s="76">
        <f>EFEITO!$N$693*EFEITO!$AA$693</f>
        <v>22990.804990944431</v>
      </c>
      <c r="M693" s="76">
        <f>$J$693-EFEITO!$K$693*EFEITO!$Y$693</f>
        <v>0</v>
      </c>
      <c r="N693" s="76">
        <f ca="1">$K$693-EFEITO!$M$693*EFEITO!$Z$693</f>
        <v>0</v>
      </c>
      <c r="O693" s="76">
        <f>$L$693-EFEITO!$O$693*EFEITO!$AA$693</f>
        <v>0</v>
      </c>
      <c r="P693" s="19"/>
      <c r="Q693" s="19"/>
      <c r="R693" s="19"/>
      <c r="S693" s="19"/>
      <c r="T693" s="19"/>
      <c r="U693" s="19"/>
      <c r="V693" s="19"/>
      <c r="W693" s="19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F83AD-BBBB-4ED8-BF59-55DD97B7B859}">
  <sheetPr codeName="Planilha22"/>
  <dimension ref="A1:BD103"/>
  <sheetViews>
    <sheetView showGridLines="0" topLeftCell="C38" workbookViewId="0">
      <selection activeCell="L53" sqref="L53:BD103"/>
    </sheetView>
  </sheetViews>
  <sheetFormatPr defaultColWidth="9.140625"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7.42578125" style="9" bestFit="1" customWidth="1"/>
    <col min="21" max="21" width="7.28515625" style="9" bestFit="1" customWidth="1"/>
    <col min="22" max="23" width="9.85546875" style="9" bestFit="1" customWidth="1"/>
    <col min="24" max="24" width="10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6" width="7.85546875" style="9" bestFit="1" customWidth="1"/>
    <col min="37" max="38" width="4.140625" style="9" bestFit="1" customWidth="1"/>
    <col min="39" max="39" width="4.42578125" style="9" bestFit="1" customWidth="1"/>
    <col min="40" max="41" width="10" style="9" bestFit="1" customWidth="1"/>
    <col min="42" max="42" width="8.7109375" style="9" bestFit="1" customWidth="1"/>
    <col min="43" max="43" width="7.42578125" style="9" bestFit="1" customWidth="1"/>
    <col min="44" max="44" width="7.28515625" style="9" bestFit="1" customWidth="1"/>
    <col min="45" max="46" width="9.85546875" style="9" bestFit="1" customWidth="1"/>
    <col min="47" max="47" width="10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131" t="s">
        <v>63</v>
      </c>
      <c r="B1" s="131" t="s">
        <v>64</v>
      </c>
      <c r="C1" s="131" t="s">
        <v>65</v>
      </c>
      <c r="D1" s="131" t="s">
        <v>66</v>
      </c>
      <c r="E1" s="131" t="s">
        <v>67</v>
      </c>
      <c r="F1" s="131" t="s">
        <v>15</v>
      </c>
      <c r="G1" s="131" t="s">
        <v>69</v>
      </c>
      <c r="H1" s="131" t="s">
        <v>70</v>
      </c>
      <c r="I1" s="131" t="s">
        <v>488</v>
      </c>
      <c r="J1" s="124"/>
      <c r="L1" s="132" t="s">
        <v>650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I1" s="132" t="s">
        <v>651</v>
      </c>
      <c r="AJ1" s="132"/>
      <c r="AK1" s="132"/>
      <c r="AL1" s="132"/>
      <c r="AM1" s="132"/>
      <c r="AN1" s="132"/>
      <c r="AO1" s="132"/>
      <c r="AP1" s="132"/>
      <c r="AQ1" s="132"/>
      <c r="AR1" s="132"/>
      <c r="AS1" s="132"/>
      <c r="AT1" s="132"/>
      <c r="AU1" s="132"/>
      <c r="AV1" s="132"/>
      <c r="AW1" s="132"/>
      <c r="AX1" s="132"/>
      <c r="AY1" s="132"/>
      <c r="AZ1" s="132"/>
      <c r="BA1" s="132"/>
      <c r="BB1" s="132"/>
      <c r="BC1" s="132"/>
      <c r="BD1" s="132"/>
    </row>
    <row r="2" spans="1:56" ht="11.25" customHeight="1" x14ac:dyDescent="0.25">
      <c r="A2" s="131"/>
      <c r="B2" s="131"/>
      <c r="C2" s="131"/>
      <c r="D2" s="131"/>
      <c r="E2" s="131"/>
      <c r="F2" s="131"/>
      <c r="G2" s="131"/>
      <c r="H2" s="131"/>
      <c r="I2" s="131"/>
      <c r="J2" s="124"/>
      <c r="L2" s="132" t="s">
        <v>399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I2" s="132" t="s">
        <v>399</v>
      </c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</row>
    <row r="3" spans="1:56" ht="11.25" customHeight="1" x14ac:dyDescent="0.25">
      <c r="A3" s="131"/>
      <c r="B3" s="131"/>
      <c r="C3" s="131"/>
      <c r="D3" s="131"/>
      <c r="E3" s="131"/>
      <c r="F3" s="131"/>
      <c r="G3" s="131"/>
      <c r="H3" s="131"/>
      <c r="I3" s="131"/>
      <c r="J3" s="124"/>
      <c r="L3" s="132" t="s">
        <v>400</v>
      </c>
      <c r="M3" s="132"/>
      <c r="N3" s="132"/>
      <c r="O3" s="132"/>
      <c r="P3" s="132"/>
      <c r="Q3" s="132"/>
      <c r="R3" s="132"/>
      <c r="S3" s="132"/>
      <c r="T3" s="132" t="s">
        <v>409</v>
      </c>
      <c r="U3" s="132"/>
      <c r="V3" s="132"/>
      <c r="W3" s="132"/>
      <c r="X3" s="132"/>
      <c r="Y3" s="132"/>
      <c r="Z3" s="132"/>
      <c r="AA3" s="79" t="s">
        <v>417</v>
      </c>
      <c r="AB3" s="132" t="s">
        <v>419</v>
      </c>
      <c r="AC3" s="132"/>
      <c r="AD3" s="132" t="s">
        <v>422</v>
      </c>
      <c r="AE3" s="132"/>
      <c r="AF3" s="132"/>
      <c r="AG3" s="132"/>
      <c r="AI3" s="132" t="s">
        <v>400</v>
      </c>
      <c r="AJ3" s="132"/>
      <c r="AK3" s="132"/>
      <c r="AL3" s="132"/>
      <c r="AM3" s="132"/>
      <c r="AN3" s="132"/>
      <c r="AO3" s="132"/>
      <c r="AP3" s="132"/>
      <c r="AQ3" s="132" t="s">
        <v>409</v>
      </c>
      <c r="AR3" s="132"/>
      <c r="AS3" s="132"/>
      <c r="AT3" s="132"/>
      <c r="AU3" s="132"/>
      <c r="AV3" s="132"/>
      <c r="AW3" s="132"/>
      <c r="AX3" s="79" t="s">
        <v>417</v>
      </c>
      <c r="AY3" s="132" t="s">
        <v>419</v>
      </c>
      <c r="AZ3" s="132"/>
      <c r="BA3" s="132" t="s">
        <v>422</v>
      </c>
      <c r="BB3" s="132"/>
      <c r="BC3" s="132"/>
      <c r="BD3" s="132"/>
    </row>
    <row r="4" spans="1:56" ht="11.25" customHeight="1" x14ac:dyDescent="0.25">
      <c r="A4" s="131"/>
      <c r="B4" s="131"/>
      <c r="C4" s="131"/>
      <c r="D4" s="131"/>
      <c r="E4" s="131"/>
      <c r="F4" s="131"/>
      <c r="G4" s="131"/>
      <c r="H4" s="131"/>
      <c r="I4" s="131"/>
      <c r="J4" s="124"/>
      <c r="L4" s="79" t="s">
        <v>484</v>
      </c>
      <c r="M4" s="79" t="s">
        <v>401</v>
      </c>
      <c r="N4" s="79" t="s">
        <v>402</v>
      </c>
      <c r="O4" s="79" t="s">
        <v>403</v>
      </c>
      <c r="P4" s="79" t="s">
        <v>404</v>
      </c>
      <c r="Q4" s="79" t="s">
        <v>405</v>
      </c>
      <c r="R4" s="79" t="s">
        <v>406</v>
      </c>
      <c r="S4" s="79" t="s">
        <v>407</v>
      </c>
      <c r="T4" s="79" t="s">
        <v>410</v>
      </c>
      <c r="U4" s="79" t="s">
        <v>411</v>
      </c>
      <c r="V4" s="79" t="s">
        <v>412</v>
      </c>
      <c r="W4" s="79" t="s">
        <v>413</v>
      </c>
      <c r="X4" s="79" t="s">
        <v>414</v>
      </c>
      <c r="Y4" s="79" t="s">
        <v>415</v>
      </c>
      <c r="Z4" s="79" t="s">
        <v>416</v>
      </c>
      <c r="AA4" s="79" t="s">
        <v>418</v>
      </c>
      <c r="AB4" s="79" t="s">
        <v>420</v>
      </c>
      <c r="AC4" s="79" t="s">
        <v>421</v>
      </c>
      <c r="AD4" s="79" t="s">
        <v>423</v>
      </c>
      <c r="AE4" s="79" t="s">
        <v>424</v>
      </c>
      <c r="AF4" s="79" t="s">
        <v>425</v>
      </c>
      <c r="AG4" s="79" t="s">
        <v>426</v>
      </c>
      <c r="AI4" s="79" t="s">
        <v>484</v>
      </c>
      <c r="AJ4" s="79" t="s">
        <v>401</v>
      </c>
      <c r="AK4" s="79" t="s">
        <v>402</v>
      </c>
      <c r="AL4" s="79" t="s">
        <v>403</v>
      </c>
      <c r="AM4" s="79" t="s">
        <v>404</v>
      </c>
      <c r="AN4" s="79" t="s">
        <v>405</v>
      </c>
      <c r="AO4" s="79" t="s">
        <v>406</v>
      </c>
      <c r="AP4" s="79" t="s">
        <v>407</v>
      </c>
      <c r="AQ4" s="79" t="s">
        <v>410</v>
      </c>
      <c r="AR4" s="79" t="s">
        <v>411</v>
      </c>
      <c r="AS4" s="79" t="s">
        <v>412</v>
      </c>
      <c r="AT4" s="79" t="s">
        <v>413</v>
      </c>
      <c r="AU4" s="79" t="s">
        <v>414</v>
      </c>
      <c r="AV4" s="79" t="s">
        <v>415</v>
      </c>
      <c r="AW4" s="79" t="s">
        <v>416</v>
      </c>
      <c r="AX4" s="79" t="s">
        <v>418</v>
      </c>
      <c r="AY4" s="79" t="s">
        <v>420</v>
      </c>
      <c r="AZ4" s="79" t="s">
        <v>421</v>
      </c>
      <c r="BA4" s="79" t="s">
        <v>423</v>
      </c>
      <c r="BB4" s="79" t="s">
        <v>424</v>
      </c>
      <c r="BC4" s="79" t="s">
        <v>425</v>
      </c>
      <c r="BD4" s="79" t="s">
        <v>426</v>
      </c>
    </row>
    <row r="5" spans="1:56" ht="11.25" customHeight="1" x14ac:dyDescent="0.25">
      <c r="A5" s="130" t="s">
        <v>33</v>
      </c>
      <c r="B5" s="130" t="s">
        <v>43</v>
      </c>
      <c r="C5" s="130" t="s">
        <v>25</v>
      </c>
      <c r="D5" s="130" t="s">
        <v>25</v>
      </c>
      <c r="E5" s="130" t="s">
        <v>25</v>
      </c>
      <c r="F5" s="130" t="s">
        <v>25</v>
      </c>
      <c r="G5" s="36" t="s">
        <v>77</v>
      </c>
      <c r="H5" s="36" t="s">
        <v>76</v>
      </c>
      <c r="I5" s="36">
        <f>'MERCADO TUSD'!$U$2</f>
        <v>1679</v>
      </c>
      <c r="J5" s="16"/>
      <c r="L5" s="17">
        <f>('TUSD BE'!$L$5+'TUSD BF'!$L$5+'TUSD CVA'!$L$5)*1</f>
        <v>0</v>
      </c>
      <c r="M5" s="17">
        <f>('TUSD BE'!$M$5+'TUSD BF'!$M$5+'TUSD CVA'!$M$5)*1</f>
        <v>0</v>
      </c>
      <c r="N5" s="17">
        <f ca="1">('TUSD BE'!$N$5+'TUSD BF'!$N$5+'TUSD CVA'!$N$5)*1</f>
        <v>0</v>
      </c>
      <c r="O5" s="17">
        <f>('TUSD BE'!$O$5+'TUSD BF'!$O$5+'TUSD CVA'!$O$5)*1</f>
        <v>0</v>
      </c>
      <c r="P5" s="17">
        <f>('TUSD BE'!$P$5+'TUSD BF'!$P$5+'TUSD CVA'!$P$5)*1</f>
        <v>0</v>
      </c>
      <c r="Q5" s="17">
        <f>('TUSD BE'!$Q$5+'TUSD BF'!$Q$5+'TUSD CVA'!$Q$5)*1</f>
        <v>0</v>
      </c>
      <c r="R5" s="17">
        <f>('TUSD BE'!$R$5+'TUSD BF'!$R$5+'TUSD CVA'!$R$5)*1</f>
        <v>0</v>
      </c>
      <c r="S5" s="17">
        <f>('TUSD BE'!$S$5+'TUSD BF'!$S$5+'TUSD CVA'!$S$5)*1</f>
        <v>0</v>
      </c>
      <c r="T5" s="17">
        <f>('TUSD BE'!$U$5+'TUSD BF'!$U$5+'TUSD CVA'!$U$5)*1</f>
        <v>0</v>
      </c>
      <c r="U5" s="17">
        <f>('TUSD BE'!$V$5+'TUSD BF'!$V$5+'TUSD CVA'!$V$5)*1</f>
        <v>0</v>
      </c>
      <c r="V5" s="17">
        <f>('TUSD BE'!$W$5+'TUSD BF'!$W$5+'TUSD CVA'!$W$5)*1</f>
        <v>0</v>
      </c>
      <c r="W5" s="17">
        <f>('TUSD BE'!$X$5+'TUSD BF'!$X$5+'TUSD CVA'!$X$5)*1</f>
        <v>0</v>
      </c>
      <c r="X5" s="17">
        <f>('TUSD BE'!$Y$5+'TUSD BF'!$Y$5+'TUSD CVA'!$Y$5)*1</f>
        <v>45.530732095690752</v>
      </c>
      <c r="Y5" s="17">
        <f>('TUSD BE'!$Z$5+'TUSD BF'!$Z$5+'TUSD CVA'!$Z$5)*1</f>
        <v>0</v>
      </c>
      <c r="Z5" s="17">
        <f>('TUSD BE'!$AA$5+'TUSD BF'!$AA$5+'TUSD CVA'!$AA$5)*1</f>
        <v>0</v>
      </c>
      <c r="AA5" s="17">
        <f>('TUSD BE'!$AC$5+'TUSD BF'!$AC$5+'TUSD CVA'!$AC$5)*1</f>
        <v>46.977220302823454</v>
      </c>
      <c r="AB5" s="17">
        <f ca="1">('TUSD BE'!$AE$5+'TUSD BF'!$AE$5+'TUSD CVA'!$AE$5)*1</f>
        <v>1.9319742408780416</v>
      </c>
      <c r="AC5" s="17">
        <f ca="1">('TUSD BE'!$AF$5+'TUSD BF'!$AF$5+'TUSD CVA'!$AF$5)*1</f>
        <v>0</v>
      </c>
      <c r="AD5" s="17">
        <f>('TUSD BE'!$AH$5+'TUSD BF'!$AH$5+'TUSD CVA'!$AH$5)*1</f>
        <v>0</v>
      </c>
      <c r="AE5" s="17">
        <f>('TUSD BE'!$AI$5+'TUSD BF'!$AI$5+'TUSD CVA'!$AI$5)*1</f>
        <v>0</v>
      </c>
      <c r="AF5" s="17">
        <f ca="1">('TUSD BE'!$AJ$5+'TUSD BF'!$AJ$5+'TUSD CVA'!$AJ$5)*1</f>
        <v>0</v>
      </c>
      <c r="AG5" s="17">
        <f ca="1">('TUSD BE'!$AK$5+'TUSD BF'!$AK$5+'TUSD CVA'!$AK$5)*1</f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45.155095296996002</v>
      </c>
      <c r="AV5" s="17">
        <v>0</v>
      </c>
      <c r="AW5" s="17">
        <v>0</v>
      </c>
      <c r="AX5" s="17">
        <v>45.9984992659952</v>
      </c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</row>
    <row r="6" spans="1:56" ht="11.25" customHeight="1" x14ac:dyDescent="0.25">
      <c r="A6" s="130"/>
      <c r="B6" s="130"/>
      <c r="C6" s="130"/>
      <c r="D6" s="130"/>
      <c r="E6" s="130"/>
      <c r="F6" s="130"/>
      <c r="G6" s="36" t="s">
        <v>78</v>
      </c>
      <c r="H6" s="36" t="s">
        <v>76</v>
      </c>
      <c r="I6" s="36">
        <f>'MERCADO TUSD'!$U$3</f>
        <v>1683</v>
      </c>
      <c r="J6" s="16"/>
      <c r="L6" s="17">
        <f>('TUSD BE'!$L$6+'TUSD BF'!$L$6+'TUSD CVA'!$L$6)*1</f>
        <v>0</v>
      </c>
      <c r="M6" s="17">
        <f>('TUSD BE'!$M$6+'TUSD BF'!$M$6+'TUSD CVA'!$M$6)*1</f>
        <v>0</v>
      </c>
      <c r="N6" s="17">
        <f ca="1">('TUSD BE'!$N$6+'TUSD BF'!$N$6+'TUSD CVA'!$N$6)*1</f>
        <v>0</v>
      </c>
      <c r="O6" s="17">
        <f>('TUSD BE'!$O$6+'TUSD BF'!$O$6+'TUSD CVA'!$O$6)*1</f>
        <v>0</v>
      </c>
      <c r="P6" s="17">
        <f>('TUSD BE'!$P$6+'TUSD BF'!$P$6+'TUSD CVA'!$P$6)*1</f>
        <v>0</v>
      </c>
      <c r="Q6" s="17">
        <f>('TUSD BE'!$Q$6+'TUSD BF'!$Q$6+'TUSD CVA'!$Q$6)*1</f>
        <v>0</v>
      </c>
      <c r="R6" s="17">
        <f>('TUSD BE'!$R$6+'TUSD BF'!$R$6+'TUSD CVA'!$R$6)*1</f>
        <v>0</v>
      </c>
      <c r="S6" s="17">
        <f>('TUSD BE'!$S$6+'TUSD BF'!$S$6+'TUSD CVA'!$S$6)*1</f>
        <v>0</v>
      </c>
      <c r="T6" s="17">
        <f>('TUSD BE'!$U$6+'TUSD BF'!$U$6+'TUSD CVA'!$U$6)*1</f>
        <v>0</v>
      </c>
      <c r="U6" s="17">
        <f>('TUSD BE'!$V$6+'TUSD BF'!$V$6+'TUSD CVA'!$V$6)*1</f>
        <v>0</v>
      </c>
      <c r="V6" s="17">
        <f>('TUSD BE'!$W$6+'TUSD BF'!$W$6+'TUSD CVA'!$W$6)*1</f>
        <v>0</v>
      </c>
      <c r="W6" s="17">
        <f>('TUSD BE'!$X$6+'TUSD BF'!$X$6+'TUSD CVA'!$X$6)*1</f>
        <v>0</v>
      </c>
      <c r="X6" s="17">
        <f>('TUSD BE'!$Y$6+'TUSD BF'!$Y$6+'TUSD CVA'!$Y$6)*1</f>
        <v>10.899591688204124</v>
      </c>
      <c r="Y6" s="17">
        <f>('TUSD BE'!$Z$6+'TUSD BF'!$Z$6+'TUSD CVA'!$Z$6)*1</f>
        <v>0</v>
      </c>
      <c r="Z6" s="17">
        <f>('TUSD BE'!$AA$6+'TUSD BF'!$AA$6+'TUSD CVA'!$AA$6)*1</f>
        <v>0</v>
      </c>
      <c r="AA6" s="17">
        <f>('TUSD BE'!$AC$6+'TUSD BF'!$AC$6+'TUSD CVA'!$AC$6)*1</f>
        <v>12.863836438611756</v>
      </c>
      <c r="AB6" s="17">
        <f ca="1">('TUSD BE'!$AE$6+'TUSD BF'!$AE$6+'TUSD CVA'!$AE$6)*1</f>
        <v>0.50449059646654848</v>
      </c>
      <c r="AC6" s="17">
        <f ca="1">('TUSD BE'!$AF$6+'TUSD BF'!$AF$6+'TUSD CVA'!$AF$6)*1</f>
        <v>0</v>
      </c>
      <c r="AD6" s="17">
        <f>('TUSD BE'!$AH$6+'TUSD BF'!$AH$6+'TUSD CVA'!$AH$6)*1</f>
        <v>0</v>
      </c>
      <c r="AE6" s="17">
        <f>('TUSD BE'!$AI$6+'TUSD BF'!$AI$6+'TUSD CVA'!$AI$6)*1</f>
        <v>0</v>
      </c>
      <c r="AF6" s="17">
        <f ca="1">('TUSD BE'!$AJ$6+'TUSD BF'!$AJ$6+'TUSD CVA'!$AJ$6)*1</f>
        <v>0</v>
      </c>
      <c r="AG6" s="17">
        <f ca="1">('TUSD BE'!$AK$6+'TUSD BF'!$AK$6+'TUSD CVA'!$AK$6)*1</f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10.8097208708633</v>
      </c>
      <c r="AV6" s="17">
        <v>0</v>
      </c>
      <c r="AW6" s="17">
        <v>0</v>
      </c>
      <c r="AX6" s="17">
        <v>12.595808529847901</v>
      </c>
      <c r="AY6" s="17">
        <v>0</v>
      </c>
      <c r="AZ6" s="17">
        <v>0</v>
      </c>
      <c r="BA6" s="17">
        <v>0</v>
      </c>
      <c r="BB6" s="17">
        <v>0</v>
      </c>
      <c r="BC6" s="17">
        <v>0</v>
      </c>
      <c r="BD6" s="17">
        <v>0</v>
      </c>
    </row>
    <row r="7" spans="1:56" ht="11.25" customHeight="1" x14ac:dyDescent="0.25">
      <c r="A7" s="130"/>
      <c r="B7" s="130"/>
      <c r="C7" s="130"/>
      <c r="D7" s="130"/>
      <c r="E7" s="130"/>
      <c r="F7" s="130"/>
      <c r="G7" s="36" t="s">
        <v>79</v>
      </c>
      <c r="H7" s="36" t="s">
        <v>73</v>
      </c>
      <c r="I7" s="36">
        <f>'MERCADO TUSD'!$U$4</f>
        <v>645.12700000000018</v>
      </c>
      <c r="J7" s="16"/>
      <c r="L7" s="17">
        <f>('TUSD BE'!$L$7+'TUSD BF'!$L$7+'TUSD CVA'!$L$7)*1</f>
        <v>0</v>
      </c>
      <c r="M7" s="17">
        <f>('TUSD BE'!$M$7+'TUSD BF'!$M$7+'TUSD CVA'!$M$7)*1</f>
        <v>1.067453800064315</v>
      </c>
      <c r="N7" s="17">
        <f ca="1">('TUSD BE'!$N$7+'TUSD BF'!$N$7+'TUSD CVA'!$N$7)*1</f>
        <v>0</v>
      </c>
      <c r="O7" s="17">
        <f>('TUSD BE'!$O$7+'TUSD BF'!$O$7+'TUSD CVA'!$O$7)*1</f>
        <v>0</v>
      </c>
      <c r="P7" s="17">
        <f>('TUSD BE'!$P$7+'TUSD BF'!$P$7+'TUSD CVA'!$P$7)*1</f>
        <v>0</v>
      </c>
      <c r="Q7" s="17">
        <f>('TUSD BE'!$Q$7+'TUSD BF'!$Q$7+'TUSD CVA'!$Q$7)*1</f>
        <v>69.258590699489076</v>
      </c>
      <c r="R7" s="17">
        <f>('TUSD BE'!$R$7+'TUSD BF'!$R$7+'TUSD CVA'!$R$7)*1</f>
        <v>13.715806659518108</v>
      </c>
      <c r="S7" s="17">
        <f>('TUSD BE'!$S$7+'TUSD BF'!$S$7+'TUSD CVA'!$S$7)*1</f>
        <v>0</v>
      </c>
      <c r="T7" s="17">
        <f>('TUSD BE'!$U$7+'TUSD BF'!$U$7+'TUSD CVA'!$U$7)*1</f>
        <v>0</v>
      </c>
      <c r="U7" s="17">
        <f>('TUSD BE'!$V$7+'TUSD BF'!$V$7+'TUSD CVA'!$V$7)*1</f>
        <v>0</v>
      </c>
      <c r="V7" s="17">
        <f>('TUSD BE'!$W$7+'TUSD BF'!$W$7+'TUSD CVA'!$W$7)*1</f>
        <v>0</v>
      </c>
      <c r="W7" s="17">
        <f>('TUSD BE'!$X$7+'TUSD BF'!$X$7+'TUSD CVA'!$X$7)*1</f>
        <v>0</v>
      </c>
      <c r="X7" s="17">
        <f>('TUSD BE'!$Y$7+'TUSD BF'!$Y$7+'TUSD CVA'!$Y$7)*1</f>
        <v>0</v>
      </c>
      <c r="Y7" s="17">
        <f>('TUSD BE'!$Z$7+'TUSD BF'!$Z$7+'TUSD CVA'!$Z$7)*1</f>
        <v>0</v>
      </c>
      <c r="Z7" s="17">
        <f>('TUSD BE'!$AA$7+'TUSD BF'!$AA$7+'TUSD CVA'!$AA$7)*1</f>
        <v>0</v>
      </c>
      <c r="AA7" s="17">
        <f>('TUSD BE'!$AC$7+'TUSD BF'!$AC$7+'TUSD CVA'!$AC$7)*1</f>
        <v>0</v>
      </c>
      <c r="AB7" s="17">
        <f ca="1">('TUSD BE'!$AE$7+'TUSD BF'!$AE$7+'TUSD CVA'!$AE$7)*1</f>
        <v>1.6154363906574407</v>
      </c>
      <c r="AC7" s="17">
        <f ca="1">('TUSD BE'!$AF$7+'TUSD BF'!$AF$7+'TUSD CVA'!$AF$7)*1</f>
        <v>0</v>
      </c>
      <c r="AD7" s="17">
        <f>('TUSD BE'!$AH$7+'TUSD BF'!$AH$7+'TUSD CVA'!$AH$7)*1</f>
        <v>17.647771626044829</v>
      </c>
      <c r="AE7" s="17">
        <f>('TUSD BE'!$AI$7+'TUSD BF'!$AI$7+'TUSD CVA'!$AI$7)*1</f>
        <v>0</v>
      </c>
      <c r="AF7" s="17">
        <f ca="1">('TUSD BE'!$AJ$7+'TUSD BF'!$AJ$7+'TUSD CVA'!$AJ$7)*1</f>
        <v>0</v>
      </c>
      <c r="AG7" s="17">
        <f ca="1">('TUSD BE'!$AK$7+'TUSD BF'!$AK$7+'TUSD CVA'!$AK$7)*1</f>
        <v>0</v>
      </c>
      <c r="AI7" s="17">
        <v>0</v>
      </c>
      <c r="AJ7" s="17">
        <v>0.92874695467476698</v>
      </c>
      <c r="AK7" s="17">
        <v>0</v>
      </c>
      <c r="AL7" s="17">
        <v>0</v>
      </c>
      <c r="AM7" s="17">
        <v>0</v>
      </c>
      <c r="AN7" s="17">
        <v>47.774913279662599</v>
      </c>
      <c r="AO7" s="17">
        <v>8.7825256480584404</v>
      </c>
      <c r="AP7" s="17">
        <v>0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>
        <v>0</v>
      </c>
      <c r="AW7" s="17">
        <v>0</v>
      </c>
      <c r="AX7" s="17">
        <v>0</v>
      </c>
      <c r="AY7" s="17">
        <v>0</v>
      </c>
      <c r="AZ7" s="17">
        <v>0</v>
      </c>
      <c r="BA7" s="17">
        <v>14.7407004232729</v>
      </c>
      <c r="BB7" s="17">
        <v>0</v>
      </c>
      <c r="BC7" s="17">
        <v>0</v>
      </c>
      <c r="BD7" s="17">
        <v>0</v>
      </c>
    </row>
    <row r="8" spans="1:56" ht="11.25" customHeight="1" x14ac:dyDescent="0.25">
      <c r="A8" s="130"/>
      <c r="B8" s="130"/>
      <c r="C8" s="130"/>
      <c r="D8" s="130"/>
      <c r="E8" s="80" t="s">
        <v>80</v>
      </c>
      <c r="F8" s="80" t="s">
        <v>25</v>
      </c>
      <c r="G8" s="36" t="s">
        <v>79</v>
      </c>
      <c r="H8" s="36" t="s">
        <v>73</v>
      </c>
      <c r="I8" s="36">
        <f>'MERCADO TUSD'!$U$5</f>
        <v>0</v>
      </c>
      <c r="J8" s="16"/>
      <c r="L8" s="17">
        <f>('TUSD BE'!$L$8+'TUSD BF'!$L$8+'TUSD CVA'!$L$8)*1</f>
        <v>0</v>
      </c>
      <c r="M8" s="17">
        <f>('TUSD BE'!$M$8+'TUSD BF'!$M$8+'TUSD CVA'!$M$8)*1</f>
        <v>1.067453800064315</v>
      </c>
      <c r="N8" s="17">
        <f ca="1">('TUSD BE'!$N$8+'TUSD BF'!$N$8+'TUSD CVA'!$N$8)*1</f>
        <v>0</v>
      </c>
      <c r="O8" s="17">
        <f>('TUSD BE'!$O$8+'TUSD BF'!$O$8+'TUSD CVA'!$O$8)*1</f>
        <v>0</v>
      </c>
      <c r="P8" s="17">
        <f>('TUSD BE'!$P$8+'TUSD BF'!$P$8+'TUSD CVA'!$P$8)*1</f>
        <v>0</v>
      </c>
      <c r="Q8" s="17">
        <f>('TUSD BE'!$Q$8+'TUSD BF'!$Q$8+'TUSD CVA'!$Q$8)*1</f>
        <v>0</v>
      </c>
      <c r="R8" s="17">
        <f>('TUSD BE'!$R$8+'TUSD BF'!$R$8+'TUSD CVA'!$R$8)*1</f>
        <v>0</v>
      </c>
      <c r="S8" s="17">
        <f>('TUSD BE'!$S$8+'TUSD BF'!$S$8+'TUSD CVA'!$S$8)*1</f>
        <v>0</v>
      </c>
      <c r="T8" s="17">
        <f>('TUSD BE'!$U$8+'TUSD BF'!$U$8+'TUSD CVA'!$U$8)*1</f>
        <v>0</v>
      </c>
      <c r="U8" s="17">
        <f>('TUSD BE'!$V$8+'TUSD BF'!$V$8+'TUSD CVA'!$V$8)*1</f>
        <v>0</v>
      </c>
      <c r="V8" s="17">
        <f>('TUSD BE'!$W$8+'TUSD BF'!$W$8+'TUSD CVA'!$W$8)*1</f>
        <v>0</v>
      </c>
      <c r="W8" s="17">
        <f>('TUSD BE'!$X$8+'TUSD BF'!$X$8+'TUSD CVA'!$X$8)*1</f>
        <v>0</v>
      </c>
      <c r="X8" s="17">
        <f>('TUSD BE'!$Y$8+'TUSD BF'!$Y$8+'TUSD CVA'!$Y$8)*1</f>
        <v>0</v>
      </c>
      <c r="Y8" s="17">
        <f>('TUSD BE'!$Z$8+'TUSD BF'!$Z$8+'TUSD CVA'!$Z$8)*1</f>
        <v>0</v>
      </c>
      <c r="Z8" s="17">
        <f>('TUSD BE'!$AA$8+'TUSD BF'!$AA$8+'TUSD CVA'!$AA$8)*1</f>
        <v>0</v>
      </c>
      <c r="AA8" s="17">
        <f>('TUSD BE'!$AC$8+'TUSD BF'!$AC$8+'TUSD CVA'!$AC$8)*1</f>
        <v>0</v>
      </c>
      <c r="AB8" s="17">
        <f ca="1">('TUSD BE'!$AE$8+'TUSD BF'!$AE$8+'TUSD CVA'!$AE$8)*1</f>
        <v>0.26641696689575228</v>
      </c>
      <c r="AC8" s="17">
        <f ca="1">('TUSD BE'!$AF$8+'TUSD BF'!$AF$8+'TUSD CVA'!$AF$8)*1</f>
        <v>0</v>
      </c>
      <c r="AD8" s="17">
        <f>('TUSD BE'!$AH$8+'TUSD BF'!$AH$8+'TUSD CVA'!$AH$8)*1</f>
        <v>17.647771626044829</v>
      </c>
      <c r="AE8" s="17">
        <f>('TUSD BE'!$AI$8+'TUSD BF'!$AI$8+'TUSD CVA'!$AI$8)*1</f>
        <v>0</v>
      </c>
      <c r="AF8" s="17">
        <f ca="1">('TUSD BE'!$AJ$8+'TUSD BF'!$AJ$8+'TUSD CVA'!$AJ$8)*1</f>
        <v>0</v>
      </c>
      <c r="AG8" s="17">
        <f ca="1">('TUSD BE'!$AK$8+'TUSD BF'!$AK$8+'TUSD CVA'!$AK$8)*1</f>
        <v>0</v>
      </c>
      <c r="AI8" s="17">
        <v>0</v>
      </c>
      <c r="AJ8" s="17">
        <v>0.92874695467476698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>
        <v>0</v>
      </c>
      <c r="AW8" s="17">
        <v>0</v>
      </c>
      <c r="AX8" s="17">
        <v>0</v>
      </c>
      <c r="AY8" s="17">
        <v>0</v>
      </c>
      <c r="AZ8" s="17">
        <v>0</v>
      </c>
      <c r="BA8" s="17">
        <v>14.7407004232729</v>
      </c>
      <c r="BB8" s="17">
        <v>0</v>
      </c>
      <c r="BC8" s="17">
        <v>0</v>
      </c>
      <c r="BD8" s="17">
        <v>0</v>
      </c>
    </row>
    <row r="9" spans="1:56" ht="11.25" customHeight="1" x14ac:dyDescent="0.25">
      <c r="A9" s="130"/>
      <c r="B9" s="80" t="s">
        <v>81</v>
      </c>
      <c r="C9" s="80" t="s">
        <v>25</v>
      </c>
      <c r="D9" s="80" t="s">
        <v>25</v>
      </c>
      <c r="E9" s="80" t="s">
        <v>25</v>
      </c>
      <c r="F9" s="80" t="s">
        <v>25</v>
      </c>
      <c r="G9" s="36" t="s">
        <v>9</v>
      </c>
      <c r="H9" s="36" t="s">
        <v>76</v>
      </c>
      <c r="I9" s="36">
        <f>'MERCADO TUSD'!$U$6</f>
        <v>0</v>
      </c>
      <c r="J9" s="16"/>
      <c r="L9" s="17">
        <f>('TUSD BE'!$L$9+'TUSD BF'!$L$9+'TUSD CVA'!$L$9)*1</f>
        <v>0</v>
      </c>
      <c r="M9" s="17">
        <f>('TUSD BE'!$M$9+'TUSD BF'!$M$9+'TUSD CVA'!$M$9)*1</f>
        <v>1.6642359328441804E-2</v>
      </c>
      <c r="N9" s="17">
        <f ca="1">('TUSD BE'!$N$9+'TUSD BF'!$N$9+'TUSD CVA'!$N$9)*1</f>
        <v>0</v>
      </c>
      <c r="O9" s="17">
        <f>('TUSD BE'!$O$9+'TUSD BF'!$O$9+'TUSD CVA'!$O$9)*1</f>
        <v>0</v>
      </c>
      <c r="P9" s="17">
        <f>('TUSD BE'!$P$9+'TUSD BF'!$P$9+'TUSD CVA'!$P$9)*1</f>
        <v>0</v>
      </c>
      <c r="Q9" s="17">
        <f>('TUSD BE'!$Q$9+'TUSD BF'!$Q$9+'TUSD CVA'!$Q$9)*1</f>
        <v>0</v>
      </c>
      <c r="R9" s="17">
        <f>('TUSD BE'!$R$9+'TUSD BF'!$R$9+'TUSD CVA'!$R$9)*1</f>
        <v>0</v>
      </c>
      <c r="S9" s="17">
        <f>('TUSD BE'!$S$9+'TUSD BF'!$S$9+'TUSD CVA'!$S$9)*1</f>
        <v>0</v>
      </c>
      <c r="T9" s="17">
        <f>('TUSD BE'!$U$9+'TUSD BF'!$U$9+'TUSD CVA'!$U$9)*1</f>
        <v>0</v>
      </c>
      <c r="U9" s="17">
        <f>('TUSD BE'!$V$9+'TUSD BF'!$V$9+'TUSD CVA'!$V$9)*1</f>
        <v>0</v>
      </c>
      <c r="V9" s="17">
        <f>('TUSD BE'!$W$9+'TUSD BF'!$W$9+'TUSD CVA'!$W$9)*1</f>
        <v>0</v>
      </c>
      <c r="W9" s="17">
        <f>('TUSD BE'!$X$9+'TUSD BF'!$X$9+'TUSD CVA'!$X$9)*1</f>
        <v>0</v>
      </c>
      <c r="X9" s="17">
        <f>('TUSD BE'!$Y$9+'TUSD BF'!$Y$9+'TUSD CVA'!$Y$9)*1</f>
        <v>0</v>
      </c>
      <c r="Y9" s="17">
        <f>('TUSD BE'!$Z$9+'TUSD BF'!$Z$9+'TUSD CVA'!$Z$9)*1</f>
        <v>0</v>
      </c>
      <c r="Z9" s="17">
        <f>('TUSD BE'!$AA$9+'TUSD BF'!$AA$9+'TUSD CVA'!$AA$9)*1</f>
        <v>0</v>
      </c>
      <c r="AA9" s="17">
        <f>('TUSD BE'!$AC$9+'TUSD BF'!$AC$9+'TUSD CVA'!$AC$9)*1</f>
        <v>8.3163797183192258</v>
      </c>
      <c r="AB9" s="17">
        <f ca="1">('TUSD BE'!$AE$9+'TUSD BF'!$AE$9+'TUSD CVA'!$AE$9)*1</f>
        <v>0.21613265912863008</v>
      </c>
      <c r="AC9" s="17">
        <f ca="1">('TUSD BE'!$AF$9+'TUSD BF'!$AF$9+'TUSD CVA'!$AF$9)*1</f>
        <v>0</v>
      </c>
      <c r="AD9" s="17">
        <f>('TUSD BE'!$AH$9+'TUSD BF'!$AH$9+'TUSD CVA'!$AH$9)*1</f>
        <v>0</v>
      </c>
      <c r="AE9" s="17">
        <f>('TUSD BE'!$AI$9+'TUSD BF'!$AI$9+'TUSD CVA'!$AI$9)*1</f>
        <v>0</v>
      </c>
      <c r="AF9" s="17">
        <f ca="1">('TUSD BE'!$AJ$9+'TUSD BF'!$AJ$9+'TUSD CVA'!$AJ$9)*1</f>
        <v>0</v>
      </c>
      <c r="AG9" s="17">
        <f ca="1">('TUSD BE'!$AK$9+'TUSD BF'!$AK$9+'TUSD CVA'!$AK$9)*1</f>
        <v>0</v>
      </c>
      <c r="AI9" s="17">
        <v>0</v>
      </c>
      <c r="AJ9" s="17">
        <v>1.5676787397022902E-2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8.1431362721140204</v>
      </c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</row>
    <row r="10" spans="1:56" ht="11.25" customHeight="1" x14ac:dyDescent="0.25">
      <c r="A10" s="130"/>
      <c r="B10" s="130" t="s">
        <v>34</v>
      </c>
      <c r="C10" s="130" t="s">
        <v>25</v>
      </c>
      <c r="D10" s="130" t="s">
        <v>25</v>
      </c>
      <c r="E10" s="130" t="s">
        <v>25</v>
      </c>
      <c r="F10" s="130" t="s">
        <v>25</v>
      </c>
      <c r="G10" s="36" t="s">
        <v>9</v>
      </c>
      <c r="H10" s="36" t="s">
        <v>76</v>
      </c>
      <c r="I10" s="36">
        <f>'MERCADO TUSD'!$U$7</f>
        <v>643658</v>
      </c>
      <c r="J10" s="16"/>
      <c r="L10" s="17">
        <f>('TUSD BE'!$L$10+'TUSD BF'!$L$10+'TUSD CVA'!$L$10)*1</f>
        <v>0</v>
      </c>
      <c r="M10" s="17">
        <f>('TUSD BE'!$M$10+'TUSD BF'!$M$10+'TUSD CVA'!$M$10)*1</f>
        <v>0</v>
      </c>
      <c r="N10" s="17">
        <f ca="1">('TUSD BE'!$N$10+'TUSD BF'!$N$10+'TUSD CVA'!$N$10)*1</f>
        <v>0</v>
      </c>
      <c r="O10" s="17">
        <f>('TUSD BE'!$O$10+'TUSD BF'!$O$10+'TUSD CVA'!$O$10)*1</f>
        <v>0</v>
      </c>
      <c r="P10" s="17">
        <f>('TUSD BE'!$P$10+'TUSD BF'!$P$10+'TUSD CVA'!$P$10)*1</f>
        <v>0</v>
      </c>
      <c r="Q10" s="17">
        <f>('TUSD BE'!$Q$10+'TUSD BF'!$Q$10+'TUSD CVA'!$Q$10)*1</f>
        <v>0</v>
      </c>
      <c r="R10" s="17">
        <f>('TUSD BE'!$R$10+'TUSD BF'!$R$10+'TUSD CVA'!$R$10)*1</f>
        <v>0</v>
      </c>
      <c r="S10" s="17">
        <f>('TUSD BE'!$S$10+'TUSD BF'!$S$10+'TUSD CVA'!$S$10)*1</f>
        <v>0</v>
      </c>
      <c r="T10" s="17">
        <f>('TUSD BE'!$U$10+'TUSD BF'!$U$10+'TUSD CVA'!$U$10)*1</f>
        <v>0</v>
      </c>
      <c r="U10" s="17">
        <f>('TUSD BE'!$V$10+'TUSD BF'!$V$10+'TUSD CVA'!$V$10)*1</f>
        <v>0</v>
      </c>
      <c r="V10" s="17">
        <f>('TUSD BE'!$W$10+'TUSD BF'!$W$10+'TUSD CVA'!$W$10)*1</f>
        <v>0</v>
      </c>
      <c r="W10" s="17">
        <f>('TUSD BE'!$X$10+'TUSD BF'!$X$10+'TUSD CVA'!$X$10)*1</f>
        <v>0</v>
      </c>
      <c r="X10" s="17">
        <f>('TUSD BE'!$Y$10+'TUSD BF'!$Y$10+'TUSD CVA'!$Y$10)*1</f>
        <v>10.899591688204124</v>
      </c>
      <c r="Y10" s="17">
        <f>('TUSD BE'!$Z$10+'TUSD BF'!$Z$10+'TUSD CVA'!$Z$10)*1</f>
        <v>0</v>
      </c>
      <c r="Z10" s="17">
        <f>('TUSD BE'!$AA$10+'TUSD BF'!$AA$10+'TUSD CVA'!$AA$10)*1</f>
        <v>0</v>
      </c>
      <c r="AA10" s="17">
        <f>('TUSD BE'!$AC$10+'TUSD BF'!$AC$10+'TUSD CVA'!$AC$10)*1</f>
        <v>12.863836438611756</v>
      </c>
      <c r="AB10" s="17">
        <f ca="1">('TUSD BE'!$AE$10+'TUSD BF'!$AE$10+'TUSD CVA'!$AE$10)*1</f>
        <v>0.50449059646654848</v>
      </c>
      <c r="AC10" s="17">
        <f ca="1">('TUSD BE'!$AF$10+'TUSD BF'!$AF$10+'TUSD CVA'!$AF$10)*1</f>
        <v>0</v>
      </c>
      <c r="AD10" s="17">
        <f>('TUSD BE'!$AH$10+'TUSD BF'!$AH$10+'TUSD CVA'!$AH$10)*1</f>
        <v>0</v>
      </c>
      <c r="AE10" s="17">
        <f>('TUSD BE'!$AI$10+'TUSD BF'!$AI$10+'TUSD CVA'!$AI$10)*1</f>
        <v>0</v>
      </c>
      <c r="AF10" s="17">
        <f ca="1">('TUSD BE'!$AJ$10+'TUSD BF'!$AJ$10+'TUSD CVA'!$AJ$10)*1</f>
        <v>0</v>
      </c>
      <c r="AG10" s="17">
        <f ca="1">('TUSD BE'!$AK$10+'TUSD BF'!$AK$10+'TUSD CVA'!$AK$10)*1</f>
        <v>0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10.8097208708633</v>
      </c>
      <c r="AV10" s="17">
        <v>0</v>
      </c>
      <c r="AW10" s="17">
        <v>0</v>
      </c>
      <c r="AX10" s="17">
        <v>12.595808529847901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</row>
    <row r="11" spans="1:56" ht="11.25" customHeight="1" x14ac:dyDescent="0.25">
      <c r="A11" s="130"/>
      <c r="B11" s="130"/>
      <c r="C11" s="130"/>
      <c r="D11" s="130"/>
      <c r="E11" s="130"/>
      <c r="F11" s="130"/>
      <c r="G11" s="36" t="s">
        <v>74</v>
      </c>
      <c r="H11" s="36" t="s">
        <v>73</v>
      </c>
      <c r="I11" s="36">
        <f>'MERCADO TUSD'!$U$8</f>
        <v>2922.2139999999999</v>
      </c>
      <c r="J11" s="16"/>
      <c r="L11" s="17">
        <f>('TUSD BE'!$L$11+'TUSD BF'!$L$11+'TUSD CVA'!$L$11)*1</f>
        <v>0</v>
      </c>
      <c r="M11" s="17">
        <f>('TUSD BE'!$M$11+'TUSD BF'!$M$11+'TUSD CVA'!$M$11)*1</f>
        <v>1.067453800064315</v>
      </c>
      <c r="N11" s="17">
        <f ca="1">('TUSD BE'!$N$11+'TUSD BF'!$N$11+'TUSD CVA'!$N$11)*1</f>
        <v>0</v>
      </c>
      <c r="O11" s="17">
        <f>('TUSD BE'!$O$11+'TUSD BF'!$O$11+'TUSD CVA'!$O$11)*1</f>
        <v>0</v>
      </c>
      <c r="P11" s="17">
        <f>('TUSD BE'!$P$11+'TUSD BF'!$P$11+'TUSD CVA'!$P$11)*1</f>
        <v>0</v>
      </c>
      <c r="Q11" s="17">
        <f>('TUSD BE'!$Q$11+'TUSD BF'!$Q$11+'TUSD CVA'!$Q$11)*1</f>
        <v>69.258590699489076</v>
      </c>
      <c r="R11" s="17">
        <f>('TUSD BE'!$R$11+'TUSD BF'!$R$11+'TUSD CVA'!$R$11)*1</f>
        <v>13.715806659518108</v>
      </c>
      <c r="S11" s="17">
        <f>('TUSD BE'!$S$11+'TUSD BF'!$S$11+'TUSD CVA'!$S$11)*1</f>
        <v>0</v>
      </c>
      <c r="T11" s="17">
        <f>('TUSD BE'!$U$11+'TUSD BF'!$U$11+'TUSD CVA'!$U$11)*1</f>
        <v>0</v>
      </c>
      <c r="U11" s="17">
        <f>('TUSD BE'!$V$11+'TUSD BF'!$V$11+'TUSD CVA'!$V$11)*1</f>
        <v>0</v>
      </c>
      <c r="V11" s="17">
        <f>('TUSD BE'!$W$11+'TUSD BF'!$W$11+'TUSD CVA'!$W$11)*1</f>
        <v>0</v>
      </c>
      <c r="W11" s="17">
        <f>('TUSD BE'!$X$11+'TUSD BF'!$X$11+'TUSD CVA'!$X$11)*1</f>
        <v>0</v>
      </c>
      <c r="X11" s="17">
        <f>('TUSD BE'!$Y$11+'TUSD BF'!$Y$11+'TUSD CVA'!$Y$11)*1</f>
        <v>1094.1219651731349</v>
      </c>
      <c r="Y11" s="17">
        <f>('TUSD BE'!$Z$11+'TUSD BF'!$Z$11+'TUSD CVA'!$Z$11)*1</f>
        <v>0</v>
      </c>
      <c r="Z11" s="17">
        <f>('TUSD BE'!$AA$11+'TUSD BF'!$AA$11+'TUSD CVA'!$AA$11)*1</f>
        <v>0</v>
      </c>
      <c r="AA11" s="17">
        <f>('TUSD BE'!$AC$11+'TUSD BF'!$AC$11+'TUSD CVA'!$AC$11)*1</f>
        <v>1129.7990060004281</v>
      </c>
      <c r="AB11" s="17">
        <f ca="1">('TUSD BE'!$AE$11+'TUSD BF'!$AE$11+'TUSD CVA'!$AE$11)*1</f>
        <v>48.065371605001793</v>
      </c>
      <c r="AC11" s="17">
        <f ca="1">('TUSD BE'!$AF$11+'TUSD BF'!$AF$11+'TUSD CVA'!$AF$11)*1</f>
        <v>0</v>
      </c>
      <c r="AD11" s="17">
        <f>('TUSD BE'!$AH$11+'TUSD BF'!$AH$11+'TUSD CVA'!$AH$11)*1</f>
        <v>17.647771626044829</v>
      </c>
      <c r="AE11" s="17">
        <f>('TUSD BE'!$AI$11+'TUSD BF'!$AI$11+'TUSD CVA'!$AI$11)*1</f>
        <v>0</v>
      </c>
      <c r="AF11" s="17">
        <f ca="1">('TUSD BE'!$AJ$11+'TUSD BF'!$AJ$11+'TUSD CVA'!$AJ$11)*1</f>
        <v>0</v>
      </c>
      <c r="AG11" s="17">
        <f ca="1">('TUSD BE'!$AK$11+'TUSD BF'!$AK$11+'TUSD CVA'!$AK$11)*1</f>
        <v>0</v>
      </c>
      <c r="AI11" s="17">
        <v>0</v>
      </c>
      <c r="AJ11" s="17">
        <v>0.92874695467476698</v>
      </c>
      <c r="AK11" s="17">
        <v>0</v>
      </c>
      <c r="AL11" s="17">
        <v>0</v>
      </c>
      <c r="AM11" s="17">
        <v>0</v>
      </c>
      <c r="AN11" s="17">
        <v>47.774913279662599</v>
      </c>
      <c r="AO11" s="17">
        <v>8.7825256480584404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1085.0963549850401</v>
      </c>
      <c r="AV11" s="17">
        <v>0</v>
      </c>
      <c r="AW11" s="17">
        <v>0</v>
      </c>
      <c r="AX11" s="17">
        <v>1106.26062738007</v>
      </c>
      <c r="AY11" s="17">
        <v>0</v>
      </c>
      <c r="AZ11" s="17">
        <v>0</v>
      </c>
      <c r="BA11" s="17">
        <v>14.7407004232729</v>
      </c>
      <c r="BB11" s="17">
        <v>0</v>
      </c>
      <c r="BC11" s="17">
        <v>0</v>
      </c>
      <c r="BD11" s="17">
        <v>0</v>
      </c>
    </row>
    <row r="12" spans="1:56" ht="11.25" customHeight="1" x14ac:dyDescent="0.25">
      <c r="A12" s="130"/>
      <c r="B12" s="130"/>
      <c r="C12" s="130"/>
      <c r="D12" s="130"/>
      <c r="E12" s="130"/>
      <c r="F12" s="130"/>
      <c r="G12" s="36" t="s">
        <v>75</v>
      </c>
      <c r="H12" s="36" t="s">
        <v>73</v>
      </c>
      <c r="I12" s="36">
        <f>'MERCADO TUSD'!$U$9</f>
        <v>84044.817999999999</v>
      </c>
      <c r="J12" s="16"/>
      <c r="L12" s="17">
        <f>('TUSD BE'!$L$12+'TUSD BF'!$L$12+'TUSD CVA'!$L$12)*1</f>
        <v>0</v>
      </c>
      <c r="M12" s="17">
        <f>('TUSD BE'!$M$12+'TUSD BF'!$M$12+'TUSD CVA'!$M$12)*1</f>
        <v>1.067453800064315</v>
      </c>
      <c r="N12" s="17">
        <f ca="1">('TUSD BE'!$N$12+'TUSD BF'!$N$12+'TUSD CVA'!$N$12)*1</f>
        <v>0</v>
      </c>
      <c r="O12" s="17">
        <f>('TUSD BE'!$O$12+'TUSD BF'!$O$12+'TUSD CVA'!$O$12)*1</f>
        <v>0</v>
      </c>
      <c r="P12" s="17">
        <f>('TUSD BE'!$P$12+'TUSD BF'!$P$12+'TUSD CVA'!$P$12)*1</f>
        <v>0</v>
      </c>
      <c r="Q12" s="17">
        <f>('TUSD BE'!$Q$12+'TUSD BF'!$Q$12+'TUSD CVA'!$Q$12)*1</f>
        <v>69.258590699489076</v>
      </c>
      <c r="R12" s="17">
        <f>('TUSD BE'!$R$12+'TUSD BF'!$R$12+'TUSD CVA'!$R$12)*1</f>
        <v>13.715806659518108</v>
      </c>
      <c r="S12" s="17">
        <f>('TUSD BE'!$S$12+'TUSD BF'!$S$12+'TUSD CVA'!$S$12)*1</f>
        <v>0</v>
      </c>
      <c r="T12" s="17">
        <f>('TUSD BE'!$U$12+'TUSD BF'!$U$12+'TUSD CVA'!$U$12)*1</f>
        <v>0</v>
      </c>
      <c r="U12" s="17">
        <f>('TUSD BE'!$V$12+'TUSD BF'!$V$12+'TUSD CVA'!$V$12)*1</f>
        <v>0</v>
      </c>
      <c r="V12" s="17">
        <f>('TUSD BE'!$W$12+'TUSD BF'!$W$12+'TUSD CVA'!$W$12)*1</f>
        <v>0</v>
      </c>
      <c r="W12" s="17">
        <f>('TUSD BE'!$X$12+'TUSD BF'!$X$12+'TUSD CVA'!$X$12)*1</f>
        <v>0</v>
      </c>
      <c r="X12" s="17">
        <f>('TUSD BE'!$Y$12+'TUSD BF'!$Y$12+'TUSD CVA'!$Y$12)*1</f>
        <v>0</v>
      </c>
      <c r="Y12" s="17">
        <f>('TUSD BE'!$Z$12+'TUSD BF'!$Z$12+'TUSD CVA'!$Z$12)*1</f>
        <v>0</v>
      </c>
      <c r="Z12" s="17">
        <f>('TUSD BE'!$AA$12+'TUSD BF'!$AA$12+'TUSD CVA'!$AA$12)*1</f>
        <v>0</v>
      </c>
      <c r="AA12" s="17">
        <f>('TUSD BE'!$AC$12+'TUSD BF'!$AC$12+'TUSD CVA'!$AC$12)*1</f>
        <v>0</v>
      </c>
      <c r="AB12" s="17">
        <f ca="1">('TUSD BE'!$AE$12+'TUSD BF'!$AE$12+'TUSD CVA'!$AE$12)*1</f>
        <v>1.6154363906574407</v>
      </c>
      <c r="AC12" s="17">
        <f ca="1">('TUSD BE'!$AF$12+'TUSD BF'!$AF$12+'TUSD CVA'!$AF$12)*1</f>
        <v>0</v>
      </c>
      <c r="AD12" s="17">
        <f>('TUSD BE'!$AH$12+'TUSD BF'!$AH$12+'TUSD CVA'!$AH$12)*1</f>
        <v>17.647771626044829</v>
      </c>
      <c r="AE12" s="17">
        <f>('TUSD BE'!$AI$12+'TUSD BF'!$AI$12+'TUSD CVA'!$AI$12)*1</f>
        <v>0</v>
      </c>
      <c r="AF12" s="17">
        <f ca="1">('TUSD BE'!$AJ$12+'TUSD BF'!$AJ$12+'TUSD CVA'!$AJ$12)*1</f>
        <v>0</v>
      </c>
      <c r="AG12" s="17">
        <f ca="1">('TUSD BE'!$AK$12+'TUSD BF'!$AK$12+'TUSD CVA'!$AK$12)*1</f>
        <v>0</v>
      </c>
      <c r="AI12" s="17">
        <v>0</v>
      </c>
      <c r="AJ12" s="17">
        <v>0.92874695467476698</v>
      </c>
      <c r="AK12" s="17">
        <v>0</v>
      </c>
      <c r="AL12" s="17">
        <v>0</v>
      </c>
      <c r="AM12" s="17">
        <v>0</v>
      </c>
      <c r="AN12" s="17">
        <v>47.774913279662599</v>
      </c>
      <c r="AO12" s="17">
        <v>8.7825256480584404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  <c r="BA12" s="17">
        <v>14.7407004232729</v>
      </c>
      <c r="BB12" s="17">
        <v>0</v>
      </c>
      <c r="BC12" s="17">
        <v>0</v>
      </c>
      <c r="BD12" s="17">
        <v>0</v>
      </c>
    </row>
    <row r="13" spans="1:56" ht="11.25" customHeight="1" x14ac:dyDescent="0.25">
      <c r="A13" s="130"/>
      <c r="B13" s="130"/>
      <c r="C13" s="130"/>
      <c r="D13" s="130"/>
      <c r="E13" s="130" t="s">
        <v>80</v>
      </c>
      <c r="F13" s="130" t="s">
        <v>25</v>
      </c>
      <c r="G13" s="36" t="s">
        <v>74</v>
      </c>
      <c r="H13" s="36" t="s">
        <v>73</v>
      </c>
      <c r="I13" s="36">
        <f>'MERCADO TUSD'!$U$10</f>
        <v>0</v>
      </c>
      <c r="J13" s="16"/>
      <c r="L13" s="17">
        <f>('TUSD BE'!$L$13+'TUSD BF'!$L$13+'TUSD CVA'!$L$13)*1</f>
        <v>0</v>
      </c>
      <c r="M13" s="17">
        <f>('TUSD BE'!$M$13+'TUSD BF'!$M$13+'TUSD CVA'!$M$13)*1</f>
        <v>1.067453800064315</v>
      </c>
      <c r="N13" s="17">
        <f ca="1">('TUSD BE'!$N$13+'TUSD BF'!$N$13+'TUSD CVA'!$N$13)*1</f>
        <v>0</v>
      </c>
      <c r="O13" s="17">
        <f>('TUSD BE'!$O$13+'TUSD BF'!$O$13+'TUSD CVA'!$O$13)*1</f>
        <v>0</v>
      </c>
      <c r="P13" s="17">
        <f>('TUSD BE'!$P$13+'TUSD BF'!$P$13+'TUSD CVA'!$P$13)*1</f>
        <v>0</v>
      </c>
      <c r="Q13" s="17">
        <f>('TUSD BE'!$Q$13+'TUSD BF'!$Q$13+'TUSD CVA'!$Q$13)*1</f>
        <v>0</v>
      </c>
      <c r="R13" s="17">
        <f>('TUSD BE'!$R$13+'TUSD BF'!$R$13+'TUSD CVA'!$R$13)*1</f>
        <v>0</v>
      </c>
      <c r="S13" s="17">
        <f>('TUSD BE'!$S$13+'TUSD BF'!$S$13+'TUSD CVA'!$S$13)*1</f>
        <v>0</v>
      </c>
      <c r="T13" s="17">
        <f>('TUSD BE'!$U$13+'TUSD BF'!$U$13+'TUSD CVA'!$U$13)*1</f>
        <v>0</v>
      </c>
      <c r="U13" s="17">
        <f>('TUSD BE'!$V$13+'TUSD BF'!$V$13+'TUSD CVA'!$V$13)*1</f>
        <v>0</v>
      </c>
      <c r="V13" s="17">
        <f>('TUSD BE'!$W$13+'TUSD BF'!$W$13+'TUSD CVA'!$W$13)*1</f>
        <v>0</v>
      </c>
      <c r="W13" s="17">
        <f>('TUSD BE'!$X$13+'TUSD BF'!$X$13+'TUSD CVA'!$X$13)*1</f>
        <v>0</v>
      </c>
      <c r="X13" s="17">
        <f>('TUSD BE'!$Y$13+'TUSD BF'!$Y$13+'TUSD CVA'!$Y$13)*1</f>
        <v>1094.1219651731349</v>
      </c>
      <c r="Y13" s="17">
        <f>('TUSD BE'!$Z$13+'TUSD BF'!$Z$13+'TUSD CVA'!$Z$13)*1</f>
        <v>0</v>
      </c>
      <c r="Z13" s="17">
        <f>('TUSD BE'!$AA$13+'TUSD BF'!$AA$13+'TUSD CVA'!$AA$13)*1</f>
        <v>0</v>
      </c>
      <c r="AA13" s="17">
        <f>('TUSD BE'!$AC$13+'TUSD BF'!$AC$13+'TUSD CVA'!$AC$13)*1</f>
        <v>1129.7990060004281</v>
      </c>
      <c r="AB13" s="17">
        <f ca="1">('TUSD BE'!$AE$13+'TUSD BF'!$AE$13+'TUSD CVA'!$AE$13)*1</f>
        <v>46.716352181240104</v>
      </c>
      <c r="AC13" s="17">
        <f ca="1">('TUSD BE'!$AF$13+'TUSD BF'!$AF$13+'TUSD CVA'!$AF$13)*1</f>
        <v>0</v>
      </c>
      <c r="AD13" s="17">
        <f>('TUSD BE'!$AH$13+'TUSD BF'!$AH$13+'TUSD CVA'!$AH$13)*1</f>
        <v>17.647771626044829</v>
      </c>
      <c r="AE13" s="17">
        <f>('TUSD BE'!$AI$13+'TUSD BF'!$AI$13+'TUSD CVA'!$AI$13)*1</f>
        <v>0</v>
      </c>
      <c r="AF13" s="17">
        <f ca="1">('TUSD BE'!$AJ$13+'TUSD BF'!$AJ$13+'TUSD CVA'!$AJ$13)*1</f>
        <v>0</v>
      </c>
      <c r="AG13" s="17">
        <f ca="1">('TUSD BE'!$AK$13+'TUSD BF'!$AK$13+'TUSD CVA'!$AK$13)*1</f>
        <v>0</v>
      </c>
      <c r="AI13" s="17">
        <v>0</v>
      </c>
      <c r="AJ13" s="17">
        <v>0.92874695467476698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17">
        <v>0</v>
      </c>
      <c r="AQ13" s="17">
        <v>0</v>
      </c>
      <c r="AR13" s="17">
        <v>0</v>
      </c>
      <c r="AS13" s="17">
        <v>0</v>
      </c>
      <c r="AT13" s="17">
        <v>0</v>
      </c>
      <c r="AU13" s="17">
        <v>1085.0963549850401</v>
      </c>
      <c r="AV13" s="17">
        <v>0</v>
      </c>
      <c r="AW13" s="17">
        <v>0</v>
      </c>
      <c r="AX13" s="17">
        <v>1106.26062738007</v>
      </c>
      <c r="AY13" s="17">
        <v>0</v>
      </c>
      <c r="AZ13" s="17">
        <v>0</v>
      </c>
      <c r="BA13" s="17">
        <v>14.7407004232729</v>
      </c>
      <c r="BB13" s="17">
        <v>0</v>
      </c>
      <c r="BC13" s="17">
        <v>0</v>
      </c>
      <c r="BD13" s="17">
        <v>0</v>
      </c>
    </row>
    <row r="14" spans="1:56" ht="11.25" customHeight="1" x14ac:dyDescent="0.25">
      <c r="A14" s="130"/>
      <c r="B14" s="130"/>
      <c r="C14" s="130"/>
      <c r="D14" s="130"/>
      <c r="E14" s="130"/>
      <c r="F14" s="130"/>
      <c r="G14" s="36" t="s">
        <v>75</v>
      </c>
      <c r="H14" s="36" t="s">
        <v>73</v>
      </c>
      <c r="I14" s="36">
        <f>'MERCADO TUSD'!$U$11</f>
        <v>0</v>
      </c>
      <c r="J14" s="16"/>
      <c r="L14" s="17">
        <f>('TUSD BE'!$L$14+'TUSD BF'!$L$14+'TUSD CVA'!$L$14)*1</f>
        <v>0</v>
      </c>
      <c r="M14" s="17">
        <f>('TUSD BE'!$M$14+'TUSD BF'!$M$14+'TUSD CVA'!$M$14)*1</f>
        <v>1.067453800064315</v>
      </c>
      <c r="N14" s="17">
        <f ca="1">('TUSD BE'!$N$14+'TUSD BF'!$N$14+'TUSD CVA'!$N$14)*1</f>
        <v>0</v>
      </c>
      <c r="O14" s="17">
        <f>('TUSD BE'!$O$14+'TUSD BF'!$O$14+'TUSD CVA'!$O$14)*1</f>
        <v>0</v>
      </c>
      <c r="P14" s="17">
        <f>('TUSD BE'!$P$14+'TUSD BF'!$P$14+'TUSD CVA'!$P$14)*1</f>
        <v>0</v>
      </c>
      <c r="Q14" s="17">
        <f>('TUSD BE'!$Q$14+'TUSD BF'!$Q$14+'TUSD CVA'!$Q$14)*1</f>
        <v>0</v>
      </c>
      <c r="R14" s="17">
        <f>('TUSD BE'!$R$14+'TUSD BF'!$R$14+'TUSD CVA'!$R$14)*1</f>
        <v>0</v>
      </c>
      <c r="S14" s="17">
        <f>('TUSD BE'!$S$14+'TUSD BF'!$S$14+'TUSD CVA'!$S$14)*1</f>
        <v>0</v>
      </c>
      <c r="T14" s="17">
        <f>('TUSD BE'!$U$14+'TUSD BF'!$U$14+'TUSD CVA'!$U$14)*1</f>
        <v>0</v>
      </c>
      <c r="U14" s="17">
        <f>('TUSD BE'!$V$14+'TUSD BF'!$V$14+'TUSD CVA'!$V$14)*1</f>
        <v>0</v>
      </c>
      <c r="V14" s="17">
        <f>('TUSD BE'!$W$14+'TUSD BF'!$W$14+'TUSD CVA'!$W$14)*1</f>
        <v>0</v>
      </c>
      <c r="W14" s="17">
        <f>('TUSD BE'!$X$14+'TUSD BF'!$X$14+'TUSD CVA'!$X$14)*1</f>
        <v>0</v>
      </c>
      <c r="X14" s="17">
        <f>('TUSD BE'!$Y$14+'TUSD BF'!$Y$14+'TUSD CVA'!$Y$14)*1</f>
        <v>0</v>
      </c>
      <c r="Y14" s="17">
        <f>('TUSD BE'!$Z$14+'TUSD BF'!$Z$14+'TUSD CVA'!$Z$14)*1</f>
        <v>0</v>
      </c>
      <c r="Z14" s="17">
        <f>('TUSD BE'!$AA$14+'TUSD BF'!$AA$14+'TUSD CVA'!$AA$14)*1</f>
        <v>0</v>
      </c>
      <c r="AA14" s="17">
        <f>('TUSD BE'!$AC$14+'TUSD BF'!$AC$14+'TUSD CVA'!$AC$14)*1</f>
        <v>0</v>
      </c>
      <c r="AB14" s="17">
        <f ca="1">('TUSD BE'!$AE$14+'TUSD BF'!$AE$14+'TUSD CVA'!$AE$14)*1</f>
        <v>0.26641696689575228</v>
      </c>
      <c r="AC14" s="17">
        <f ca="1">('TUSD BE'!$AF$14+'TUSD BF'!$AF$14+'TUSD CVA'!$AF$14)*1</f>
        <v>0</v>
      </c>
      <c r="AD14" s="17">
        <f>('TUSD BE'!$AH$14+'TUSD BF'!$AH$14+'TUSD CVA'!$AH$14)*1</f>
        <v>17.647771626044829</v>
      </c>
      <c r="AE14" s="17">
        <f>('TUSD BE'!$AI$14+'TUSD BF'!$AI$14+'TUSD CVA'!$AI$14)*1</f>
        <v>0</v>
      </c>
      <c r="AF14" s="17">
        <f ca="1">('TUSD BE'!$AJ$14+'TUSD BF'!$AJ$14+'TUSD CVA'!$AJ$14)*1</f>
        <v>0</v>
      </c>
      <c r="AG14" s="17">
        <f ca="1">('TUSD BE'!$AK$14+'TUSD BF'!$AK$14+'TUSD CVA'!$AK$14)*1</f>
        <v>0</v>
      </c>
      <c r="AI14" s="17">
        <v>0</v>
      </c>
      <c r="AJ14" s="17">
        <v>0.92874695467476698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  <c r="BA14" s="17">
        <v>14.7407004232729</v>
      </c>
      <c r="BB14" s="17">
        <v>0</v>
      </c>
      <c r="BC14" s="17">
        <v>0</v>
      </c>
      <c r="BD14" s="17">
        <v>0</v>
      </c>
    </row>
    <row r="15" spans="1:56" ht="11.25" customHeight="1" x14ac:dyDescent="0.25">
      <c r="A15" s="130" t="s">
        <v>82</v>
      </c>
      <c r="B15" s="130" t="s">
        <v>81</v>
      </c>
      <c r="C15" s="130" t="s">
        <v>25</v>
      </c>
      <c r="D15" s="130" t="s">
        <v>25</v>
      </c>
      <c r="E15" s="80" t="s">
        <v>83</v>
      </c>
      <c r="F15" s="80" t="s">
        <v>25</v>
      </c>
      <c r="G15" s="36" t="s">
        <v>9</v>
      </c>
      <c r="H15" s="36" t="s">
        <v>76</v>
      </c>
      <c r="I15" s="36">
        <f>'MERCADO TUSD'!$U$12+0.00000001</f>
        <v>1E-8</v>
      </c>
      <c r="J15" s="16"/>
      <c r="L15" s="17">
        <f>('TUSD BE'!$L$15+'TUSD BF'!$L$15+'TUSD CVA'!$L$15)*1</f>
        <v>0</v>
      </c>
      <c r="M15" s="17">
        <f>('TUSD BE'!$M$15+'TUSD BF'!$M$15+'TUSD CVA'!$M$15)*1</f>
        <v>8.799408380555436E-3</v>
      </c>
      <c r="N15" s="17">
        <f ca="1">('TUSD BE'!$N$15+'TUSD BF'!$N$15+'TUSD CVA'!$N$15)*1</f>
        <v>0</v>
      </c>
      <c r="O15" s="17">
        <f>('TUSD BE'!$O$15+'TUSD BF'!$O$15+'TUSD CVA'!$O$15)*1</f>
        <v>0</v>
      </c>
      <c r="P15" s="17">
        <f>('TUSD BE'!$P$15+'TUSD BF'!$P$15+'TUSD CVA'!$P$15)*1</f>
        <v>0</v>
      </c>
      <c r="Q15" s="17">
        <f>('TUSD BE'!$Q$15+'TUSD BF'!$Q$15+'TUSD CVA'!$Q$15)*1</f>
        <v>0</v>
      </c>
      <c r="R15" s="17">
        <f>('TUSD BE'!$R$15+'TUSD BF'!$R$15+'TUSD CVA'!$R$15)*1</f>
        <v>0</v>
      </c>
      <c r="S15" s="17">
        <f>('TUSD BE'!$S$15+'TUSD BF'!$S$15+'TUSD CVA'!$S$15)*1</f>
        <v>0</v>
      </c>
      <c r="T15" s="17">
        <f>('TUSD BE'!$U$15+'TUSD BF'!$U$15+'TUSD CVA'!$U$15)*1</f>
        <v>0</v>
      </c>
      <c r="U15" s="17">
        <f>('TUSD BE'!$V$15+'TUSD BF'!$V$15+'TUSD CVA'!$V$15)*1</f>
        <v>0</v>
      </c>
      <c r="V15" s="17">
        <f>('TUSD BE'!$W$15+'TUSD BF'!$W$15+'TUSD CVA'!$W$15)*1</f>
        <v>0</v>
      </c>
      <c r="W15" s="17">
        <f>('TUSD BE'!$X$15+'TUSD BF'!$X$15+'TUSD CVA'!$X$15)*1</f>
        <v>0</v>
      </c>
      <c r="X15" s="17">
        <f>('TUSD BE'!$Y$15+'TUSD BF'!$Y$15+'TUSD CVA'!$Y$15)*1</f>
        <v>0</v>
      </c>
      <c r="Y15" s="17">
        <f>('TUSD BE'!$Z$15+'TUSD BF'!$Z$15+'TUSD CVA'!$Z$15)*1</f>
        <v>0</v>
      </c>
      <c r="Z15" s="17">
        <f>('TUSD BE'!$AA$15+'TUSD BF'!$AA$15+'TUSD CVA'!$AA$15)*1</f>
        <v>0</v>
      </c>
      <c r="AA15" s="17">
        <f>('TUSD BE'!$AC$15+'TUSD BF'!$AC$15+'TUSD CVA'!$AC$15)*1</f>
        <v>5.1476359160479532</v>
      </c>
      <c r="AB15" s="17">
        <f ca="1">('TUSD BE'!$AE$15+'TUSD BF'!$AE$15+'TUSD CVA'!$AE$15)*1</f>
        <v>0.13375608054115723</v>
      </c>
      <c r="AC15" s="17">
        <f ca="1">('TUSD BE'!$AF$15+'TUSD BF'!$AF$15+'TUSD CVA'!$AF$15)*1</f>
        <v>0</v>
      </c>
      <c r="AD15" s="17">
        <f>('TUSD BE'!$AH$15+'TUSD BF'!$AH$15+'TUSD CVA'!$AH$15)*1</f>
        <v>0</v>
      </c>
      <c r="AE15" s="17">
        <f>('TUSD BE'!$AI$15+'TUSD BF'!$AI$15+'TUSD CVA'!$AI$15)*1</f>
        <v>0</v>
      </c>
      <c r="AF15" s="17">
        <f ca="1">('TUSD BE'!$AJ$15+'TUSD BF'!$AJ$15+'TUSD CVA'!$AJ$15)*1</f>
        <v>0</v>
      </c>
      <c r="AG15" s="17">
        <f ca="1">('TUSD BE'!$AK$15+'TUSD BF'!$AK$15+'TUSD CVA'!$AK$15)*1</f>
        <v>0</v>
      </c>
      <c r="AI15" s="17">
        <v>0</v>
      </c>
      <c r="AJ15" s="17">
        <v>8.2461714053704404E-3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5.0403942669386304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</row>
    <row r="16" spans="1:56" ht="11.25" customHeight="1" x14ac:dyDescent="0.25">
      <c r="A16" s="130"/>
      <c r="B16" s="130"/>
      <c r="C16" s="130"/>
      <c r="D16" s="130"/>
      <c r="E16" s="80" t="s">
        <v>84</v>
      </c>
      <c r="F16" s="80" t="s">
        <v>25</v>
      </c>
      <c r="G16" s="36" t="s">
        <v>9</v>
      </c>
      <c r="H16" s="36" t="s">
        <v>76</v>
      </c>
      <c r="I16" s="36">
        <f>'MERCADO TUSD'!$U$13+0.00000001</f>
        <v>1E-8</v>
      </c>
      <c r="J16" s="16"/>
      <c r="L16" s="17">
        <f>('TUSD BE'!$L$16+'TUSD BF'!$L$16+'TUSD CVA'!$L$16)*1</f>
        <v>0</v>
      </c>
      <c r="M16" s="17">
        <f>('TUSD BE'!$M$16+'TUSD BF'!$M$16+'TUSD CVA'!$M$16)*1</f>
        <v>8.799408380555436E-3</v>
      </c>
      <c r="N16" s="17">
        <f ca="1">('TUSD BE'!$N$16+'TUSD BF'!$N$16+'TUSD CVA'!$N$16)*1</f>
        <v>0</v>
      </c>
      <c r="O16" s="17">
        <f>('TUSD BE'!$O$16+'TUSD BF'!$O$16+'TUSD CVA'!$O$16)*1</f>
        <v>0</v>
      </c>
      <c r="P16" s="17">
        <f>('TUSD BE'!$P$16+'TUSD BF'!$P$16+'TUSD CVA'!$P$16)*1</f>
        <v>0</v>
      </c>
      <c r="Q16" s="17">
        <f>('TUSD BE'!$Q$16+'TUSD BF'!$Q$16+'TUSD CVA'!$Q$16)*1</f>
        <v>0</v>
      </c>
      <c r="R16" s="17">
        <f>('TUSD BE'!$R$16+'TUSD BF'!$R$16+'TUSD CVA'!$R$16)*1</f>
        <v>0</v>
      </c>
      <c r="S16" s="17">
        <f>('TUSD BE'!$S$16+'TUSD BF'!$S$16+'TUSD CVA'!$S$16)*1</f>
        <v>0</v>
      </c>
      <c r="T16" s="17">
        <f>('TUSD BE'!$U$16+'TUSD BF'!$U$16+'TUSD CVA'!$U$16)*1</f>
        <v>0</v>
      </c>
      <c r="U16" s="17">
        <f>('TUSD BE'!$V$16+'TUSD BF'!$V$16+'TUSD CVA'!$V$16)*1</f>
        <v>0</v>
      </c>
      <c r="V16" s="17">
        <f>('TUSD BE'!$W$16+'TUSD BF'!$W$16+'TUSD CVA'!$W$16)*1</f>
        <v>0</v>
      </c>
      <c r="W16" s="17">
        <f>('TUSD BE'!$X$16+'TUSD BF'!$X$16+'TUSD CVA'!$X$16)*1</f>
        <v>0</v>
      </c>
      <c r="X16" s="17">
        <f>('TUSD BE'!$Y$16+'TUSD BF'!$Y$16+'TUSD CVA'!$Y$16)*1</f>
        <v>0</v>
      </c>
      <c r="Y16" s="17">
        <f>('TUSD BE'!$Z$16+'TUSD BF'!$Z$16+'TUSD CVA'!$Z$16)*1</f>
        <v>0</v>
      </c>
      <c r="Z16" s="17">
        <f>('TUSD BE'!$AA$16+'TUSD BF'!$AA$16+'TUSD CVA'!$AA$16)*1</f>
        <v>0</v>
      </c>
      <c r="AA16" s="17">
        <f>('TUSD BE'!$AC$16+'TUSD BF'!$AC$16+'TUSD CVA'!$AC$16)*1</f>
        <v>17.288066395133455</v>
      </c>
      <c r="AB16" s="17">
        <f ca="1">('TUSD BE'!$AE$16+'TUSD BF'!$AE$16+'TUSD CVA'!$AE$16)*1</f>
        <v>0.44887071135561085</v>
      </c>
      <c r="AC16" s="17">
        <f ca="1">('TUSD BE'!$AF$16+'TUSD BF'!$AF$16+'TUSD CVA'!$AF$16)*1</f>
        <v>0</v>
      </c>
      <c r="AD16" s="17">
        <f>('TUSD BE'!$AH$16+'TUSD BF'!$AH$16+'TUSD CVA'!$AH$16)*1</f>
        <v>0</v>
      </c>
      <c r="AE16" s="17">
        <f>('TUSD BE'!$AI$16+'TUSD BF'!$AI$16+'TUSD CVA'!$AI$16)*1</f>
        <v>0</v>
      </c>
      <c r="AF16" s="17">
        <f ca="1">('TUSD BE'!$AJ$16+'TUSD BF'!$AJ$16+'TUSD CVA'!$AJ$16)*1</f>
        <v>0</v>
      </c>
      <c r="AG16" s="17">
        <f ca="1">('TUSD BE'!$AK$16+'TUSD BF'!$AK$16+'TUSD CVA'!$AK$16)*1</f>
        <v>0</v>
      </c>
      <c r="AI16" s="17">
        <v>0</v>
      </c>
      <c r="AJ16" s="17">
        <v>8.2461714053704404E-3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16.927903585193199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</row>
    <row r="17" spans="1:56" ht="11.25" customHeight="1" x14ac:dyDescent="0.25">
      <c r="A17" s="130" t="s">
        <v>22</v>
      </c>
      <c r="B17" s="130" t="s">
        <v>87</v>
      </c>
      <c r="C17" s="130" t="s">
        <v>24</v>
      </c>
      <c r="D17" s="130" t="s">
        <v>24</v>
      </c>
      <c r="E17" s="130" t="s">
        <v>25</v>
      </c>
      <c r="F17" s="130" t="s">
        <v>25</v>
      </c>
      <c r="G17" s="36" t="s">
        <v>74</v>
      </c>
      <c r="H17" s="36" t="s">
        <v>73</v>
      </c>
      <c r="I17" s="36">
        <f>'MERCADO TUSD'!$U$14</f>
        <v>0</v>
      </c>
      <c r="J17" s="16"/>
      <c r="L17" s="17">
        <f>('TUSD BE'!$L$17+'TUSD BF'!$L$17+'TUSD CVA'!$L$17)*1</f>
        <v>0</v>
      </c>
      <c r="M17" s="17">
        <f>('TUSD BE'!$M$17+'TUSD BF'!$M$17+'TUSD CVA'!$M$17)*1</f>
        <v>1.7799040008907279</v>
      </c>
      <c r="N17" s="17">
        <f ca="1">('TUSD BE'!$N$17+'TUSD BF'!$N$17+'TUSD CVA'!$N$17)*1</f>
        <v>0</v>
      </c>
      <c r="O17" s="17">
        <f>('TUSD BE'!$O$17+'TUSD BF'!$O$17+'TUSD CVA'!$O$17)*1</f>
        <v>0</v>
      </c>
      <c r="P17" s="17">
        <f>('TUSD BE'!$P$17+'TUSD BF'!$P$17+'TUSD CVA'!$P$17)*1</f>
        <v>0</v>
      </c>
      <c r="Q17" s="17">
        <f>('TUSD BE'!$Q$17+'TUSD BF'!$Q$17+'TUSD CVA'!$Q$17)*1</f>
        <v>82.450703213677485</v>
      </c>
      <c r="R17" s="17">
        <f>('TUSD BE'!$R$17+'TUSD BF'!$R$17+'TUSD CVA'!$R$17)*1</f>
        <v>13.715806659518108</v>
      </c>
      <c r="S17" s="17">
        <f>('TUSD BE'!$S$17+'TUSD BF'!$S$17+'TUSD CVA'!$S$17)*1</f>
        <v>0</v>
      </c>
      <c r="T17" s="17">
        <f>('TUSD BE'!$U$17+'TUSD BF'!$U$17+'TUSD CVA'!$U$17)*1</f>
        <v>0</v>
      </c>
      <c r="U17" s="17">
        <f>('TUSD BE'!$V$17+'TUSD BF'!$V$17+'TUSD CVA'!$V$17)*1</f>
        <v>0</v>
      </c>
      <c r="V17" s="17">
        <f>('TUSD BE'!$W$17+'TUSD BF'!$W$17+'TUSD CVA'!$W$17)*1</f>
        <v>0</v>
      </c>
      <c r="W17" s="17">
        <f>('TUSD BE'!$X$17+'TUSD BF'!$X$17+'TUSD CVA'!$X$17)*1</f>
        <v>0</v>
      </c>
      <c r="X17" s="17">
        <f>('TUSD BE'!$Y$17+'TUSD BF'!$Y$17+'TUSD CVA'!$Y$17)*1</f>
        <v>286.21860479879922</v>
      </c>
      <c r="Y17" s="17">
        <f>('TUSD BE'!$Z$17+'TUSD BF'!$Z$17+'TUSD CVA'!$Z$17)*1</f>
        <v>0</v>
      </c>
      <c r="Z17" s="17">
        <f>('TUSD BE'!$AA$17+'TUSD BF'!$AA$17+'TUSD CVA'!$AA$17)*1</f>
        <v>0</v>
      </c>
      <c r="AA17" s="17">
        <f>('TUSD BE'!$AC$17+'TUSD BF'!$AC$17+'TUSD CVA'!$AC$17)*1</f>
        <v>500.24274433061453</v>
      </c>
      <c r="AB17" s="17">
        <f ca="1">('TUSD BE'!$AE$17+'TUSD BF'!$AE$17+'TUSD CVA'!$AE$17)*1</f>
        <v>19.579106220830607</v>
      </c>
      <c r="AC17" s="17">
        <f ca="1">('TUSD BE'!$AF$17+'TUSD BF'!$AF$17+'TUSD CVA'!$AF$17)*1</f>
        <v>0</v>
      </c>
      <c r="AD17" s="17">
        <f>('TUSD BE'!$AH$17+'TUSD BF'!$AH$17+'TUSD CVA'!$AH$17)*1</f>
        <v>37.030380205171916</v>
      </c>
      <c r="AE17" s="17">
        <f>('TUSD BE'!$AI$17+'TUSD BF'!$AI$17+'TUSD CVA'!$AI$17)*1</f>
        <v>0</v>
      </c>
      <c r="AF17" s="17">
        <f ca="1">('TUSD BE'!$AJ$17+'TUSD BF'!$AJ$17+'TUSD CVA'!$AJ$17)*1</f>
        <v>0</v>
      </c>
      <c r="AG17" s="17">
        <f ca="1">('TUSD BE'!$AK$17+'TUSD BF'!$AK$17+'TUSD CVA'!$AK$17)*1</f>
        <v>0</v>
      </c>
      <c r="AI17" s="17">
        <v>0</v>
      </c>
      <c r="AJ17" s="17">
        <v>1.6192630910057899</v>
      </c>
      <c r="AK17" s="17">
        <v>0</v>
      </c>
      <c r="AL17" s="17">
        <v>0</v>
      </c>
      <c r="AM17" s="17">
        <v>0</v>
      </c>
      <c r="AN17" s="17">
        <v>54.913693424899598</v>
      </c>
      <c r="AO17" s="17">
        <v>8.7825256480584404</v>
      </c>
      <c r="AP17" s="17">
        <v>0</v>
      </c>
      <c r="AQ17" s="17">
        <v>0</v>
      </c>
      <c r="AR17" s="17">
        <v>0</v>
      </c>
      <c r="AS17" s="17">
        <v>0</v>
      </c>
      <c r="AT17" s="17">
        <v>0</v>
      </c>
      <c r="AU17" s="17">
        <v>283.85751833693803</v>
      </c>
      <c r="AV17" s="17">
        <v>0</v>
      </c>
      <c r="AW17" s="17">
        <v>0</v>
      </c>
      <c r="AX17" s="17">
        <v>489.82060225862398</v>
      </c>
      <c r="AY17" s="17">
        <v>0</v>
      </c>
      <c r="AZ17" s="17">
        <v>0</v>
      </c>
      <c r="BA17" s="17">
        <v>30.930434032983602</v>
      </c>
      <c r="BB17" s="17">
        <v>0</v>
      </c>
      <c r="BC17" s="17">
        <v>0</v>
      </c>
      <c r="BD17" s="17">
        <v>0</v>
      </c>
    </row>
    <row r="18" spans="1:56" ht="11.25" customHeight="1" x14ac:dyDescent="0.25">
      <c r="A18" s="130"/>
      <c r="B18" s="130"/>
      <c r="C18" s="130"/>
      <c r="D18" s="130"/>
      <c r="E18" s="130"/>
      <c r="F18" s="130"/>
      <c r="G18" s="36" t="s">
        <v>85</v>
      </c>
      <c r="H18" s="36" t="s">
        <v>73</v>
      </c>
      <c r="I18" s="36">
        <f>'MERCADO TUSD'!$U$15</f>
        <v>0</v>
      </c>
      <c r="J18" s="16"/>
      <c r="L18" s="17">
        <f>('TUSD BE'!$L$18+'TUSD BF'!$L$18+'TUSD CVA'!$L$18)*1</f>
        <v>0</v>
      </c>
      <c r="M18" s="17">
        <f>('TUSD BE'!$M$18+'TUSD BF'!$M$18+'TUSD CVA'!$M$18)*1</f>
        <v>1.7799040008907279</v>
      </c>
      <c r="N18" s="17">
        <f ca="1">('TUSD BE'!$N$18+'TUSD BF'!$N$18+'TUSD CVA'!$N$18)*1</f>
        <v>0</v>
      </c>
      <c r="O18" s="17">
        <f>('TUSD BE'!$O$18+'TUSD BF'!$O$18+'TUSD CVA'!$O$18)*1</f>
        <v>0</v>
      </c>
      <c r="P18" s="17">
        <f>('TUSD BE'!$P$18+'TUSD BF'!$P$18+'TUSD CVA'!$P$18)*1</f>
        <v>0</v>
      </c>
      <c r="Q18" s="17">
        <f>('TUSD BE'!$Q$18+'TUSD BF'!$Q$18+'TUSD CVA'!$Q$18)*1</f>
        <v>82.450703213677485</v>
      </c>
      <c r="R18" s="17">
        <f>('TUSD BE'!$R$18+'TUSD BF'!$R$18+'TUSD CVA'!$R$18)*1</f>
        <v>13.715806659518108</v>
      </c>
      <c r="S18" s="17">
        <f>('TUSD BE'!$S$18+'TUSD BF'!$S$18+'TUSD CVA'!$S$18)*1</f>
        <v>0</v>
      </c>
      <c r="T18" s="17">
        <f>('TUSD BE'!$U$18+'TUSD BF'!$U$18+'TUSD CVA'!$U$18)*1</f>
        <v>0</v>
      </c>
      <c r="U18" s="17">
        <f>('TUSD BE'!$V$18+'TUSD BF'!$V$18+'TUSD CVA'!$V$18)*1</f>
        <v>0</v>
      </c>
      <c r="V18" s="17">
        <f>('TUSD BE'!$W$18+'TUSD BF'!$W$18+'TUSD CVA'!$W$18)*1</f>
        <v>0</v>
      </c>
      <c r="W18" s="17">
        <f>('TUSD BE'!$X$18+'TUSD BF'!$X$18+'TUSD CVA'!$X$18)*1</f>
        <v>0</v>
      </c>
      <c r="X18" s="17">
        <f>('TUSD BE'!$Y$18+'TUSD BF'!$Y$18+'TUSD CVA'!$Y$18)*1</f>
        <v>44.52978361747104</v>
      </c>
      <c r="Y18" s="17">
        <f>('TUSD BE'!$Z$18+'TUSD BF'!$Z$18+'TUSD CVA'!$Z$18)*1</f>
        <v>0</v>
      </c>
      <c r="Z18" s="17">
        <f>('TUSD BE'!$AA$18+'TUSD BF'!$AA$18+'TUSD CVA'!$AA$18)*1</f>
        <v>0</v>
      </c>
      <c r="AA18" s="17">
        <f>('TUSD BE'!$AC$18+'TUSD BF'!$AC$18+'TUSD CVA'!$AC$18)*1</f>
        <v>77.815561066963667</v>
      </c>
      <c r="AB18" s="17">
        <f ca="1">('TUSD BE'!$AE$18+'TUSD BF'!$AE$18+'TUSD CVA'!$AE$18)*1</f>
        <v>4.8317784922255109</v>
      </c>
      <c r="AC18" s="17">
        <f ca="1">('TUSD BE'!$AF$18+'TUSD BF'!$AF$18+'TUSD CVA'!$AF$18)*1</f>
        <v>0</v>
      </c>
      <c r="AD18" s="17">
        <f>('TUSD BE'!$AH$18+'TUSD BF'!$AH$18+'TUSD CVA'!$AH$18)*1</f>
        <v>37.030380205171916</v>
      </c>
      <c r="AE18" s="17">
        <f>('TUSD BE'!$AI$18+'TUSD BF'!$AI$18+'TUSD CVA'!$AI$18)*1</f>
        <v>0</v>
      </c>
      <c r="AF18" s="17">
        <f ca="1">('TUSD BE'!$AJ$18+'TUSD BF'!$AJ$18+'TUSD CVA'!$AJ$18)*1</f>
        <v>0</v>
      </c>
      <c r="AG18" s="17">
        <f ca="1">('TUSD BE'!$AK$18+'TUSD BF'!$AK$18+'TUSD CVA'!$AK$18)*1</f>
        <v>0</v>
      </c>
      <c r="AI18" s="17">
        <v>0</v>
      </c>
      <c r="AJ18" s="17">
        <v>1.6192630910057899</v>
      </c>
      <c r="AK18" s="17">
        <v>0</v>
      </c>
      <c r="AL18" s="17">
        <v>0</v>
      </c>
      <c r="AM18" s="17">
        <v>0</v>
      </c>
      <c r="AN18" s="17">
        <v>54.913693424899598</v>
      </c>
      <c r="AO18" s="17">
        <v>8.7825256480584404</v>
      </c>
      <c r="AP18" s="17">
        <v>0</v>
      </c>
      <c r="AQ18" s="17">
        <v>0</v>
      </c>
      <c r="AR18" s="17">
        <v>0</v>
      </c>
      <c r="AS18" s="17">
        <v>0</v>
      </c>
      <c r="AT18" s="17">
        <v>0</v>
      </c>
      <c r="AU18" s="17">
        <v>44.162411907997999</v>
      </c>
      <c r="AV18" s="17">
        <v>0</v>
      </c>
      <c r="AW18" s="17">
        <v>0</v>
      </c>
      <c r="AX18" s="17">
        <v>76.194370832800203</v>
      </c>
      <c r="AY18" s="17">
        <v>0</v>
      </c>
      <c r="AZ18" s="17">
        <v>0</v>
      </c>
      <c r="BA18" s="17">
        <v>30.930434032983602</v>
      </c>
      <c r="BB18" s="17">
        <v>0</v>
      </c>
      <c r="BC18" s="17">
        <v>0</v>
      </c>
      <c r="BD18" s="17">
        <v>0</v>
      </c>
    </row>
    <row r="19" spans="1:56" ht="11.25" customHeight="1" x14ac:dyDescent="0.25">
      <c r="A19" s="130"/>
      <c r="B19" s="130"/>
      <c r="C19" s="130"/>
      <c r="D19" s="130"/>
      <c r="E19" s="130"/>
      <c r="F19" s="130"/>
      <c r="G19" s="36" t="s">
        <v>75</v>
      </c>
      <c r="H19" s="36" t="s">
        <v>73</v>
      </c>
      <c r="I19" s="36">
        <f>'MERCADO TUSD'!$U$16</f>
        <v>0</v>
      </c>
      <c r="J19" s="16"/>
      <c r="L19" s="17">
        <f>('TUSD BE'!$L$19+'TUSD BF'!$L$19+'TUSD CVA'!$L$19)*1</f>
        <v>0</v>
      </c>
      <c r="M19" s="17">
        <f>('TUSD BE'!$M$19+'TUSD BF'!$M$19+'TUSD CVA'!$M$19)*1</f>
        <v>1.7799040008907279</v>
      </c>
      <c r="N19" s="17">
        <f ca="1">('TUSD BE'!$N$19+'TUSD BF'!$N$19+'TUSD CVA'!$N$19)*1</f>
        <v>0</v>
      </c>
      <c r="O19" s="17">
        <f>('TUSD BE'!$O$19+'TUSD BF'!$O$19+'TUSD CVA'!$O$19)*1</f>
        <v>0</v>
      </c>
      <c r="P19" s="17">
        <f>('TUSD BE'!$P$19+'TUSD BF'!$P$19+'TUSD CVA'!$P$19)*1</f>
        <v>0</v>
      </c>
      <c r="Q19" s="17">
        <f>('TUSD BE'!$Q$19+'TUSD BF'!$Q$19+'TUSD CVA'!$Q$19)*1</f>
        <v>82.450703213677485</v>
      </c>
      <c r="R19" s="17">
        <f>('TUSD BE'!$R$19+'TUSD BF'!$R$19+'TUSD CVA'!$R$19)*1</f>
        <v>13.715806659518108</v>
      </c>
      <c r="S19" s="17">
        <f>('TUSD BE'!$S$19+'TUSD BF'!$S$19+'TUSD CVA'!$S$19)*1</f>
        <v>0</v>
      </c>
      <c r="T19" s="17">
        <f>('TUSD BE'!$U$19+'TUSD BF'!$U$19+'TUSD CVA'!$U$19)*1</f>
        <v>0</v>
      </c>
      <c r="U19" s="17">
        <f>('TUSD BE'!$V$19+'TUSD BF'!$V$19+'TUSD CVA'!$V$19)*1</f>
        <v>0</v>
      </c>
      <c r="V19" s="17">
        <f>('TUSD BE'!$W$19+'TUSD BF'!$W$19+'TUSD CVA'!$W$19)*1</f>
        <v>0</v>
      </c>
      <c r="W19" s="17">
        <f>('TUSD BE'!$X$19+'TUSD BF'!$X$19+'TUSD CVA'!$X$19)*1</f>
        <v>0</v>
      </c>
      <c r="X19" s="17">
        <f>('TUSD BE'!$Y$19+'TUSD BF'!$Y$19+'TUSD CVA'!$Y$19)*1</f>
        <v>76.331805371838556</v>
      </c>
      <c r="Y19" s="17">
        <f>('TUSD BE'!$Z$19+'TUSD BF'!$Z$19+'TUSD CVA'!$Z$19)*1</f>
        <v>0</v>
      </c>
      <c r="Z19" s="17">
        <f>('TUSD BE'!$AA$19+'TUSD BF'!$AA$19+'TUSD CVA'!$AA$19)*1</f>
        <v>0</v>
      </c>
      <c r="AA19" s="17">
        <f>('TUSD BE'!$AC$19+'TUSD BF'!$AC$19+'TUSD CVA'!$AC$19)*1</f>
        <v>133.39816027724467</v>
      </c>
      <c r="AB19" s="17">
        <f ca="1">('TUSD BE'!$AE$19+'TUSD BF'!$AE$19+'TUSD CVA'!$AE$19)*1</f>
        <v>6.77223177787367</v>
      </c>
      <c r="AC19" s="17">
        <f ca="1">('TUSD BE'!$AF$19+'TUSD BF'!$AF$19+'TUSD CVA'!$AF$19)*1</f>
        <v>0</v>
      </c>
      <c r="AD19" s="17">
        <f>('TUSD BE'!$AH$19+'TUSD BF'!$AH$19+'TUSD CVA'!$AH$19)*1</f>
        <v>37.030380205171916</v>
      </c>
      <c r="AE19" s="17">
        <f>('TUSD BE'!$AI$19+'TUSD BF'!$AI$19+'TUSD CVA'!$AI$19)*1</f>
        <v>0</v>
      </c>
      <c r="AF19" s="17">
        <f ca="1">('TUSD BE'!$AJ$19+'TUSD BF'!$AJ$19+'TUSD CVA'!$AJ$19)*1</f>
        <v>0</v>
      </c>
      <c r="AG19" s="17">
        <f ca="1">('TUSD BE'!$AK$19+'TUSD BF'!$AK$19+'TUSD CVA'!$AK$19)*1</f>
        <v>0</v>
      </c>
      <c r="AI19" s="17">
        <v>0</v>
      </c>
      <c r="AJ19" s="17">
        <v>1.6192630910057899</v>
      </c>
      <c r="AK19" s="17">
        <v>0</v>
      </c>
      <c r="AL19" s="17">
        <v>0</v>
      </c>
      <c r="AM19" s="17">
        <v>0</v>
      </c>
      <c r="AN19" s="17">
        <v>54.913693424899598</v>
      </c>
      <c r="AO19" s="17">
        <v>8.7825256480584404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75.702107496445294</v>
      </c>
      <c r="AV19" s="17">
        <v>0</v>
      </c>
      <c r="AW19" s="17">
        <v>0</v>
      </c>
      <c r="AX19" s="17">
        <v>130.618911884547</v>
      </c>
      <c r="AY19" s="17">
        <v>0</v>
      </c>
      <c r="AZ19" s="17">
        <v>0</v>
      </c>
      <c r="BA19" s="17">
        <v>30.930434032983602</v>
      </c>
      <c r="BB19" s="17">
        <v>0</v>
      </c>
      <c r="BC19" s="17">
        <v>0</v>
      </c>
      <c r="BD19" s="17">
        <v>0</v>
      </c>
    </row>
    <row r="20" spans="1:56" ht="11.25" customHeight="1" x14ac:dyDescent="0.25">
      <c r="A20" s="130"/>
      <c r="B20" s="130" t="s">
        <v>23</v>
      </c>
      <c r="C20" s="130" t="s">
        <v>24</v>
      </c>
      <c r="D20" s="80" t="s">
        <v>24</v>
      </c>
      <c r="E20" s="80" t="s">
        <v>25</v>
      </c>
      <c r="F20" s="80" t="s">
        <v>25</v>
      </c>
      <c r="G20" s="36" t="s">
        <v>79</v>
      </c>
      <c r="H20" s="36" t="s">
        <v>73</v>
      </c>
      <c r="I20" s="36">
        <f>'MERCADO TUSD'!$U$17</f>
        <v>23903.932000000001</v>
      </c>
      <c r="J20" s="16"/>
      <c r="L20" s="17">
        <f>('TUSD BE'!$L$20+'TUSD BF'!$L$20+'TUSD CVA'!$L$20)*1</f>
        <v>0</v>
      </c>
      <c r="M20" s="17">
        <f>('TUSD BE'!$M$20+'TUSD BF'!$M$20+'TUSD CVA'!$M$20)*1</f>
        <v>1.7799040008907279</v>
      </c>
      <c r="N20" s="17">
        <f ca="1">('TUSD BE'!$N$20+'TUSD BF'!$N$20+'TUSD CVA'!$N$20)*1</f>
        <v>0</v>
      </c>
      <c r="O20" s="17">
        <f>('TUSD BE'!$O$20+'TUSD BF'!$O$20+'TUSD CVA'!$O$20)*1</f>
        <v>0</v>
      </c>
      <c r="P20" s="17">
        <f>('TUSD BE'!$P$20+'TUSD BF'!$P$20+'TUSD CVA'!$P$20)*1</f>
        <v>0</v>
      </c>
      <c r="Q20" s="17">
        <f>('TUSD BE'!$Q$20+'TUSD BF'!$Q$20+'TUSD CVA'!$Q$20)*1</f>
        <v>82.450703213677485</v>
      </c>
      <c r="R20" s="17">
        <f>('TUSD BE'!$R$20+'TUSD BF'!$R$20+'TUSD CVA'!$R$20)*1</f>
        <v>13.715806659518108</v>
      </c>
      <c r="S20" s="17">
        <f>('TUSD BE'!$S$20+'TUSD BF'!$S$20+'TUSD CVA'!$S$20)*1</f>
        <v>0</v>
      </c>
      <c r="T20" s="17">
        <f>('TUSD BE'!$U$20+'TUSD BF'!$U$20+'TUSD CVA'!$U$20)*1</f>
        <v>0</v>
      </c>
      <c r="U20" s="17">
        <f>('TUSD BE'!$V$20+'TUSD BF'!$V$20+'TUSD CVA'!$V$20)*1</f>
        <v>0</v>
      </c>
      <c r="V20" s="17">
        <f>('TUSD BE'!$W$20+'TUSD BF'!$W$20+'TUSD CVA'!$W$20)*1</f>
        <v>0</v>
      </c>
      <c r="W20" s="17">
        <f>('TUSD BE'!$X$20+'TUSD BF'!$X$20+'TUSD CVA'!$X$20)*1</f>
        <v>0</v>
      </c>
      <c r="X20" s="17">
        <f>('TUSD BE'!$Y$20+'TUSD BF'!$Y$20+'TUSD CVA'!$Y$20)*1</f>
        <v>127.20829152221584</v>
      </c>
      <c r="Y20" s="17">
        <f>('TUSD BE'!$Z$20+'TUSD BF'!$Z$20+'TUSD CVA'!$Z$20)*1</f>
        <v>0</v>
      </c>
      <c r="Z20" s="17">
        <f>('TUSD BE'!$AA$20+'TUSD BF'!$AA$20+'TUSD CVA'!$AA$20)*1</f>
        <v>0</v>
      </c>
      <c r="AA20" s="17">
        <f>('TUSD BE'!$AC$20+'TUSD BF'!$AC$20+'TUSD CVA'!$AC$20)*1</f>
        <v>222.33020227254966</v>
      </c>
      <c r="AB20" s="17">
        <f ca="1">('TUSD BE'!$AE$20+'TUSD BF'!$AE$20+'TUSD CVA'!$AE$20)*1</f>
        <v>9.876848375462826</v>
      </c>
      <c r="AC20" s="17">
        <f ca="1">('TUSD BE'!$AF$20+'TUSD BF'!$AF$20+'TUSD CVA'!$AF$20)*1</f>
        <v>0</v>
      </c>
      <c r="AD20" s="17">
        <f>('TUSD BE'!$AH$20+'TUSD BF'!$AH$20+'TUSD CVA'!$AH$20)*1</f>
        <v>37.030380205171916</v>
      </c>
      <c r="AE20" s="17">
        <f>('TUSD BE'!$AI$20+'TUSD BF'!$AI$20+'TUSD CVA'!$AI$20)*1</f>
        <v>0</v>
      </c>
      <c r="AF20" s="17">
        <f ca="1">('TUSD BE'!$AJ$20+'TUSD BF'!$AJ$20+'TUSD CVA'!$AJ$20)*1</f>
        <v>0</v>
      </c>
      <c r="AG20" s="17">
        <f ca="1">('TUSD BE'!$AK$20+'TUSD BF'!$AK$20+'TUSD CVA'!$AK$20)*1</f>
        <v>0</v>
      </c>
      <c r="AI20" s="17">
        <v>0</v>
      </c>
      <c r="AJ20" s="17">
        <v>1.6192630910057899</v>
      </c>
      <c r="AK20" s="17">
        <v>0</v>
      </c>
      <c r="AL20" s="17">
        <v>0</v>
      </c>
      <c r="AM20" s="17">
        <v>0</v>
      </c>
      <c r="AN20" s="17">
        <v>54.913693424899598</v>
      </c>
      <c r="AO20" s="17">
        <v>8.7825256480584404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126.15891137424499</v>
      </c>
      <c r="AV20" s="17">
        <v>0</v>
      </c>
      <c r="AW20" s="17">
        <v>0</v>
      </c>
      <c r="AX20" s="17">
        <v>217.698164206987</v>
      </c>
      <c r="AY20" s="17">
        <v>0</v>
      </c>
      <c r="AZ20" s="17">
        <v>0</v>
      </c>
      <c r="BA20" s="17">
        <v>30.930434032983602</v>
      </c>
      <c r="BB20" s="17">
        <v>0</v>
      </c>
      <c r="BC20" s="17">
        <v>0</v>
      </c>
      <c r="BD20" s="17">
        <v>0</v>
      </c>
    </row>
    <row r="21" spans="1:56" ht="11.25" customHeight="1" x14ac:dyDescent="0.25">
      <c r="A21" s="130"/>
      <c r="B21" s="130"/>
      <c r="C21" s="130"/>
      <c r="D21" s="80" t="s">
        <v>29</v>
      </c>
      <c r="E21" s="80" t="s">
        <v>25</v>
      </c>
      <c r="F21" s="80" t="s">
        <v>25</v>
      </c>
      <c r="G21" s="36" t="s">
        <v>79</v>
      </c>
      <c r="H21" s="36" t="s">
        <v>73</v>
      </c>
      <c r="I21" s="36">
        <f>'MERCADO TUSD'!$U$18</f>
        <v>17.04</v>
      </c>
      <c r="J21" s="16"/>
      <c r="L21" s="17">
        <f>('TUSD BE'!$L$21+'TUSD BF'!$L$21+'TUSD CVA'!$L$21)*(1 - 0.65)</f>
        <v>0</v>
      </c>
      <c r="M21" s="17">
        <f>('TUSD BE'!$M$21+'TUSD BF'!$M$21+'TUSD CVA'!$M$21)*(1 - 0.65)</f>
        <v>0.62296640031175476</v>
      </c>
      <c r="N21" s="17">
        <f ca="1">('TUSD BE'!$N$21+'TUSD BF'!$N$21+'TUSD CVA'!$N$21)*(1 - 0.65)</f>
        <v>0</v>
      </c>
      <c r="O21" s="17">
        <f>('TUSD BE'!$O$21+'TUSD BF'!$O$21+'TUSD CVA'!$O$21)*(1 - 0.65)</f>
        <v>0</v>
      </c>
      <c r="P21" s="17">
        <v>0</v>
      </c>
      <c r="Q21" s="17">
        <f>('TUSD BE'!$Q$21+'TUSD BF'!$Q$21+'TUSD CVA'!$Q$21)*(1 - 0.65)</f>
        <v>0</v>
      </c>
      <c r="R21" s="17">
        <v>0</v>
      </c>
      <c r="S21" s="17">
        <f>('TUSD BE'!$S$21+'TUSD BF'!$S$21+'TUSD CVA'!$S$21)*(1 - 0.65)</f>
        <v>0</v>
      </c>
      <c r="T21" s="17">
        <f>('TUSD BE'!$U$21+'TUSD BF'!$U$21+'TUSD CVA'!$U$21)*(1 - 0.65)</f>
        <v>0</v>
      </c>
      <c r="U21" s="17">
        <f>('TUSD BE'!$V$21+'TUSD BF'!$V$21+'TUSD CVA'!$V$21)*(1 - 0.65)</f>
        <v>0</v>
      </c>
      <c r="V21" s="17">
        <f>('TUSD BE'!$W$21+'TUSD BF'!$W$21+'TUSD CVA'!$W$21)*(1 - 0.65)</f>
        <v>0</v>
      </c>
      <c r="W21" s="17">
        <f>('TUSD BE'!$X$21+'TUSD BF'!$X$21+'TUSD CVA'!$X$21)*(1 - 0.65)</f>
        <v>0</v>
      </c>
      <c r="X21" s="17">
        <f>('TUSD BE'!$Y$21+'TUSD BF'!$Y$21+'TUSD CVA'!$Y$21)*(1 - 0.65)</f>
        <v>44.522902032775541</v>
      </c>
      <c r="Y21" s="17">
        <f>('TUSD BE'!$Z$21+'TUSD BF'!$Z$21+'TUSD CVA'!$Z$21)*(1 - 0.65)</f>
        <v>0</v>
      </c>
      <c r="Z21" s="17">
        <f>('TUSD BE'!$AA$21+'TUSD BF'!$AA$21+'TUSD CVA'!$AA$21)*(1 - 0.65)</f>
        <v>0</v>
      </c>
      <c r="AA21" s="17">
        <f>('TUSD BE'!$AC$21+'TUSD BF'!$AC$21+'TUSD CVA'!$AC$21)*(1 - 0.65)</f>
        <v>77.815570795392375</v>
      </c>
      <c r="AB21" s="17">
        <f ca="1">('TUSD BE'!$AE$21+'TUSD BF'!$AE$21+'TUSD CVA'!$AE$21)*(1 - 0.65)</f>
        <v>2.9096385965033522</v>
      </c>
      <c r="AC21" s="17">
        <f ca="1">('TUSD BE'!$AF$21+'TUSD BF'!$AF$21+'TUSD CVA'!$AF$21)*(1 - 0.65)</f>
        <v>0</v>
      </c>
      <c r="AD21" s="17">
        <f>('TUSD BE'!$AH$21+'TUSD BF'!$AH$21+'TUSD CVA'!$AH$21)*(1 - 0.65)</f>
        <v>12.96063307181017</v>
      </c>
      <c r="AE21" s="17">
        <f>('TUSD BE'!$AI$21+'TUSD BF'!$AI$21+'TUSD CVA'!$AI$21)*(1 - 0.65)</f>
        <v>0</v>
      </c>
      <c r="AF21" s="17">
        <f ca="1">('TUSD BE'!$AJ$21+'TUSD BF'!$AJ$21+'TUSD CVA'!$AJ$21)*(1 - 0.65)</f>
        <v>0</v>
      </c>
      <c r="AG21" s="17">
        <f ca="1">('TUSD BE'!$AK$21+'TUSD BF'!$AK$21+'TUSD CVA'!$AK$21)*(1 - 0.65)</f>
        <v>0</v>
      </c>
      <c r="AI21" s="17">
        <v>0</v>
      </c>
      <c r="AJ21" s="17">
        <v>0.56674208185202701</v>
      </c>
      <c r="AK21" s="17">
        <v>0</v>
      </c>
      <c r="AL21" s="17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44.155618980985899</v>
      </c>
      <c r="AV21" s="17">
        <v>0</v>
      </c>
      <c r="AW21" s="17">
        <v>0</v>
      </c>
      <c r="AX21" s="17">
        <v>76.194357472445404</v>
      </c>
      <c r="AY21" s="17">
        <v>0</v>
      </c>
      <c r="AZ21" s="17">
        <v>0</v>
      </c>
      <c r="BA21" s="17">
        <v>10.8256519115443</v>
      </c>
      <c r="BB21" s="17">
        <v>0</v>
      </c>
      <c r="BC21" s="17">
        <v>0</v>
      </c>
      <c r="BD21" s="17">
        <v>0</v>
      </c>
    </row>
    <row r="22" spans="1:56" ht="11.25" customHeight="1" x14ac:dyDescent="0.25">
      <c r="A22" s="130"/>
      <c r="B22" s="130"/>
      <c r="C22" s="130"/>
      <c r="D22" s="80" t="s">
        <v>30</v>
      </c>
      <c r="E22" s="80" t="s">
        <v>25</v>
      </c>
      <c r="F22" s="80" t="s">
        <v>25</v>
      </c>
      <c r="G22" s="36" t="s">
        <v>79</v>
      </c>
      <c r="H22" s="36" t="s">
        <v>73</v>
      </c>
      <c r="I22" s="36">
        <f>'MERCADO TUSD'!$U$19</f>
        <v>36.048999999999999</v>
      </c>
      <c r="J22" s="16"/>
      <c r="L22" s="17">
        <f>('TUSD BE'!$L$22+'TUSD BF'!$L$22+'TUSD CVA'!$L$22)*(1 - 0.4)</f>
        <v>0</v>
      </c>
      <c r="M22" s="17">
        <f>('TUSD BE'!$M$22+'TUSD BF'!$M$22+'TUSD CVA'!$M$22)*(1 - 0.4)</f>
        <v>1.0679424005344367</v>
      </c>
      <c r="N22" s="17">
        <f ca="1">('TUSD BE'!$N$22+'TUSD BF'!$N$22+'TUSD CVA'!$N$22)*(1 - 0.4)</f>
        <v>0</v>
      </c>
      <c r="O22" s="17">
        <f>('TUSD BE'!$O$22+'TUSD BF'!$O$22+'TUSD CVA'!$O$22)*(1 - 0.4)</f>
        <v>0</v>
      </c>
      <c r="P22" s="17">
        <v>0</v>
      </c>
      <c r="Q22" s="17">
        <f>('TUSD BE'!$Q$22+'TUSD BF'!$Q$22+'TUSD CVA'!$Q$22)*(1 - 0.4)</f>
        <v>0</v>
      </c>
      <c r="R22" s="17">
        <v>0</v>
      </c>
      <c r="S22" s="17">
        <f>('TUSD BE'!$S$22+'TUSD BF'!$S$22+'TUSD CVA'!$S$22)*(1 - 0.4)</f>
        <v>0</v>
      </c>
      <c r="T22" s="17">
        <f>('TUSD BE'!$U$22+'TUSD BF'!$U$22+'TUSD CVA'!$U$22)*(1 - 0.4)</f>
        <v>0</v>
      </c>
      <c r="U22" s="17">
        <f>('TUSD BE'!$V$22+'TUSD BF'!$V$22+'TUSD CVA'!$V$22)*(1 - 0.4)</f>
        <v>0</v>
      </c>
      <c r="V22" s="17">
        <f>('TUSD BE'!$W$22+'TUSD BF'!$W$22+'TUSD CVA'!$W$22)*(1 - 0.4)</f>
        <v>0</v>
      </c>
      <c r="W22" s="17">
        <f>('TUSD BE'!$X$22+'TUSD BF'!$X$22+'TUSD CVA'!$X$22)*(1 - 0.4)</f>
        <v>0</v>
      </c>
      <c r="X22" s="17">
        <f>('TUSD BE'!$Y$22+'TUSD BF'!$Y$22+'TUSD CVA'!$Y$22)*(1 - 0.4)</f>
        <v>76.324974913329498</v>
      </c>
      <c r="Y22" s="17">
        <f>('TUSD BE'!$Z$22+'TUSD BF'!$Z$22+'TUSD CVA'!$Z$22)*(1 - 0.4)</f>
        <v>0</v>
      </c>
      <c r="Z22" s="17">
        <f>('TUSD BE'!$AA$22+'TUSD BF'!$AA$22+'TUSD CVA'!$AA$22)*(1 - 0.4)</f>
        <v>0</v>
      </c>
      <c r="AA22" s="17">
        <f>('TUSD BE'!$AC$22+'TUSD BF'!$AC$22+'TUSD CVA'!$AC$22)*(1 - 0.4)</f>
        <v>133.39812136352978</v>
      </c>
      <c r="AB22" s="17">
        <f ca="1">('TUSD BE'!$AE$22+'TUSD BF'!$AE$22+'TUSD CVA'!$AE$22)*(1 - 0.4)</f>
        <v>4.9879518797200326</v>
      </c>
      <c r="AC22" s="17">
        <f ca="1">('TUSD BE'!$AF$22+'TUSD BF'!$AF$22+'TUSD CVA'!$AF$22)*(1 - 0.4)</f>
        <v>0</v>
      </c>
      <c r="AD22" s="17">
        <f>('TUSD BE'!$AH$22+'TUSD BF'!$AH$22+'TUSD CVA'!$AH$22)*(1 - 0.4)</f>
        <v>22.218228123103149</v>
      </c>
      <c r="AE22" s="17">
        <f>('TUSD BE'!$AI$22+'TUSD BF'!$AI$22+'TUSD CVA'!$AI$22)*(1 - 0.4)</f>
        <v>0</v>
      </c>
      <c r="AF22" s="17">
        <f ca="1">('TUSD BE'!$AJ$22+'TUSD BF'!$AJ$22+'TUSD CVA'!$AJ$22)*(1 - 0.4)</f>
        <v>0</v>
      </c>
      <c r="AG22" s="17">
        <f ca="1">('TUSD BE'!$AK$22+'TUSD BF'!$AK$22+'TUSD CVA'!$AK$22)*(1 - 0.4)</f>
        <v>0</v>
      </c>
      <c r="AI22" s="17">
        <v>0</v>
      </c>
      <c r="AJ22" s="17">
        <v>0.97155785460347399</v>
      </c>
      <c r="AK22" s="17">
        <v>0</v>
      </c>
      <c r="AL22" s="17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75.6953468245473</v>
      </c>
      <c r="AV22" s="17">
        <v>0</v>
      </c>
      <c r="AW22" s="17">
        <v>0</v>
      </c>
      <c r="AX22" s="17">
        <v>130.61889852419199</v>
      </c>
      <c r="AY22" s="17">
        <v>0</v>
      </c>
      <c r="AZ22" s="17">
        <v>0</v>
      </c>
      <c r="BA22" s="17">
        <v>18.558260419790201</v>
      </c>
      <c r="BB22" s="17">
        <v>0</v>
      </c>
      <c r="BC22" s="17">
        <v>0</v>
      </c>
      <c r="BD22" s="17">
        <v>0</v>
      </c>
    </row>
    <row r="23" spans="1:56" ht="11.25" customHeight="1" x14ac:dyDescent="0.25">
      <c r="A23" s="130"/>
      <c r="B23" s="130"/>
      <c r="C23" s="130"/>
      <c r="D23" s="80" t="s">
        <v>31</v>
      </c>
      <c r="E23" s="80" t="s">
        <v>25</v>
      </c>
      <c r="F23" s="80" t="s">
        <v>25</v>
      </c>
      <c r="G23" s="36" t="s">
        <v>79</v>
      </c>
      <c r="H23" s="36" t="s">
        <v>73</v>
      </c>
      <c r="I23" s="36">
        <f>'MERCADO TUSD'!$U$20</f>
        <v>32.835000000000001</v>
      </c>
      <c r="J23" s="16"/>
      <c r="L23" s="17">
        <f>('TUSD BE'!$L$23+'TUSD BF'!$L$23+'TUSD CVA'!$L$23)*(1 - 0.1)</f>
        <v>0</v>
      </c>
      <c r="M23" s="17">
        <f>('TUSD BE'!$M$23+'TUSD BF'!$M$23+'TUSD CVA'!$M$23)*(1 - 0.1)</f>
        <v>1.601913600801655</v>
      </c>
      <c r="N23" s="17">
        <f ca="1">('TUSD BE'!$N$23+'TUSD BF'!$N$23+'TUSD CVA'!$N$23)*(1 - 0.1)</f>
        <v>0</v>
      </c>
      <c r="O23" s="17">
        <f>('TUSD BE'!$O$23+'TUSD BF'!$O$23+'TUSD CVA'!$O$23)*(1 - 0.1)</f>
        <v>0</v>
      </c>
      <c r="P23" s="17">
        <v>0</v>
      </c>
      <c r="Q23" s="17">
        <f>('TUSD BE'!$Q$23+'TUSD BF'!$Q$23+'TUSD CVA'!$Q$23)*(1 - 0.1)</f>
        <v>0</v>
      </c>
      <c r="R23" s="17">
        <v>0</v>
      </c>
      <c r="S23" s="17">
        <f>('TUSD BE'!$S$23+'TUSD BF'!$S$23+'TUSD CVA'!$S$23)*(1 - 0.1)</f>
        <v>0</v>
      </c>
      <c r="T23" s="17">
        <f>('TUSD BE'!$U$23+'TUSD BF'!$U$23+'TUSD CVA'!$U$23)*(1 - 0.1)</f>
        <v>0</v>
      </c>
      <c r="U23" s="17">
        <f>('TUSD BE'!$V$23+'TUSD BF'!$V$23+'TUSD CVA'!$V$23)*(1 - 0.1)</f>
        <v>0</v>
      </c>
      <c r="V23" s="17">
        <f>('TUSD BE'!$W$23+'TUSD BF'!$W$23+'TUSD CVA'!$W$23)*(1 - 0.1)</f>
        <v>0</v>
      </c>
      <c r="W23" s="17">
        <f>('TUSD BE'!$X$23+'TUSD BF'!$X$23+'TUSD CVA'!$X$23)*(1 - 0.1)</f>
        <v>0</v>
      </c>
      <c r="X23" s="17">
        <f>('TUSD BE'!$Y$23+'TUSD BF'!$Y$23+'TUSD CVA'!$Y$23)*(1 - 0.1)</f>
        <v>114.48746236999426</v>
      </c>
      <c r="Y23" s="17">
        <f>('TUSD BE'!$Z$23+'TUSD BF'!$Z$23+'TUSD CVA'!$Z$23)*(1 - 0.1)</f>
        <v>0</v>
      </c>
      <c r="Z23" s="17">
        <f>('TUSD BE'!$AA$23+'TUSD BF'!$AA$23+'TUSD CVA'!$AA$23)*(1 - 0.1)</f>
        <v>0</v>
      </c>
      <c r="AA23" s="17">
        <f>('TUSD BE'!$AC$23+'TUSD BF'!$AC$23+'TUSD CVA'!$AC$23)*(1 - 0.1)</f>
        <v>200.09718204529469</v>
      </c>
      <c r="AB23" s="17">
        <f ca="1">('TUSD BE'!$AE$23+'TUSD BF'!$AE$23+'TUSD CVA'!$AE$23)*(1 - 0.1)</f>
        <v>7.4819278195800498</v>
      </c>
      <c r="AC23" s="17">
        <f ca="1">('TUSD BE'!$AF$23+'TUSD BF'!$AF$23+'TUSD CVA'!$AF$23)*(1 - 0.1)</f>
        <v>0</v>
      </c>
      <c r="AD23" s="17">
        <f>('TUSD BE'!$AH$23+'TUSD BF'!$AH$23+'TUSD CVA'!$AH$23)*(1 - 0.1)</f>
        <v>33.327342184654725</v>
      </c>
      <c r="AE23" s="17">
        <f>('TUSD BE'!$AI$23+'TUSD BF'!$AI$23+'TUSD CVA'!$AI$23)*(1 - 0.1)</f>
        <v>0</v>
      </c>
      <c r="AF23" s="17">
        <f ca="1">('TUSD BE'!$AJ$23+'TUSD BF'!$AJ$23+'TUSD CVA'!$AJ$23)*(1 - 0.1)</f>
        <v>0</v>
      </c>
      <c r="AG23" s="17">
        <f ca="1">('TUSD BE'!$AK$23+'TUSD BF'!$AK$23+'TUSD CVA'!$AK$23)*(1 - 0.1)</f>
        <v>0</v>
      </c>
      <c r="AI23" s="17">
        <v>0</v>
      </c>
      <c r="AJ23" s="17">
        <v>1.4573367819052101</v>
      </c>
      <c r="AK23" s="17">
        <v>0</v>
      </c>
      <c r="AL23" s="17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113.54302023682099</v>
      </c>
      <c r="AV23" s="17">
        <v>0</v>
      </c>
      <c r="AW23" s="17">
        <v>0</v>
      </c>
      <c r="AX23" s="17">
        <v>195.92834778628799</v>
      </c>
      <c r="AY23" s="17">
        <v>0</v>
      </c>
      <c r="AZ23" s="17">
        <v>0</v>
      </c>
      <c r="BA23" s="17">
        <v>27.837390629685299</v>
      </c>
      <c r="BB23" s="17">
        <v>0</v>
      </c>
      <c r="BC23" s="17">
        <v>0</v>
      </c>
      <c r="BD23" s="17">
        <v>0</v>
      </c>
    </row>
    <row r="24" spans="1:56" ht="11.25" customHeight="1" x14ac:dyDescent="0.25">
      <c r="A24" s="130"/>
      <c r="B24" s="130"/>
      <c r="C24" s="130"/>
      <c r="D24" s="80" t="s">
        <v>32</v>
      </c>
      <c r="E24" s="80" t="s">
        <v>25</v>
      </c>
      <c r="F24" s="80" t="s">
        <v>25</v>
      </c>
      <c r="G24" s="36" t="s">
        <v>79</v>
      </c>
      <c r="H24" s="36" t="s">
        <v>73</v>
      </c>
      <c r="I24" s="36">
        <f>'MERCADO TUSD'!$U$21</f>
        <v>10.568</v>
      </c>
      <c r="J24" s="16"/>
      <c r="L24" s="17">
        <f>('TUSD BE'!$L$24+'TUSD BF'!$L$24+'TUSD CVA'!$L$24)*1</f>
        <v>0</v>
      </c>
      <c r="M24" s="17">
        <f>('TUSD BE'!$M$24+'TUSD BF'!$M$24+'TUSD CVA'!$M$24)*1</f>
        <v>1.7799040008907279</v>
      </c>
      <c r="N24" s="17">
        <f ca="1">('TUSD BE'!$N$24+'TUSD BF'!$N$24+'TUSD CVA'!$N$24)*1</f>
        <v>0</v>
      </c>
      <c r="O24" s="17">
        <f>('TUSD BE'!$O$24+'TUSD BF'!$O$24+'TUSD CVA'!$O$24)*1</f>
        <v>0</v>
      </c>
      <c r="P24" s="17">
        <v>0</v>
      </c>
      <c r="Q24" s="17">
        <f>('TUSD BE'!$Q$24+'TUSD BF'!$Q$24+'TUSD CVA'!$Q$24)*1</f>
        <v>0</v>
      </c>
      <c r="R24" s="17">
        <v>0</v>
      </c>
      <c r="S24" s="17">
        <f>('TUSD BE'!$S$24+'TUSD BF'!$S$24+'TUSD CVA'!$S$24)*1</f>
        <v>0</v>
      </c>
      <c r="T24" s="17">
        <f>('TUSD BE'!$U$24+'TUSD BF'!$U$24+'TUSD CVA'!$U$24)*1</f>
        <v>0</v>
      </c>
      <c r="U24" s="17">
        <f>('TUSD BE'!$V$24+'TUSD BF'!$V$24+'TUSD CVA'!$V$24)*1</f>
        <v>0</v>
      </c>
      <c r="V24" s="17">
        <f>('TUSD BE'!$W$24+'TUSD BF'!$W$24+'TUSD CVA'!$W$24)*1</f>
        <v>0</v>
      </c>
      <c r="W24" s="17">
        <f>('TUSD BE'!$X$24+'TUSD BF'!$X$24+'TUSD CVA'!$X$24)*1</f>
        <v>0</v>
      </c>
      <c r="X24" s="17">
        <f>('TUSD BE'!$Y$24+'TUSD BF'!$Y$24+'TUSD CVA'!$Y$24)*1</f>
        <v>127.20829152221584</v>
      </c>
      <c r="Y24" s="17">
        <f>('TUSD BE'!$Z$24+'TUSD BF'!$Z$24+'TUSD CVA'!$Z$24)*1</f>
        <v>0</v>
      </c>
      <c r="Z24" s="17">
        <f>('TUSD BE'!$AA$24+'TUSD BF'!$AA$24+'TUSD CVA'!$AA$24)*1</f>
        <v>0</v>
      </c>
      <c r="AA24" s="17">
        <f>('TUSD BE'!$AC$24+'TUSD BF'!$AC$24+'TUSD CVA'!$AC$24)*1</f>
        <v>222.33020227254966</v>
      </c>
      <c r="AB24" s="17">
        <f ca="1">('TUSD BE'!$AE$24+'TUSD BF'!$AE$24+'TUSD CVA'!$AE$24)*1</f>
        <v>8.3132531328667216</v>
      </c>
      <c r="AC24" s="17">
        <f ca="1">('TUSD BE'!$AF$24+'TUSD BF'!$AF$24+'TUSD CVA'!$AF$24)*1</f>
        <v>0</v>
      </c>
      <c r="AD24" s="17">
        <f>('TUSD BE'!$AH$24+'TUSD BF'!$AH$24+'TUSD CVA'!$AH$24)*1</f>
        <v>37.030380205171916</v>
      </c>
      <c r="AE24" s="17">
        <f>('TUSD BE'!$AI$24+'TUSD BF'!$AI$24+'TUSD CVA'!$AI$24)*1</f>
        <v>0</v>
      </c>
      <c r="AF24" s="17">
        <f ca="1">('TUSD BE'!$AJ$24+'TUSD BF'!$AJ$24+'TUSD CVA'!$AJ$24)*1</f>
        <v>0</v>
      </c>
      <c r="AG24" s="17">
        <f ca="1">('TUSD BE'!$AK$24+'TUSD BF'!$AK$24+'TUSD CVA'!$AK$24)*1</f>
        <v>0</v>
      </c>
      <c r="AI24" s="17">
        <v>0</v>
      </c>
      <c r="AJ24" s="17">
        <v>1.6192630910057899</v>
      </c>
      <c r="AK24" s="17">
        <v>0</v>
      </c>
      <c r="AL24" s="17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126.15891137424499</v>
      </c>
      <c r="AV24" s="17">
        <v>0</v>
      </c>
      <c r="AW24" s="17">
        <v>0</v>
      </c>
      <c r="AX24" s="17">
        <v>217.698164206987</v>
      </c>
      <c r="AY24" s="17">
        <v>0</v>
      </c>
      <c r="AZ24" s="17">
        <v>0</v>
      </c>
      <c r="BA24" s="17">
        <v>30.930434032983602</v>
      </c>
      <c r="BB24" s="17">
        <v>0</v>
      </c>
      <c r="BC24" s="17">
        <v>0</v>
      </c>
      <c r="BD24" s="17">
        <v>0</v>
      </c>
    </row>
    <row r="25" spans="1:56" ht="11.25" customHeight="1" x14ac:dyDescent="0.25">
      <c r="A25" s="130"/>
      <c r="B25" s="130" t="s">
        <v>89</v>
      </c>
      <c r="C25" s="130" t="s">
        <v>24</v>
      </c>
      <c r="D25" s="80" t="s">
        <v>24</v>
      </c>
      <c r="E25" s="80" t="s">
        <v>25</v>
      </c>
      <c r="F25" s="80" t="s">
        <v>25</v>
      </c>
      <c r="G25" s="36" t="s">
        <v>79</v>
      </c>
      <c r="H25" s="36" t="s">
        <v>73</v>
      </c>
      <c r="I25" s="36">
        <f>'MERCADO TUSD'!$U$22</f>
        <v>0</v>
      </c>
      <c r="J25" s="16"/>
      <c r="L25" s="17">
        <f>('TUSD BE'!$L$25+'TUSD BF'!$L$25+'TUSD CVA'!$L$25)*1</f>
        <v>0</v>
      </c>
      <c r="M25" s="17">
        <f>('TUSD BE'!$M$25+'TUSD BF'!$M$25+'TUSD CVA'!$M$25)*1</f>
        <v>1.7799040008907279</v>
      </c>
      <c r="N25" s="17">
        <f ca="1">('TUSD BE'!$N$25+'TUSD BF'!$N$25+'TUSD CVA'!$N$25)*1</f>
        <v>0</v>
      </c>
      <c r="O25" s="17">
        <f>('TUSD BE'!$O$25+'TUSD BF'!$O$25+'TUSD CVA'!$O$25)*1</f>
        <v>0</v>
      </c>
      <c r="P25" s="17">
        <f>('TUSD BE'!$P$25+'TUSD BF'!$P$25+'TUSD CVA'!$P$25)*1</f>
        <v>0</v>
      </c>
      <c r="Q25" s="17">
        <f>('TUSD BE'!$Q$25+'TUSD BF'!$Q$25+'TUSD CVA'!$Q$25)*1</f>
        <v>82.450703213677485</v>
      </c>
      <c r="R25" s="17">
        <f>('TUSD BE'!$R$25+'TUSD BF'!$R$25+'TUSD CVA'!$R$25)*1</f>
        <v>13.715806659518108</v>
      </c>
      <c r="S25" s="17">
        <f>('TUSD BE'!$S$25+'TUSD BF'!$S$25+'TUSD CVA'!$S$25)*1</f>
        <v>0</v>
      </c>
      <c r="T25" s="17">
        <f>('TUSD BE'!$U$25+'TUSD BF'!$U$25+'TUSD CVA'!$U$25)*1</f>
        <v>0</v>
      </c>
      <c r="U25" s="17">
        <f>('TUSD BE'!$V$25+'TUSD BF'!$V$25+'TUSD CVA'!$V$25)*1</f>
        <v>0</v>
      </c>
      <c r="V25" s="17">
        <f>('TUSD BE'!$W$25+'TUSD BF'!$W$25+'TUSD CVA'!$W$25)*1</f>
        <v>0</v>
      </c>
      <c r="W25" s="17">
        <f>('TUSD BE'!$X$25+'TUSD BF'!$X$25+'TUSD CVA'!$X$25)*1</f>
        <v>0</v>
      </c>
      <c r="X25" s="17">
        <f>('TUSD BE'!$Y$25+'TUSD BF'!$Y$25+'TUSD CVA'!$Y$25)*1</f>
        <v>127.20829152221584</v>
      </c>
      <c r="Y25" s="17">
        <f>('TUSD BE'!$Z$25+'TUSD BF'!$Z$25+'TUSD CVA'!$Z$25)*1</f>
        <v>0</v>
      </c>
      <c r="Z25" s="17">
        <f>('TUSD BE'!$AA$25+'TUSD BF'!$AA$25+'TUSD CVA'!$AA$25)*1</f>
        <v>0</v>
      </c>
      <c r="AA25" s="17">
        <f>('TUSD BE'!$AC$25+'TUSD BF'!$AC$25+'TUSD CVA'!$AC$25)*1</f>
        <v>222.33020227254966</v>
      </c>
      <c r="AB25" s="17">
        <f ca="1">('TUSD BE'!$AE$25+'TUSD BF'!$AE$25+'TUSD CVA'!$AE$25)*1</f>
        <v>9.876848375462826</v>
      </c>
      <c r="AC25" s="17">
        <f ca="1">('TUSD BE'!$AF$25+'TUSD BF'!$AF$25+'TUSD CVA'!$AF$25)*1</f>
        <v>0</v>
      </c>
      <c r="AD25" s="17">
        <f>('TUSD BE'!$AH$25+'TUSD BF'!$AH$25+'TUSD CVA'!$AH$25)*1</f>
        <v>37.030380205171916</v>
      </c>
      <c r="AE25" s="17">
        <f>('TUSD BE'!$AI$25+'TUSD BF'!$AI$25+'TUSD CVA'!$AI$25)*1</f>
        <v>0</v>
      </c>
      <c r="AF25" s="17">
        <f ca="1">('TUSD BE'!$AJ$25+'TUSD BF'!$AJ$25+'TUSD CVA'!$AJ$25)*1</f>
        <v>0</v>
      </c>
      <c r="AG25" s="17">
        <f ca="1">('TUSD BE'!$AK$25+'TUSD BF'!$AK$25+'TUSD CVA'!$AK$25)*1</f>
        <v>0</v>
      </c>
      <c r="AI25" s="17">
        <v>0</v>
      </c>
      <c r="AJ25" s="17">
        <v>1.6192630910057899</v>
      </c>
      <c r="AK25" s="17">
        <v>0</v>
      </c>
      <c r="AL25" s="17">
        <v>0</v>
      </c>
      <c r="AM25" s="17">
        <v>0</v>
      </c>
      <c r="AN25" s="17">
        <v>54.913693424899598</v>
      </c>
      <c r="AO25" s="17">
        <v>8.7825256480584404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126.15891137424499</v>
      </c>
      <c r="AV25" s="17">
        <v>0</v>
      </c>
      <c r="AW25" s="17">
        <v>0</v>
      </c>
      <c r="AX25" s="17">
        <v>217.698164206987</v>
      </c>
      <c r="AY25" s="17">
        <v>0</v>
      </c>
      <c r="AZ25" s="17">
        <v>0</v>
      </c>
      <c r="BA25" s="17">
        <v>30.930434032983602</v>
      </c>
      <c r="BB25" s="17">
        <v>0</v>
      </c>
      <c r="BC25" s="17">
        <v>0</v>
      </c>
      <c r="BD25" s="17">
        <v>0</v>
      </c>
    </row>
    <row r="26" spans="1:56" ht="11.25" customHeight="1" x14ac:dyDescent="0.25">
      <c r="A26" s="130"/>
      <c r="B26" s="130"/>
      <c r="C26" s="130"/>
      <c r="D26" s="80" t="s">
        <v>29</v>
      </c>
      <c r="E26" s="80" t="s">
        <v>25</v>
      </c>
      <c r="F26" s="80" t="s">
        <v>25</v>
      </c>
      <c r="G26" s="36" t="s">
        <v>79</v>
      </c>
      <c r="H26" s="36" t="s">
        <v>73</v>
      </c>
      <c r="I26" s="36">
        <f>'MERCADO TUSD'!$U$23</f>
        <v>0</v>
      </c>
      <c r="J26" s="16"/>
      <c r="L26" s="17">
        <f>('TUSD BE'!$L$26+'TUSD BF'!$L$26+'TUSD CVA'!$L$26)*(1 - 0.65)</f>
        <v>0</v>
      </c>
      <c r="M26" s="17">
        <f>('TUSD BE'!$M$26+'TUSD BF'!$M$26+'TUSD CVA'!$M$26)*(1 - 0.65)</f>
        <v>0.62296640031175476</v>
      </c>
      <c r="N26" s="17">
        <f ca="1">('TUSD BE'!$N$26+'TUSD BF'!$N$26+'TUSD CVA'!$N$26)*(1 - 0.65)</f>
        <v>0</v>
      </c>
      <c r="O26" s="17">
        <f>('TUSD BE'!$O$26+'TUSD BF'!$O$26+'TUSD CVA'!$O$26)*(1 - 0.65)</f>
        <v>0</v>
      </c>
      <c r="P26" s="17">
        <v>0</v>
      </c>
      <c r="Q26" s="17">
        <f>('TUSD BE'!$Q$26+'TUSD BF'!$Q$26+'TUSD CVA'!$Q$26)*(1 - 0.65)</f>
        <v>0</v>
      </c>
      <c r="R26" s="17">
        <v>0</v>
      </c>
      <c r="S26" s="17">
        <f>('TUSD BE'!$S$26+'TUSD BF'!$S$26+'TUSD CVA'!$S$26)*(1 - 0.65)</f>
        <v>0</v>
      </c>
      <c r="T26" s="17">
        <f>('TUSD BE'!$U$26+'TUSD BF'!$U$26+'TUSD CVA'!$U$26)*(1 - 0.65)</f>
        <v>0</v>
      </c>
      <c r="U26" s="17">
        <f>('TUSD BE'!$V$26+'TUSD BF'!$V$26+'TUSD CVA'!$V$26)*(1 - 0.65)</f>
        <v>0</v>
      </c>
      <c r="V26" s="17">
        <f>('TUSD BE'!$W$26+'TUSD BF'!$W$26+'TUSD CVA'!$W$26)*(1 - 0.65)</f>
        <v>0</v>
      </c>
      <c r="W26" s="17">
        <f>('TUSD BE'!$X$26+'TUSD BF'!$X$26+'TUSD CVA'!$X$26)*(1 - 0.65)</f>
        <v>0</v>
      </c>
      <c r="X26" s="17">
        <f>('TUSD BE'!$Y$26+'TUSD BF'!$Y$26+'TUSD CVA'!$Y$26)*(1 - 0.65)</f>
        <v>44.522902032775541</v>
      </c>
      <c r="Y26" s="17">
        <f>('TUSD BE'!$Z$26+'TUSD BF'!$Z$26+'TUSD CVA'!$Z$26)*(1 - 0.65)</f>
        <v>0</v>
      </c>
      <c r="Z26" s="17">
        <f>('TUSD BE'!$AA$26+'TUSD BF'!$AA$26+'TUSD CVA'!$AA$26)*(1 - 0.65)</f>
        <v>0</v>
      </c>
      <c r="AA26" s="17">
        <f>('TUSD BE'!$AC$26+'TUSD BF'!$AC$26+'TUSD CVA'!$AC$26)*(1 - 0.65)</f>
        <v>77.815570795392375</v>
      </c>
      <c r="AB26" s="17">
        <f ca="1">('TUSD BE'!$AE$26+'TUSD BF'!$AE$26+'TUSD CVA'!$AE$26)*(1 - 0.65)</f>
        <v>2.9096385965033522</v>
      </c>
      <c r="AC26" s="17">
        <f ca="1">('TUSD BE'!$AF$26+'TUSD BF'!$AF$26+'TUSD CVA'!$AF$26)*(1 - 0.65)</f>
        <v>0</v>
      </c>
      <c r="AD26" s="17">
        <f>('TUSD BE'!$AH$26+'TUSD BF'!$AH$26+'TUSD CVA'!$AH$26)*(1 - 0.65)</f>
        <v>12.96063307181017</v>
      </c>
      <c r="AE26" s="17">
        <f>('TUSD BE'!$AI$26+'TUSD BF'!$AI$26+'TUSD CVA'!$AI$26)*(1 - 0.65)</f>
        <v>0</v>
      </c>
      <c r="AF26" s="17">
        <f ca="1">('TUSD BE'!$AJ$26+'TUSD BF'!$AJ$26+'TUSD CVA'!$AJ$26)*(1 - 0.65)</f>
        <v>0</v>
      </c>
      <c r="AG26" s="17">
        <f ca="1">('TUSD BE'!$AK$26+'TUSD BF'!$AK$26+'TUSD CVA'!$AK$26)*(1 - 0.65)</f>
        <v>0</v>
      </c>
      <c r="AI26" s="17">
        <v>0</v>
      </c>
      <c r="AJ26" s="17">
        <v>0.56674208185202701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44.155618980985899</v>
      </c>
      <c r="AV26" s="17">
        <v>0</v>
      </c>
      <c r="AW26" s="17">
        <v>0</v>
      </c>
      <c r="AX26" s="17">
        <v>76.194357472445404</v>
      </c>
      <c r="AY26" s="17">
        <v>0</v>
      </c>
      <c r="AZ26" s="17">
        <v>0</v>
      </c>
      <c r="BA26" s="17">
        <v>10.8256519115443</v>
      </c>
      <c r="BB26" s="17">
        <v>0</v>
      </c>
      <c r="BC26" s="17">
        <v>0</v>
      </c>
      <c r="BD26" s="17">
        <v>0</v>
      </c>
    </row>
    <row r="27" spans="1:56" ht="11.25" customHeight="1" x14ac:dyDescent="0.25">
      <c r="A27" s="130"/>
      <c r="B27" s="130"/>
      <c r="C27" s="130"/>
      <c r="D27" s="80" t="s">
        <v>30</v>
      </c>
      <c r="E27" s="80" t="s">
        <v>25</v>
      </c>
      <c r="F27" s="80" t="s">
        <v>25</v>
      </c>
      <c r="G27" s="36" t="s">
        <v>79</v>
      </c>
      <c r="H27" s="36" t="s">
        <v>73</v>
      </c>
      <c r="I27" s="36">
        <f>'MERCADO TUSD'!$U$24</f>
        <v>0</v>
      </c>
      <c r="J27" s="16"/>
      <c r="L27" s="17">
        <f>('TUSD BE'!$L$27+'TUSD BF'!$L$27+'TUSD CVA'!$L$27)*(1 - 0.4)</f>
        <v>0</v>
      </c>
      <c r="M27" s="17">
        <f>('TUSD BE'!$M$27+'TUSD BF'!$M$27+'TUSD CVA'!$M$27)*(1 - 0.4)</f>
        <v>1.0679424005344367</v>
      </c>
      <c r="N27" s="17">
        <f ca="1">('TUSD BE'!$N$27+'TUSD BF'!$N$27+'TUSD CVA'!$N$27)*(1 - 0.4)</f>
        <v>0</v>
      </c>
      <c r="O27" s="17">
        <f>('TUSD BE'!$O$27+'TUSD BF'!$O$27+'TUSD CVA'!$O$27)*(1 - 0.4)</f>
        <v>0</v>
      </c>
      <c r="P27" s="17">
        <v>0</v>
      </c>
      <c r="Q27" s="17">
        <f>('TUSD BE'!$Q$27+'TUSD BF'!$Q$27+'TUSD CVA'!$Q$27)*(1 - 0.4)</f>
        <v>0</v>
      </c>
      <c r="R27" s="17">
        <v>0</v>
      </c>
      <c r="S27" s="17">
        <f>('TUSD BE'!$S$27+'TUSD BF'!$S$27+'TUSD CVA'!$S$27)*(1 - 0.4)</f>
        <v>0</v>
      </c>
      <c r="T27" s="17">
        <f>('TUSD BE'!$U$27+'TUSD BF'!$U$27+'TUSD CVA'!$U$27)*(1 - 0.4)</f>
        <v>0</v>
      </c>
      <c r="U27" s="17">
        <f>('TUSD BE'!$V$27+'TUSD BF'!$V$27+'TUSD CVA'!$V$27)*(1 - 0.4)</f>
        <v>0</v>
      </c>
      <c r="V27" s="17">
        <f>('TUSD BE'!$W$27+'TUSD BF'!$W$27+'TUSD CVA'!$W$27)*(1 - 0.4)</f>
        <v>0</v>
      </c>
      <c r="W27" s="17">
        <f>('TUSD BE'!$X$27+'TUSD BF'!$X$27+'TUSD CVA'!$X$27)*(1 - 0.4)</f>
        <v>0</v>
      </c>
      <c r="X27" s="17">
        <f>('TUSD BE'!$Y$27+'TUSD BF'!$Y$27+'TUSD CVA'!$Y$27)*(1 - 0.4)</f>
        <v>76.324974913329498</v>
      </c>
      <c r="Y27" s="17">
        <f>('TUSD BE'!$Z$27+'TUSD BF'!$Z$27+'TUSD CVA'!$Z$27)*(1 - 0.4)</f>
        <v>0</v>
      </c>
      <c r="Z27" s="17">
        <f>('TUSD BE'!$AA$27+'TUSD BF'!$AA$27+'TUSD CVA'!$AA$27)*(1 - 0.4)</f>
        <v>0</v>
      </c>
      <c r="AA27" s="17">
        <f>('TUSD BE'!$AC$27+'TUSD BF'!$AC$27+'TUSD CVA'!$AC$27)*(1 - 0.4)</f>
        <v>133.39812136352978</v>
      </c>
      <c r="AB27" s="17">
        <f ca="1">('TUSD BE'!$AE$27+'TUSD BF'!$AE$27+'TUSD CVA'!$AE$27)*(1 - 0.4)</f>
        <v>4.9879518797200326</v>
      </c>
      <c r="AC27" s="17">
        <f ca="1">('TUSD BE'!$AF$27+'TUSD BF'!$AF$27+'TUSD CVA'!$AF$27)*(1 - 0.4)</f>
        <v>0</v>
      </c>
      <c r="AD27" s="17">
        <f>('TUSD BE'!$AH$27+'TUSD BF'!$AH$27+'TUSD CVA'!$AH$27)*(1 - 0.4)</f>
        <v>22.218228123103149</v>
      </c>
      <c r="AE27" s="17">
        <f>('TUSD BE'!$AI$27+'TUSD BF'!$AI$27+'TUSD CVA'!$AI$27)*(1 - 0.4)</f>
        <v>0</v>
      </c>
      <c r="AF27" s="17">
        <f ca="1">('TUSD BE'!$AJ$27+'TUSD BF'!$AJ$27+'TUSD CVA'!$AJ$27)*(1 - 0.4)</f>
        <v>0</v>
      </c>
      <c r="AG27" s="17">
        <f ca="1">('TUSD BE'!$AK$27+'TUSD BF'!$AK$27+'TUSD CVA'!$AK$27)*(1 - 0.4)</f>
        <v>0</v>
      </c>
      <c r="AI27" s="17">
        <v>0</v>
      </c>
      <c r="AJ27" s="17">
        <v>0.97155785460347399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75.6953468245473</v>
      </c>
      <c r="AV27" s="17">
        <v>0</v>
      </c>
      <c r="AW27" s="17">
        <v>0</v>
      </c>
      <c r="AX27" s="17">
        <v>130.61889852419199</v>
      </c>
      <c r="AY27" s="17">
        <v>0</v>
      </c>
      <c r="AZ27" s="17">
        <v>0</v>
      </c>
      <c r="BA27" s="17">
        <v>18.558260419790201</v>
      </c>
      <c r="BB27" s="17">
        <v>0</v>
      </c>
      <c r="BC27" s="17">
        <v>0</v>
      </c>
      <c r="BD27" s="17">
        <v>0</v>
      </c>
    </row>
    <row r="28" spans="1:56" ht="11.25" customHeight="1" x14ac:dyDescent="0.25">
      <c r="A28" s="130"/>
      <c r="B28" s="130"/>
      <c r="C28" s="130"/>
      <c r="D28" s="80" t="s">
        <v>31</v>
      </c>
      <c r="E28" s="80" t="s">
        <v>25</v>
      </c>
      <c r="F28" s="80" t="s">
        <v>25</v>
      </c>
      <c r="G28" s="36" t="s">
        <v>79</v>
      </c>
      <c r="H28" s="36" t="s">
        <v>73</v>
      </c>
      <c r="I28" s="36">
        <f>'MERCADO TUSD'!$U$25</f>
        <v>0</v>
      </c>
      <c r="J28" s="16"/>
      <c r="L28" s="17">
        <f>('TUSD BE'!$L$28+'TUSD BF'!$L$28+'TUSD CVA'!$L$28)*(1 - 0.1)</f>
        <v>0</v>
      </c>
      <c r="M28" s="17">
        <f>('TUSD BE'!$M$28+'TUSD BF'!$M$28+'TUSD CVA'!$M$28)*(1 - 0.1)</f>
        <v>1.601913600801655</v>
      </c>
      <c r="N28" s="17">
        <f ca="1">('TUSD BE'!$N$28+'TUSD BF'!$N$28+'TUSD CVA'!$N$28)*(1 - 0.1)</f>
        <v>0</v>
      </c>
      <c r="O28" s="17">
        <f>('TUSD BE'!$O$28+'TUSD BF'!$O$28+'TUSD CVA'!$O$28)*(1 - 0.1)</f>
        <v>0</v>
      </c>
      <c r="P28" s="17">
        <v>0</v>
      </c>
      <c r="Q28" s="17">
        <f>('TUSD BE'!$Q$28+'TUSD BF'!$Q$28+'TUSD CVA'!$Q$28)*(1 - 0.1)</f>
        <v>0</v>
      </c>
      <c r="R28" s="17">
        <v>0</v>
      </c>
      <c r="S28" s="17">
        <f>('TUSD BE'!$S$28+'TUSD BF'!$S$28+'TUSD CVA'!$S$28)*(1 - 0.1)</f>
        <v>0</v>
      </c>
      <c r="T28" s="17">
        <f>('TUSD BE'!$U$28+'TUSD BF'!$U$28+'TUSD CVA'!$U$28)*(1 - 0.1)</f>
        <v>0</v>
      </c>
      <c r="U28" s="17">
        <f>('TUSD BE'!$V$28+'TUSD BF'!$V$28+'TUSD CVA'!$V$28)*(1 - 0.1)</f>
        <v>0</v>
      </c>
      <c r="V28" s="17">
        <f>('TUSD BE'!$W$28+'TUSD BF'!$W$28+'TUSD CVA'!$W$28)*(1 - 0.1)</f>
        <v>0</v>
      </c>
      <c r="W28" s="17">
        <f>('TUSD BE'!$X$28+'TUSD BF'!$X$28+'TUSD CVA'!$X$28)*(1 - 0.1)</f>
        <v>0</v>
      </c>
      <c r="X28" s="17">
        <f>('TUSD BE'!$Y$28+'TUSD BF'!$Y$28+'TUSD CVA'!$Y$28)*(1 - 0.1)</f>
        <v>114.48746236999426</v>
      </c>
      <c r="Y28" s="17">
        <f>('TUSD BE'!$Z$28+'TUSD BF'!$Z$28+'TUSD CVA'!$Z$28)*(1 - 0.1)</f>
        <v>0</v>
      </c>
      <c r="Z28" s="17">
        <f>('TUSD BE'!$AA$28+'TUSD BF'!$AA$28+'TUSD CVA'!$AA$28)*(1 - 0.1)</f>
        <v>0</v>
      </c>
      <c r="AA28" s="17">
        <f>('TUSD BE'!$AC$28+'TUSD BF'!$AC$28+'TUSD CVA'!$AC$28)*(1 - 0.1)</f>
        <v>200.09718204529469</v>
      </c>
      <c r="AB28" s="17">
        <f ca="1">('TUSD BE'!$AE$28+'TUSD BF'!$AE$28+'TUSD CVA'!$AE$28)*(1 - 0.1)</f>
        <v>7.4819278195800498</v>
      </c>
      <c r="AC28" s="17">
        <f ca="1">('TUSD BE'!$AF$28+'TUSD BF'!$AF$28+'TUSD CVA'!$AF$28)*(1 - 0.1)</f>
        <v>0</v>
      </c>
      <c r="AD28" s="17">
        <f>('TUSD BE'!$AH$28+'TUSD BF'!$AH$28+'TUSD CVA'!$AH$28)*(1 - 0.1)</f>
        <v>33.327342184654725</v>
      </c>
      <c r="AE28" s="17">
        <f>('TUSD BE'!$AI$28+'TUSD BF'!$AI$28+'TUSD CVA'!$AI$28)*(1 - 0.1)</f>
        <v>0</v>
      </c>
      <c r="AF28" s="17">
        <f ca="1">('TUSD BE'!$AJ$28+'TUSD BF'!$AJ$28+'TUSD CVA'!$AJ$28)*(1 - 0.1)</f>
        <v>0</v>
      </c>
      <c r="AG28" s="17">
        <f ca="1">('TUSD BE'!$AK$28+'TUSD BF'!$AK$28+'TUSD CVA'!$AK$28)*(1 - 0.1)</f>
        <v>0</v>
      </c>
      <c r="AI28" s="17">
        <v>0</v>
      </c>
      <c r="AJ28" s="17">
        <v>1.4573367819052101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113.54302023682099</v>
      </c>
      <c r="AV28" s="17">
        <v>0</v>
      </c>
      <c r="AW28" s="17">
        <v>0</v>
      </c>
      <c r="AX28" s="17">
        <v>195.92834778628799</v>
      </c>
      <c r="AY28" s="17">
        <v>0</v>
      </c>
      <c r="AZ28" s="17">
        <v>0</v>
      </c>
      <c r="BA28" s="17">
        <v>27.837390629685299</v>
      </c>
      <c r="BB28" s="17">
        <v>0</v>
      </c>
      <c r="BC28" s="17">
        <v>0</v>
      </c>
      <c r="BD28" s="17">
        <v>0</v>
      </c>
    </row>
    <row r="29" spans="1:56" ht="11.25" customHeight="1" x14ac:dyDescent="0.25">
      <c r="A29" s="130"/>
      <c r="B29" s="130"/>
      <c r="C29" s="130"/>
      <c r="D29" s="80" t="s">
        <v>32</v>
      </c>
      <c r="E29" s="80" t="s">
        <v>25</v>
      </c>
      <c r="F29" s="80" t="s">
        <v>25</v>
      </c>
      <c r="G29" s="36" t="s">
        <v>79</v>
      </c>
      <c r="H29" s="36" t="s">
        <v>73</v>
      </c>
      <c r="I29" s="36">
        <f>'MERCADO TUSD'!$U$26</f>
        <v>0</v>
      </c>
      <c r="J29" s="16"/>
      <c r="L29" s="17">
        <f>('TUSD BE'!$L$29+'TUSD BF'!$L$29+'TUSD CVA'!$L$29)*1</f>
        <v>0</v>
      </c>
      <c r="M29" s="17">
        <f>('TUSD BE'!$M$29+'TUSD BF'!$M$29+'TUSD CVA'!$M$29)*1</f>
        <v>1.7799040008907279</v>
      </c>
      <c r="N29" s="17">
        <f ca="1">('TUSD BE'!$N$29+'TUSD BF'!$N$29+'TUSD CVA'!$N$29)*1</f>
        <v>0</v>
      </c>
      <c r="O29" s="17">
        <f>('TUSD BE'!$O$29+'TUSD BF'!$O$29+'TUSD CVA'!$O$29)*1</f>
        <v>0</v>
      </c>
      <c r="P29" s="17">
        <v>0</v>
      </c>
      <c r="Q29" s="17">
        <f>('TUSD BE'!$Q$29+'TUSD BF'!$Q$29+'TUSD CVA'!$Q$29)*1</f>
        <v>0</v>
      </c>
      <c r="R29" s="17">
        <v>0</v>
      </c>
      <c r="S29" s="17">
        <f>('TUSD BE'!$S$29+'TUSD BF'!$S$29+'TUSD CVA'!$S$29)*1</f>
        <v>0</v>
      </c>
      <c r="T29" s="17">
        <f>('TUSD BE'!$U$29+'TUSD BF'!$U$29+'TUSD CVA'!$U$29)*1</f>
        <v>0</v>
      </c>
      <c r="U29" s="17">
        <f>('TUSD BE'!$V$29+'TUSD BF'!$V$29+'TUSD CVA'!$V$29)*1</f>
        <v>0</v>
      </c>
      <c r="V29" s="17">
        <f>('TUSD BE'!$W$29+'TUSD BF'!$W$29+'TUSD CVA'!$W$29)*1</f>
        <v>0</v>
      </c>
      <c r="W29" s="17">
        <f>('TUSD BE'!$X$29+'TUSD BF'!$X$29+'TUSD CVA'!$X$29)*1</f>
        <v>0</v>
      </c>
      <c r="X29" s="17">
        <f>('TUSD BE'!$Y$29+'TUSD BF'!$Y$29+'TUSD CVA'!$Y$29)*1</f>
        <v>127.20829152221584</v>
      </c>
      <c r="Y29" s="17">
        <f>('TUSD BE'!$Z$29+'TUSD BF'!$Z$29+'TUSD CVA'!$Z$29)*1</f>
        <v>0</v>
      </c>
      <c r="Z29" s="17">
        <f>('TUSD BE'!$AA$29+'TUSD BF'!$AA$29+'TUSD CVA'!$AA$29)*1</f>
        <v>0</v>
      </c>
      <c r="AA29" s="17">
        <f>('TUSD BE'!$AC$29+'TUSD BF'!$AC$29+'TUSD CVA'!$AC$29)*1</f>
        <v>222.33020227254966</v>
      </c>
      <c r="AB29" s="17">
        <f ca="1">('TUSD BE'!$AE$29+'TUSD BF'!$AE$29+'TUSD CVA'!$AE$29)*1</f>
        <v>8.3132531328667216</v>
      </c>
      <c r="AC29" s="17">
        <f ca="1">('TUSD BE'!$AF$29+'TUSD BF'!$AF$29+'TUSD CVA'!$AF$29)*1</f>
        <v>0</v>
      </c>
      <c r="AD29" s="17">
        <f>('TUSD BE'!$AH$29+'TUSD BF'!$AH$29+'TUSD CVA'!$AH$29)*1</f>
        <v>37.030380205171916</v>
      </c>
      <c r="AE29" s="17">
        <f>('TUSD BE'!$AI$29+'TUSD BF'!$AI$29+'TUSD CVA'!$AI$29)*1</f>
        <v>0</v>
      </c>
      <c r="AF29" s="17">
        <f ca="1">('TUSD BE'!$AJ$29+'TUSD BF'!$AJ$29+'TUSD CVA'!$AJ$29)*1</f>
        <v>0</v>
      </c>
      <c r="AG29" s="17">
        <f ca="1">('TUSD BE'!$AK$29+'TUSD BF'!$AK$29+'TUSD CVA'!$AK$29)*1</f>
        <v>0</v>
      </c>
      <c r="AI29" s="17">
        <v>0</v>
      </c>
      <c r="AJ29" s="17">
        <v>1.6192630910057899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126.15891137424499</v>
      </c>
      <c r="AV29" s="17">
        <v>0</v>
      </c>
      <c r="AW29" s="17">
        <v>0</v>
      </c>
      <c r="AX29" s="17">
        <v>217.698164206987</v>
      </c>
      <c r="AY29" s="17">
        <v>0</v>
      </c>
      <c r="AZ29" s="17">
        <v>0</v>
      </c>
      <c r="BA29" s="17">
        <v>30.930434032983602</v>
      </c>
      <c r="BB29" s="17">
        <v>0</v>
      </c>
      <c r="BC29" s="17">
        <v>0</v>
      </c>
      <c r="BD29" s="17">
        <v>0</v>
      </c>
    </row>
    <row r="30" spans="1:56" ht="11.25" customHeight="1" x14ac:dyDescent="0.25">
      <c r="A30" s="130" t="s">
        <v>40</v>
      </c>
      <c r="B30" s="130" t="s">
        <v>87</v>
      </c>
      <c r="C30" s="130" t="s">
        <v>41</v>
      </c>
      <c r="D30" s="130" t="s">
        <v>25</v>
      </c>
      <c r="E30" s="130" t="s">
        <v>25</v>
      </c>
      <c r="F30" s="130" t="s">
        <v>25</v>
      </c>
      <c r="G30" s="36" t="s">
        <v>74</v>
      </c>
      <c r="H30" s="36" t="s">
        <v>73</v>
      </c>
      <c r="I30" s="36">
        <f>'MERCADO TUSD'!$U$27</f>
        <v>0</v>
      </c>
      <c r="J30" s="16"/>
      <c r="L30" s="17">
        <f>('TUSD BE'!$L$30+'TUSD BF'!$L$30+'TUSD CVA'!$L$30)*(1 - CUSTOS!$M$38)</f>
        <v>0</v>
      </c>
      <c r="M30" s="17">
        <f>('TUSD BE'!$M$30+'TUSD BF'!$M$30+'TUSD CVA'!$M$30)*(1 - CUSTOS!$M$38)</f>
        <v>1.673109760837284</v>
      </c>
      <c r="N30" s="17">
        <f ca="1">('TUSD BE'!$N$30+'TUSD BF'!$N$30+'TUSD CVA'!$N$30)*(1 - CUSTOS!$M$38)</f>
        <v>0</v>
      </c>
      <c r="O30" s="17">
        <f>('TUSD BE'!$O$30+'TUSD BF'!$O$30+'TUSD CVA'!$O$30)*(1 - CUSTOS!$M$38)</f>
        <v>0</v>
      </c>
      <c r="P30" s="17">
        <f>('TUSD BE'!$P$30+'TUSD BF'!$P$30+'TUSD CVA'!$P$30)*(1 - CUSTOS!$M$38)</f>
        <v>0</v>
      </c>
      <c r="Q30" s="17">
        <f>('TUSD BE'!$Q$30+'TUSD BF'!$Q$30+'TUSD CVA'!$Q$30)*(1 - CUSTOS!$M$38)</f>
        <v>77.503661020856825</v>
      </c>
      <c r="R30" s="17">
        <f>('TUSD BE'!$R$30+'TUSD BF'!$R$30+'TUSD CVA'!$R$30)*(1 - CUSTOS!$M$38)</f>
        <v>12.892858259947021</v>
      </c>
      <c r="S30" s="17">
        <f>('TUSD BE'!$S$30+'TUSD BF'!$S$30+'TUSD CVA'!$S$30)*(1 - CUSTOS!$M$38)</f>
        <v>0</v>
      </c>
      <c r="T30" s="17">
        <f>('TUSD BE'!$U$30+'TUSD BF'!$U$30+'TUSD CVA'!$U$30)*(1 - CUSTOS!$M$38)</f>
        <v>0</v>
      </c>
      <c r="U30" s="17">
        <f>('TUSD BE'!$V$30+'TUSD BF'!$V$30+'TUSD CVA'!$V$30)*(1 - CUSTOS!$M$38)</f>
        <v>0</v>
      </c>
      <c r="V30" s="17">
        <f>('TUSD BE'!$W$30+'TUSD BF'!$W$30+'TUSD CVA'!$W$30)*(1 - CUSTOS!$M$38)</f>
        <v>0</v>
      </c>
      <c r="W30" s="17">
        <f>('TUSD BE'!$X$30+'TUSD BF'!$X$30+'TUSD CVA'!$X$30)*(1 - CUSTOS!$M$38)</f>
        <v>0</v>
      </c>
      <c r="X30" s="17">
        <f>('TUSD BE'!$Y$30+'TUSD BF'!$Y$30+'TUSD CVA'!$Y$30)*(1 - CUSTOS!$M$38)</f>
        <v>293.82133866943133</v>
      </c>
      <c r="Y30" s="17">
        <f>('TUSD BE'!$Z$30+'TUSD BF'!$Z$30+'TUSD CVA'!$Z$30)*(1 - CUSTOS!$M$38)</f>
        <v>0</v>
      </c>
      <c r="Z30" s="17">
        <f>('TUSD BE'!$AA$30+'TUSD BF'!$AA$30+'TUSD CVA'!$AA$30)*(1 - CUSTOS!$M$38)</f>
        <v>0</v>
      </c>
      <c r="AA30" s="17">
        <f>('TUSD BE'!$AC$30+'TUSD BF'!$AC$30+'TUSD CVA'!$AC$30)*(1 - CUSTOS!$M$38)</f>
        <v>513.48924267582117</v>
      </c>
      <c r="AB30" s="17">
        <f ca="1">('TUSD BE'!$AE$30+'TUSD BF'!$AE$30+'TUSD CVA'!$AE$30)*(1 - CUSTOS!$M$38)</f>
        <v>19.91502478166154</v>
      </c>
      <c r="AC30" s="17">
        <f ca="1">('TUSD BE'!$AF$30+'TUSD BF'!$AF$30+'TUSD CVA'!$AF$30)*(1 - CUSTOS!$M$38)</f>
        <v>0</v>
      </c>
      <c r="AD30" s="17">
        <f>('TUSD BE'!$AH$30+'TUSD BF'!$AH$30+'TUSD CVA'!$AH$30)*(1 - CUSTOS!$M$38)</f>
        <v>34.808557392861601</v>
      </c>
      <c r="AE30" s="17">
        <f>('TUSD BE'!$AI$30+'TUSD BF'!$AI$30+'TUSD CVA'!$AI$30)*(1 - CUSTOS!$M$38)</f>
        <v>0</v>
      </c>
      <c r="AF30" s="17">
        <f ca="1">('TUSD BE'!$AJ$30+'TUSD BF'!$AJ$30+'TUSD CVA'!$AJ$30)*(1 - CUSTOS!$M$38)</f>
        <v>0</v>
      </c>
      <c r="AG30" s="17">
        <f ca="1">('TUSD BE'!$AK$30+'TUSD BF'!$AK$30+'TUSD CVA'!$AK$30)*(1 - CUSTOS!$M$38)</f>
        <v>0</v>
      </c>
      <c r="AI30" s="17">
        <v>0</v>
      </c>
      <c r="AJ30" s="17">
        <v>1.4249515200851</v>
      </c>
      <c r="AK30" s="17">
        <v>0</v>
      </c>
      <c r="AL30" s="17">
        <v>0</v>
      </c>
      <c r="AM30" s="17">
        <v>0</v>
      </c>
      <c r="AN30" s="17">
        <v>48.324050213911597</v>
      </c>
      <c r="AO30" s="17">
        <v>7.7286225702914297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272.79775582221299</v>
      </c>
      <c r="AV30" s="17">
        <v>0</v>
      </c>
      <c r="AW30" s="17">
        <v>0</v>
      </c>
      <c r="AX30" s="17">
        <v>470.69810541161701</v>
      </c>
      <c r="AY30" s="17">
        <v>0</v>
      </c>
      <c r="AZ30" s="17">
        <v>0</v>
      </c>
      <c r="BA30" s="17">
        <v>27.218781949025601</v>
      </c>
      <c r="BB30" s="17">
        <v>0</v>
      </c>
      <c r="BC30" s="17">
        <v>0</v>
      </c>
      <c r="BD30" s="17">
        <v>0</v>
      </c>
    </row>
    <row r="31" spans="1:56" ht="11.25" customHeight="1" x14ac:dyDescent="0.25">
      <c r="A31" s="130"/>
      <c r="B31" s="130"/>
      <c r="C31" s="130"/>
      <c r="D31" s="130"/>
      <c r="E31" s="130"/>
      <c r="F31" s="130"/>
      <c r="G31" s="36" t="s">
        <v>85</v>
      </c>
      <c r="H31" s="36" t="s">
        <v>73</v>
      </c>
      <c r="I31" s="36">
        <f>'MERCADO TUSD'!$U$28</f>
        <v>0</v>
      </c>
      <c r="J31" s="16"/>
      <c r="L31" s="17">
        <f>('TUSD BE'!$L$31+'TUSD BF'!$L$31+'TUSD CVA'!$L$31)*(1 - CUSTOS!$M$38)</f>
        <v>0</v>
      </c>
      <c r="M31" s="17">
        <f>('TUSD BE'!$M$31+'TUSD BF'!$M$31+'TUSD CVA'!$M$31)*(1 - CUSTOS!$M$38)</f>
        <v>1.673109760837284</v>
      </c>
      <c r="N31" s="17">
        <f ca="1">('TUSD BE'!$N$31+'TUSD BF'!$N$31+'TUSD CVA'!$N$31)*(1 - CUSTOS!$M$38)</f>
        <v>0</v>
      </c>
      <c r="O31" s="17">
        <f>('TUSD BE'!$O$31+'TUSD BF'!$O$31+'TUSD CVA'!$O$31)*(1 - CUSTOS!$M$38)</f>
        <v>0</v>
      </c>
      <c r="P31" s="17">
        <f>('TUSD BE'!$P$31+'TUSD BF'!$P$31+'TUSD CVA'!$P$31)*(1 - CUSTOS!$M$38)</f>
        <v>0</v>
      </c>
      <c r="Q31" s="17">
        <f>('TUSD BE'!$Q$31+'TUSD BF'!$Q$31+'TUSD CVA'!$Q$31)*(1 - CUSTOS!$M$38)</f>
        <v>77.503661020856825</v>
      </c>
      <c r="R31" s="17">
        <f>('TUSD BE'!$R$31+'TUSD BF'!$R$31+'TUSD CVA'!$R$31)*(1 - CUSTOS!$M$38)</f>
        <v>12.892858259947021</v>
      </c>
      <c r="S31" s="17">
        <f>('TUSD BE'!$S$31+'TUSD BF'!$S$31+'TUSD CVA'!$S$31)*(1 - CUSTOS!$M$38)</f>
        <v>0</v>
      </c>
      <c r="T31" s="17">
        <f>('TUSD BE'!$U$31+'TUSD BF'!$U$31+'TUSD CVA'!$U$31)*(1 - CUSTOS!$M$38)</f>
        <v>0</v>
      </c>
      <c r="U31" s="17">
        <f>('TUSD BE'!$V$31+'TUSD BF'!$V$31+'TUSD CVA'!$V$31)*(1 - CUSTOS!$M$38)</f>
        <v>0</v>
      </c>
      <c r="V31" s="17">
        <f>('TUSD BE'!$W$31+'TUSD BF'!$W$31+'TUSD CVA'!$W$31)*(1 - CUSTOS!$M$38)</f>
        <v>0</v>
      </c>
      <c r="W31" s="17">
        <f>('TUSD BE'!$X$31+'TUSD BF'!$X$31+'TUSD CVA'!$X$31)*(1 - CUSTOS!$M$38)</f>
        <v>0</v>
      </c>
      <c r="X31" s="17">
        <f>('TUSD BE'!$Y$31+'TUSD BF'!$Y$31+'TUSD CVA'!$Y$31)*(1 - CUSTOS!$M$38)</f>
        <v>176.26679387908104</v>
      </c>
      <c r="Y31" s="17">
        <f>('TUSD BE'!$Z$31+'TUSD BF'!$Z$31+'TUSD CVA'!$Z$31)*(1 - CUSTOS!$M$38)</f>
        <v>0</v>
      </c>
      <c r="Z31" s="17">
        <f>('TUSD BE'!$AA$31+'TUSD BF'!$AA$31+'TUSD CVA'!$AA$31)*(1 - CUSTOS!$M$38)</f>
        <v>0</v>
      </c>
      <c r="AA31" s="17">
        <f>('TUSD BE'!$AC$31+'TUSD BF'!$AC$31+'TUSD CVA'!$AC$31)*(1 - CUSTOS!$M$38)</f>
        <v>308.09364314920452</v>
      </c>
      <c r="AB31" s="17">
        <f ca="1">('TUSD BE'!$AE$31+'TUSD BF'!$AE$31+'TUSD CVA'!$AE$31)*(1 - CUSTOS!$M$38)</f>
        <v>12.743864248249027</v>
      </c>
      <c r="AC31" s="17">
        <f ca="1">('TUSD BE'!$AF$31+'TUSD BF'!$AF$31+'TUSD CVA'!$AF$31)*(1 - CUSTOS!$M$38)</f>
        <v>0</v>
      </c>
      <c r="AD31" s="17">
        <f>('TUSD BE'!$AH$31+'TUSD BF'!$AH$31+'TUSD CVA'!$AH$31)*(1 - CUSTOS!$M$38)</f>
        <v>34.808557392861601</v>
      </c>
      <c r="AE31" s="17">
        <f>('TUSD BE'!$AI$31+'TUSD BF'!$AI$31+'TUSD CVA'!$AI$31)*(1 - CUSTOS!$M$38)</f>
        <v>0</v>
      </c>
      <c r="AF31" s="17">
        <f ca="1">('TUSD BE'!$AJ$31+'TUSD BF'!$AJ$31+'TUSD CVA'!$AJ$31)*(1 - CUSTOS!$M$38)</f>
        <v>0</v>
      </c>
      <c r="AG31" s="17">
        <f ca="1">('TUSD BE'!$AK$31+'TUSD BF'!$AK$31+'TUSD CVA'!$AK$31)*(1 - CUSTOS!$M$38)</f>
        <v>0</v>
      </c>
      <c r="AI31" s="17">
        <v>0</v>
      </c>
      <c r="AJ31" s="17">
        <v>1.4249515200851</v>
      </c>
      <c r="AK31" s="17">
        <v>0</v>
      </c>
      <c r="AL31" s="17">
        <v>0</v>
      </c>
      <c r="AM31" s="17">
        <v>0</v>
      </c>
      <c r="AN31" s="17">
        <v>48.324050213911597</v>
      </c>
      <c r="AO31" s="17">
        <v>7.7286225702914297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163.654469899042</v>
      </c>
      <c r="AV31" s="17">
        <v>0</v>
      </c>
      <c r="AW31" s="17">
        <v>0</v>
      </c>
      <c r="AX31" s="17">
        <v>282.41894554675599</v>
      </c>
      <c r="AY31" s="17">
        <v>0</v>
      </c>
      <c r="AZ31" s="17">
        <v>0</v>
      </c>
      <c r="BA31" s="17">
        <v>27.218781949025601</v>
      </c>
      <c r="BB31" s="17">
        <v>0</v>
      </c>
      <c r="BC31" s="17">
        <v>0</v>
      </c>
      <c r="BD31" s="17">
        <v>0</v>
      </c>
    </row>
    <row r="32" spans="1:56" ht="11.25" customHeight="1" x14ac:dyDescent="0.25">
      <c r="A32" s="130"/>
      <c r="B32" s="130"/>
      <c r="C32" s="130"/>
      <c r="D32" s="130"/>
      <c r="E32" s="130"/>
      <c r="F32" s="130"/>
      <c r="G32" s="36" t="s">
        <v>75</v>
      </c>
      <c r="H32" s="36" t="s">
        <v>73</v>
      </c>
      <c r="I32" s="36">
        <f>'MERCADO TUSD'!$U$29</f>
        <v>0</v>
      </c>
      <c r="J32" s="16"/>
      <c r="L32" s="17">
        <f>('TUSD BE'!$L$32+'TUSD BF'!$L$32+'TUSD CVA'!$L$32)*(1 - CUSTOS!$M$38)</f>
        <v>0</v>
      </c>
      <c r="M32" s="17">
        <f>('TUSD BE'!$M$32+'TUSD BF'!$M$32+'TUSD CVA'!$M$32)*(1 - CUSTOS!$M$38)</f>
        <v>1.673109760837284</v>
      </c>
      <c r="N32" s="17">
        <f ca="1">('TUSD BE'!$N$32+'TUSD BF'!$N$32+'TUSD CVA'!$N$32)*(1 - CUSTOS!$M$38)</f>
        <v>0</v>
      </c>
      <c r="O32" s="17">
        <f>('TUSD BE'!$O$32+'TUSD BF'!$O$32+'TUSD CVA'!$O$32)*(1 - CUSTOS!$M$38)</f>
        <v>0</v>
      </c>
      <c r="P32" s="17">
        <f>('TUSD BE'!$P$32+'TUSD BF'!$P$32+'TUSD CVA'!$P$32)*(1 - CUSTOS!$M$38)</f>
        <v>0</v>
      </c>
      <c r="Q32" s="17">
        <f>('TUSD BE'!$Q$32+'TUSD BF'!$Q$32+'TUSD CVA'!$Q$32)*(1 - CUSTOS!$M$38)</f>
        <v>77.503661020856825</v>
      </c>
      <c r="R32" s="17">
        <f>('TUSD BE'!$R$32+'TUSD BF'!$R$32+'TUSD CVA'!$R$32)*(1 - CUSTOS!$M$38)</f>
        <v>12.892858259947021</v>
      </c>
      <c r="S32" s="17">
        <f>('TUSD BE'!$S$32+'TUSD BF'!$S$32+'TUSD CVA'!$S$32)*(1 - CUSTOS!$M$38)</f>
        <v>0</v>
      </c>
      <c r="T32" s="17">
        <f>('TUSD BE'!$U$32+'TUSD BF'!$U$32+'TUSD CVA'!$U$32)*(1 - CUSTOS!$M$38)</f>
        <v>0</v>
      </c>
      <c r="U32" s="17">
        <f>('TUSD BE'!$V$32+'TUSD BF'!$V$32+'TUSD CVA'!$V$32)*(1 - CUSTOS!$M$38)</f>
        <v>0</v>
      </c>
      <c r="V32" s="17">
        <f>('TUSD BE'!$W$32+'TUSD BF'!$W$32+'TUSD CVA'!$W$32)*(1 - CUSTOS!$M$38)</f>
        <v>0</v>
      </c>
      <c r="W32" s="17">
        <f>('TUSD BE'!$X$32+'TUSD BF'!$X$32+'TUSD CVA'!$X$32)*(1 - CUSTOS!$M$38)</f>
        <v>0</v>
      </c>
      <c r="X32" s="17">
        <f>('TUSD BE'!$Y$32+'TUSD BF'!$Y$32+'TUSD CVA'!$Y$32)*(1 - CUSTOS!$M$38)</f>
        <v>58.744544478184267</v>
      </c>
      <c r="Y32" s="17">
        <f>('TUSD BE'!$Z$32+'TUSD BF'!$Z$32+'TUSD CVA'!$Z$32)*(1 - CUSTOS!$M$38)</f>
        <v>0</v>
      </c>
      <c r="Z32" s="17">
        <f>('TUSD BE'!$AA$32+'TUSD BF'!$AA$32+'TUSD CVA'!$AA$32)*(1 - CUSTOS!$M$38)</f>
        <v>0</v>
      </c>
      <c r="AA32" s="17">
        <f>('TUSD BE'!$AC$32+'TUSD BF'!$AC$32+'TUSD CVA'!$AC$32)*(1 - CUSTOS!$M$38)</f>
        <v>102.69786072812822</v>
      </c>
      <c r="AB32" s="17">
        <f ca="1">('TUSD BE'!$AE$32+'TUSD BF'!$AE$32+'TUSD CVA'!$AE$32)*(1 - CUSTOS!$M$38)</f>
        <v>5.5732044520578476</v>
      </c>
      <c r="AC32" s="17">
        <f ca="1">('TUSD BE'!$AF$32+'TUSD BF'!$AF$32+'TUSD CVA'!$AF$32)*(1 - CUSTOS!$M$38)</f>
        <v>0</v>
      </c>
      <c r="AD32" s="17">
        <f>('TUSD BE'!$AH$32+'TUSD BF'!$AH$32+'TUSD CVA'!$AH$32)*(1 - CUSTOS!$M$38)</f>
        <v>34.808557392861601</v>
      </c>
      <c r="AE32" s="17">
        <f>('TUSD BE'!$AI$32+'TUSD BF'!$AI$32+'TUSD CVA'!$AI$32)*(1 - CUSTOS!$M$38)</f>
        <v>0</v>
      </c>
      <c r="AF32" s="17">
        <f ca="1">('TUSD BE'!$AJ$32+'TUSD BF'!$AJ$32+'TUSD CVA'!$AJ$32)*(1 - CUSTOS!$M$38)</f>
        <v>0</v>
      </c>
      <c r="AG32" s="17">
        <f ca="1">('TUSD BE'!$AK$32+'TUSD BF'!$AK$32+'TUSD CVA'!$AK$32)*(1 - CUSTOS!$M$38)</f>
        <v>0</v>
      </c>
      <c r="AI32" s="17">
        <v>0</v>
      </c>
      <c r="AJ32" s="17">
        <v>1.4249515200851</v>
      </c>
      <c r="AK32" s="17">
        <v>0</v>
      </c>
      <c r="AL32" s="17">
        <v>0</v>
      </c>
      <c r="AM32" s="17">
        <v>0</v>
      </c>
      <c r="AN32" s="17">
        <v>48.324050213911597</v>
      </c>
      <c r="AO32" s="17">
        <v>7.7286225702914297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54.541271546226596</v>
      </c>
      <c r="AV32" s="17">
        <v>0</v>
      </c>
      <c r="AW32" s="17">
        <v>0</v>
      </c>
      <c r="AX32" s="17">
        <v>94.139609325211097</v>
      </c>
      <c r="AY32" s="17">
        <v>0</v>
      </c>
      <c r="AZ32" s="17">
        <v>0</v>
      </c>
      <c r="BA32" s="17">
        <v>27.218781949025601</v>
      </c>
      <c r="BB32" s="17">
        <v>0</v>
      </c>
      <c r="BC32" s="17">
        <v>0</v>
      </c>
      <c r="BD32" s="17">
        <v>0</v>
      </c>
    </row>
    <row r="33" spans="1:56" ht="11.25" customHeight="1" x14ac:dyDescent="0.25">
      <c r="A33" s="130"/>
      <c r="B33" s="80" t="s">
        <v>23</v>
      </c>
      <c r="C33" s="80" t="s">
        <v>41</v>
      </c>
      <c r="D33" s="80" t="s">
        <v>25</v>
      </c>
      <c r="E33" s="80" t="s">
        <v>25</v>
      </c>
      <c r="F33" s="80" t="s">
        <v>25</v>
      </c>
      <c r="G33" s="36" t="s">
        <v>79</v>
      </c>
      <c r="H33" s="36" t="s">
        <v>73</v>
      </c>
      <c r="I33" s="36">
        <f>'MERCADO TUSD'!$U$30</f>
        <v>55907.260999999999</v>
      </c>
      <c r="J33" s="16"/>
      <c r="L33" s="17">
        <f>('TUSD BE'!$L$33+'TUSD BF'!$L$33+'TUSD CVA'!$L$33)*(1 - CUSTOS!$M$38)</f>
        <v>0</v>
      </c>
      <c r="M33" s="17">
        <f>('TUSD BE'!$M$33+'TUSD BF'!$M$33+'TUSD CVA'!$M$33)*(1 - CUSTOS!$M$38)</f>
        <v>1.673109760837284</v>
      </c>
      <c r="N33" s="17">
        <f ca="1">('TUSD BE'!$N$33+'TUSD BF'!$N$33+'TUSD CVA'!$N$33)*(1 - CUSTOS!$M$38)</f>
        <v>0</v>
      </c>
      <c r="O33" s="17">
        <f>('TUSD BE'!$O$33+'TUSD BF'!$O$33+'TUSD CVA'!$O$33)*(1 - CUSTOS!$M$38)</f>
        <v>0</v>
      </c>
      <c r="P33" s="17">
        <f>('TUSD BE'!$P$33+'TUSD BF'!$P$33+'TUSD CVA'!$P$33)*(1 - CUSTOS!$M$38)</f>
        <v>0</v>
      </c>
      <c r="Q33" s="17">
        <f>('TUSD BE'!$Q$33+'TUSD BF'!$Q$33+'TUSD CVA'!$Q$33)*(1 - CUSTOS!$M$38)</f>
        <v>77.503661020856825</v>
      </c>
      <c r="R33" s="17">
        <f>('TUSD BE'!$R$33+'TUSD BF'!$R$33+'TUSD CVA'!$R$33)*(1 - CUSTOS!$M$38)</f>
        <v>12.892858259947021</v>
      </c>
      <c r="S33" s="17">
        <f>('TUSD BE'!$S$33+'TUSD BF'!$S$33+'TUSD CVA'!$S$33)*(1 - CUSTOS!$M$38)</f>
        <v>0</v>
      </c>
      <c r="T33" s="17">
        <f>('TUSD BE'!$U$33+'TUSD BF'!$U$33+'TUSD CVA'!$U$33)*(1 - CUSTOS!$M$38)</f>
        <v>0</v>
      </c>
      <c r="U33" s="17">
        <f>('TUSD BE'!$V$33+'TUSD BF'!$V$33+'TUSD CVA'!$V$33)*(1 - CUSTOS!$M$38)</f>
        <v>0</v>
      </c>
      <c r="V33" s="17">
        <f>('TUSD BE'!$W$33+'TUSD BF'!$W$33+'TUSD CVA'!$W$33)*(1 - CUSTOS!$M$38)</f>
        <v>0</v>
      </c>
      <c r="W33" s="17">
        <f>('TUSD BE'!$X$33+'TUSD BF'!$X$33+'TUSD CVA'!$X$33)*(1 - CUSTOS!$M$38)</f>
        <v>0</v>
      </c>
      <c r="X33" s="17">
        <f>('TUSD BE'!$Y$33+'TUSD BF'!$Y$33+'TUSD CVA'!$Y$33)*(1 - CUSTOS!$M$38)</f>
        <v>119.57579403088289</v>
      </c>
      <c r="Y33" s="17">
        <f>('TUSD BE'!$Z$33+'TUSD BF'!$Z$33+'TUSD CVA'!$Z$33)*(1 - CUSTOS!$M$38)</f>
        <v>0</v>
      </c>
      <c r="Z33" s="17">
        <f>('TUSD BE'!$AA$33+'TUSD BF'!$AA$33+'TUSD CVA'!$AA$33)*(1 - CUSTOS!$M$38)</f>
        <v>0</v>
      </c>
      <c r="AA33" s="17">
        <f>('TUSD BE'!$AC$33+'TUSD BF'!$AC$33+'TUSD CVA'!$AC$33)*(1 - CUSTOS!$M$38)</f>
        <v>208.99039013619665</v>
      </c>
      <c r="AB33" s="17">
        <f ca="1">('TUSD BE'!$AE$33+'TUSD BF'!$AE$33+'TUSD CVA'!$AE$33)*(1 - CUSTOS!$M$38)</f>
        <v>9.2842374729350556</v>
      </c>
      <c r="AC33" s="17">
        <f ca="1">('TUSD BE'!$AF$33+'TUSD BF'!$AF$33+'TUSD CVA'!$AF$33)*(1 - CUSTOS!$M$38)</f>
        <v>0</v>
      </c>
      <c r="AD33" s="17">
        <f>('TUSD BE'!$AH$33+'TUSD BF'!$AH$33+'TUSD CVA'!$AH$33)*(1 - CUSTOS!$M$38)</f>
        <v>34.808557392861601</v>
      </c>
      <c r="AE33" s="17">
        <f>('TUSD BE'!$AI$33+'TUSD BF'!$AI$33+'TUSD CVA'!$AI$33)*(1 - CUSTOS!$M$38)</f>
        <v>0</v>
      </c>
      <c r="AF33" s="17">
        <f ca="1">('TUSD BE'!$AJ$33+'TUSD BF'!$AJ$33+'TUSD CVA'!$AJ$33)*(1 - CUSTOS!$M$38)</f>
        <v>0</v>
      </c>
      <c r="AG33" s="17">
        <f ca="1">('TUSD BE'!$AK$33+'TUSD BF'!$AK$33+'TUSD CVA'!$AK$33)*(1 - CUSTOS!$M$38)</f>
        <v>0</v>
      </c>
      <c r="AI33" s="17">
        <v>0</v>
      </c>
      <c r="AJ33" s="17">
        <v>1.4249515200851</v>
      </c>
      <c r="AK33" s="17">
        <v>0</v>
      </c>
      <c r="AL33" s="17">
        <v>0</v>
      </c>
      <c r="AM33" s="17">
        <v>0</v>
      </c>
      <c r="AN33" s="17">
        <v>48.324050213911597</v>
      </c>
      <c r="AO33" s="17">
        <v>7.7286225702914297</v>
      </c>
      <c r="AP33" s="17">
        <v>0</v>
      </c>
      <c r="AQ33" s="17">
        <v>0</v>
      </c>
      <c r="AR33" s="17">
        <v>0</v>
      </c>
      <c r="AS33" s="17">
        <v>0</v>
      </c>
      <c r="AT33" s="17">
        <v>0</v>
      </c>
      <c r="AU33" s="17">
        <v>111.019842009336</v>
      </c>
      <c r="AV33" s="17">
        <v>0</v>
      </c>
      <c r="AW33" s="17">
        <v>0</v>
      </c>
      <c r="AX33" s="17">
        <v>191.57438450214801</v>
      </c>
      <c r="AY33" s="17">
        <v>0</v>
      </c>
      <c r="AZ33" s="17">
        <v>0</v>
      </c>
      <c r="BA33" s="17">
        <v>27.218781949025601</v>
      </c>
      <c r="BB33" s="17">
        <v>0</v>
      </c>
      <c r="BC33" s="17">
        <v>0</v>
      </c>
      <c r="BD33" s="17">
        <v>0</v>
      </c>
    </row>
    <row r="34" spans="1:56" ht="11.25" customHeight="1" x14ac:dyDescent="0.25">
      <c r="A34" s="130"/>
      <c r="B34" s="130" t="s">
        <v>87</v>
      </c>
      <c r="C34" s="130" t="s">
        <v>41</v>
      </c>
      <c r="D34" s="130" t="s">
        <v>90</v>
      </c>
      <c r="E34" s="130" t="s">
        <v>25</v>
      </c>
      <c r="F34" s="130" t="s">
        <v>25</v>
      </c>
      <c r="G34" s="36" t="s">
        <v>74</v>
      </c>
      <c r="H34" s="36" t="s">
        <v>73</v>
      </c>
      <c r="I34" s="36">
        <f>'MERCADO TUSD'!$U$31</f>
        <v>0</v>
      </c>
      <c r="J34" s="16"/>
      <c r="L34" s="17">
        <f>('TUSD BE'!$L$34+'TUSD BF'!$L$34+'TUSD CVA'!$L$34)*(1 - CUSTOS!$M$39)</f>
        <v>0</v>
      </c>
      <c r="M34" s="17">
        <f>('TUSD BE'!$M$34+'TUSD BF'!$M$34+'TUSD CVA'!$M$34)*(1 - CUSTOS!$M$39)</f>
        <v>1.673109760837284</v>
      </c>
      <c r="N34" s="17">
        <f ca="1">('TUSD BE'!$N$34+'TUSD BF'!$N$34+'TUSD CVA'!$N$34)*(1 - CUSTOS!$M$39)</f>
        <v>0</v>
      </c>
      <c r="O34" s="17">
        <f>('TUSD BE'!$O$34+'TUSD BF'!$O$34+'TUSD CVA'!$O$34)*(1 - CUSTOS!$M$39)</f>
        <v>0</v>
      </c>
      <c r="P34" s="17">
        <f>('TUSD BE'!$P$34+'TUSD BF'!$P$34+'TUSD CVA'!$P$34)*(1 - CUSTOS!$M$39)</f>
        <v>0</v>
      </c>
      <c r="Q34" s="17">
        <f>('TUSD BE'!$Q$34+'TUSD BF'!$Q$34+'TUSD CVA'!$Q$34)*(1 - CUSTOS!$M$39)</f>
        <v>77.503661020856825</v>
      </c>
      <c r="R34" s="17">
        <f>('TUSD BE'!$R$34+'TUSD BF'!$R$34+'TUSD CVA'!$R$34)*(1 - CUSTOS!$M$39)</f>
        <v>12.892858259947021</v>
      </c>
      <c r="S34" s="17">
        <f>('TUSD BE'!$S$34+'TUSD BF'!$S$34+'TUSD CVA'!$S$34)*(1 - CUSTOS!$M$39)</f>
        <v>0</v>
      </c>
      <c r="T34" s="17">
        <f>('TUSD BE'!$U$34+'TUSD BF'!$U$34+'TUSD CVA'!$U$34)*(1 - CUSTOS!$M$39)</f>
        <v>0</v>
      </c>
      <c r="U34" s="17">
        <f>('TUSD BE'!$V$34+'TUSD BF'!$V$34+'TUSD CVA'!$V$34)*(1 - CUSTOS!$M$39)</f>
        <v>0</v>
      </c>
      <c r="V34" s="17">
        <f>('TUSD BE'!$W$34+'TUSD BF'!$W$34+'TUSD CVA'!$W$34)*(1 - CUSTOS!$M$39)</f>
        <v>0</v>
      </c>
      <c r="W34" s="17">
        <f>('TUSD BE'!$X$34+'TUSD BF'!$X$34+'TUSD CVA'!$X$34)*(1 - CUSTOS!$M$39)</f>
        <v>0</v>
      </c>
      <c r="X34" s="17">
        <f>('TUSD BE'!$Y$34+'TUSD BF'!$Y$34+'TUSD CVA'!$Y$34)*(1 - CUSTOS!$M$39)</f>
        <v>293.82133866943133</v>
      </c>
      <c r="Y34" s="17">
        <f>('TUSD BE'!$Z$34+'TUSD BF'!$Z$34+'TUSD CVA'!$Z$34)*(1 - CUSTOS!$M$39)</f>
        <v>0</v>
      </c>
      <c r="Z34" s="17">
        <f>('TUSD BE'!$AA$34+'TUSD BF'!$AA$34+'TUSD CVA'!$AA$34)*(1 - CUSTOS!$M$39)</f>
        <v>0</v>
      </c>
      <c r="AA34" s="17">
        <f>('TUSD BE'!$AC$34+'TUSD BF'!$AC$34+'TUSD CVA'!$AC$34)*(1 - CUSTOS!$M$39)</f>
        <v>513.48924267582117</v>
      </c>
      <c r="AB34" s="17">
        <f ca="1">('TUSD BE'!$AE$34+'TUSD BF'!$AE$34+'TUSD CVA'!$AE$34)*(1 - CUSTOS!$M$39)</f>
        <v>19.91502478166154</v>
      </c>
      <c r="AC34" s="17">
        <f ca="1">('TUSD BE'!$AF$34+'TUSD BF'!$AF$34+'TUSD CVA'!$AF$34)*(1 - CUSTOS!$M$39)</f>
        <v>0</v>
      </c>
      <c r="AD34" s="17">
        <f>('TUSD BE'!$AH$34+'TUSD BF'!$AH$34+'TUSD CVA'!$AH$34)*(1 - CUSTOS!$M$39)</f>
        <v>34.808557392861601</v>
      </c>
      <c r="AE34" s="17">
        <f>('TUSD BE'!$AI$34+'TUSD BF'!$AI$34+'TUSD CVA'!$AI$34)*(1 - CUSTOS!$M$39)</f>
        <v>0</v>
      </c>
      <c r="AF34" s="17">
        <f ca="1">('TUSD BE'!$AJ$34+'TUSD BF'!$AJ$34+'TUSD CVA'!$AJ$34)*(1 - CUSTOS!$M$39)</f>
        <v>0</v>
      </c>
      <c r="AG34" s="17">
        <f ca="1">('TUSD BE'!$AK$34+'TUSD BF'!$AK$34+'TUSD CVA'!$AK$34)*(1 - CUSTOS!$M$39)</f>
        <v>0</v>
      </c>
      <c r="AI34" s="17">
        <v>0</v>
      </c>
      <c r="AJ34" s="17">
        <v>1.4249515200851</v>
      </c>
      <c r="AK34" s="17">
        <v>0</v>
      </c>
      <c r="AL34" s="17">
        <v>0</v>
      </c>
      <c r="AM34" s="17">
        <v>0</v>
      </c>
      <c r="AN34" s="17">
        <v>48.324050213911597</v>
      </c>
      <c r="AO34" s="17">
        <v>7.7286225702914297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272.79775582221299</v>
      </c>
      <c r="AV34" s="17">
        <v>0</v>
      </c>
      <c r="AW34" s="17">
        <v>0</v>
      </c>
      <c r="AX34" s="17">
        <v>470.69810541161701</v>
      </c>
      <c r="AY34" s="17">
        <v>0</v>
      </c>
      <c r="AZ34" s="17">
        <v>0</v>
      </c>
      <c r="BA34" s="17">
        <v>27.218781949025601</v>
      </c>
      <c r="BB34" s="17">
        <v>0</v>
      </c>
      <c r="BC34" s="17">
        <v>0</v>
      </c>
      <c r="BD34" s="17">
        <v>0</v>
      </c>
    </row>
    <row r="35" spans="1:56" ht="11.25" customHeight="1" x14ac:dyDescent="0.25">
      <c r="A35" s="130"/>
      <c r="B35" s="130"/>
      <c r="C35" s="130"/>
      <c r="D35" s="130"/>
      <c r="E35" s="130"/>
      <c r="F35" s="130"/>
      <c r="G35" s="36" t="s">
        <v>85</v>
      </c>
      <c r="H35" s="36" t="s">
        <v>73</v>
      </c>
      <c r="I35" s="36">
        <f>'MERCADO TUSD'!$U$32</f>
        <v>0</v>
      </c>
      <c r="J35" s="16"/>
      <c r="L35" s="17">
        <f>('TUSD BE'!$L$35+'TUSD BF'!$L$35+'TUSD CVA'!$L$35)*(1 - CUSTOS!$M$39)</f>
        <v>0</v>
      </c>
      <c r="M35" s="17">
        <f>('TUSD BE'!$M$35+'TUSD BF'!$M$35+'TUSD CVA'!$M$35)*(1 - CUSTOS!$M$39)</f>
        <v>1.673109760837284</v>
      </c>
      <c r="N35" s="17">
        <f ca="1">('TUSD BE'!$N$35+'TUSD BF'!$N$35+'TUSD CVA'!$N$35)*(1 - CUSTOS!$M$39)</f>
        <v>0</v>
      </c>
      <c r="O35" s="17">
        <f>('TUSD BE'!$O$35+'TUSD BF'!$O$35+'TUSD CVA'!$O$35)*(1 - CUSTOS!$M$39)</f>
        <v>0</v>
      </c>
      <c r="P35" s="17">
        <f>('TUSD BE'!$P$35+'TUSD BF'!$P$35+'TUSD CVA'!$P$35)*(1 - CUSTOS!$M$39)</f>
        <v>0</v>
      </c>
      <c r="Q35" s="17">
        <f>('TUSD BE'!$Q$35+'TUSD BF'!$Q$35+'TUSD CVA'!$Q$35)*(1 - CUSTOS!$M$39)</f>
        <v>77.503661020856825</v>
      </c>
      <c r="R35" s="17">
        <f>('TUSD BE'!$R$35+'TUSD BF'!$R$35+'TUSD CVA'!$R$35)*(1 - CUSTOS!$M$39)</f>
        <v>12.892858259947021</v>
      </c>
      <c r="S35" s="17">
        <f>('TUSD BE'!$S$35+'TUSD BF'!$S$35+'TUSD CVA'!$S$35)*(1 - CUSTOS!$M$39)</f>
        <v>0</v>
      </c>
      <c r="T35" s="17">
        <f>('TUSD BE'!$U$35+'TUSD BF'!$U$35+'TUSD CVA'!$U$35)*(1 - CUSTOS!$M$39)</f>
        <v>0</v>
      </c>
      <c r="U35" s="17">
        <f>('TUSD BE'!$V$35+'TUSD BF'!$V$35+'TUSD CVA'!$V$35)*(1 - CUSTOS!$M$39)</f>
        <v>0</v>
      </c>
      <c r="V35" s="17">
        <f>('TUSD BE'!$W$35+'TUSD BF'!$W$35+'TUSD CVA'!$W$35)*(1 - CUSTOS!$M$39)</f>
        <v>0</v>
      </c>
      <c r="W35" s="17">
        <f>('TUSD BE'!$X$35+'TUSD BF'!$X$35+'TUSD CVA'!$X$35)*(1 - CUSTOS!$M$39)</f>
        <v>0</v>
      </c>
      <c r="X35" s="17">
        <f>('TUSD BE'!$Y$35+'TUSD BF'!$Y$35+'TUSD CVA'!$Y$35)*(1 - CUSTOS!$M$39)</f>
        <v>176.26679387908104</v>
      </c>
      <c r="Y35" s="17">
        <f>('TUSD BE'!$Z$35+'TUSD BF'!$Z$35+'TUSD CVA'!$Z$35)*(1 - CUSTOS!$M$39)</f>
        <v>0</v>
      </c>
      <c r="Z35" s="17">
        <f>('TUSD BE'!$AA$35+'TUSD BF'!$AA$35+'TUSD CVA'!$AA$35)*(1 - CUSTOS!$M$39)</f>
        <v>0</v>
      </c>
      <c r="AA35" s="17">
        <f>('TUSD BE'!$AC$35+'TUSD BF'!$AC$35+'TUSD CVA'!$AC$35)*(1 - CUSTOS!$M$39)</f>
        <v>308.09364314920452</v>
      </c>
      <c r="AB35" s="17">
        <f ca="1">('TUSD BE'!$AE$35+'TUSD BF'!$AE$35+'TUSD CVA'!$AE$35)*(1 - CUSTOS!$M$39)</f>
        <v>12.743864248249027</v>
      </c>
      <c r="AC35" s="17">
        <f ca="1">('TUSD BE'!$AF$35+'TUSD BF'!$AF$35+'TUSD CVA'!$AF$35)*(1 - CUSTOS!$M$39)</f>
        <v>0</v>
      </c>
      <c r="AD35" s="17">
        <f>('TUSD BE'!$AH$35+'TUSD BF'!$AH$35+'TUSD CVA'!$AH$35)*(1 - CUSTOS!$M$39)</f>
        <v>34.808557392861601</v>
      </c>
      <c r="AE35" s="17">
        <f>('TUSD BE'!$AI$35+'TUSD BF'!$AI$35+'TUSD CVA'!$AI$35)*(1 - CUSTOS!$M$39)</f>
        <v>0</v>
      </c>
      <c r="AF35" s="17">
        <f ca="1">('TUSD BE'!$AJ$35+'TUSD BF'!$AJ$35+'TUSD CVA'!$AJ$35)*(1 - CUSTOS!$M$39)</f>
        <v>0</v>
      </c>
      <c r="AG35" s="17">
        <f ca="1">('TUSD BE'!$AK$35+'TUSD BF'!$AK$35+'TUSD CVA'!$AK$35)*(1 - CUSTOS!$M$39)</f>
        <v>0</v>
      </c>
      <c r="AI35" s="17">
        <v>0</v>
      </c>
      <c r="AJ35" s="17">
        <v>1.4249515200851</v>
      </c>
      <c r="AK35" s="17">
        <v>0</v>
      </c>
      <c r="AL35" s="17">
        <v>0</v>
      </c>
      <c r="AM35" s="17">
        <v>0</v>
      </c>
      <c r="AN35" s="17">
        <v>48.324050213911597</v>
      </c>
      <c r="AO35" s="17">
        <v>7.7286225702914297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163.654469899042</v>
      </c>
      <c r="AV35" s="17">
        <v>0</v>
      </c>
      <c r="AW35" s="17">
        <v>0</v>
      </c>
      <c r="AX35" s="17">
        <v>282.41894554675599</v>
      </c>
      <c r="AY35" s="17">
        <v>0</v>
      </c>
      <c r="AZ35" s="17">
        <v>0</v>
      </c>
      <c r="BA35" s="17">
        <v>27.218781949025601</v>
      </c>
      <c r="BB35" s="17">
        <v>0</v>
      </c>
      <c r="BC35" s="17">
        <v>0</v>
      </c>
      <c r="BD35" s="17">
        <v>0</v>
      </c>
    </row>
    <row r="36" spans="1:56" ht="11.25" customHeight="1" x14ac:dyDescent="0.25">
      <c r="A36" s="130"/>
      <c r="B36" s="130"/>
      <c r="C36" s="130"/>
      <c r="D36" s="130"/>
      <c r="E36" s="130"/>
      <c r="F36" s="130"/>
      <c r="G36" s="36" t="s">
        <v>75</v>
      </c>
      <c r="H36" s="36" t="s">
        <v>73</v>
      </c>
      <c r="I36" s="36">
        <f>'MERCADO TUSD'!$U$33</f>
        <v>0</v>
      </c>
      <c r="J36" s="16"/>
      <c r="L36" s="17">
        <f>('TUSD BE'!$L$36+'TUSD BF'!$L$36+'TUSD CVA'!$L$36)*(1 - CUSTOS!$M$39)</f>
        <v>0</v>
      </c>
      <c r="M36" s="17">
        <f>('TUSD BE'!$M$36+'TUSD BF'!$M$36+'TUSD CVA'!$M$36)*(1 - CUSTOS!$M$39)</f>
        <v>1.673109760837284</v>
      </c>
      <c r="N36" s="17">
        <f ca="1">('TUSD BE'!$N$36+'TUSD BF'!$N$36+'TUSD CVA'!$N$36)*(1 - CUSTOS!$M$39)</f>
        <v>0</v>
      </c>
      <c r="O36" s="17">
        <f>('TUSD BE'!$O$36+'TUSD BF'!$O$36+'TUSD CVA'!$O$36)*(1 - CUSTOS!$M$39)</f>
        <v>0</v>
      </c>
      <c r="P36" s="17">
        <f>('TUSD BE'!$P$36+'TUSD BF'!$P$36+'TUSD CVA'!$P$36)*(1 - CUSTOS!$M$39)</f>
        <v>0</v>
      </c>
      <c r="Q36" s="17">
        <f>('TUSD BE'!$Q$36+'TUSD BF'!$Q$36+'TUSD CVA'!$Q$36)*(1 - CUSTOS!$M$39)</f>
        <v>77.503661020856825</v>
      </c>
      <c r="R36" s="17">
        <f>('TUSD BE'!$R$36+'TUSD BF'!$R$36+'TUSD CVA'!$R$36)*(1 - CUSTOS!$M$39)</f>
        <v>12.892858259947021</v>
      </c>
      <c r="S36" s="17">
        <f>('TUSD BE'!$S$36+'TUSD BF'!$S$36+'TUSD CVA'!$S$36)*(1 - CUSTOS!$M$39)</f>
        <v>0</v>
      </c>
      <c r="T36" s="17">
        <f>('TUSD BE'!$U$36+'TUSD BF'!$U$36+'TUSD CVA'!$U$36)*(1 - CUSTOS!$M$39)</f>
        <v>0</v>
      </c>
      <c r="U36" s="17">
        <f>('TUSD BE'!$V$36+'TUSD BF'!$V$36+'TUSD CVA'!$V$36)*(1 - CUSTOS!$M$39)</f>
        <v>0</v>
      </c>
      <c r="V36" s="17">
        <f>('TUSD BE'!$W$36+'TUSD BF'!$W$36+'TUSD CVA'!$W$36)*(1 - CUSTOS!$M$39)</f>
        <v>0</v>
      </c>
      <c r="W36" s="17">
        <f>('TUSD BE'!$X$36+'TUSD BF'!$X$36+'TUSD CVA'!$X$36)*(1 - CUSTOS!$M$39)</f>
        <v>0</v>
      </c>
      <c r="X36" s="17">
        <f>('TUSD BE'!$Y$36+'TUSD BF'!$Y$36+'TUSD CVA'!$Y$36)*(1 - CUSTOS!$M$39)</f>
        <v>58.744544478184267</v>
      </c>
      <c r="Y36" s="17">
        <f>('TUSD BE'!$Z$36+'TUSD BF'!$Z$36+'TUSD CVA'!$Z$36)*(1 - CUSTOS!$M$39)</f>
        <v>0</v>
      </c>
      <c r="Z36" s="17">
        <f>('TUSD BE'!$AA$36+'TUSD BF'!$AA$36+'TUSD CVA'!$AA$36)*(1 - CUSTOS!$M$39)</f>
        <v>0</v>
      </c>
      <c r="AA36" s="17">
        <f>('TUSD BE'!$AC$36+'TUSD BF'!$AC$36+'TUSD CVA'!$AC$36)*(1 - CUSTOS!$M$39)</f>
        <v>102.69786072812822</v>
      </c>
      <c r="AB36" s="17">
        <f ca="1">('TUSD BE'!$AE$36+'TUSD BF'!$AE$36+'TUSD CVA'!$AE$36)*(1 - CUSTOS!$M$39)</f>
        <v>5.5732044520578476</v>
      </c>
      <c r="AC36" s="17">
        <f ca="1">('TUSD BE'!$AF$36+'TUSD BF'!$AF$36+'TUSD CVA'!$AF$36)*(1 - CUSTOS!$M$39)</f>
        <v>0</v>
      </c>
      <c r="AD36" s="17">
        <f>('TUSD BE'!$AH$36+'TUSD BF'!$AH$36+'TUSD CVA'!$AH$36)*(1 - CUSTOS!$M$39)</f>
        <v>34.808557392861601</v>
      </c>
      <c r="AE36" s="17">
        <f>('TUSD BE'!$AI$36+'TUSD BF'!$AI$36+'TUSD CVA'!$AI$36)*(1 - CUSTOS!$M$39)</f>
        <v>0</v>
      </c>
      <c r="AF36" s="17">
        <f ca="1">('TUSD BE'!$AJ$36+'TUSD BF'!$AJ$36+'TUSD CVA'!$AJ$36)*(1 - CUSTOS!$M$39)</f>
        <v>0</v>
      </c>
      <c r="AG36" s="17">
        <f ca="1">('TUSD BE'!$AK$36+'TUSD BF'!$AK$36+'TUSD CVA'!$AK$36)*(1 - CUSTOS!$M$39)</f>
        <v>0</v>
      </c>
      <c r="AI36" s="17">
        <v>0</v>
      </c>
      <c r="AJ36" s="17">
        <v>1.4249515200851</v>
      </c>
      <c r="AK36" s="17">
        <v>0</v>
      </c>
      <c r="AL36" s="17">
        <v>0</v>
      </c>
      <c r="AM36" s="17">
        <v>0</v>
      </c>
      <c r="AN36" s="17">
        <v>48.324050213911597</v>
      </c>
      <c r="AO36" s="17">
        <v>7.7286225702914297</v>
      </c>
      <c r="AP36" s="17">
        <v>0</v>
      </c>
      <c r="AQ36" s="17">
        <v>0</v>
      </c>
      <c r="AR36" s="17">
        <v>0</v>
      </c>
      <c r="AS36" s="17">
        <v>0</v>
      </c>
      <c r="AT36" s="17">
        <v>0</v>
      </c>
      <c r="AU36" s="17">
        <v>54.541271546226596</v>
      </c>
      <c r="AV36" s="17">
        <v>0</v>
      </c>
      <c r="AW36" s="17">
        <v>0</v>
      </c>
      <c r="AX36" s="17">
        <v>94.139609325211097</v>
      </c>
      <c r="AY36" s="17">
        <v>0</v>
      </c>
      <c r="AZ36" s="17">
        <v>0</v>
      </c>
      <c r="BA36" s="17">
        <v>27.218781949025601</v>
      </c>
      <c r="BB36" s="17">
        <v>0</v>
      </c>
      <c r="BC36" s="17">
        <v>0</v>
      </c>
      <c r="BD36" s="17">
        <v>0</v>
      </c>
    </row>
    <row r="37" spans="1:56" ht="11.25" customHeight="1" x14ac:dyDescent="0.25">
      <c r="A37" s="130"/>
      <c r="B37" s="80" t="s">
        <v>23</v>
      </c>
      <c r="C37" s="80" t="s">
        <v>41</v>
      </c>
      <c r="D37" s="80" t="s">
        <v>90</v>
      </c>
      <c r="E37" s="80" t="s">
        <v>25</v>
      </c>
      <c r="F37" s="80" t="s">
        <v>25</v>
      </c>
      <c r="G37" s="36" t="s">
        <v>79</v>
      </c>
      <c r="H37" s="36" t="s">
        <v>73</v>
      </c>
      <c r="I37" s="36">
        <f>'MERCADO TUSD'!$U$34</f>
        <v>0</v>
      </c>
      <c r="J37" s="16"/>
      <c r="L37" s="17">
        <f>('TUSD BE'!$L$37+'TUSD BF'!$L$37+'TUSD CVA'!$L$37)*(1 - CUSTOS!$M$39)</f>
        <v>0</v>
      </c>
      <c r="M37" s="17">
        <f>('TUSD BE'!$M$37+'TUSD BF'!$M$37+'TUSD CVA'!$M$37)*(1 - CUSTOS!$M$39)</f>
        <v>1.673109760837284</v>
      </c>
      <c r="N37" s="17">
        <f ca="1">('TUSD BE'!$N$37+'TUSD BF'!$N$37+'TUSD CVA'!$N$37)*(1 - CUSTOS!$M$39)</f>
        <v>0</v>
      </c>
      <c r="O37" s="17">
        <f>('TUSD BE'!$O$37+'TUSD BF'!$O$37+'TUSD CVA'!$O$37)*(1 - CUSTOS!$M$39)</f>
        <v>0</v>
      </c>
      <c r="P37" s="17">
        <f>('TUSD BE'!$P$37+'TUSD BF'!$P$37+'TUSD CVA'!$P$37)*(1 - CUSTOS!$M$39)</f>
        <v>0</v>
      </c>
      <c r="Q37" s="17">
        <f>('TUSD BE'!$Q$37+'TUSD BF'!$Q$37+'TUSD CVA'!$Q$37)*(1 - CUSTOS!$M$39)</f>
        <v>77.503661020856825</v>
      </c>
      <c r="R37" s="17">
        <f>('TUSD BE'!$R$37+'TUSD BF'!$R$37+'TUSD CVA'!$R$37)*(1 - CUSTOS!$M$39)</f>
        <v>12.892858259947021</v>
      </c>
      <c r="S37" s="17">
        <f>('TUSD BE'!$S$37+'TUSD BF'!$S$37+'TUSD CVA'!$S$37)*(1 - CUSTOS!$M$39)</f>
        <v>0</v>
      </c>
      <c r="T37" s="17">
        <f>('TUSD BE'!$U$37+'TUSD BF'!$U$37+'TUSD CVA'!$U$37)*(1 - CUSTOS!$M$39)</f>
        <v>0</v>
      </c>
      <c r="U37" s="17">
        <f>('TUSD BE'!$V$37+'TUSD BF'!$V$37+'TUSD CVA'!$V$37)*(1 - CUSTOS!$M$39)</f>
        <v>0</v>
      </c>
      <c r="V37" s="17">
        <f>('TUSD BE'!$W$37+'TUSD BF'!$W$37+'TUSD CVA'!$W$37)*(1 - CUSTOS!$M$39)</f>
        <v>0</v>
      </c>
      <c r="W37" s="17">
        <f>('TUSD BE'!$X$37+'TUSD BF'!$X$37+'TUSD CVA'!$X$37)*(1 - CUSTOS!$M$39)</f>
        <v>0</v>
      </c>
      <c r="X37" s="17">
        <f>('TUSD BE'!$Y$37+'TUSD BF'!$Y$37+'TUSD CVA'!$Y$37)*(1 - CUSTOS!$M$39)</f>
        <v>119.57579403088289</v>
      </c>
      <c r="Y37" s="17">
        <f>('TUSD BE'!$Z$37+'TUSD BF'!$Z$37+'TUSD CVA'!$Z$37)*(1 - CUSTOS!$M$39)</f>
        <v>0</v>
      </c>
      <c r="Z37" s="17">
        <f>('TUSD BE'!$AA$37+'TUSD BF'!$AA$37+'TUSD CVA'!$AA$37)*(1 - CUSTOS!$M$39)</f>
        <v>0</v>
      </c>
      <c r="AA37" s="17">
        <f>('TUSD BE'!$AC$37+'TUSD BF'!$AC$37+'TUSD CVA'!$AC$37)*(1 - CUSTOS!$M$39)</f>
        <v>208.99039013619665</v>
      </c>
      <c r="AB37" s="17">
        <f ca="1">('TUSD BE'!$AE$37+'TUSD BF'!$AE$37+'TUSD CVA'!$AE$37)*(1 - CUSTOS!$M$39)</f>
        <v>9.2842374729350556</v>
      </c>
      <c r="AC37" s="17">
        <f ca="1">('TUSD BE'!$AF$37+'TUSD BF'!$AF$37+'TUSD CVA'!$AF$37)*(1 - CUSTOS!$M$39)</f>
        <v>0</v>
      </c>
      <c r="AD37" s="17">
        <f>('TUSD BE'!$AH$37+'TUSD BF'!$AH$37+'TUSD CVA'!$AH$37)*(1 - CUSTOS!$M$39)</f>
        <v>34.808557392861601</v>
      </c>
      <c r="AE37" s="17">
        <f>('TUSD BE'!$AI$37+'TUSD BF'!$AI$37+'TUSD CVA'!$AI$37)*(1 - CUSTOS!$M$39)</f>
        <v>0</v>
      </c>
      <c r="AF37" s="17">
        <f ca="1">('TUSD BE'!$AJ$37+'TUSD BF'!$AJ$37+'TUSD CVA'!$AJ$37)*(1 - CUSTOS!$M$39)</f>
        <v>0</v>
      </c>
      <c r="AG37" s="17">
        <f ca="1">('TUSD BE'!$AK$37+'TUSD BF'!$AK$37+'TUSD CVA'!$AK$37)*(1 - CUSTOS!$M$39)</f>
        <v>0</v>
      </c>
      <c r="AI37" s="17">
        <v>0</v>
      </c>
      <c r="AJ37" s="17">
        <v>1.4249515200851</v>
      </c>
      <c r="AK37" s="17">
        <v>0</v>
      </c>
      <c r="AL37" s="17">
        <v>0</v>
      </c>
      <c r="AM37" s="17">
        <v>0</v>
      </c>
      <c r="AN37" s="17">
        <v>48.324050213911597</v>
      </c>
      <c r="AO37" s="17">
        <v>7.7286225702914297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111.019842009336</v>
      </c>
      <c r="AV37" s="17">
        <v>0</v>
      </c>
      <c r="AW37" s="17">
        <v>0</v>
      </c>
      <c r="AX37" s="17">
        <v>191.57438450214801</v>
      </c>
      <c r="AY37" s="17">
        <v>0</v>
      </c>
      <c r="AZ37" s="17">
        <v>0</v>
      </c>
      <c r="BA37" s="17">
        <v>27.218781949025601</v>
      </c>
      <c r="BB37" s="17">
        <v>0</v>
      </c>
      <c r="BC37" s="17">
        <v>0</v>
      </c>
      <c r="BD37" s="17">
        <v>0</v>
      </c>
    </row>
    <row r="38" spans="1:56" ht="11.25" customHeight="1" x14ac:dyDescent="0.25">
      <c r="A38" s="130"/>
      <c r="B38" s="130" t="s">
        <v>87</v>
      </c>
      <c r="C38" s="130" t="s">
        <v>41</v>
      </c>
      <c r="D38" s="130" t="s">
        <v>91</v>
      </c>
      <c r="E38" s="130" t="s">
        <v>25</v>
      </c>
      <c r="F38" s="130" t="s">
        <v>25</v>
      </c>
      <c r="G38" s="36" t="s">
        <v>74</v>
      </c>
      <c r="H38" s="36" t="s">
        <v>73</v>
      </c>
      <c r="I38" s="36">
        <f>'MERCADO TUSD'!$U$35</f>
        <v>0</v>
      </c>
      <c r="J38" s="16"/>
      <c r="L38" s="17">
        <f>('TUSD BE'!$L$38+'TUSD BF'!$L$38+'TUSD CVA'!$L$38)*(1 - CUSTOS!$M$40)</f>
        <v>0</v>
      </c>
      <c r="M38" s="17">
        <f>('TUSD BE'!$M$38+'TUSD BF'!$M$38+'TUSD CVA'!$M$38)*(1 - CUSTOS!$M$40)</f>
        <v>1.6375116808194696</v>
      </c>
      <c r="N38" s="17">
        <f ca="1">('TUSD BE'!$N$38+'TUSD BF'!$N$38+'TUSD CVA'!$N$38)*(1 - CUSTOS!$M$40)</f>
        <v>0</v>
      </c>
      <c r="O38" s="17">
        <f>('TUSD BE'!$O$38+'TUSD BF'!$O$38+'TUSD CVA'!$O$38)*(1 - CUSTOS!$M$40)</f>
        <v>0</v>
      </c>
      <c r="P38" s="17">
        <f>('TUSD BE'!$P$38+'TUSD BF'!$P$38+'TUSD CVA'!$P$38)*(1 - CUSTOS!$M$40)</f>
        <v>0</v>
      </c>
      <c r="Q38" s="17">
        <f>('TUSD BE'!$Q$38+'TUSD BF'!$Q$38+'TUSD CVA'!$Q$38)*(1 - CUSTOS!$M$40)</f>
        <v>75.854646956583295</v>
      </c>
      <c r="R38" s="17">
        <f>('TUSD BE'!$R$38+'TUSD BF'!$R$38+'TUSD CVA'!$R$38)*(1 - CUSTOS!$M$40)</f>
        <v>12.61854212675666</v>
      </c>
      <c r="S38" s="17">
        <f>('TUSD BE'!$S$38+'TUSD BF'!$S$38+'TUSD CVA'!$S$38)*(1 - CUSTOS!$M$40)</f>
        <v>0</v>
      </c>
      <c r="T38" s="17">
        <f>('TUSD BE'!$U$38+'TUSD BF'!$U$38+'TUSD CVA'!$U$38)*(1 - CUSTOS!$M$40)</f>
        <v>0</v>
      </c>
      <c r="U38" s="17">
        <f>('TUSD BE'!$V$38+'TUSD BF'!$V$38+'TUSD CVA'!$V$38)*(1 - CUSTOS!$M$40)</f>
        <v>0</v>
      </c>
      <c r="V38" s="17">
        <f>('TUSD BE'!$W$38+'TUSD BF'!$W$38+'TUSD CVA'!$W$38)*(1 - CUSTOS!$M$40)</f>
        <v>0</v>
      </c>
      <c r="W38" s="17">
        <f>('TUSD BE'!$X$38+'TUSD BF'!$X$38+'TUSD CVA'!$X$38)*(1 - CUSTOS!$M$40)</f>
        <v>0</v>
      </c>
      <c r="X38" s="17">
        <f>('TUSD BE'!$Y$38+'TUSD BF'!$Y$38+'TUSD CVA'!$Y$38)*(1 - CUSTOS!$M$40)</f>
        <v>287.56982082540094</v>
      </c>
      <c r="Y38" s="17">
        <f>('TUSD BE'!$Z$38+'TUSD BF'!$Z$38+'TUSD CVA'!$Z$38)*(1 - CUSTOS!$M$40)</f>
        <v>0</v>
      </c>
      <c r="Z38" s="17">
        <f>('TUSD BE'!$AA$38+'TUSD BF'!$AA$38+'TUSD CVA'!$AA$38)*(1 - CUSTOS!$M$40)</f>
        <v>0</v>
      </c>
      <c r="AA38" s="17">
        <f>('TUSD BE'!$AC$38+'TUSD BF'!$AC$38+'TUSD CVA'!$AC$38)*(1 - CUSTOS!$M$40)</f>
        <v>502.56393964016547</v>
      </c>
      <c r="AB38" s="17">
        <f ca="1">('TUSD BE'!$AE$38+'TUSD BF'!$AE$38+'TUSD CVA'!$AE$38)*(1 - CUSTOS!$M$40)</f>
        <v>19.491300850136827</v>
      </c>
      <c r="AC38" s="17">
        <f ca="1">('TUSD BE'!$AF$38+'TUSD BF'!$AF$38+'TUSD CVA'!$AF$38)*(1 - CUSTOS!$M$40)</f>
        <v>0</v>
      </c>
      <c r="AD38" s="17">
        <f>('TUSD BE'!$AH$38+'TUSD BF'!$AH$38+'TUSD CVA'!$AH$38)*(1 - CUSTOS!$M$40)</f>
        <v>34.067949788758163</v>
      </c>
      <c r="AE38" s="17">
        <f>('TUSD BE'!$AI$38+'TUSD BF'!$AI$38+'TUSD CVA'!$AI$38)*(1 - CUSTOS!$M$40)</f>
        <v>0</v>
      </c>
      <c r="AF38" s="17">
        <f ca="1">('TUSD BE'!$AJ$38+'TUSD BF'!$AJ$38+'TUSD CVA'!$AJ$38)*(1 - CUSTOS!$M$40)</f>
        <v>0</v>
      </c>
      <c r="AG38" s="17">
        <f ca="1">('TUSD BE'!$AK$38+'TUSD BF'!$AK$38+'TUSD CVA'!$AK$38)*(1 - CUSTOS!$M$40)</f>
        <v>0</v>
      </c>
      <c r="AI38" s="17">
        <v>0</v>
      </c>
      <c r="AJ38" s="17">
        <v>1.3601809964448599</v>
      </c>
      <c r="AK38" s="17">
        <v>0</v>
      </c>
      <c r="AL38" s="17">
        <v>0</v>
      </c>
      <c r="AM38" s="17">
        <v>0</v>
      </c>
      <c r="AN38" s="17">
        <v>46.127502476915602</v>
      </c>
      <c r="AO38" s="17">
        <v>7.3773215443690896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260.39785783029402</v>
      </c>
      <c r="AV38" s="17">
        <v>0</v>
      </c>
      <c r="AW38" s="17">
        <v>0</v>
      </c>
      <c r="AX38" s="17">
        <v>449.30273698381598</v>
      </c>
      <c r="AY38" s="17">
        <v>0</v>
      </c>
      <c r="AZ38" s="17">
        <v>0</v>
      </c>
      <c r="BA38" s="17">
        <v>25.981564587706199</v>
      </c>
      <c r="BB38" s="17">
        <v>0</v>
      </c>
      <c r="BC38" s="17">
        <v>0</v>
      </c>
      <c r="BD38" s="17">
        <v>0</v>
      </c>
    </row>
    <row r="39" spans="1:56" ht="11.25" customHeight="1" x14ac:dyDescent="0.25">
      <c r="A39" s="130"/>
      <c r="B39" s="130"/>
      <c r="C39" s="130"/>
      <c r="D39" s="130"/>
      <c r="E39" s="130"/>
      <c r="F39" s="130"/>
      <c r="G39" s="36" t="s">
        <v>85</v>
      </c>
      <c r="H39" s="36" t="s">
        <v>73</v>
      </c>
      <c r="I39" s="36">
        <f>'MERCADO TUSD'!$U$36</f>
        <v>0</v>
      </c>
      <c r="J39" s="16"/>
      <c r="L39" s="17">
        <f>('TUSD BE'!$L$39+'TUSD BF'!$L$39+'TUSD CVA'!$L$39)*(1 - CUSTOS!$M$40)</f>
        <v>0</v>
      </c>
      <c r="M39" s="17">
        <f>('TUSD BE'!$M$39+'TUSD BF'!$M$39+'TUSD CVA'!$M$39)*(1 - CUSTOS!$M$40)</f>
        <v>1.6375116808194696</v>
      </c>
      <c r="N39" s="17">
        <f ca="1">('TUSD BE'!$N$39+'TUSD BF'!$N$39+'TUSD CVA'!$N$39)*(1 - CUSTOS!$M$40)</f>
        <v>0</v>
      </c>
      <c r="O39" s="17">
        <f>('TUSD BE'!$O$39+'TUSD BF'!$O$39+'TUSD CVA'!$O$39)*(1 - CUSTOS!$M$40)</f>
        <v>0</v>
      </c>
      <c r="P39" s="17">
        <f>('TUSD BE'!$P$39+'TUSD BF'!$P$39+'TUSD CVA'!$P$39)*(1 - CUSTOS!$M$40)</f>
        <v>0</v>
      </c>
      <c r="Q39" s="17">
        <f>('TUSD BE'!$Q$39+'TUSD BF'!$Q$39+'TUSD CVA'!$Q$39)*(1 - CUSTOS!$M$40)</f>
        <v>75.854646956583295</v>
      </c>
      <c r="R39" s="17">
        <f>('TUSD BE'!$R$39+'TUSD BF'!$R$39+'TUSD CVA'!$R$39)*(1 - CUSTOS!$M$40)</f>
        <v>12.61854212675666</v>
      </c>
      <c r="S39" s="17">
        <f>('TUSD BE'!$S$39+'TUSD BF'!$S$39+'TUSD CVA'!$S$39)*(1 - CUSTOS!$M$40)</f>
        <v>0</v>
      </c>
      <c r="T39" s="17">
        <f>('TUSD BE'!$U$39+'TUSD BF'!$U$39+'TUSD CVA'!$U$39)*(1 - CUSTOS!$M$40)</f>
        <v>0</v>
      </c>
      <c r="U39" s="17">
        <f>('TUSD BE'!$V$39+'TUSD BF'!$V$39+'TUSD CVA'!$V$39)*(1 - CUSTOS!$M$40)</f>
        <v>0</v>
      </c>
      <c r="V39" s="17">
        <f>('TUSD BE'!$W$39+'TUSD BF'!$W$39+'TUSD CVA'!$W$39)*(1 - CUSTOS!$M$40)</f>
        <v>0</v>
      </c>
      <c r="W39" s="17">
        <f>('TUSD BE'!$X$39+'TUSD BF'!$X$39+'TUSD CVA'!$X$39)*(1 - CUSTOS!$M$40)</f>
        <v>0</v>
      </c>
      <c r="X39" s="17">
        <f>('TUSD BE'!$Y$39+'TUSD BF'!$Y$39+'TUSD CVA'!$Y$39)*(1 - CUSTOS!$M$40)</f>
        <v>172.51643656250485</v>
      </c>
      <c r="Y39" s="17">
        <f>('TUSD BE'!$Z$39+'TUSD BF'!$Z$39+'TUSD CVA'!$Z$39)*(1 - CUSTOS!$M$40)</f>
        <v>0</v>
      </c>
      <c r="Z39" s="17">
        <f>('TUSD BE'!$AA$39+'TUSD BF'!$AA$39+'TUSD CVA'!$AA$39)*(1 - CUSTOS!$M$40)</f>
        <v>0</v>
      </c>
      <c r="AA39" s="17">
        <f>('TUSD BE'!$AC$39+'TUSD BF'!$AC$39+'TUSD CVA'!$AC$39)*(1 - CUSTOS!$M$40)</f>
        <v>301.53845925241296</v>
      </c>
      <c r="AB39" s="17">
        <f ca="1">('TUSD BE'!$AE$39+'TUSD BF'!$AE$39+'TUSD CVA'!$AE$39)*(1 - CUSTOS!$M$40)</f>
        <v>12.472718200413942</v>
      </c>
      <c r="AC39" s="17">
        <f ca="1">('TUSD BE'!$AF$39+'TUSD BF'!$AF$39+'TUSD CVA'!$AF$39)*(1 - CUSTOS!$M$40)</f>
        <v>0</v>
      </c>
      <c r="AD39" s="17">
        <f>('TUSD BE'!$AH$39+'TUSD BF'!$AH$39+'TUSD CVA'!$AH$39)*(1 - CUSTOS!$M$40)</f>
        <v>34.067949788758163</v>
      </c>
      <c r="AE39" s="17">
        <f>('TUSD BE'!$AI$39+'TUSD BF'!$AI$39+'TUSD CVA'!$AI$39)*(1 - CUSTOS!$M$40)</f>
        <v>0</v>
      </c>
      <c r="AF39" s="17">
        <f ca="1">('TUSD BE'!$AJ$39+'TUSD BF'!$AJ$39+'TUSD CVA'!$AJ$39)*(1 - CUSTOS!$M$40)</f>
        <v>0</v>
      </c>
      <c r="AG39" s="17">
        <f ca="1">('TUSD BE'!$AK$39+'TUSD BF'!$AK$39+'TUSD CVA'!$AK$39)*(1 - CUSTOS!$M$40)</f>
        <v>0</v>
      </c>
      <c r="AI39" s="17">
        <v>0</v>
      </c>
      <c r="AJ39" s="17">
        <v>1.3601809964448599</v>
      </c>
      <c r="AK39" s="17">
        <v>0</v>
      </c>
      <c r="AL39" s="17">
        <v>0</v>
      </c>
      <c r="AM39" s="17">
        <v>0</v>
      </c>
      <c r="AN39" s="17">
        <v>46.127502476915602</v>
      </c>
      <c r="AO39" s="17">
        <v>7.3773215443690896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156.21563035817601</v>
      </c>
      <c r="AV39" s="17">
        <v>0</v>
      </c>
      <c r="AW39" s="17">
        <v>0</v>
      </c>
      <c r="AX39" s="17">
        <v>269.58172074917599</v>
      </c>
      <c r="AY39" s="17">
        <v>0</v>
      </c>
      <c r="AZ39" s="17">
        <v>0</v>
      </c>
      <c r="BA39" s="17">
        <v>25.981564587706199</v>
      </c>
      <c r="BB39" s="17">
        <v>0</v>
      </c>
      <c r="BC39" s="17">
        <v>0</v>
      </c>
      <c r="BD39" s="17">
        <v>0</v>
      </c>
    </row>
    <row r="40" spans="1:56" ht="11.25" customHeight="1" x14ac:dyDescent="0.25">
      <c r="A40" s="130"/>
      <c r="B40" s="130"/>
      <c r="C40" s="130"/>
      <c r="D40" s="130"/>
      <c r="E40" s="130"/>
      <c r="F40" s="130"/>
      <c r="G40" s="36" t="s">
        <v>75</v>
      </c>
      <c r="H40" s="36" t="s">
        <v>73</v>
      </c>
      <c r="I40" s="36">
        <f>'MERCADO TUSD'!$U$37</f>
        <v>0</v>
      </c>
      <c r="J40" s="16"/>
      <c r="L40" s="17">
        <f>('TUSD BE'!$L$40+'TUSD BF'!$L$40+'TUSD CVA'!$L$40)*(1 - CUSTOS!$M$40)</f>
        <v>0</v>
      </c>
      <c r="M40" s="17">
        <f>('TUSD BE'!$M$40+'TUSD BF'!$M$40+'TUSD CVA'!$M$40)*(1 - CUSTOS!$M$40)</f>
        <v>1.6375116808194696</v>
      </c>
      <c r="N40" s="17">
        <f ca="1">('TUSD BE'!$N$40+'TUSD BF'!$N$40+'TUSD CVA'!$N$40)*(1 - CUSTOS!$M$40)</f>
        <v>0</v>
      </c>
      <c r="O40" s="17">
        <f>('TUSD BE'!$O$40+'TUSD BF'!$O$40+'TUSD CVA'!$O$40)*(1 - CUSTOS!$M$40)</f>
        <v>0</v>
      </c>
      <c r="P40" s="17">
        <f>('TUSD BE'!$P$40+'TUSD BF'!$P$40+'TUSD CVA'!$P$40)*(1 - CUSTOS!$M$40)</f>
        <v>0</v>
      </c>
      <c r="Q40" s="17">
        <f>('TUSD BE'!$Q$40+'TUSD BF'!$Q$40+'TUSD CVA'!$Q$40)*(1 - CUSTOS!$M$40)</f>
        <v>75.854646956583295</v>
      </c>
      <c r="R40" s="17">
        <f>('TUSD BE'!$R$40+'TUSD BF'!$R$40+'TUSD CVA'!$R$40)*(1 - CUSTOS!$M$40)</f>
        <v>12.61854212675666</v>
      </c>
      <c r="S40" s="17">
        <f>('TUSD BE'!$S$40+'TUSD BF'!$S$40+'TUSD CVA'!$S$40)*(1 - CUSTOS!$M$40)</f>
        <v>0</v>
      </c>
      <c r="T40" s="17">
        <f>('TUSD BE'!$U$40+'TUSD BF'!$U$40+'TUSD CVA'!$U$40)*(1 - CUSTOS!$M$40)</f>
        <v>0</v>
      </c>
      <c r="U40" s="17">
        <f>('TUSD BE'!$V$40+'TUSD BF'!$V$40+'TUSD CVA'!$V$40)*(1 - CUSTOS!$M$40)</f>
        <v>0</v>
      </c>
      <c r="V40" s="17">
        <f>('TUSD BE'!$W$40+'TUSD BF'!$W$40+'TUSD CVA'!$W$40)*(1 - CUSTOS!$M$40)</f>
        <v>0</v>
      </c>
      <c r="W40" s="17">
        <f>('TUSD BE'!$X$40+'TUSD BF'!$X$40+'TUSD CVA'!$X$40)*(1 - CUSTOS!$M$40)</f>
        <v>0</v>
      </c>
      <c r="X40" s="17">
        <f>('TUSD BE'!$Y$40+'TUSD BF'!$Y$40+'TUSD CVA'!$Y$40)*(1 - CUSTOS!$M$40)</f>
        <v>57.494660553116525</v>
      </c>
      <c r="Y40" s="17">
        <f>('TUSD BE'!$Z$40+'TUSD BF'!$Z$40+'TUSD CVA'!$Z$40)*(1 - CUSTOS!$M$40)</f>
        <v>0</v>
      </c>
      <c r="Z40" s="17">
        <f>('TUSD BE'!$AA$40+'TUSD BF'!$AA$40+'TUSD CVA'!$AA$40)*(1 - CUSTOS!$M$40)</f>
        <v>0</v>
      </c>
      <c r="AA40" s="17">
        <f>('TUSD BE'!$AC$40+'TUSD BF'!$AC$40+'TUSD CVA'!$AC$40)*(1 - CUSTOS!$M$40)</f>
        <v>100.5127998615723</v>
      </c>
      <c r="AB40" s="17">
        <f ca="1">('TUSD BE'!$AE$40+'TUSD BF'!$AE$40+'TUSD CVA'!$AE$40)*(1 - CUSTOS!$M$40)</f>
        <v>5.4546256339289583</v>
      </c>
      <c r="AC40" s="17">
        <f ca="1">('TUSD BE'!$AF$40+'TUSD BF'!$AF$40+'TUSD CVA'!$AF$40)*(1 - CUSTOS!$M$40)</f>
        <v>0</v>
      </c>
      <c r="AD40" s="17">
        <f>('TUSD BE'!$AH$40+'TUSD BF'!$AH$40+'TUSD CVA'!$AH$40)*(1 - CUSTOS!$M$40)</f>
        <v>34.067949788758163</v>
      </c>
      <c r="AE40" s="17">
        <f>('TUSD BE'!$AI$40+'TUSD BF'!$AI$40+'TUSD CVA'!$AI$40)*(1 - CUSTOS!$M$40)</f>
        <v>0</v>
      </c>
      <c r="AF40" s="17">
        <f ca="1">('TUSD BE'!$AJ$40+'TUSD BF'!$AJ$40+'TUSD CVA'!$AJ$40)*(1 - CUSTOS!$M$40)</f>
        <v>0</v>
      </c>
      <c r="AG40" s="17">
        <f ca="1">('TUSD BE'!$AK$40+'TUSD BF'!$AK$40+'TUSD CVA'!$AK$40)*(1 - CUSTOS!$M$40)</f>
        <v>0</v>
      </c>
      <c r="AI40" s="17">
        <v>0</v>
      </c>
      <c r="AJ40" s="17">
        <v>1.3601809964448599</v>
      </c>
      <c r="AK40" s="17">
        <v>0</v>
      </c>
      <c r="AL40" s="17">
        <v>0</v>
      </c>
      <c r="AM40" s="17">
        <v>0</v>
      </c>
      <c r="AN40" s="17">
        <v>46.127502476915602</v>
      </c>
      <c r="AO40" s="17">
        <v>7.3773215443690896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52.062122839579899</v>
      </c>
      <c r="AV40" s="17">
        <v>0</v>
      </c>
      <c r="AW40" s="17">
        <v>0</v>
      </c>
      <c r="AX40" s="17">
        <v>89.860536174065103</v>
      </c>
      <c r="AY40" s="17">
        <v>0</v>
      </c>
      <c r="AZ40" s="17">
        <v>0</v>
      </c>
      <c r="BA40" s="17">
        <v>25.981564587706199</v>
      </c>
      <c r="BB40" s="17">
        <v>0</v>
      </c>
      <c r="BC40" s="17">
        <v>0</v>
      </c>
      <c r="BD40" s="17">
        <v>0</v>
      </c>
    </row>
    <row r="41" spans="1:56" ht="11.25" customHeight="1" x14ac:dyDescent="0.25">
      <c r="A41" s="130"/>
      <c r="B41" s="80" t="s">
        <v>23</v>
      </c>
      <c r="C41" s="80" t="s">
        <v>41</v>
      </c>
      <c r="D41" s="80" t="s">
        <v>91</v>
      </c>
      <c r="E41" s="80" t="s">
        <v>25</v>
      </c>
      <c r="F41" s="80" t="s">
        <v>25</v>
      </c>
      <c r="G41" s="36" t="s">
        <v>79</v>
      </c>
      <c r="H41" s="36" t="s">
        <v>73</v>
      </c>
      <c r="I41" s="36">
        <f>'MERCADO TUSD'!$U$38</f>
        <v>0</v>
      </c>
      <c r="J41" s="16"/>
      <c r="L41" s="17">
        <f>('TUSD BE'!$L$41+'TUSD BF'!$L$41+'TUSD CVA'!$L$41)*(1 - CUSTOS!$M$40)</f>
        <v>0</v>
      </c>
      <c r="M41" s="17">
        <f>('TUSD BE'!$M$41+'TUSD BF'!$M$41+'TUSD CVA'!$M$41)*(1 - CUSTOS!$M$40)</f>
        <v>1.6375116808194696</v>
      </c>
      <c r="N41" s="17">
        <f ca="1">('TUSD BE'!$N$41+'TUSD BF'!$N$41+'TUSD CVA'!$N$41)*(1 - CUSTOS!$M$40)</f>
        <v>0</v>
      </c>
      <c r="O41" s="17">
        <f>('TUSD BE'!$O$41+'TUSD BF'!$O$41+'TUSD CVA'!$O$41)*(1 - CUSTOS!$M$40)</f>
        <v>0</v>
      </c>
      <c r="P41" s="17">
        <f>('TUSD BE'!$P$41+'TUSD BF'!$P$41+'TUSD CVA'!$P$41)*(1 - CUSTOS!$M$40)</f>
        <v>0</v>
      </c>
      <c r="Q41" s="17">
        <f>('TUSD BE'!$Q$41+'TUSD BF'!$Q$41+'TUSD CVA'!$Q$41)*(1 - CUSTOS!$M$40)</f>
        <v>75.854646956583295</v>
      </c>
      <c r="R41" s="17">
        <f>('TUSD BE'!$R$41+'TUSD BF'!$R$41+'TUSD CVA'!$R$41)*(1 - CUSTOS!$M$40)</f>
        <v>12.61854212675666</v>
      </c>
      <c r="S41" s="17">
        <f>('TUSD BE'!$S$41+'TUSD BF'!$S$41+'TUSD CVA'!$S$41)*(1 - CUSTOS!$M$40)</f>
        <v>0</v>
      </c>
      <c r="T41" s="17">
        <f>('TUSD BE'!$U$41+'TUSD BF'!$U$41+'TUSD CVA'!$U$41)*(1 - CUSTOS!$M$40)</f>
        <v>0</v>
      </c>
      <c r="U41" s="17">
        <f>('TUSD BE'!$V$41+'TUSD BF'!$V$41+'TUSD CVA'!$V$41)*(1 - CUSTOS!$M$40)</f>
        <v>0</v>
      </c>
      <c r="V41" s="17">
        <f>('TUSD BE'!$W$41+'TUSD BF'!$W$41+'TUSD CVA'!$W$41)*(1 - CUSTOS!$M$40)</f>
        <v>0</v>
      </c>
      <c r="W41" s="17">
        <f>('TUSD BE'!$X$41+'TUSD BF'!$X$41+'TUSD CVA'!$X$41)*(1 - CUSTOS!$M$40)</f>
        <v>0</v>
      </c>
      <c r="X41" s="17">
        <f>('TUSD BE'!$Y$41+'TUSD BF'!$Y$41+'TUSD CVA'!$Y$41)*(1 - CUSTOS!$M$40)</f>
        <v>117.03162820043858</v>
      </c>
      <c r="Y41" s="17">
        <f>('TUSD BE'!$Z$41+'TUSD BF'!$Z$41+'TUSD CVA'!$Z$41)*(1 - CUSTOS!$M$40)</f>
        <v>0</v>
      </c>
      <c r="Z41" s="17">
        <f>('TUSD BE'!$AA$41+'TUSD BF'!$AA$41+'TUSD CVA'!$AA$41)*(1 - CUSTOS!$M$40)</f>
        <v>0</v>
      </c>
      <c r="AA41" s="17">
        <f>('TUSD BE'!$AC$41+'TUSD BF'!$AC$41+'TUSD CVA'!$AC$41)*(1 - CUSTOS!$M$40)</f>
        <v>204.5437860907457</v>
      </c>
      <c r="AB41" s="17">
        <f ca="1">('TUSD BE'!$AE$41+'TUSD BF'!$AE$41+'TUSD CVA'!$AE$41)*(1 - CUSTOS!$M$40)</f>
        <v>9.0867005054258012</v>
      </c>
      <c r="AC41" s="17">
        <f ca="1">('TUSD BE'!$AF$41+'TUSD BF'!$AF$41+'TUSD CVA'!$AF$41)*(1 - CUSTOS!$M$40)</f>
        <v>0</v>
      </c>
      <c r="AD41" s="17">
        <f>('TUSD BE'!$AH$41+'TUSD BF'!$AH$41+'TUSD CVA'!$AH$41)*(1 - CUSTOS!$M$40)</f>
        <v>34.067949788758163</v>
      </c>
      <c r="AE41" s="17">
        <f>('TUSD BE'!$AI$41+'TUSD BF'!$AI$41+'TUSD CVA'!$AI$41)*(1 - CUSTOS!$M$40)</f>
        <v>0</v>
      </c>
      <c r="AF41" s="17">
        <f ca="1">('TUSD BE'!$AJ$41+'TUSD BF'!$AJ$41+'TUSD CVA'!$AJ$41)*(1 - CUSTOS!$M$40)</f>
        <v>0</v>
      </c>
      <c r="AG41" s="17">
        <f ca="1">('TUSD BE'!$AK$41+'TUSD BF'!$AK$41+'TUSD CVA'!$AK$41)*(1 - CUSTOS!$M$40)</f>
        <v>0</v>
      </c>
      <c r="AI41" s="17">
        <v>0</v>
      </c>
      <c r="AJ41" s="17">
        <v>1.3601809964448599</v>
      </c>
      <c r="AK41" s="17">
        <v>0</v>
      </c>
      <c r="AL41" s="17">
        <v>0</v>
      </c>
      <c r="AM41" s="17">
        <v>0</v>
      </c>
      <c r="AN41" s="17">
        <v>46.127502476915602</v>
      </c>
      <c r="AO41" s="17">
        <v>7.3773215443690896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105.97348555436599</v>
      </c>
      <c r="AV41" s="17">
        <v>0</v>
      </c>
      <c r="AW41" s="17">
        <v>0</v>
      </c>
      <c r="AX41" s="17">
        <v>182.86645793386899</v>
      </c>
      <c r="AY41" s="17">
        <v>0</v>
      </c>
      <c r="AZ41" s="17">
        <v>0</v>
      </c>
      <c r="BA41" s="17">
        <v>25.981564587706199</v>
      </c>
      <c r="BB41" s="17">
        <v>0</v>
      </c>
      <c r="BC41" s="17">
        <v>0</v>
      </c>
      <c r="BD41" s="17">
        <v>0</v>
      </c>
    </row>
    <row r="42" spans="1:56" ht="11.25" customHeight="1" x14ac:dyDescent="0.25">
      <c r="A42" s="130"/>
      <c r="B42" s="130" t="s">
        <v>89</v>
      </c>
      <c r="C42" s="130" t="s">
        <v>41</v>
      </c>
      <c r="D42" s="80" t="s">
        <v>25</v>
      </c>
      <c r="E42" s="80" t="s">
        <v>25</v>
      </c>
      <c r="F42" s="80" t="s">
        <v>25</v>
      </c>
      <c r="G42" s="36" t="s">
        <v>79</v>
      </c>
      <c r="H42" s="36" t="s">
        <v>73</v>
      </c>
      <c r="I42" s="36">
        <f>'MERCADO TUSD'!$U$39</f>
        <v>0</v>
      </c>
      <c r="J42" s="16"/>
      <c r="L42" s="17">
        <f>('TUSD BE'!$L$42+'TUSD BF'!$L$42+'TUSD CVA'!$L$42)*(1 - CUSTOS!$M$38)</f>
        <v>0</v>
      </c>
      <c r="M42" s="17">
        <f>('TUSD BE'!$M$42+'TUSD BF'!$M$42+'TUSD CVA'!$M$42)*(1 - CUSTOS!$M$38)</f>
        <v>1.673109760837284</v>
      </c>
      <c r="N42" s="17">
        <f ca="1">('TUSD BE'!$N$42+'TUSD BF'!$N$42+'TUSD CVA'!$N$42)*(1 - CUSTOS!$M$38)</f>
        <v>0</v>
      </c>
      <c r="O42" s="17">
        <f>('TUSD BE'!$O$42+'TUSD BF'!$O$42+'TUSD CVA'!$O$42)*(1 - CUSTOS!$M$38)</f>
        <v>0</v>
      </c>
      <c r="P42" s="17">
        <f>('TUSD BE'!$P$42+'TUSD BF'!$P$42+'TUSD CVA'!$P$42)*(1 - CUSTOS!$M$38)</f>
        <v>0</v>
      </c>
      <c r="Q42" s="17">
        <f>('TUSD BE'!$Q$42+'TUSD BF'!$Q$42+'TUSD CVA'!$Q$42)*(1 - CUSTOS!$M$38)</f>
        <v>77.503661020856825</v>
      </c>
      <c r="R42" s="17">
        <f>('TUSD BE'!$R$42+'TUSD BF'!$R$42+'TUSD CVA'!$R$42)*(1 - CUSTOS!$M$38)</f>
        <v>12.892858259947021</v>
      </c>
      <c r="S42" s="17">
        <f>('TUSD BE'!$S$42+'TUSD BF'!$S$42+'TUSD CVA'!$S$42)*(1 - CUSTOS!$M$38)</f>
        <v>0</v>
      </c>
      <c r="T42" s="17">
        <f>('TUSD BE'!$U$42+'TUSD BF'!$U$42+'TUSD CVA'!$U$42)*(1 - CUSTOS!$M$38)</f>
        <v>0</v>
      </c>
      <c r="U42" s="17">
        <f>('TUSD BE'!$V$42+'TUSD BF'!$V$42+'TUSD CVA'!$V$42)*(1 - CUSTOS!$M$38)</f>
        <v>0</v>
      </c>
      <c r="V42" s="17">
        <f>('TUSD BE'!$W$42+'TUSD BF'!$W$42+'TUSD CVA'!$W$42)*(1 - CUSTOS!$M$38)</f>
        <v>0</v>
      </c>
      <c r="W42" s="17">
        <f>('TUSD BE'!$X$42+'TUSD BF'!$X$42+'TUSD CVA'!$X$42)*(1 - CUSTOS!$M$38)</f>
        <v>0</v>
      </c>
      <c r="X42" s="17">
        <f>('TUSD BE'!$Y$42+'TUSD BF'!$Y$42+'TUSD CVA'!$Y$42)*(1 - CUSTOS!$M$38)</f>
        <v>119.57579403088289</v>
      </c>
      <c r="Y42" s="17">
        <f>('TUSD BE'!$Z$42+'TUSD BF'!$Z$42+'TUSD CVA'!$Z$42)*(1 - CUSTOS!$M$38)</f>
        <v>0</v>
      </c>
      <c r="Z42" s="17">
        <f>('TUSD BE'!$AA$42+'TUSD BF'!$AA$42+'TUSD CVA'!$AA$42)*(1 - CUSTOS!$M$38)</f>
        <v>0</v>
      </c>
      <c r="AA42" s="17">
        <f>('TUSD BE'!$AC$42+'TUSD BF'!$AC$42+'TUSD CVA'!$AC$42)*(1 - CUSTOS!$M$38)</f>
        <v>208.99039013619665</v>
      </c>
      <c r="AB42" s="17">
        <f ca="1">('TUSD BE'!$AE$42+'TUSD BF'!$AE$42+'TUSD CVA'!$AE$42)*(1 - CUSTOS!$M$38)</f>
        <v>9.2842374729350556</v>
      </c>
      <c r="AC42" s="17">
        <f ca="1">('TUSD BE'!$AF$42+'TUSD BF'!$AF$42+'TUSD CVA'!$AF$42)*(1 - CUSTOS!$M$38)</f>
        <v>0</v>
      </c>
      <c r="AD42" s="17">
        <f>('TUSD BE'!$AH$42+'TUSD BF'!$AH$42+'TUSD CVA'!$AH$42)*(1 - CUSTOS!$M$38)</f>
        <v>34.808557392861601</v>
      </c>
      <c r="AE42" s="17">
        <f>('TUSD BE'!$AI$42+'TUSD BF'!$AI$42+'TUSD CVA'!$AI$42)*(1 - CUSTOS!$M$38)</f>
        <v>0</v>
      </c>
      <c r="AF42" s="17">
        <f ca="1">('TUSD BE'!$AJ$42+'TUSD BF'!$AJ$42+'TUSD CVA'!$AJ$42)*(1 - CUSTOS!$M$38)</f>
        <v>0</v>
      </c>
      <c r="AG42" s="17">
        <f ca="1">('TUSD BE'!$AK$42+'TUSD BF'!$AK$42+'TUSD CVA'!$AK$42)*(1 - CUSTOS!$M$38)</f>
        <v>0</v>
      </c>
      <c r="AI42" s="17">
        <v>0</v>
      </c>
      <c r="AJ42" s="17">
        <v>1.4249515200851</v>
      </c>
      <c r="AK42" s="17">
        <v>0</v>
      </c>
      <c r="AL42" s="17">
        <v>0</v>
      </c>
      <c r="AM42" s="17">
        <v>0</v>
      </c>
      <c r="AN42" s="17">
        <v>48.324050213911597</v>
      </c>
      <c r="AO42" s="17">
        <v>7.7286225702914297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111.019842009336</v>
      </c>
      <c r="AV42" s="17">
        <v>0</v>
      </c>
      <c r="AW42" s="17">
        <v>0</v>
      </c>
      <c r="AX42" s="17">
        <v>191.57438450214801</v>
      </c>
      <c r="AY42" s="17">
        <v>0</v>
      </c>
      <c r="AZ42" s="17">
        <v>0</v>
      </c>
      <c r="BA42" s="17">
        <v>27.218781949025601</v>
      </c>
      <c r="BB42" s="17">
        <v>0</v>
      </c>
      <c r="BC42" s="17">
        <v>0</v>
      </c>
      <c r="BD42" s="17">
        <v>0</v>
      </c>
    </row>
    <row r="43" spans="1:56" ht="11.25" customHeight="1" x14ac:dyDescent="0.25">
      <c r="A43" s="130"/>
      <c r="B43" s="130"/>
      <c r="C43" s="130"/>
      <c r="D43" s="80" t="s">
        <v>90</v>
      </c>
      <c r="E43" s="80" t="s">
        <v>25</v>
      </c>
      <c r="F43" s="80" t="s">
        <v>25</v>
      </c>
      <c r="G43" s="36" t="s">
        <v>79</v>
      </c>
      <c r="H43" s="36" t="s">
        <v>73</v>
      </c>
      <c r="I43" s="36">
        <f>'MERCADO TUSD'!$U$40</f>
        <v>0</v>
      </c>
      <c r="J43" s="16"/>
      <c r="L43" s="17">
        <f>('TUSD BE'!$L$43+'TUSD BF'!$L$43+'TUSD CVA'!$L$43)*(1 - CUSTOS!$M$39)</f>
        <v>0</v>
      </c>
      <c r="M43" s="17">
        <f>('TUSD BE'!$M$43+'TUSD BF'!$M$43+'TUSD CVA'!$M$43)*(1 - CUSTOS!$M$39)</f>
        <v>1.673109760837284</v>
      </c>
      <c r="N43" s="17">
        <f ca="1">('TUSD BE'!$N$43+'TUSD BF'!$N$43+'TUSD CVA'!$N$43)*(1 - CUSTOS!$M$39)</f>
        <v>0</v>
      </c>
      <c r="O43" s="17">
        <f>('TUSD BE'!$O$43+'TUSD BF'!$O$43+'TUSD CVA'!$O$43)*(1 - CUSTOS!$M$39)</f>
        <v>0</v>
      </c>
      <c r="P43" s="17">
        <f>('TUSD BE'!$P$43+'TUSD BF'!$P$43+'TUSD CVA'!$P$43)*(1 - CUSTOS!$M$39)</f>
        <v>0</v>
      </c>
      <c r="Q43" s="17">
        <f>('TUSD BE'!$Q$43+'TUSD BF'!$Q$43+'TUSD CVA'!$Q$43)*(1 - CUSTOS!$M$39)</f>
        <v>77.503661020856825</v>
      </c>
      <c r="R43" s="17">
        <f>('TUSD BE'!$R$43+'TUSD BF'!$R$43+'TUSD CVA'!$R$43)*(1 - CUSTOS!$M$39)</f>
        <v>12.892858259947021</v>
      </c>
      <c r="S43" s="17">
        <f>('TUSD BE'!$S$43+'TUSD BF'!$S$43+'TUSD CVA'!$S$43)*(1 - CUSTOS!$M$39)</f>
        <v>0</v>
      </c>
      <c r="T43" s="17">
        <f>('TUSD BE'!$U$43+'TUSD BF'!$U$43+'TUSD CVA'!$U$43)*(1 - CUSTOS!$M$39)</f>
        <v>0</v>
      </c>
      <c r="U43" s="17">
        <f>('TUSD BE'!$V$43+'TUSD BF'!$V$43+'TUSD CVA'!$V$43)*(1 - CUSTOS!$M$39)</f>
        <v>0</v>
      </c>
      <c r="V43" s="17">
        <f>('TUSD BE'!$W$43+'TUSD BF'!$W$43+'TUSD CVA'!$W$43)*(1 - CUSTOS!$M$39)</f>
        <v>0</v>
      </c>
      <c r="W43" s="17">
        <f>('TUSD BE'!$X$43+'TUSD BF'!$X$43+'TUSD CVA'!$X$43)*(1 - CUSTOS!$M$39)</f>
        <v>0</v>
      </c>
      <c r="X43" s="17">
        <f>('TUSD BE'!$Y$43+'TUSD BF'!$Y$43+'TUSD CVA'!$Y$43)*(1 - CUSTOS!$M$39)</f>
        <v>119.57579403088289</v>
      </c>
      <c r="Y43" s="17">
        <f>('TUSD BE'!$Z$43+'TUSD BF'!$Z$43+'TUSD CVA'!$Z$43)*(1 - CUSTOS!$M$39)</f>
        <v>0</v>
      </c>
      <c r="Z43" s="17">
        <f>('TUSD BE'!$AA$43+'TUSD BF'!$AA$43+'TUSD CVA'!$AA$43)*(1 - CUSTOS!$M$39)</f>
        <v>0</v>
      </c>
      <c r="AA43" s="17">
        <f>('TUSD BE'!$AC$43+'TUSD BF'!$AC$43+'TUSD CVA'!$AC$43)*(1 - CUSTOS!$M$39)</f>
        <v>208.99039013619665</v>
      </c>
      <c r="AB43" s="17">
        <f ca="1">('TUSD BE'!$AE$43+'TUSD BF'!$AE$43+'TUSD CVA'!$AE$43)*(1 - CUSTOS!$M$39)</f>
        <v>9.2842374729350556</v>
      </c>
      <c r="AC43" s="17">
        <f ca="1">('TUSD BE'!$AF$43+'TUSD BF'!$AF$43+'TUSD CVA'!$AF$43)*(1 - CUSTOS!$M$39)</f>
        <v>0</v>
      </c>
      <c r="AD43" s="17">
        <f>('TUSD BE'!$AH$43+'TUSD BF'!$AH$43+'TUSD CVA'!$AH$43)*(1 - CUSTOS!$M$39)</f>
        <v>34.808557392861601</v>
      </c>
      <c r="AE43" s="17">
        <f>('TUSD BE'!$AI$43+'TUSD BF'!$AI$43+'TUSD CVA'!$AI$43)*(1 - CUSTOS!$M$39)</f>
        <v>0</v>
      </c>
      <c r="AF43" s="17">
        <f ca="1">('TUSD BE'!$AJ$43+'TUSD BF'!$AJ$43+'TUSD CVA'!$AJ$43)*(1 - CUSTOS!$M$39)</f>
        <v>0</v>
      </c>
      <c r="AG43" s="17">
        <f ca="1">('TUSD BE'!$AK$43+'TUSD BF'!$AK$43+'TUSD CVA'!$AK$43)*(1 - CUSTOS!$M$39)</f>
        <v>0</v>
      </c>
      <c r="AI43" s="17">
        <v>0</v>
      </c>
      <c r="AJ43" s="17">
        <v>1.4249515200851</v>
      </c>
      <c r="AK43" s="17">
        <v>0</v>
      </c>
      <c r="AL43" s="17">
        <v>0</v>
      </c>
      <c r="AM43" s="17">
        <v>0</v>
      </c>
      <c r="AN43" s="17">
        <v>48.324050213911597</v>
      </c>
      <c r="AO43" s="17">
        <v>7.7286225702914297</v>
      </c>
      <c r="AP43" s="17">
        <v>0</v>
      </c>
      <c r="AQ43" s="17">
        <v>0</v>
      </c>
      <c r="AR43" s="17">
        <v>0</v>
      </c>
      <c r="AS43" s="17">
        <v>0</v>
      </c>
      <c r="AT43" s="17">
        <v>0</v>
      </c>
      <c r="AU43" s="17">
        <v>111.019842009336</v>
      </c>
      <c r="AV43" s="17">
        <v>0</v>
      </c>
      <c r="AW43" s="17">
        <v>0</v>
      </c>
      <c r="AX43" s="17">
        <v>191.57438450214801</v>
      </c>
      <c r="AY43" s="17">
        <v>0</v>
      </c>
      <c r="AZ43" s="17">
        <v>0</v>
      </c>
      <c r="BA43" s="17">
        <v>27.218781949025601</v>
      </c>
      <c r="BB43" s="17">
        <v>0</v>
      </c>
      <c r="BC43" s="17">
        <v>0</v>
      </c>
      <c r="BD43" s="17">
        <v>0</v>
      </c>
    </row>
    <row r="44" spans="1:56" ht="11.25" customHeight="1" x14ac:dyDescent="0.25">
      <c r="A44" s="130"/>
      <c r="B44" s="130"/>
      <c r="C44" s="130"/>
      <c r="D44" s="80" t="s">
        <v>91</v>
      </c>
      <c r="E44" s="80" t="s">
        <v>25</v>
      </c>
      <c r="F44" s="80" t="s">
        <v>25</v>
      </c>
      <c r="G44" s="36" t="s">
        <v>79</v>
      </c>
      <c r="H44" s="36" t="s">
        <v>73</v>
      </c>
      <c r="I44" s="36">
        <f>'MERCADO TUSD'!$U$41</f>
        <v>0</v>
      </c>
      <c r="J44" s="16"/>
      <c r="L44" s="17">
        <f>('TUSD BE'!$L$44+'TUSD BF'!$L$44+'TUSD CVA'!$L$44)*(1 - CUSTOS!$M$40)</f>
        <v>0</v>
      </c>
      <c r="M44" s="17">
        <f>('TUSD BE'!$M$44+'TUSD BF'!$M$44+'TUSD CVA'!$M$44)*(1 - CUSTOS!$M$40)</f>
        <v>1.6375116808194696</v>
      </c>
      <c r="N44" s="17">
        <f ca="1">('TUSD BE'!$N$44+'TUSD BF'!$N$44+'TUSD CVA'!$N$44)*(1 - CUSTOS!$M$40)</f>
        <v>0</v>
      </c>
      <c r="O44" s="17">
        <f>('TUSD BE'!$O$44+'TUSD BF'!$O$44+'TUSD CVA'!$O$44)*(1 - CUSTOS!$M$40)</f>
        <v>0</v>
      </c>
      <c r="P44" s="17">
        <f>('TUSD BE'!$P$44+'TUSD BF'!$P$44+'TUSD CVA'!$P$44)*(1 - CUSTOS!$M$40)</f>
        <v>0</v>
      </c>
      <c r="Q44" s="17">
        <f>('TUSD BE'!$Q$44+'TUSD BF'!$Q$44+'TUSD CVA'!$Q$44)*(1 - CUSTOS!$M$40)</f>
        <v>75.854646956583295</v>
      </c>
      <c r="R44" s="17">
        <f>('TUSD BE'!$R$44+'TUSD BF'!$R$44+'TUSD CVA'!$R$44)*(1 - CUSTOS!$M$40)</f>
        <v>12.61854212675666</v>
      </c>
      <c r="S44" s="17">
        <f>('TUSD BE'!$S$44+'TUSD BF'!$S$44+'TUSD CVA'!$S$44)*(1 - CUSTOS!$M$40)</f>
        <v>0</v>
      </c>
      <c r="T44" s="17">
        <f>('TUSD BE'!$U$44+'TUSD BF'!$U$44+'TUSD CVA'!$U$44)*(1 - CUSTOS!$M$40)</f>
        <v>0</v>
      </c>
      <c r="U44" s="17">
        <f>('TUSD BE'!$V$44+'TUSD BF'!$V$44+'TUSD CVA'!$V$44)*(1 - CUSTOS!$M$40)</f>
        <v>0</v>
      </c>
      <c r="V44" s="17">
        <f>('TUSD BE'!$W$44+'TUSD BF'!$W$44+'TUSD CVA'!$W$44)*(1 - CUSTOS!$M$40)</f>
        <v>0</v>
      </c>
      <c r="W44" s="17">
        <f>('TUSD BE'!$X$44+'TUSD BF'!$X$44+'TUSD CVA'!$X$44)*(1 - CUSTOS!$M$40)</f>
        <v>0</v>
      </c>
      <c r="X44" s="17">
        <f>('TUSD BE'!$Y$44+'TUSD BF'!$Y$44+'TUSD CVA'!$Y$44)*(1 - CUSTOS!$M$40)</f>
        <v>117.03162820043858</v>
      </c>
      <c r="Y44" s="17">
        <f>('TUSD BE'!$Z$44+'TUSD BF'!$Z$44+'TUSD CVA'!$Z$44)*(1 - CUSTOS!$M$40)</f>
        <v>0</v>
      </c>
      <c r="Z44" s="17">
        <f>('TUSD BE'!$AA$44+'TUSD BF'!$AA$44+'TUSD CVA'!$AA$44)*(1 - CUSTOS!$M$40)</f>
        <v>0</v>
      </c>
      <c r="AA44" s="17">
        <f>('TUSD BE'!$AC$44+'TUSD BF'!$AC$44+'TUSD CVA'!$AC$44)*(1 - CUSTOS!$M$40)</f>
        <v>204.5437860907457</v>
      </c>
      <c r="AB44" s="17">
        <f ca="1">('TUSD BE'!$AE$44+'TUSD BF'!$AE$44+'TUSD CVA'!$AE$44)*(1 - CUSTOS!$M$40)</f>
        <v>9.0867005054258012</v>
      </c>
      <c r="AC44" s="17">
        <f ca="1">('TUSD BE'!$AF$44+'TUSD BF'!$AF$44+'TUSD CVA'!$AF$44)*(1 - CUSTOS!$M$40)</f>
        <v>0</v>
      </c>
      <c r="AD44" s="17">
        <f>('TUSD BE'!$AH$44+'TUSD BF'!$AH$44+'TUSD CVA'!$AH$44)*(1 - CUSTOS!$M$40)</f>
        <v>34.067949788758163</v>
      </c>
      <c r="AE44" s="17">
        <f>('TUSD BE'!$AI$44+'TUSD BF'!$AI$44+'TUSD CVA'!$AI$44)*(1 - CUSTOS!$M$40)</f>
        <v>0</v>
      </c>
      <c r="AF44" s="17">
        <f ca="1">('TUSD BE'!$AJ$44+'TUSD BF'!$AJ$44+'TUSD CVA'!$AJ$44)*(1 - CUSTOS!$M$40)</f>
        <v>0</v>
      </c>
      <c r="AG44" s="17">
        <f ca="1">('TUSD BE'!$AK$44+'TUSD BF'!$AK$44+'TUSD CVA'!$AK$44)*(1 - CUSTOS!$M$40)</f>
        <v>0</v>
      </c>
      <c r="AI44" s="17">
        <v>0</v>
      </c>
      <c r="AJ44" s="17">
        <v>1.3601809964448599</v>
      </c>
      <c r="AK44" s="17">
        <v>0</v>
      </c>
      <c r="AL44" s="17">
        <v>0</v>
      </c>
      <c r="AM44" s="17">
        <v>0</v>
      </c>
      <c r="AN44" s="17">
        <v>46.127502476915602</v>
      </c>
      <c r="AO44" s="17">
        <v>7.3773215443690896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105.97348555436599</v>
      </c>
      <c r="AV44" s="17">
        <v>0</v>
      </c>
      <c r="AW44" s="17">
        <v>0</v>
      </c>
      <c r="AX44" s="17">
        <v>182.86645793386899</v>
      </c>
      <c r="AY44" s="17">
        <v>0</v>
      </c>
      <c r="AZ44" s="17">
        <v>0</v>
      </c>
      <c r="BA44" s="17">
        <v>25.981564587706199</v>
      </c>
      <c r="BB44" s="17">
        <v>0</v>
      </c>
      <c r="BC44" s="17">
        <v>0</v>
      </c>
      <c r="BD44" s="17">
        <v>0</v>
      </c>
    </row>
    <row r="45" spans="1:56" ht="11.25" customHeight="1" x14ac:dyDescent="0.25">
      <c r="A45" s="130" t="s">
        <v>37</v>
      </c>
      <c r="B45" s="130" t="s">
        <v>87</v>
      </c>
      <c r="C45" s="130" t="s">
        <v>25</v>
      </c>
      <c r="D45" s="130" t="s">
        <v>25</v>
      </c>
      <c r="E45" s="130" t="s">
        <v>25</v>
      </c>
      <c r="F45" s="130" t="s">
        <v>25</v>
      </c>
      <c r="G45" s="36" t="s">
        <v>74</v>
      </c>
      <c r="H45" s="36" t="s">
        <v>73</v>
      </c>
      <c r="I45" s="36">
        <f>'MERCADO TUSD'!$U$42</f>
        <v>0</v>
      </c>
      <c r="J45" s="16"/>
      <c r="L45" s="17">
        <f>('TUSD BE'!$L$45+'TUSD BF'!$L$45+'TUSD CVA'!$L$45)*1</f>
        <v>0</v>
      </c>
      <c r="M45" s="17">
        <f>('TUSD BE'!$M$45+'TUSD BF'!$M$45+'TUSD CVA'!$M$45)*1</f>
        <v>1.7799040008907279</v>
      </c>
      <c r="N45" s="17">
        <f ca="1">('TUSD BE'!$N$45+'TUSD BF'!$N$45+'TUSD CVA'!$N$45)*1</f>
        <v>0</v>
      </c>
      <c r="O45" s="17">
        <f>('TUSD BE'!$O$45+'TUSD BF'!$O$45+'TUSD CVA'!$O$45)*1</f>
        <v>0</v>
      </c>
      <c r="P45" s="17">
        <f>('TUSD BE'!$P$45+'TUSD BF'!$P$45+'TUSD CVA'!$P$45)*1</f>
        <v>0</v>
      </c>
      <c r="Q45" s="17">
        <f>('TUSD BE'!$Q$45+'TUSD BF'!$Q$45+'TUSD CVA'!$Q$45)*1</f>
        <v>82.450703213677485</v>
      </c>
      <c r="R45" s="17">
        <f>('TUSD BE'!$R$45+'TUSD BF'!$R$45+'TUSD CVA'!$R$45)*1</f>
        <v>13.715806659518108</v>
      </c>
      <c r="S45" s="17">
        <f>('TUSD BE'!$S$45+'TUSD BF'!$S$45+'TUSD CVA'!$S$45)*1</f>
        <v>0</v>
      </c>
      <c r="T45" s="17">
        <f>('TUSD BE'!$U$45+'TUSD BF'!$U$45+'TUSD CVA'!$U$45)*1</f>
        <v>0</v>
      </c>
      <c r="U45" s="17">
        <f>('TUSD BE'!$V$45+'TUSD BF'!$V$45+'TUSD CVA'!$V$45)*1</f>
        <v>0</v>
      </c>
      <c r="V45" s="17">
        <f>('TUSD BE'!$W$45+'TUSD BF'!$W$45+'TUSD CVA'!$W$45)*1</f>
        <v>0</v>
      </c>
      <c r="W45" s="17">
        <f>('TUSD BE'!$X$45+'TUSD BF'!$X$45+'TUSD CVA'!$X$45)*1</f>
        <v>0</v>
      </c>
      <c r="X45" s="17">
        <f>('TUSD BE'!$Y$45+'TUSD BF'!$Y$45+'TUSD CVA'!$Y$45)*1</f>
        <v>415.57572993729735</v>
      </c>
      <c r="Y45" s="17">
        <f>('TUSD BE'!$Z$45+'TUSD BF'!$Z$45+'TUSD CVA'!$Z$45)*1</f>
        <v>0</v>
      </c>
      <c r="Z45" s="17">
        <f>('TUSD BE'!$AA$45+'TUSD BF'!$AA$45+'TUSD CVA'!$AA$45)*1</f>
        <v>0</v>
      </c>
      <c r="AA45" s="17">
        <f>('TUSD BE'!$AC$45+'TUSD BF'!$AC$45+'TUSD CVA'!$AC$45)*1</f>
        <v>726.35250601659004</v>
      </c>
      <c r="AB45" s="17">
        <f ca="1">('TUSD BE'!$AE$45+'TUSD BF'!$AE$45+'TUSD CVA'!$AE$45)*1</f>
        <v>27.472652357858571</v>
      </c>
      <c r="AC45" s="17">
        <f ca="1">('TUSD BE'!$AF$45+'TUSD BF'!$AF$45+'TUSD CVA'!$AF$45)*1</f>
        <v>0</v>
      </c>
      <c r="AD45" s="17">
        <f>('TUSD BE'!$AH$45+'TUSD BF'!$AH$45+'TUSD CVA'!$AH$45)*1</f>
        <v>37.030380205171916</v>
      </c>
      <c r="AE45" s="17">
        <f>('TUSD BE'!$AI$45+'TUSD BF'!$AI$45+'TUSD CVA'!$AI$45)*1</f>
        <v>0</v>
      </c>
      <c r="AF45" s="17">
        <f ca="1">('TUSD BE'!$AJ$45+'TUSD BF'!$AJ$45+'TUSD CVA'!$AJ$45)*1</f>
        <v>0</v>
      </c>
      <c r="AG45" s="17">
        <f ca="1">('TUSD BE'!$AK$45+'TUSD BF'!$AK$45+'TUSD CVA'!$AK$45)*1</f>
        <v>0</v>
      </c>
      <c r="AI45" s="17">
        <v>0</v>
      </c>
      <c r="AJ45" s="17">
        <v>1.6192630910057899</v>
      </c>
      <c r="AK45" s="17">
        <v>0</v>
      </c>
      <c r="AL45" s="17">
        <v>0</v>
      </c>
      <c r="AM45" s="17">
        <v>0</v>
      </c>
      <c r="AN45" s="17">
        <v>54.913693424899598</v>
      </c>
      <c r="AO45" s="17">
        <v>8.7825256480584404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412.14758960453798</v>
      </c>
      <c r="AV45" s="17">
        <v>0</v>
      </c>
      <c r="AW45" s="17">
        <v>0</v>
      </c>
      <c r="AX45" s="17">
        <v>711.21958475498798</v>
      </c>
      <c r="AY45" s="17">
        <v>0</v>
      </c>
      <c r="AZ45" s="17">
        <v>0</v>
      </c>
      <c r="BA45" s="17">
        <v>30.930434032983602</v>
      </c>
      <c r="BB45" s="17">
        <v>0</v>
      </c>
      <c r="BC45" s="17">
        <v>0</v>
      </c>
      <c r="BD45" s="17">
        <v>0</v>
      </c>
    </row>
    <row r="46" spans="1:56" ht="11.25" customHeight="1" x14ac:dyDescent="0.25">
      <c r="A46" s="130"/>
      <c r="B46" s="130"/>
      <c r="C46" s="130"/>
      <c r="D46" s="130"/>
      <c r="E46" s="130"/>
      <c r="F46" s="130"/>
      <c r="G46" s="36" t="s">
        <v>85</v>
      </c>
      <c r="H46" s="36" t="s">
        <v>73</v>
      </c>
      <c r="I46" s="36">
        <f>'MERCADO TUSD'!$U$43</f>
        <v>0</v>
      </c>
      <c r="J46" s="16"/>
      <c r="L46" s="17">
        <f>('TUSD BE'!$L$46+'TUSD BF'!$L$46+'TUSD CVA'!$L$46)*1</f>
        <v>0</v>
      </c>
      <c r="M46" s="17">
        <f>('TUSD BE'!$M$46+'TUSD BF'!$M$46+'TUSD CVA'!$M$46)*1</f>
        <v>1.7799040008907279</v>
      </c>
      <c r="N46" s="17">
        <f ca="1">('TUSD BE'!$N$46+'TUSD BF'!$N$46+'TUSD CVA'!$N$46)*1</f>
        <v>0</v>
      </c>
      <c r="O46" s="17">
        <f>('TUSD BE'!$O$46+'TUSD BF'!$O$46+'TUSD CVA'!$O$46)*1</f>
        <v>0</v>
      </c>
      <c r="P46" s="17">
        <f>('TUSD BE'!$P$46+'TUSD BF'!$P$46+'TUSD CVA'!$P$46)*1</f>
        <v>0</v>
      </c>
      <c r="Q46" s="17">
        <f>('TUSD BE'!$Q$46+'TUSD BF'!$Q$46+'TUSD CVA'!$Q$46)*1</f>
        <v>82.450703213677485</v>
      </c>
      <c r="R46" s="17">
        <f>('TUSD BE'!$R$46+'TUSD BF'!$R$46+'TUSD CVA'!$R$46)*1</f>
        <v>13.715806659518108</v>
      </c>
      <c r="S46" s="17">
        <f>('TUSD BE'!$S$46+'TUSD BF'!$S$46+'TUSD CVA'!$S$46)*1</f>
        <v>0</v>
      </c>
      <c r="T46" s="17">
        <f>('TUSD BE'!$U$46+'TUSD BF'!$U$46+'TUSD CVA'!$U$46)*1</f>
        <v>0</v>
      </c>
      <c r="U46" s="17">
        <f>('TUSD BE'!$V$46+'TUSD BF'!$V$46+'TUSD CVA'!$V$46)*1</f>
        <v>0</v>
      </c>
      <c r="V46" s="17">
        <f>('TUSD BE'!$W$46+'TUSD BF'!$W$46+'TUSD CVA'!$W$46)*1</f>
        <v>0</v>
      </c>
      <c r="W46" s="17">
        <f>('TUSD BE'!$X$46+'TUSD BF'!$X$46+'TUSD CVA'!$X$46)*1</f>
        <v>0</v>
      </c>
      <c r="X46" s="17">
        <f>('TUSD BE'!$Y$46+'TUSD BF'!$Y$46+'TUSD CVA'!$Y$46)*1</f>
        <v>249.33157254061453</v>
      </c>
      <c r="Y46" s="17">
        <f>('TUSD BE'!$Z$46+'TUSD BF'!$Z$46+'TUSD CVA'!$Z$46)*1</f>
        <v>0</v>
      </c>
      <c r="Z46" s="17">
        <f>('TUSD BE'!$AA$46+'TUSD BF'!$AA$46+'TUSD CVA'!$AA$46)*1</f>
        <v>0</v>
      </c>
      <c r="AA46" s="17">
        <f>('TUSD BE'!$AC$46+'TUSD BF'!$AC$46+'TUSD CVA'!$AC$46)*1</f>
        <v>435.81142578252434</v>
      </c>
      <c r="AB46" s="17">
        <f ca="1">('TUSD BE'!$AE$46+'TUSD BF'!$AE$46+'TUSD CVA'!$AE$46)*1</f>
        <v>17.32938720723206</v>
      </c>
      <c r="AC46" s="17">
        <f ca="1">('TUSD BE'!$AF$46+'TUSD BF'!$AF$46+'TUSD CVA'!$AF$46)*1</f>
        <v>0</v>
      </c>
      <c r="AD46" s="17">
        <f>('TUSD BE'!$AH$46+'TUSD BF'!$AH$46+'TUSD CVA'!$AH$46)*1</f>
        <v>37.030380205171916</v>
      </c>
      <c r="AE46" s="17">
        <f>('TUSD BE'!$AI$46+'TUSD BF'!$AI$46+'TUSD CVA'!$AI$46)*1</f>
        <v>0</v>
      </c>
      <c r="AF46" s="17">
        <f ca="1">('TUSD BE'!$AJ$46+'TUSD BF'!$AJ$46+'TUSD CVA'!$AJ$46)*1</f>
        <v>0</v>
      </c>
      <c r="AG46" s="17">
        <f ca="1">('TUSD BE'!$AK$46+'TUSD BF'!$AK$46+'TUSD CVA'!$AK$46)*1</f>
        <v>0</v>
      </c>
      <c r="AI46" s="17">
        <v>0</v>
      </c>
      <c r="AJ46" s="17">
        <v>1.6192630910057899</v>
      </c>
      <c r="AK46" s="17">
        <v>0</v>
      </c>
      <c r="AL46" s="17">
        <v>0</v>
      </c>
      <c r="AM46" s="17">
        <v>0</v>
      </c>
      <c r="AN46" s="17">
        <v>54.913693424899598</v>
      </c>
      <c r="AO46" s="17">
        <v>8.7825256480584404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247.27480018210599</v>
      </c>
      <c r="AV46" s="17">
        <v>0</v>
      </c>
      <c r="AW46" s="17">
        <v>0</v>
      </c>
      <c r="AX46" s="17">
        <v>426.73167069086401</v>
      </c>
      <c r="AY46" s="17">
        <v>0</v>
      </c>
      <c r="AZ46" s="17">
        <v>0</v>
      </c>
      <c r="BA46" s="17">
        <v>30.930434032983602</v>
      </c>
      <c r="BB46" s="17">
        <v>0</v>
      </c>
      <c r="BC46" s="17">
        <v>0</v>
      </c>
      <c r="BD46" s="17">
        <v>0</v>
      </c>
    </row>
    <row r="47" spans="1:56" ht="11.25" customHeight="1" x14ac:dyDescent="0.25">
      <c r="A47" s="130"/>
      <c r="B47" s="130"/>
      <c r="C47" s="130"/>
      <c r="D47" s="130"/>
      <c r="E47" s="130"/>
      <c r="F47" s="130"/>
      <c r="G47" s="36" t="s">
        <v>75</v>
      </c>
      <c r="H47" s="36" t="s">
        <v>73</v>
      </c>
      <c r="I47" s="36">
        <f>'MERCADO TUSD'!$U$44</f>
        <v>0</v>
      </c>
      <c r="J47" s="16"/>
      <c r="L47" s="17">
        <f>('TUSD BE'!$L$47+'TUSD BF'!$L$47+'TUSD CVA'!$L$47)*1</f>
        <v>0</v>
      </c>
      <c r="M47" s="17">
        <f>('TUSD BE'!$M$47+'TUSD BF'!$M$47+'TUSD CVA'!$M$47)*1</f>
        <v>1.7799040008907279</v>
      </c>
      <c r="N47" s="17">
        <f ca="1">('TUSD BE'!$N$47+'TUSD BF'!$N$47+'TUSD CVA'!$N$47)*1</f>
        <v>0</v>
      </c>
      <c r="O47" s="17">
        <f>('TUSD BE'!$O$47+'TUSD BF'!$O$47+'TUSD CVA'!$O$47)*1</f>
        <v>0</v>
      </c>
      <c r="P47" s="17">
        <f>('TUSD BE'!$P$47+'TUSD BF'!$P$47+'TUSD CVA'!$P$47)*1</f>
        <v>0</v>
      </c>
      <c r="Q47" s="17">
        <f>('TUSD BE'!$Q$47+'TUSD BF'!$Q$47+'TUSD CVA'!$Q$47)*1</f>
        <v>82.450703213677485</v>
      </c>
      <c r="R47" s="17">
        <f>('TUSD BE'!$R$47+'TUSD BF'!$R$47+'TUSD CVA'!$R$47)*1</f>
        <v>13.715806659518108</v>
      </c>
      <c r="S47" s="17">
        <f>('TUSD BE'!$S$47+'TUSD BF'!$S$47+'TUSD CVA'!$S$47)*1</f>
        <v>0</v>
      </c>
      <c r="T47" s="17">
        <f>('TUSD BE'!$U$47+'TUSD BF'!$U$47+'TUSD CVA'!$U$47)*1</f>
        <v>0</v>
      </c>
      <c r="U47" s="17">
        <f>('TUSD BE'!$V$47+'TUSD BF'!$V$47+'TUSD CVA'!$V$47)*1</f>
        <v>0</v>
      </c>
      <c r="V47" s="17">
        <f>('TUSD BE'!$W$47+'TUSD BF'!$W$47+'TUSD CVA'!$W$47)*1</f>
        <v>0</v>
      </c>
      <c r="W47" s="17">
        <f>('TUSD BE'!$X$47+'TUSD BF'!$X$47+'TUSD CVA'!$X$47)*1</f>
        <v>0</v>
      </c>
      <c r="X47" s="17">
        <f>('TUSD BE'!$Y$47+'TUSD BF'!$Y$47+'TUSD CVA'!$Y$47)*1</f>
        <v>83.087824153423256</v>
      </c>
      <c r="Y47" s="17">
        <f>('TUSD BE'!$Z$47+'TUSD BF'!$Z$47+'TUSD CVA'!$Z$47)*1</f>
        <v>0</v>
      </c>
      <c r="Z47" s="17">
        <f>('TUSD BE'!$AA$47+'TUSD BF'!$AA$47+'TUSD CVA'!$AA$47)*1</f>
        <v>0</v>
      </c>
      <c r="AA47" s="17">
        <f>('TUSD BE'!$AC$47+'TUSD BF'!$AC$47+'TUSD CVA'!$AC$47)*1</f>
        <v>145.27041040464997</v>
      </c>
      <c r="AB47" s="17">
        <f ca="1">('TUSD BE'!$AE$47+'TUSD BF'!$AE$47+'TUSD CVA'!$AE$47)*1</f>
        <v>7.1861301417781558</v>
      </c>
      <c r="AC47" s="17">
        <f ca="1">('TUSD BE'!$AF$47+'TUSD BF'!$AF$47+'TUSD CVA'!$AF$47)*1</f>
        <v>0</v>
      </c>
      <c r="AD47" s="17">
        <f>('TUSD BE'!$AH$47+'TUSD BF'!$AH$47+'TUSD CVA'!$AH$47)*1</f>
        <v>37.030380205171916</v>
      </c>
      <c r="AE47" s="17">
        <f>('TUSD BE'!$AI$47+'TUSD BF'!$AI$47+'TUSD CVA'!$AI$47)*1</f>
        <v>0</v>
      </c>
      <c r="AF47" s="17">
        <f ca="1">('TUSD BE'!$AJ$47+'TUSD BF'!$AJ$47+'TUSD CVA'!$AJ$47)*1</f>
        <v>0</v>
      </c>
      <c r="AG47" s="17">
        <f ca="1">('TUSD BE'!$AK$47+'TUSD BF'!$AK$47+'TUSD CVA'!$AK$47)*1</f>
        <v>0</v>
      </c>
      <c r="AI47" s="17">
        <v>0</v>
      </c>
      <c r="AJ47" s="17">
        <v>1.6192630910057899</v>
      </c>
      <c r="AK47" s="17">
        <v>0</v>
      </c>
      <c r="AL47" s="17">
        <v>0</v>
      </c>
      <c r="AM47" s="17">
        <v>0</v>
      </c>
      <c r="AN47" s="17">
        <v>54.913693424899598</v>
      </c>
      <c r="AO47" s="17">
        <v>8.7825256480584404</v>
      </c>
      <c r="AP47" s="17">
        <v>0</v>
      </c>
      <c r="AQ47" s="17">
        <v>0</v>
      </c>
      <c r="AR47" s="17">
        <v>0</v>
      </c>
      <c r="AS47" s="17">
        <v>0</v>
      </c>
      <c r="AT47" s="17">
        <v>0</v>
      </c>
      <c r="AU47" s="17">
        <v>82.402397821041902</v>
      </c>
      <c r="AV47" s="17">
        <v>0</v>
      </c>
      <c r="AW47" s="17">
        <v>0</v>
      </c>
      <c r="AX47" s="17">
        <v>142.24382342851399</v>
      </c>
      <c r="AY47" s="17">
        <v>0</v>
      </c>
      <c r="AZ47" s="17">
        <v>0</v>
      </c>
      <c r="BA47" s="17">
        <v>30.930434032983602</v>
      </c>
      <c r="BB47" s="17">
        <v>0</v>
      </c>
      <c r="BC47" s="17">
        <v>0</v>
      </c>
      <c r="BD47" s="17">
        <v>0</v>
      </c>
    </row>
    <row r="48" spans="1:56" ht="11.25" customHeight="1" x14ac:dyDescent="0.25">
      <c r="A48" s="130"/>
      <c r="B48" s="80" t="s">
        <v>23</v>
      </c>
      <c r="C48" s="80" t="s">
        <v>25</v>
      </c>
      <c r="D48" s="80" t="s">
        <v>25</v>
      </c>
      <c r="E48" s="80" t="s">
        <v>25</v>
      </c>
      <c r="F48" s="80" t="s">
        <v>25</v>
      </c>
      <c r="G48" s="36" t="s">
        <v>79</v>
      </c>
      <c r="H48" s="36" t="s">
        <v>73</v>
      </c>
      <c r="I48" s="36">
        <f>'MERCADO TUSD'!$U$45</f>
        <v>9351.1280000000006</v>
      </c>
      <c r="J48" s="16"/>
      <c r="L48" s="17">
        <f>('TUSD BE'!$L$48+'TUSD BF'!$L$48+'TUSD CVA'!$L$48)*1</f>
        <v>0</v>
      </c>
      <c r="M48" s="17">
        <f>('TUSD BE'!$M$48+'TUSD BF'!$M$48+'TUSD CVA'!$M$48)*1</f>
        <v>1.7799040008907279</v>
      </c>
      <c r="N48" s="17">
        <f ca="1">('TUSD BE'!$N$48+'TUSD BF'!$N$48+'TUSD CVA'!$N$48)*1</f>
        <v>0</v>
      </c>
      <c r="O48" s="17">
        <f>('TUSD BE'!$O$48+'TUSD BF'!$O$48+'TUSD CVA'!$O$48)*1</f>
        <v>0</v>
      </c>
      <c r="P48" s="17">
        <f>('TUSD BE'!$P$48+'TUSD BF'!$P$48+'TUSD CVA'!$P$48)*1</f>
        <v>0</v>
      </c>
      <c r="Q48" s="17">
        <f>('TUSD BE'!$Q$48+'TUSD BF'!$Q$48+'TUSD CVA'!$Q$48)*1</f>
        <v>82.450703213677485</v>
      </c>
      <c r="R48" s="17">
        <f>('TUSD BE'!$R$48+'TUSD BF'!$R$48+'TUSD CVA'!$R$48)*1</f>
        <v>13.715806659518108</v>
      </c>
      <c r="S48" s="17">
        <f>('TUSD BE'!$S$48+'TUSD BF'!$S$48+'TUSD CVA'!$S$48)*1</f>
        <v>0</v>
      </c>
      <c r="T48" s="17">
        <f>('TUSD BE'!$U$48+'TUSD BF'!$U$48+'TUSD CVA'!$U$48)*1</f>
        <v>0</v>
      </c>
      <c r="U48" s="17">
        <f>('TUSD BE'!$V$48+'TUSD BF'!$V$48+'TUSD CVA'!$V$48)*1</f>
        <v>0</v>
      </c>
      <c r="V48" s="17">
        <f>('TUSD BE'!$W$48+'TUSD BF'!$W$48+'TUSD CVA'!$W$48)*1</f>
        <v>0</v>
      </c>
      <c r="W48" s="17">
        <f>('TUSD BE'!$X$48+'TUSD BF'!$X$48+'TUSD CVA'!$X$48)*1</f>
        <v>0</v>
      </c>
      <c r="X48" s="17">
        <f>('TUSD BE'!$Y$48+'TUSD BF'!$Y$48+'TUSD CVA'!$Y$48)*1</f>
        <v>127.20829152221584</v>
      </c>
      <c r="Y48" s="17">
        <f>('TUSD BE'!$Z$48+'TUSD BF'!$Z$48+'TUSD CVA'!$Z$48)*1</f>
        <v>0</v>
      </c>
      <c r="Z48" s="17">
        <f>('TUSD BE'!$AA$48+'TUSD BF'!$AA$48+'TUSD CVA'!$AA$48)*1</f>
        <v>0</v>
      </c>
      <c r="AA48" s="17">
        <f>('TUSD BE'!$AC$48+'TUSD BF'!$AC$48+'TUSD CVA'!$AC$48)*1</f>
        <v>222.33020227254966</v>
      </c>
      <c r="AB48" s="17">
        <f ca="1">('TUSD BE'!$AE$48+'TUSD BF'!$AE$48+'TUSD CVA'!$AE$48)*1</f>
        <v>9.876848375462826</v>
      </c>
      <c r="AC48" s="17">
        <f ca="1">('TUSD BE'!$AF$48+'TUSD BF'!$AF$48+'TUSD CVA'!$AF$48)*1</f>
        <v>0</v>
      </c>
      <c r="AD48" s="17">
        <f>('TUSD BE'!$AH$48+'TUSD BF'!$AH$48+'TUSD CVA'!$AH$48)*1</f>
        <v>37.030380205171916</v>
      </c>
      <c r="AE48" s="17">
        <f>('TUSD BE'!$AI$48+'TUSD BF'!$AI$48+'TUSD CVA'!$AI$48)*1</f>
        <v>0</v>
      </c>
      <c r="AF48" s="17">
        <f ca="1">('TUSD BE'!$AJ$48+'TUSD BF'!$AJ$48+'TUSD CVA'!$AJ$48)*1</f>
        <v>0</v>
      </c>
      <c r="AG48" s="17">
        <f ca="1">('TUSD BE'!$AK$48+'TUSD BF'!$AK$48+'TUSD CVA'!$AK$48)*1</f>
        <v>0</v>
      </c>
      <c r="AI48" s="17">
        <v>0</v>
      </c>
      <c r="AJ48" s="17">
        <v>1.6192630910057899</v>
      </c>
      <c r="AK48" s="17">
        <v>0</v>
      </c>
      <c r="AL48" s="17">
        <v>0</v>
      </c>
      <c r="AM48" s="17">
        <v>0</v>
      </c>
      <c r="AN48" s="17">
        <v>54.913693424899598</v>
      </c>
      <c r="AO48" s="17">
        <v>8.7825256480584404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126.15891137424499</v>
      </c>
      <c r="AV48" s="17">
        <v>0</v>
      </c>
      <c r="AW48" s="17">
        <v>0</v>
      </c>
      <c r="AX48" s="17">
        <v>217.698164206987</v>
      </c>
      <c r="AY48" s="17">
        <v>0</v>
      </c>
      <c r="AZ48" s="17">
        <v>0</v>
      </c>
      <c r="BA48" s="17">
        <v>30.930434032983602</v>
      </c>
      <c r="BB48" s="17">
        <v>0</v>
      </c>
      <c r="BC48" s="17">
        <v>0</v>
      </c>
      <c r="BD48" s="17">
        <v>0</v>
      </c>
    </row>
    <row r="49" spans="1:56" ht="11.25" customHeight="1" x14ac:dyDescent="0.25">
      <c r="A49" s="130"/>
      <c r="B49" s="80" t="s">
        <v>89</v>
      </c>
      <c r="C49" s="80" t="s">
        <v>25</v>
      </c>
      <c r="D49" s="80" t="s">
        <v>25</v>
      </c>
      <c r="E49" s="80" t="s">
        <v>25</v>
      </c>
      <c r="F49" s="80" t="s">
        <v>25</v>
      </c>
      <c r="G49" s="36" t="s">
        <v>79</v>
      </c>
      <c r="H49" s="36" t="s">
        <v>73</v>
      </c>
      <c r="I49" s="36">
        <f>'MERCADO TUSD'!$U$46</f>
        <v>0</v>
      </c>
      <c r="J49" s="16"/>
      <c r="L49" s="17">
        <f>('TUSD BE'!$L$49+'TUSD BF'!$L$49+'TUSD CVA'!$L$49)*1</f>
        <v>0</v>
      </c>
      <c r="M49" s="17">
        <f>('TUSD BE'!$M$49+'TUSD BF'!$M$49+'TUSD CVA'!$M$49)*1</f>
        <v>1.7799040008907279</v>
      </c>
      <c r="N49" s="17">
        <f ca="1">('TUSD BE'!$N$49+'TUSD BF'!$N$49+'TUSD CVA'!$N$49)*1</f>
        <v>0</v>
      </c>
      <c r="O49" s="17">
        <f>('TUSD BE'!$O$49+'TUSD BF'!$O$49+'TUSD CVA'!$O$49)*1</f>
        <v>0</v>
      </c>
      <c r="P49" s="17">
        <f>('TUSD BE'!$P$49+'TUSD BF'!$P$49+'TUSD CVA'!$P$49)*1</f>
        <v>0</v>
      </c>
      <c r="Q49" s="17">
        <f>('TUSD BE'!$Q$49+'TUSD BF'!$Q$49+'TUSD CVA'!$Q$49)*1</f>
        <v>82.450703213677485</v>
      </c>
      <c r="R49" s="17">
        <f>('TUSD BE'!$R$49+'TUSD BF'!$R$49+'TUSD CVA'!$R$49)*1</f>
        <v>13.715806659518108</v>
      </c>
      <c r="S49" s="17">
        <f>('TUSD BE'!$S$49+'TUSD BF'!$S$49+'TUSD CVA'!$S$49)*1</f>
        <v>0</v>
      </c>
      <c r="T49" s="17">
        <f>('TUSD BE'!$U$49+'TUSD BF'!$U$49+'TUSD CVA'!$U$49)*1</f>
        <v>0</v>
      </c>
      <c r="U49" s="17">
        <f>('TUSD BE'!$V$49+'TUSD BF'!$V$49+'TUSD CVA'!$V$49)*1</f>
        <v>0</v>
      </c>
      <c r="V49" s="17">
        <f>('TUSD BE'!$W$49+'TUSD BF'!$W$49+'TUSD CVA'!$W$49)*1</f>
        <v>0</v>
      </c>
      <c r="W49" s="17">
        <f>('TUSD BE'!$X$49+'TUSD BF'!$X$49+'TUSD CVA'!$X$49)*1</f>
        <v>0</v>
      </c>
      <c r="X49" s="17">
        <f>('TUSD BE'!$Y$49+'TUSD BF'!$Y$49+'TUSD CVA'!$Y$49)*1</f>
        <v>127.20829152221584</v>
      </c>
      <c r="Y49" s="17">
        <f>('TUSD BE'!$Z$49+'TUSD BF'!$Z$49+'TUSD CVA'!$Z$49)*1</f>
        <v>0</v>
      </c>
      <c r="Z49" s="17">
        <f>('TUSD BE'!$AA$49+'TUSD BF'!$AA$49+'TUSD CVA'!$AA$49)*1</f>
        <v>0</v>
      </c>
      <c r="AA49" s="17">
        <f>('TUSD BE'!$AC$49+'TUSD BF'!$AC$49+'TUSD CVA'!$AC$49)*1</f>
        <v>222.33020227254966</v>
      </c>
      <c r="AB49" s="17">
        <f ca="1">('TUSD BE'!$AE$49+'TUSD BF'!$AE$49+'TUSD CVA'!$AE$49)*1</f>
        <v>9.876848375462826</v>
      </c>
      <c r="AC49" s="17">
        <f ca="1">('TUSD BE'!$AF$49+'TUSD BF'!$AF$49+'TUSD CVA'!$AF$49)*1</f>
        <v>0</v>
      </c>
      <c r="AD49" s="17">
        <f>('TUSD BE'!$AH$49+'TUSD BF'!$AH$49+'TUSD CVA'!$AH$49)*1</f>
        <v>37.030380205171916</v>
      </c>
      <c r="AE49" s="17">
        <f>('TUSD BE'!$AI$49+'TUSD BF'!$AI$49+'TUSD CVA'!$AI$49)*1</f>
        <v>0</v>
      </c>
      <c r="AF49" s="17">
        <f ca="1">('TUSD BE'!$AJ$49+'TUSD BF'!$AJ$49+'TUSD CVA'!$AJ$49)*1</f>
        <v>0</v>
      </c>
      <c r="AG49" s="17">
        <f ca="1">('TUSD BE'!$AK$49+'TUSD BF'!$AK$49+'TUSD CVA'!$AK$49)*1</f>
        <v>0</v>
      </c>
      <c r="AI49" s="17">
        <v>0</v>
      </c>
      <c r="AJ49" s="17">
        <v>1.6192630910057899</v>
      </c>
      <c r="AK49" s="17">
        <v>0</v>
      </c>
      <c r="AL49" s="17">
        <v>0</v>
      </c>
      <c r="AM49" s="17">
        <v>0</v>
      </c>
      <c r="AN49" s="17">
        <v>54.913693424899598</v>
      </c>
      <c r="AO49" s="17">
        <v>8.7825256480584404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126.15891137424499</v>
      </c>
      <c r="AV49" s="17">
        <v>0</v>
      </c>
      <c r="AW49" s="17">
        <v>0</v>
      </c>
      <c r="AX49" s="17">
        <v>217.698164206987</v>
      </c>
      <c r="AY49" s="17">
        <v>0</v>
      </c>
      <c r="AZ49" s="17">
        <v>0</v>
      </c>
      <c r="BA49" s="17">
        <v>30.930434032983602</v>
      </c>
      <c r="BB49" s="17">
        <v>0</v>
      </c>
      <c r="BC49" s="17">
        <v>0</v>
      </c>
      <c r="BD49" s="17">
        <v>0</v>
      </c>
    </row>
    <row r="50" spans="1:56" ht="11.25" customHeight="1" x14ac:dyDescent="0.25">
      <c r="A50" s="130" t="s">
        <v>44</v>
      </c>
      <c r="B50" s="130" t="s">
        <v>23</v>
      </c>
      <c r="C50" s="130" t="s">
        <v>45</v>
      </c>
      <c r="D50" s="80" t="s">
        <v>46</v>
      </c>
      <c r="E50" s="80" t="s">
        <v>25</v>
      </c>
      <c r="F50" s="80" t="s">
        <v>25</v>
      </c>
      <c r="G50" s="36" t="s">
        <v>79</v>
      </c>
      <c r="H50" s="36" t="s">
        <v>73</v>
      </c>
      <c r="I50" s="36">
        <f>'MERCADO TUSD'!$U$47</f>
        <v>121.60999999999999</v>
      </c>
      <c r="J50" s="16"/>
      <c r="L50" s="17">
        <f>('TUSD BE'!$L$50+'TUSD BF'!$L$50+'TUSD CVA'!$L$50)*1</f>
        <v>0</v>
      </c>
      <c r="M50" s="17">
        <f>('TUSD BE'!$M$50+'TUSD BF'!$M$50+'TUSD CVA'!$M$50)*1</f>
        <v>0.97894720048990047</v>
      </c>
      <c r="N50" s="17">
        <f ca="1">('TUSD BE'!$N$50+'TUSD BF'!$N$50+'TUSD CVA'!$N$50)*1</f>
        <v>0</v>
      </c>
      <c r="O50" s="17">
        <f>('TUSD BE'!$O$50+'TUSD BF'!$O$50+'TUSD CVA'!$O$50)*1</f>
        <v>0</v>
      </c>
      <c r="P50" s="17">
        <f>('TUSD BE'!$P$50+'TUSD BF'!$P$50+'TUSD CVA'!$P$50)*1</f>
        <v>0</v>
      </c>
      <c r="Q50" s="17">
        <f>('TUSD BE'!$Q$50+'TUSD BF'!$Q$50+'TUSD CVA'!$Q$50)*1</f>
        <v>45.347886767522617</v>
      </c>
      <c r="R50" s="17">
        <f>('TUSD BE'!$R$50+'TUSD BF'!$R$50+'TUSD CVA'!$R$50)*1</f>
        <v>7.5436936627349596</v>
      </c>
      <c r="S50" s="17">
        <f>('TUSD BE'!$S$50+'TUSD BF'!$S$50+'TUSD CVA'!$S$50)*1</f>
        <v>0</v>
      </c>
      <c r="T50" s="17">
        <f>('TUSD BE'!$U$50+'TUSD BF'!$U$50+'TUSD CVA'!$U$50)*1</f>
        <v>0</v>
      </c>
      <c r="U50" s="17">
        <f>('TUSD BE'!$V$50+'TUSD BF'!$V$50+'TUSD CVA'!$V$50)*1</f>
        <v>0</v>
      </c>
      <c r="V50" s="17">
        <f>('TUSD BE'!$W$50+'TUSD BF'!$W$50+'TUSD CVA'!$W$50)*1</f>
        <v>0</v>
      </c>
      <c r="W50" s="17">
        <f>('TUSD BE'!$X$50+'TUSD BF'!$X$50+'TUSD CVA'!$X$50)*1</f>
        <v>0</v>
      </c>
      <c r="X50" s="17">
        <f>('TUSD BE'!$Y$50+'TUSD BF'!$Y$50+'TUSD CVA'!$Y$50)*1</f>
        <v>69.964560337218714</v>
      </c>
      <c r="Y50" s="17">
        <f>('TUSD BE'!$Z$50+'TUSD BF'!$Z$50+'TUSD CVA'!$Z$50)*1</f>
        <v>0</v>
      </c>
      <c r="Z50" s="17">
        <f>('TUSD BE'!$AA$50+'TUSD BF'!$AA$50+'TUSD CVA'!$AA$50)*1</f>
        <v>0</v>
      </c>
      <c r="AA50" s="17">
        <f>('TUSD BE'!$AC$50+'TUSD BF'!$AC$50+'TUSD CVA'!$AC$50)*1</f>
        <v>122.28161124990234</v>
      </c>
      <c r="AB50" s="17">
        <f ca="1">('TUSD BE'!$AE$50+'TUSD BF'!$AE$50+'TUSD CVA'!$AE$50)*1</f>
        <v>5.4322666065045553</v>
      </c>
      <c r="AC50" s="17">
        <f ca="1">('TUSD BE'!$AF$50+'TUSD BF'!$AF$50+'TUSD CVA'!$AF$50)*1</f>
        <v>0</v>
      </c>
      <c r="AD50" s="17">
        <f>('TUSD BE'!$AH$50+'TUSD BF'!$AH$50+'TUSD CVA'!$AH$50)*1</f>
        <v>20.36670911284455</v>
      </c>
      <c r="AE50" s="17">
        <f>('TUSD BE'!$AI$50+'TUSD BF'!$AI$50+'TUSD CVA'!$AI$50)*1</f>
        <v>0</v>
      </c>
      <c r="AF50" s="17">
        <f ca="1">('TUSD BE'!$AJ$50+'TUSD BF'!$AJ$50+'TUSD CVA'!$AJ$50)*1</f>
        <v>0</v>
      </c>
      <c r="AG50" s="17">
        <f ca="1">('TUSD BE'!$AK$50+'TUSD BF'!$AK$50+'TUSD CVA'!$AK$50)*1</f>
        <v>0</v>
      </c>
      <c r="AI50" s="17">
        <v>0</v>
      </c>
      <c r="AJ50" s="17">
        <v>0.89059470005318497</v>
      </c>
      <c r="AK50" s="17">
        <v>0</v>
      </c>
      <c r="AL50" s="17">
        <v>0</v>
      </c>
      <c r="AM50" s="17">
        <v>0</v>
      </c>
      <c r="AN50" s="17">
        <v>30.202531383694801</v>
      </c>
      <c r="AO50" s="17">
        <v>4.8303891064321398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69.387401255835002</v>
      </c>
      <c r="AV50" s="17">
        <v>0</v>
      </c>
      <c r="AW50" s="17">
        <v>0</v>
      </c>
      <c r="AX50" s="17">
        <v>119.73399031384299</v>
      </c>
      <c r="AY50" s="17">
        <v>0</v>
      </c>
      <c r="AZ50" s="17">
        <v>0</v>
      </c>
      <c r="BA50" s="17">
        <v>17.011738718141</v>
      </c>
      <c r="BB50" s="17">
        <v>0</v>
      </c>
      <c r="BC50" s="17">
        <v>0</v>
      </c>
      <c r="BD50" s="17">
        <v>0</v>
      </c>
    </row>
    <row r="51" spans="1:56" ht="11.25" customHeight="1" x14ac:dyDescent="0.25">
      <c r="A51" s="130"/>
      <c r="B51" s="130"/>
      <c r="C51" s="130"/>
      <c r="D51" s="36" t="s">
        <v>47</v>
      </c>
      <c r="E51" s="36" t="s">
        <v>25</v>
      </c>
      <c r="F51" s="36" t="s">
        <v>25</v>
      </c>
      <c r="G51" s="36" t="s">
        <v>79</v>
      </c>
      <c r="H51" s="36" t="s">
        <v>73</v>
      </c>
      <c r="I51" s="36">
        <f>'MERCADO TUSD'!$U$48</f>
        <v>2220.8670000000002</v>
      </c>
      <c r="J51" s="16"/>
      <c r="L51" s="17">
        <f>('TUSD BE'!$L$51+'TUSD BF'!$L$51+'TUSD CVA'!$L$51)*1</f>
        <v>0</v>
      </c>
      <c r="M51" s="17">
        <f>('TUSD BE'!$M$51+'TUSD BF'!$M$51+'TUSD CVA'!$M$51)*1</f>
        <v>1.0679424005344367</v>
      </c>
      <c r="N51" s="17">
        <f ca="1">('TUSD BE'!$N$51+'TUSD BF'!$N$51+'TUSD CVA'!$N$51)*1</f>
        <v>0</v>
      </c>
      <c r="O51" s="17">
        <f>('TUSD BE'!$O$51+'TUSD BF'!$O$51+'TUSD CVA'!$O$51)*1</f>
        <v>0</v>
      </c>
      <c r="P51" s="17">
        <f>('TUSD BE'!$P$51+'TUSD BF'!$P$51+'TUSD CVA'!$P$51)*1</f>
        <v>0</v>
      </c>
      <c r="Q51" s="17">
        <f>('TUSD BE'!$Q$51+'TUSD BF'!$Q$51+'TUSD CVA'!$Q$51)*1</f>
        <v>49.470421928206484</v>
      </c>
      <c r="R51" s="17">
        <f>('TUSD BE'!$R$51+'TUSD BF'!$R$51+'TUSD CVA'!$R$51)*1</f>
        <v>8.229483995710865</v>
      </c>
      <c r="S51" s="17">
        <f>('TUSD BE'!$S$51+'TUSD BF'!$S$51+'TUSD CVA'!$S$51)*1</f>
        <v>0</v>
      </c>
      <c r="T51" s="17">
        <f>('TUSD BE'!$U$51+'TUSD BF'!$U$51+'TUSD CVA'!$U$51)*1</f>
        <v>0</v>
      </c>
      <c r="U51" s="17">
        <f>('TUSD BE'!$V$51+'TUSD BF'!$V$51+'TUSD CVA'!$V$51)*1</f>
        <v>0</v>
      </c>
      <c r="V51" s="17">
        <f>('TUSD BE'!$W$51+'TUSD BF'!$W$51+'TUSD CVA'!$W$51)*1</f>
        <v>0</v>
      </c>
      <c r="W51" s="17">
        <f>('TUSD BE'!$X$51+'TUSD BF'!$X$51+'TUSD CVA'!$X$51)*1</f>
        <v>0</v>
      </c>
      <c r="X51" s="17">
        <f>('TUSD BE'!$Y$51+'TUSD BF'!$Y$51+'TUSD CVA'!$Y$51)*1</f>
        <v>76.324974913329498</v>
      </c>
      <c r="Y51" s="17">
        <f>('TUSD BE'!$Z$51+'TUSD BF'!$Z$51+'TUSD CVA'!$Z$51)*1</f>
        <v>0</v>
      </c>
      <c r="Z51" s="17">
        <f>('TUSD BE'!$AA$51+'TUSD BF'!$AA$51+'TUSD CVA'!$AA$51)*1</f>
        <v>0</v>
      </c>
      <c r="AA51" s="17">
        <f>('TUSD BE'!$AC$51+'TUSD BF'!$AC$51+'TUSD CVA'!$AC$51)*1</f>
        <v>133.39812136352981</v>
      </c>
      <c r="AB51" s="17">
        <f ca="1">('TUSD BE'!$AE$51+'TUSD BF'!$AE$51+'TUSD CVA'!$AE$51)*1</f>
        <v>5.9261090252776958</v>
      </c>
      <c r="AC51" s="17">
        <f ca="1">('TUSD BE'!$AF$51+'TUSD BF'!$AF$51+'TUSD CVA'!$AF$51)*1</f>
        <v>0</v>
      </c>
      <c r="AD51" s="17">
        <f>('TUSD BE'!$AH$51+'TUSD BF'!$AH$51+'TUSD CVA'!$AH$51)*1</f>
        <v>22.218228123103142</v>
      </c>
      <c r="AE51" s="17">
        <f>('TUSD BE'!$AI$51+'TUSD BF'!$AI$51+'TUSD CVA'!$AI$51)*1</f>
        <v>0</v>
      </c>
      <c r="AF51" s="17">
        <f ca="1">('TUSD BE'!$AJ$51+'TUSD BF'!$AJ$51+'TUSD CVA'!$AJ$51)*1</f>
        <v>0</v>
      </c>
      <c r="AG51" s="17">
        <f ca="1">('TUSD BE'!$AK$51+'TUSD BF'!$AK$51+'TUSD CVA'!$AK$51)*1</f>
        <v>0</v>
      </c>
      <c r="AI51" s="17">
        <v>0</v>
      </c>
      <c r="AJ51" s="17">
        <v>0.97155785460347399</v>
      </c>
      <c r="AK51" s="17">
        <v>0</v>
      </c>
      <c r="AL51" s="17">
        <v>0</v>
      </c>
      <c r="AM51" s="17">
        <v>0</v>
      </c>
      <c r="AN51" s="17">
        <v>32.948216054939699</v>
      </c>
      <c r="AO51" s="17">
        <v>5.2695153888350603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75.6953468245473</v>
      </c>
      <c r="AV51" s="17">
        <v>0</v>
      </c>
      <c r="AW51" s="17">
        <v>0</v>
      </c>
      <c r="AX51" s="17">
        <v>130.61889852419199</v>
      </c>
      <c r="AY51" s="17">
        <v>0</v>
      </c>
      <c r="AZ51" s="17">
        <v>0</v>
      </c>
      <c r="BA51" s="17">
        <v>18.558260419790201</v>
      </c>
      <c r="BB51" s="17">
        <v>0</v>
      </c>
      <c r="BC51" s="17">
        <v>0</v>
      </c>
      <c r="BD51" s="17">
        <v>0</v>
      </c>
    </row>
    <row r="53" spans="1:56" ht="11.25" customHeight="1" x14ac:dyDescent="0.25">
      <c r="L53" s="132" t="s">
        <v>650</v>
      </c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I53" s="132" t="s">
        <v>651</v>
      </c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</row>
    <row r="54" spans="1:56" ht="11.25" customHeight="1" x14ac:dyDescent="0.25">
      <c r="L54" s="132" t="s">
        <v>399</v>
      </c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I54" s="132" t="s">
        <v>399</v>
      </c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</row>
    <row r="55" spans="1:56" ht="11.25" customHeight="1" x14ac:dyDescent="0.25">
      <c r="L55" s="132" t="s">
        <v>400</v>
      </c>
      <c r="M55" s="132"/>
      <c r="N55" s="132"/>
      <c r="O55" s="132"/>
      <c r="P55" s="132"/>
      <c r="Q55" s="132"/>
      <c r="R55" s="132"/>
      <c r="S55" s="132"/>
      <c r="T55" s="132" t="s">
        <v>409</v>
      </c>
      <c r="U55" s="132"/>
      <c r="V55" s="132"/>
      <c r="W55" s="132"/>
      <c r="X55" s="132"/>
      <c r="Y55" s="132"/>
      <c r="Z55" s="132"/>
      <c r="AA55" s="79" t="s">
        <v>417</v>
      </c>
      <c r="AB55" s="132" t="s">
        <v>419</v>
      </c>
      <c r="AC55" s="132"/>
      <c r="AD55" s="132" t="s">
        <v>422</v>
      </c>
      <c r="AE55" s="132"/>
      <c r="AF55" s="132"/>
      <c r="AG55" s="132"/>
      <c r="AI55" s="132" t="s">
        <v>400</v>
      </c>
      <c r="AJ55" s="132"/>
      <c r="AK55" s="132"/>
      <c r="AL55" s="132"/>
      <c r="AM55" s="132"/>
      <c r="AN55" s="132"/>
      <c r="AO55" s="132"/>
      <c r="AP55" s="132"/>
      <c r="AQ55" s="132" t="s">
        <v>409</v>
      </c>
      <c r="AR55" s="132"/>
      <c r="AS55" s="132"/>
      <c r="AT55" s="132"/>
      <c r="AU55" s="132"/>
      <c r="AV55" s="132"/>
      <c r="AW55" s="132"/>
      <c r="AX55" s="79" t="s">
        <v>417</v>
      </c>
      <c r="AY55" s="132" t="s">
        <v>419</v>
      </c>
      <c r="AZ55" s="132"/>
      <c r="BA55" s="132" t="s">
        <v>422</v>
      </c>
      <c r="BB55" s="132"/>
      <c r="BC55" s="132"/>
      <c r="BD55" s="132"/>
    </row>
    <row r="56" spans="1:56" ht="11.25" customHeight="1" x14ac:dyDescent="0.25">
      <c r="L56" s="79" t="s">
        <v>484</v>
      </c>
      <c r="M56" s="79" t="s">
        <v>401</v>
      </c>
      <c r="N56" s="79" t="s">
        <v>402</v>
      </c>
      <c r="O56" s="79" t="s">
        <v>403</v>
      </c>
      <c r="P56" s="79" t="s">
        <v>404</v>
      </c>
      <c r="Q56" s="79" t="s">
        <v>405</v>
      </c>
      <c r="R56" s="79" t="s">
        <v>406</v>
      </c>
      <c r="S56" s="79" t="s">
        <v>407</v>
      </c>
      <c r="T56" s="79" t="s">
        <v>410</v>
      </c>
      <c r="U56" s="79" t="s">
        <v>411</v>
      </c>
      <c r="V56" s="79" t="s">
        <v>412</v>
      </c>
      <c r="W56" s="79" t="s">
        <v>413</v>
      </c>
      <c r="X56" s="79" t="s">
        <v>414</v>
      </c>
      <c r="Y56" s="79" t="s">
        <v>415</v>
      </c>
      <c r="Z56" s="79" t="s">
        <v>416</v>
      </c>
      <c r="AA56" s="79" t="s">
        <v>418</v>
      </c>
      <c r="AB56" s="79" t="s">
        <v>420</v>
      </c>
      <c r="AC56" s="79" t="s">
        <v>421</v>
      </c>
      <c r="AD56" s="79" t="s">
        <v>423</v>
      </c>
      <c r="AE56" s="79" t="s">
        <v>424</v>
      </c>
      <c r="AF56" s="79" t="s">
        <v>425</v>
      </c>
      <c r="AG56" s="79" t="s">
        <v>426</v>
      </c>
      <c r="AI56" s="79" t="s">
        <v>484</v>
      </c>
      <c r="AJ56" s="79" t="s">
        <v>401</v>
      </c>
      <c r="AK56" s="79" t="s">
        <v>402</v>
      </c>
      <c r="AL56" s="79" t="s">
        <v>403</v>
      </c>
      <c r="AM56" s="79" t="s">
        <v>404</v>
      </c>
      <c r="AN56" s="79" t="s">
        <v>405</v>
      </c>
      <c r="AO56" s="79" t="s">
        <v>406</v>
      </c>
      <c r="AP56" s="79" t="s">
        <v>407</v>
      </c>
      <c r="AQ56" s="79" t="s">
        <v>410</v>
      </c>
      <c r="AR56" s="79" t="s">
        <v>411</v>
      </c>
      <c r="AS56" s="79" t="s">
        <v>412</v>
      </c>
      <c r="AT56" s="79" t="s">
        <v>413</v>
      </c>
      <c r="AU56" s="79" t="s">
        <v>414</v>
      </c>
      <c r="AV56" s="79" t="s">
        <v>415</v>
      </c>
      <c r="AW56" s="79" t="s">
        <v>416</v>
      </c>
      <c r="AX56" s="79" t="s">
        <v>418</v>
      </c>
      <c r="AY56" s="79" t="s">
        <v>420</v>
      </c>
      <c r="AZ56" s="79" t="s">
        <v>421</v>
      </c>
      <c r="BA56" s="79" t="s">
        <v>423</v>
      </c>
      <c r="BB56" s="79" t="s">
        <v>424</v>
      </c>
      <c r="BC56" s="79" t="s">
        <v>425</v>
      </c>
      <c r="BD56" s="79" t="s">
        <v>426</v>
      </c>
    </row>
    <row r="57" spans="1:56" ht="11.25" customHeight="1" x14ac:dyDescent="0.25">
      <c r="A57" s="9" t="s">
        <v>33</v>
      </c>
      <c r="B57" s="9" t="s">
        <v>652</v>
      </c>
      <c r="C57" s="9" t="s">
        <v>653</v>
      </c>
      <c r="D57" s="9" t="s">
        <v>654</v>
      </c>
      <c r="E57" s="9" t="s">
        <v>655</v>
      </c>
      <c r="F57" s="9" t="s">
        <v>656</v>
      </c>
      <c r="G57" s="9" t="s">
        <v>657</v>
      </c>
      <c r="L57" s="17">
        <f>$I$5*$L$5</f>
        <v>0</v>
      </c>
      <c r="M57" s="17">
        <f>$I$5*$M$5</f>
        <v>0</v>
      </c>
      <c r="N57" s="17">
        <f ca="1">$I$5*$N$5</f>
        <v>0</v>
      </c>
      <c r="O57" s="17">
        <f>$I$5*$O$5</f>
        <v>0</v>
      </c>
      <c r="P57" s="17">
        <f>$I$5*$P$5</f>
        <v>0</v>
      </c>
      <c r="Q57" s="17">
        <f>$I$5*$Q$5</f>
        <v>0</v>
      </c>
      <c r="R57" s="17">
        <f>$I$5*$R$5</f>
        <v>0</v>
      </c>
      <c r="S57" s="17">
        <f>$I$5*$S$5</f>
        <v>0</v>
      </c>
      <c r="T57" s="17">
        <f>$I$5*$T$5</f>
        <v>0</v>
      </c>
      <c r="U57" s="17">
        <f>$I$5*$U$5</f>
        <v>0</v>
      </c>
      <c r="V57" s="17">
        <f>$I$5*$V$5</f>
        <v>0</v>
      </c>
      <c r="W57" s="17">
        <f>$I$5*$W$5</f>
        <v>0</v>
      </c>
      <c r="X57" s="17">
        <f>$I$5*$X$5</f>
        <v>76446.099188664768</v>
      </c>
      <c r="Y57" s="17">
        <f>$I$5*$Y$5</f>
        <v>0</v>
      </c>
      <c r="Z57" s="17">
        <f>$I$5*$Z$5</f>
        <v>0</v>
      </c>
      <c r="AA57" s="17">
        <f>$I$5*$AA$5</f>
        <v>78874.752888440576</v>
      </c>
      <c r="AB57" s="17">
        <f ca="1">$I$5*$AB$5</f>
        <v>3243.7847504342317</v>
      </c>
      <c r="AC57" s="17">
        <f ca="1">$I$5*$AC$5</f>
        <v>0</v>
      </c>
      <c r="AD57" s="17">
        <f>$I$5*$AD$5</f>
        <v>0</v>
      </c>
      <c r="AE57" s="17">
        <f>$I$5*$AE$5</f>
        <v>0</v>
      </c>
      <c r="AF57" s="17">
        <f ca="1">$I$5*$AF$5</f>
        <v>0</v>
      </c>
      <c r="AG57" s="17">
        <f ca="1">$I$5*$AG$5</f>
        <v>0</v>
      </c>
      <c r="AI57" s="17">
        <f>$I$5*$AI$5</f>
        <v>0</v>
      </c>
      <c r="AJ57" s="17">
        <f>$I$5*$AJ$5</f>
        <v>0</v>
      </c>
      <c r="AK57" s="17">
        <f>$I$5*$AK$5</f>
        <v>0</v>
      </c>
      <c r="AL57" s="17">
        <f>$I$5*$AL$5</f>
        <v>0</v>
      </c>
      <c r="AM57" s="17">
        <f>$I$5*$AM$5</f>
        <v>0</v>
      </c>
      <c r="AN57" s="17">
        <f>$I$5*$AN$5</f>
        <v>0</v>
      </c>
      <c r="AO57" s="17">
        <f>$I$5*$AO$5</f>
        <v>0</v>
      </c>
      <c r="AP57" s="17">
        <f>$I$5*$AP$5</f>
        <v>0</v>
      </c>
      <c r="AQ57" s="17">
        <f>$I$5*$AQ$5</f>
        <v>0</v>
      </c>
      <c r="AR57" s="17">
        <f>$I$5*$AR$5</f>
        <v>0</v>
      </c>
      <c r="AS57" s="17">
        <f>$I$5*$AS$5</f>
        <v>0</v>
      </c>
      <c r="AT57" s="17">
        <f>$I$5*$AT$5</f>
        <v>0</v>
      </c>
      <c r="AU57" s="17">
        <f>$I$5*$AU$5</f>
        <v>75815.405003656284</v>
      </c>
      <c r="AV57" s="17">
        <f>$I$5*$AV$5</f>
        <v>0</v>
      </c>
      <c r="AW57" s="17">
        <f>$I$5*$AW$5</f>
        <v>0</v>
      </c>
      <c r="AX57" s="17">
        <f>$I$5*$AX$5</f>
        <v>77231.480267605933</v>
      </c>
      <c r="AY57" s="17">
        <f>$I$5*$AY$5</f>
        <v>0</v>
      </c>
      <c r="AZ57" s="17">
        <f>$I$5*$AZ$5</f>
        <v>0</v>
      </c>
      <c r="BA57" s="17">
        <f>$I$5*$BA$5</f>
        <v>0</v>
      </c>
      <c r="BB57" s="17">
        <f>$I$5*$BB$5</f>
        <v>0</v>
      </c>
      <c r="BC57" s="17">
        <f>$I$5*$BC$5</f>
        <v>0</v>
      </c>
      <c r="BD57" s="17">
        <f>$I$5*$BD$5</f>
        <v>0</v>
      </c>
    </row>
    <row r="58" spans="1:56" ht="11.25" customHeight="1" x14ac:dyDescent="0.25">
      <c r="A58" s="9" t="s">
        <v>33</v>
      </c>
      <c r="B58" s="9" t="s">
        <v>652</v>
      </c>
      <c r="C58" s="9" t="s">
        <v>653</v>
      </c>
      <c r="D58" s="9" t="s">
        <v>654</v>
      </c>
      <c r="E58" s="9" t="s">
        <v>655</v>
      </c>
      <c r="F58" s="9" t="s">
        <v>656</v>
      </c>
      <c r="G58" s="9" t="s">
        <v>658</v>
      </c>
      <c r="L58" s="17">
        <f>$I$6*$L$6</f>
        <v>0</v>
      </c>
      <c r="M58" s="17">
        <f>$I$6*$M$6</f>
        <v>0</v>
      </c>
      <c r="N58" s="17">
        <f ca="1">$I$6*$N$6</f>
        <v>0</v>
      </c>
      <c r="O58" s="17">
        <f>$I$6*$O$6</f>
        <v>0</v>
      </c>
      <c r="P58" s="17">
        <f>$I$6*$P$6</f>
        <v>0</v>
      </c>
      <c r="Q58" s="17">
        <f>$I$6*$Q$6</f>
        <v>0</v>
      </c>
      <c r="R58" s="17">
        <f>$I$6*$R$6</f>
        <v>0</v>
      </c>
      <c r="S58" s="17">
        <f>$I$6*$S$6</f>
        <v>0</v>
      </c>
      <c r="T58" s="17">
        <f>$I$6*$T$6</f>
        <v>0</v>
      </c>
      <c r="U58" s="17">
        <f>$I$6*$U$6</f>
        <v>0</v>
      </c>
      <c r="V58" s="17">
        <f>$I$6*$V$6</f>
        <v>0</v>
      </c>
      <c r="W58" s="17">
        <f>$I$6*$W$6</f>
        <v>0</v>
      </c>
      <c r="X58" s="17">
        <f>$I$6*$X$6</f>
        <v>18344.01281124754</v>
      </c>
      <c r="Y58" s="17">
        <f>$I$6*$Y$6</f>
        <v>0</v>
      </c>
      <c r="Z58" s="17">
        <f>$I$6*$Z$6</f>
        <v>0</v>
      </c>
      <c r="AA58" s="17">
        <f>$I$6*$AA$6</f>
        <v>21649.836726183585</v>
      </c>
      <c r="AB58" s="17">
        <f ca="1">$I$6*$AB$6</f>
        <v>849.05767385320109</v>
      </c>
      <c r="AC58" s="17">
        <f ca="1">$I$6*$AC$6</f>
        <v>0</v>
      </c>
      <c r="AD58" s="17">
        <f>$I$6*$AD$6</f>
        <v>0</v>
      </c>
      <c r="AE58" s="17">
        <f>$I$6*$AE$6</f>
        <v>0</v>
      </c>
      <c r="AF58" s="17">
        <f ca="1">$I$6*$AF$6</f>
        <v>0</v>
      </c>
      <c r="AG58" s="17">
        <f ca="1">$I$6*$AG$6</f>
        <v>0</v>
      </c>
      <c r="AI58" s="17">
        <f>$I$6*$AI$6</f>
        <v>0</v>
      </c>
      <c r="AJ58" s="17">
        <f>$I$6*$AJ$6</f>
        <v>0</v>
      </c>
      <c r="AK58" s="17">
        <f>$I$6*$AK$6</f>
        <v>0</v>
      </c>
      <c r="AL58" s="17">
        <f>$I$6*$AL$6</f>
        <v>0</v>
      </c>
      <c r="AM58" s="17">
        <f>$I$6*$AM$6</f>
        <v>0</v>
      </c>
      <c r="AN58" s="17">
        <f>$I$6*$AN$6</f>
        <v>0</v>
      </c>
      <c r="AO58" s="17">
        <f>$I$6*$AO$6</f>
        <v>0</v>
      </c>
      <c r="AP58" s="17">
        <f>$I$6*$AP$6</f>
        <v>0</v>
      </c>
      <c r="AQ58" s="17">
        <f>$I$6*$AQ$6</f>
        <v>0</v>
      </c>
      <c r="AR58" s="17">
        <f>$I$6*$AR$6</f>
        <v>0</v>
      </c>
      <c r="AS58" s="17">
        <f>$I$6*$AS$6</f>
        <v>0</v>
      </c>
      <c r="AT58" s="17">
        <f>$I$6*$AT$6</f>
        <v>0</v>
      </c>
      <c r="AU58" s="17">
        <f>$I$6*$AU$6</f>
        <v>18192.760225662932</v>
      </c>
      <c r="AV58" s="17">
        <f>$I$6*$AV$6</f>
        <v>0</v>
      </c>
      <c r="AW58" s="17">
        <f>$I$6*$AW$6</f>
        <v>0</v>
      </c>
      <c r="AX58" s="17">
        <f>$I$6*$AX$6</f>
        <v>21198.745755734017</v>
      </c>
      <c r="AY58" s="17">
        <f>$I$6*$AY$6</f>
        <v>0</v>
      </c>
      <c r="AZ58" s="17">
        <f>$I$6*$AZ$6</f>
        <v>0</v>
      </c>
      <c r="BA58" s="17">
        <f>$I$6*$BA$6</f>
        <v>0</v>
      </c>
      <c r="BB58" s="17">
        <f>$I$6*$BB$6</f>
        <v>0</v>
      </c>
      <c r="BC58" s="17">
        <f>$I$6*$BC$6</f>
        <v>0</v>
      </c>
      <c r="BD58" s="17">
        <f>$I$6*$BD$6</f>
        <v>0</v>
      </c>
    </row>
    <row r="59" spans="1:56" ht="11.25" customHeight="1" x14ac:dyDescent="0.25">
      <c r="A59" s="9" t="s">
        <v>33</v>
      </c>
      <c r="B59" s="9" t="s">
        <v>652</v>
      </c>
      <c r="C59" s="9" t="s">
        <v>653</v>
      </c>
      <c r="D59" s="9" t="s">
        <v>654</v>
      </c>
      <c r="E59" s="9" t="s">
        <v>655</v>
      </c>
      <c r="F59" s="9" t="s">
        <v>656</v>
      </c>
      <c r="G59" s="9" t="s">
        <v>659</v>
      </c>
      <c r="L59" s="17">
        <f>$I$7*$L$7</f>
        <v>0</v>
      </c>
      <c r="M59" s="17">
        <f>$I$7*$M$7</f>
        <v>688.64326767409159</v>
      </c>
      <c r="N59" s="17">
        <f ca="1">$I$7*$N$7</f>
        <v>0</v>
      </c>
      <c r="O59" s="17">
        <f>$I$7*$O$7</f>
        <v>0</v>
      </c>
      <c r="P59" s="17">
        <f>$I$7*$P$7</f>
        <v>0</v>
      </c>
      <c r="Q59" s="17">
        <f>$I$7*$Q$7</f>
        <v>44680.586842189303</v>
      </c>
      <c r="R59" s="17">
        <f>$I$7*$R$7</f>
        <v>8848.4372028349408</v>
      </c>
      <c r="S59" s="17">
        <f>$I$7*$S$7</f>
        <v>0</v>
      </c>
      <c r="T59" s="17">
        <f>$I$7*$T$7</f>
        <v>0</v>
      </c>
      <c r="U59" s="17">
        <f>$I$7*$U$7</f>
        <v>0</v>
      </c>
      <c r="V59" s="17">
        <f>$I$7*$V$7</f>
        <v>0</v>
      </c>
      <c r="W59" s="17">
        <f>$I$7*$W$7</f>
        <v>0</v>
      </c>
      <c r="X59" s="17">
        <f>$I$7*$X$7</f>
        <v>0</v>
      </c>
      <c r="Y59" s="17">
        <f>$I$7*$Y$7</f>
        <v>0</v>
      </c>
      <c r="Z59" s="17">
        <f>$I$7*$Z$7</f>
        <v>0</v>
      </c>
      <c r="AA59" s="17">
        <f>$I$7*$AA$7</f>
        <v>0</v>
      </c>
      <c r="AB59" s="17">
        <f ca="1">$I$7*$AB$7</f>
        <v>1042.161632395663</v>
      </c>
      <c r="AC59" s="17">
        <f ca="1">$I$7*$AC$7</f>
        <v>0</v>
      </c>
      <c r="AD59" s="17">
        <f>$I$7*$AD$7</f>
        <v>11385.053965795425</v>
      </c>
      <c r="AE59" s="17">
        <f>$I$7*$AE$7</f>
        <v>0</v>
      </c>
      <c r="AF59" s="17">
        <f ca="1">$I$7*$AF$7</f>
        <v>0</v>
      </c>
      <c r="AG59" s="17">
        <f ca="1">$I$7*$AG$7</f>
        <v>0</v>
      </c>
      <c r="AI59" s="17">
        <f>$I$7*$AI$7</f>
        <v>0</v>
      </c>
      <c r="AJ59" s="17">
        <f>$I$7*$AJ$7</f>
        <v>599.15973662846852</v>
      </c>
      <c r="AK59" s="17">
        <f>$I$7*$AK$7</f>
        <v>0</v>
      </c>
      <c r="AL59" s="17">
        <f>$I$7*$AL$7</f>
        <v>0</v>
      </c>
      <c r="AM59" s="17">
        <f>$I$7*$AM$7</f>
        <v>0</v>
      </c>
      <c r="AN59" s="17">
        <f>$I$7*$AN$7</f>
        <v>30820.886479368903</v>
      </c>
      <c r="AO59" s="17">
        <f>$I$7*$AO$7</f>
        <v>5665.8444237549993</v>
      </c>
      <c r="AP59" s="17">
        <f>$I$7*$AP$7</f>
        <v>0</v>
      </c>
      <c r="AQ59" s="17">
        <f>$I$7*$AQ$7</f>
        <v>0</v>
      </c>
      <c r="AR59" s="17">
        <f>$I$7*$AR$7</f>
        <v>0</v>
      </c>
      <c r="AS59" s="17">
        <f>$I$7*$AS$7</f>
        <v>0</v>
      </c>
      <c r="AT59" s="17">
        <f>$I$7*$AT$7</f>
        <v>0</v>
      </c>
      <c r="AU59" s="17">
        <f>$I$7*$AU$7</f>
        <v>0</v>
      </c>
      <c r="AV59" s="17">
        <f>$I$7*$AV$7</f>
        <v>0</v>
      </c>
      <c r="AW59" s="17">
        <f>$I$7*$AW$7</f>
        <v>0</v>
      </c>
      <c r="AX59" s="17">
        <f>$I$7*$AX$7</f>
        <v>0</v>
      </c>
      <c r="AY59" s="17">
        <f>$I$7*$AY$7</f>
        <v>0</v>
      </c>
      <c r="AZ59" s="17">
        <f>$I$7*$AZ$7</f>
        <v>0</v>
      </c>
      <c r="BA59" s="17">
        <f>$I$7*$BA$7</f>
        <v>9509.623841964778</v>
      </c>
      <c r="BB59" s="17">
        <f>$I$7*$BB$7</f>
        <v>0</v>
      </c>
      <c r="BC59" s="17">
        <f>$I$7*$BC$7</f>
        <v>0</v>
      </c>
      <c r="BD59" s="17">
        <f>$I$7*$BD$7</f>
        <v>0</v>
      </c>
    </row>
    <row r="60" spans="1:56" ht="11.25" customHeight="1" x14ac:dyDescent="0.25">
      <c r="A60" s="9" t="s">
        <v>33</v>
      </c>
      <c r="B60" s="9" t="s">
        <v>652</v>
      </c>
      <c r="C60" s="9" t="s">
        <v>653</v>
      </c>
      <c r="D60" s="9" t="s">
        <v>654</v>
      </c>
      <c r="E60" s="9" t="s">
        <v>660</v>
      </c>
      <c r="F60" s="9" t="s">
        <v>661</v>
      </c>
      <c r="G60" s="9" t="s">
        <v>662</v>
      </c>
      <c r="L60" s="17">
        <f>$I$8*$L$8</f>
        <v>0</v>
      </c>
      <c r="M60" s="17">
        <f>$I$8*$M$8</f>
        <v>0</v>
      </c>
      <c r="N60" s="17">
        <f ca="1">$I$8*$N$8</f>
        <v>0</v>
      </c>
      <c r="O60" s="17">
        <f>$I$8*$O$8</f>
        <v>0</v>
      </c>
      <c r="P60" s="17">
        <f>$I$8*$P$8</f>
        <v>0</v>
      </c>
      <c r="Q60" s="17">
        <f>$I$8*$Q$8</f>
        <v>0</v>
      </c>
      <c r="R60" s="17">
        <f>$I$8*$R$8</f>
        <v>0</v>
      </c>
      <c r="S60" s="17">
        <f>$I$8*$S$8</f>
        <v>0</v>
      </c>
      <c r="T60" s="17">
        <f>$I$8*$T$8</f>
        <v>0</v>
      </c>
      <c r="U60" s="17">
        <f>$I$8*$U$8</f>
        <v>0</v>
      </c>
      <c r="V60" s="17">
        <f>$I$8*$V$8</f>
        <v>0</v>
      </c>
      <c r="W60" s="17">
        <f>$I$8*$W$8</f>
        <v>0</v>
      </c>
      <c r="X60" s="17">
        <f>$I$8*$X$8</f>
        <v>0</v>
      </c>
      <c r="Y60" s="17">
        <f>$I$8*$Y$8</f>
        <v>0</v>
      </c>
      <c r="Z60" s="17">
        <f>$I$8*$Z$8</f>
        <v>0</v>
      </c>
      <c r="AA60" s="17">
        <f>$I$8*$AA$8</f>
        <v>0</v>
      </c>
      <c r="AB60" s="17">
        <f ca="1">$I$8*$AB$8</f>
        <v>0</v>
      </c>
      <c r="AC60" s="17">
        <f ca="1">$I$8*$AC$8</f>
        <v>0</v>
      </c>
      <c r="AD60" s="17">
        <f>$I$8*$AD$8</f>
        <v>0</v>
      </c>
      <c r="AE60" s="17">
        <f>$I$8*$AE$8</f>
        <v>0</v>
      </c>
      <c r="AF60" s="17">
        <f ca="1">$I$8*$AF$8</f>
        <v>0</v>
      </c>
      <c r="AG60" s="17">
        <f ca="1">$I$8*$AG$8</f>
        <v>0</v>
      </c>
      <c r="AI60" s="17">
        <f>$I$8*$AI$8</f>
        <v>0</v>
      </c>
      <c r="AJ60" s="17">
        <f>$I$8*$AJ$8</f>
        <v>0</v>
      </c>
      <c r="AK60" s="17">
        <f>$I$8*$AK$8</f>
        <v>0</v>
      </c>
      <c r="AL60" s="17">
        <f>$I$8*$AL$8</f>
        <v>0</v>
      </c>
      <c r="AM60" s="17">
        <f>$I$8*$AM$8</f>
        <v>0</v>
      </c>
      <c r="AN60" s="17">
        <f>$I$8*$AN$8</f>
        <v>0</v>
      </c>
      <c r="AO60" s="17">
        <f>$I$8*$AO$8</f>
        <v>0</v>
      </c>
      <c r="AP60" s="17">
        <f>$I$8*$AP$8</f>
        <v>0</v>
      </c>
      <c r="AQ60" s="17">
        <f>$I$8*$AQ$8</f>
        <v>0</v>
      </c>
      <c r="AR60" s="17">
        <f>$I$8*$AR$8</f>
        <v>0</v>
      </c>
      <c r="AS60" s="17">
        <f>$I$8*$AS$8</f>
        <v>0</v>
      </c>
      <c r="AT60" s="17">
        <f>$I$8*$AT$8</f>
        <v>0</v>
      </c>
      <c r="AU60" s="17">
        <f>$I$8*$AU$8</f>
        <v>0</v>
      </c>
      <c r="AV60" s="17">
        <f>$I$8*$AV$8</f>
        <v>0</v>
      </c>
      <c r="AW60" s="17">
        <f>$I$8*$AW$8</f>
        <v>0</v>
      </c>
      <c r="AX60" s="17">
        <f>$I$8*$AX$8</f>
        <v>0</v>
      </c>
      <c r="AY60" s="17">
        <f>$I$8*$AY$8</f>
        <v>0</v>
      </c>
      <c r="AZ60" s="17">
        <f>$I$8*$AZ$8</f>
        <v>0</v>
      </c>
      <c r="BA60" s="17">
        <f>$I$8*$BA$8</f>
        <v>0</v>
      </c>
      <c r="BB60" s="17">
        <f>$I$8*$BB$8</f>
        <v>0</v>
      </c>
      <c r="BC60" s="17">
        <f>$I$8*$BC$8</f>
        <v>0</v>
      </c>
      <c r="BD60" s="17">
        <f>$I$8*$BD$8</f>
        <v>0</v>
      </c>
    </row>
    <row r="61" spans="1:56" ht="11.25" customHeight="1" x14ac:dyDescent="0.25">
      <c r="A61" s="9" t="s">
        <v>33</v>
      </c>
      <c r="B61" s="9" t="s">
        <v>663</v>
      </c>
      <c r="C61" s="9" t="s">
        <v>664</v>
      </c>
      <c r="D61" s="9" t="s">
        <v>665</v>
      </c>
      <c r="E61" s="9" t="s">
        <v>666</v>
      </c>
      <c r="F61" s="9" t="s">
        <v>667</v>
      </c>
      <c r="G61" s="9" t="s">
        <v>668</v>
      </c>
      <c r="L61" s="17">
        <f>$I$9*$L$9</f>
        <v>0</v>
      </c>
      <c r="M61" s="17">
        <f>$I$9*$M$9</f>
        <v>0</v>
      </c>
      <c r="N61" s="17">
        <f ca="1">$I$9*$N$9</f>
        <v>0</v>
      </c>
      <c r="O61" s="17">
        <f>$I$9*$O$9</f>
        <v>0</v>
      </c>
      <c r="P61" s="17">
        <f>$I$9*$P$9</f>
        <v>0</v>
      </c>
      <c r="Q61" s="17">
        <f>$I$9*$Q$9</f>
        <v>0</v>
      </c>
      <c r="R61" s="17">
        <f>$I$9*$R$9</f>
        <v>0</v>
      </c>
      <c r="S61" s="17">
        <f>$I$9*$S$9</f>
        <v>0</v>
      </c>
      <c r="T61" s="17">
        <f>$I$9*$T$9</f>
        <v>0</v>
      </c>
      <c r="U61" s="17">
        <f>$I$9*$U$9</f>
        <v>0</v>
      </c>
      <c r="V61" s="17">
        <f>$I$9*$V$9</f>
        <v>0</v>
      </c>
      <c r="W61" s="17">
        <f>$I$9*$W$9</f>
        <v>0</v>
      </c>
      <c r="X61" s="17">
        <f>$I$9*$X$9</f>
        <v>0</v>
      </c>
      <c r="Y61" s="17">
        <f>$I$9*$Y$9</f>
        <v>0</v>
      </c>
      <c r="Z61" s="17">
        <f>$I$9*$Z$9</f>
        <v>0</v>
      </c>
      <c r="AA61" s="17">
        <f>$I$9*$AA$9</f>
        <v>0</v>
      </c>
      <c r="AB61" s="17">
        <f ca="1">$I$9*$AB$9</f>
        <v>0</v>
      </c>
      <c r="AC61" s="17">
        <f ca="1">$I$9*$AC$9</f>
        <v>0</v>
      </c>
      <c r="AD61" s="17">
        <f>$I$9*$AD$9</f>
        <v>0</v>
      </c>
      <c r="AE61" s="17">
        <f>$I$9*$AE$9</f>
        <v>0</v>
      </c>
      <c r="AF61" s="17">
        <f ca="1">$I$9*$AF$9</f>
        <v>0</v>
      </c>
      <c r="AG61" s="17">
        <f ca="1">$I$9*$AG$9</f>
        <v>0</v>
      </c>
      <c r="AI61" s="17">
        <f>$I$9*$AI$9</f>
        <v>0</v>
      </c>
      <c r="AJ61" s="17">
        <f>$I$9*$AJ$9</f>
        <v>0</v>
      </c>
      <c r="AK61" s="17">
        <f>$I$9*$AK$9</f>
        <v>0</v>
      </c>
      <c r="AL61" s="17">
        <f>$I$9*$AL$9</f>
        <v>0</v>
      </c>
      <c r="AM61" s="17">
        <f>$I$9*$AM$9</f>
        <v>0</v>
      </c>
      <c r="AN61" s="17">
        <f>$I$9*$AN$9</f>
        <v>0</v>
      </c>
      <c r="AO61" s="17">
        <f>$I$9*$AO$9</f>
        <v>0</v>
      </c>
      <c r="AP61" s="17">
        <f>$I$9*$AP$9</f>
        <v>0</v>
      </c>
      <c r="AQ61" s="17">
        <f>$I$9*$AQ$9</f>
        <v>0</v>
      </c>
      <c r="AR61" s="17">
        <f>$I$9*$AR$9</f>
        <v>0</v>
      </c>
      <c r="AS61" s="17">
        <f>$I$9*$AS$9</f>
        <v>0</v>
      </c>
      <c r="AT61" s="17">
        <f>$I$9*$AT$9</f>
        <v>0</v>
      </c>
      <c r="AU61" s="17">
        <f>$I$9*$AU$9</f>
        <v>0</v>
      </c>
      <c r="AV61" s="17">
        <f>$I$9*$AV$9</f>
        <v>0</v>
      </c>
      <c r="AW61" s="17">
        <f>$I$9*$AW$9</f>
        <v>0</v>
      </c>
      <c r="AX61" s="17">
        <f>$I$9*$AX$9</f>
        <v>0</v>
      </c>
      <c r="AY61" s="17">
        <f>$I$9*$AY$9</f>
        <v>0</v>
      </c>
      <c r="AZ61" s="17">
        <f>$I$9*$AZ$9</f>
        <v>0</v>
      </c>
      <c r="BA61" s="17">
        <f>$I$9*$BA$9</f>
        <v>0</v>
      </c>
      <c r="BB61" s="17">
        <f>$I$9*$BB$9</f>
        <v>0</v>
      </c>
      <c r="BC61" s="17">
        <f>$I$9*$BC$9</f>
        <v>0</v>
      </c>
      <c r="BD61" s="17">
        <f>$I$9*$BD$9</f>
        <v>0</v>
      </c>
    </row>
    <row r="62" spans="1:56" ht="11.25" customHeight="1" x14ac:dyDescent="0.25">
      <c r="A62" s="9" t="s">
        <v>33</v>
      </c>
      <c r="B62" s="9" t="s">
        <v>669</v>
      </c>
      <c r="C62" s="9" t="s">
        <v>670</v>
      </c>
      <c r="D62" s="9" t="s">
        <v>671</v>
      </c>
      <c r="E62" s="9" t="s">
        <v>672</v>
      </c>
      <c r="F62" s="9" t="s">
        <v>673</v>
      </c>
      <c r="G62" s="9" t="s">
        <v>674</v>
      </c>
      <c r="L62" s="17">
        <f>$I$10*$L$10</f>
        <v>0</v>
      </c>
      <c r="M62" s="17">
        <f>$I$10*$M$10</f>
        <v>0</v>
      </c>
      <c r="N62" s="17">
        <f ca="1">$I$10*$N$10</f>
        <v>0</v>
      </c>
      <c r="O62" s="17">
        <f>$I$10*$O$10</f>
        <v>0</v>
      </c>
      <c r="P62" s="17">
        <f>$I$10*$P$10</f>
        <v>0</v>
      </c>
      <c r="Q62" s="17">
        <f>$I$10*$Q$10</f>
        <v>0</v>
      </c>
      <c r="R62" s="17">
        <f>$I$10*$R$10</f>
        <v>0</v>
      </c>
      <c r="S62" s="17">
        <f>$I$10*$S$10</f>
        <v>0</v>
      </c>
      <c r="T62" s="17">
        <f>$I$10*$T$10</f>
        <v>0</v>
      </c>
      <c r="U62" s="17">
        <f>$I$10*$U$10</f>
        <v>0</v>
      </c>
      <c r="V62" s="17">
        <f>$I$10*$V$10</f>
        <v>0</v>
      </c>
      <c r="W62" s="17">
        <f>$I$10*$W$10</f>
        <v>0</v>
      </c>
      <c r="X62" s="17">
        <f>$I$10*$X$10</f>
        <v>7015609.3868460897</v>
      </c>
      <c r="Y62" s="17">
        <f>$I$10*$Y$10</f>
        <v>0</v>
      </c>
      <c r="Z62" s="17">
        <f>$I$10*$Z$10</f>
        <v>0</v>
      </c>
      <c r="AA62" s="17">
        <f>$I$10*$AA$10</f>
        <v>8279911.234403966</v>
      </c>
      <c r="AB62" s="17">
        <f ca="1">$I$10*$AB$10</f>
        <v>324719.40834046568</v>
      </c>
      <c r="AC62" s="17">
        <f ca="1">$I$10*$AC$10</f>
        <v>0</v>
      </c>
      <c r="AD62" s="17">
        <f>$I$10*$AD$10</f>
        <v>0</v>
      </c>
      <c r="AE62" s="17">
        <f>$I$10*$AE$10</f>
        <v>0</v>
      </c>
      <c r="AF62" s="17">
        <f ca="1">$I$10*$AF$10</f>
        <v>0</v>
      </c>
      <c r="AG62" s="17">
        <f ca="1">$I$10*$AG$10</f>
        <v>0</v>
      </c>
      <c r="AI62" s="17">
        <f>$I$10*$AI$10</f>
        <v>0</v>
      </c>
      <c r="AJ62" s="17">
        <f>$I$10*$AJ$10</f>
        <v>0</v>
      </c>
      <c r="AK62" s="17">
        <f>$I$10*$AK$10</f>
        <v>0</v>
      </c>
      <c r="AL62" s="17">
        <f>$I$10*$AL$10</f>
        <v>0</v>
      </c>
      <c r="AM62" s="17">
        <f>$I$10*$AM$10</f>
        <v>0</v>
      </c>
      <c r="AN62" s="17">
        <f>$I$10*$AN$10</f>
        <v>0</v>
      </c>
      <c r="AO62" s="17">
        <f>$I$10*$AO$10</f>
        <v>0</v>
      </c>
      <c r="AP62" s="17">
        <f>$I$10*$AP$10</f>
        <v>0</v>
      </c>
      <c r="AQ62" s="17">
        <f>$I$10*$AQ$10</f>
        <v>0</v>
      </c>
      <c r="AR62" s="17">
        <f>$I$10*$AR$10</f>
        <v>0</v>
      </c>
      <c r="AS62" s="17">
        <f>$I$10*$AS$10</f>
        <v>0</v>
      </c>
      <c r="AT62" s="17">
        <f>$I$10*$AT$10</f>
        <v>0</v>
      </c>
      <c r="AU62" s="17">
        <f>$I$10*$AU$10</f>
        <v>6957763.31629813</v>
      </c>
      <c r="AV62" s="17">
        <f>$I$10*$AV$10</f>
        <v>0</v>
      </c>
      <c r="AW62" s="17">
        <f>$I$10*$AW$10</f>
        <v>0</v>
      </c>
      <c r="AX62" s="17">
        <f>$I$10*$AX$10</f>
        <v>8107392.9267048398</v>
      </c>
      <c r="AY62" s="17">
        <f>$I$10*$AY$10</f>
        <v>0</v>
      </c>
      <c r="AZ62" s="17">
        <f>$I$10*$AZ$10</f>
        <v>0</v>
      </c>
      <c r="BA62" s="17">
        <f>$I$10*$BA$10</f>
        <v>0</v>
      </c>
      <c r="BB62" s="17">
        <f>$I$10*$BB$10</f>
        <v>0</v>
      </c>
      <c r="BC62" s="17">
        <f>$I$10*$BC$10</f>
        <v>0</v>
      </c>
      <c r="BD62" s="17">
        <f>$I$10*$BD$10</f>
        <v>0</v>
      </c>
    </row>
    <row r="63" spans="1:56" ht="11.25" customHeight="1" x14ac:dyDescent="0.25">
      <c r="A63" s="9" t="s">
        <v>33</v>
      </c>
      <c r="B63" s="9" t="s">
        <v>669</v>
      </c>
      <c r="C63" s="9" t="s">
        <v>670</v>
      </c>
      <c r="D63" s="9" t="s">
        <v>671</v>
      </c>
      <c r="E63" s="9" t="s">
        <v>672</v>
      </c>
      <c r="F63" s="9" t="s">
        <v>673</v>
      </c>
      <c r="G63" s="9" t="s">
        <v>675</v>
      </c>
      <c r="L63" s="17">
        <f>$I$11*$L$11</f>
        <v>0</v>
      </c>
      <c r="M63" s="17">
        <f>$I$11*$M$11</f>
        <v>3119.3284389011424</v>
      </c>
      <c r="N63" s="17">
        <f ca="1">$I$11*$N$11</f>
        <v>0</v>
      </c>
      <c r="O63" s="17">
        <f>$I$11*$O$11</f>
        <v>0</v>
      </c>
      <c r="P63" s="17">
        <f>$I$11*$P$11</f>
        <v>0</v>
      </c>
      <c r="Q63" s="17">
        <f>$I$11*$Q$11</f>
        <v>202388.42336231677</v>
      </c>
      <c r="R63" s="17">
        <f>$I$11*$R$11</f>
        <v>40080.522241737046</v>
      </c>
      <c r="S63" s="17">
        <f>$I$11*$S$11</f>
        <v>0</v>
      </c>
      <c r="T63" s="17">
        <f>$I$11*$T$11</f>
        <v>0</v>
      </c>
      <c r="U63" s="17">
        <f>$I$11*$U$11</f>
        <v>0</v>
      </c>
      <c r="V63" s="17">
        <f>$I$11*$V$11</f>
        <v>0</v>
      </c>
      <c r="W63" s="17">
        <f>$I$11*$W$11</f>
        <v>0</v>
      </c>
      <c r="X63" s="17">
        <f>$I$11*$X$11</f>
        <v>3197258.524336447</v>
      </c>
      <c r="Y63" s="17">
        <f>$I$11*$Y$11</f>
        <v>0</v>
      </c>
      <c r="Z63" s="17">
        <f>$I$11*$Z$11</f>
        <v>0</v>
      </c>
      <c r="AA63" s="17">
        <f>$I$11*$AA$11</f>
        <v>3301514.4725205349</v>
      </c>
      <c r="AB63" s="17">
        <f ca="1">$I$11*$AB$11</f>
        <v>140457.3018193387</v>
      </c>
      <c r="AC63" s="17">
        <f ca="1">$I$11*$AC$11</f>
        <v>0</v>
      </c>
      <c r="AD63" s="17">
        <f>$I$11*$AD$11</f>
        <v>51570.565314430962</v>
      </c>
      <c r="AE63" s="17">
        <f>$I$11*$AE$11</f>
        <v>0</v>
      </c>
      <c r="AF63" s="17">
        <f ca="1">$I$11*$AF$11</f>
        <v>0</v>
      </c>
      <c r="AG63" s="17">
        <f ca="1">$I$11*$AG$11</f>
        <v>0</v>
      </c>
      <c r="AI63" s="17">
        <f>$I$11*$AI$11</f>
        <v>0</v>
      </c>
      <c r="AJ63" s="17">
        <f>$I$11*$AJ$11</f>
        <v>2713.9973534079695</v>
      </c>
      <c r="AK63" s="17">
        <f>$I$11*$AK$11</f>
        <v>0</v>
      </c>
      <c r="AL63" s="17">
        <f>$I$11*$AL$11</f>
        <v>0</v>
      </c>
      <c r="AM63" s="17">
        <f>$I$11*$AM$11</f>
        <v>0</v>
      </c>
      <c r="AN63" s="17">
        <f>$I$11*$AN$11</f>
        <v>139608.52043461596</v>
      </c>
      <c r="AO63" s="17">
        <f>$I$11*$AO$11</f>
        <v>25664.419404115448</v>
      </c>
      <c r="AP63" s="17">
        <f>$I$11*$AP$11</f>
        <v>0</v>
      </c>
      <c r="AQ63" s="17">
        <f>$I$11*$AQ$11</f>
        <v>0</v>
      </c>
      <c r="AR63" s="17">
        <f>$I$11*$AR$11</f>
        <v>0</v>
      </c>
      <c r="AS63" s="17">
        <f>$I$11*$AS$11</f>
        <v>0</v>
      </c>
      <c r="AT63" s="17">
        <f>$I$11*$AT$11</f>
        <v>0</v>
      </c>
      <c r="AU63" s="17">
        <f>$I$11*$AU$11</f>
        <v>3170883.7598862536</v>
      </c>
      <c r="AV63" s="17">
        <f>$I$11*$AV$11</f>
        <v>0</v>
      </c>
      <c r="AW63" s="17">
        <f>$I$11*$AW$11</f>
        <v>0</v>
      </c>
      <c r="AX63" s="17">
        <f>$I$11*$AX$11</f>
        <v>3232730.2929788237</v>
      </c>
      <c r="AY63" s="17">
        <f>$I$11*$AY$11</f>
        <v>0</v>
      </c>
      <c r="AZ63" s="17">
        <f>$I$11*$AZ$11</f>
        <v>0</v>
      </c>
      <c r="BA63" s="17">
        <f>$I$11*$BA$11</f>
        <v>43075.481146693994</v>
      </c>
      <c r="BB63" s="17">
        <f>$I$11*$BB$11</f>
        <v>0</v>
      </c>
      <c r="BC63" s="17">
        <f>$I$11*$BC$11</f>
        <v>0</v>
      </c>
      <c r="BD63" s="17">
        <f>$I$11*$BD$11</f>
        <v>0</v>
      </c>
    </row>
    <row r="64" spans="1:56" ht="11.25" customHeight="1" x14ac:dyDescent="0.25">
      <c r="A64" s="9" t="s">
        <v>33</v>
      </c>
      <c r="B64" s="9" t="s">
        <v>669</v>
      </c>
      <c r="C64" s="9" t="s">
        <v>670</v>
      </c>
      <c r="D64" s="9" t="s">
        <v>671</v>
      </c>
      <c r="E64" s="9" t="s">
        <v>672</v>
      </c>
      <c r="F64" s="9" t="s">
        <v>673</v>
      </c>
      <c r="G64" s="9" t="s">
        <v>676</v>
      </c>
      <c r="L64" s="17">
        <f>$I$12*$L$12</f>
        <v>0</v>
      </c>
      <c r="M64" s="17">
        <f>$I$12*$M$12</f>
        <v>89713.960349813744</v>
      </c>
      <c r="N64" s="17">
        <f ca="1">$I$12*$N$12</f>
        <v>0</v>
      </c>
      <c r="O64" s="17">
        <f>$I$12*$O$12</f>
        <v>0</v>
      </c>
      <c r="P64" s="17">
        <f>$I$12*$P$12</f>
        <v>0</v>
      </c>
      <c r="Q64" s="17">
        <f>$I$12*$Q$12</f>
        <v>5820825.6502750525</v>
      </c>
      <c r="R64" s="17">
        <f>$I$12*$R$12</f>
        <v>1152742.4744223873</v>
      </c>
      <c r="S64" s="17">
        <f>$I$12*$S$12</f>
        <v>0</v>
      </c>
      <c r="T64" s="17">
        <f>$I$12*$T$12</f>
        <v>0</v>
      </c>
      <c r="U64" s="17">
        <f>$I$12*$U$12</f>
        <v>0</v>
      </c>
      <c r="V64" s="17">
        <f>$I$12*$V$12</f>
        <v>0</v>
      </c>
      <c r="W64" s="17">
        <f>$I$12*$W$12</f>
        <v>0</v>
      </c>
      <c r="X64" s="17">
        <f>$I$12*$X$12</f>
        <v>0</v>
      </c>
      <c r="Y64" s="17">
        <f>$I$12*$Y$12</f>
        <v>0</v>
      </c>
      <c r="Z64" s="17">
        <f>$I$12*$Z$12</f>
        <v>0</v>
      </c>
      <c r="AA64" s="17">
        <f>$I$12*$AA$12</f>
        <v>0</v>
      </c>
      <c r="AB64" s="17">
        <f ca="1">$I$12*$AB$12</f>
        <v>135769.05744338149</v>
      </c>
      <c r="AC64" s="17">
        <f ca="1">$I$12*$AC$12</f>
        <v>0</v>
      </c>
      <c r="AD64" s="17">
        <f>$I$12*$AD$12</f>
        <v>1483203.7544165016</v>
      </c>
      <c r="AE64" s="17">
        <f>$I$12*$AE$12</f>
        <v>0</v>
      </c>
      <c r="AF64" s="17">
        <f ca="1">$I$12*$AF$12</f>
        <v>0</v>
      </c>
      <c r="AG64" s="17">
        <f ca="1">$I$12*$AG$12</f>
        <v>0</v>
      </c>
      <c r="AI64" s="17">
        <f>$I$12*$AI$12</f>
        <v>0</v>
      </c>
      <c r="AJ64" s="17">
        <f>$I$12*$AJ$12</f>
        <v>78056.368773695038</v>
      </c>
      <c r="AK64" s="17">
        <f>$I$12*$AK$12</f>
        <v>0</v>
      </c>
      <c r="AL64" s="17">
        <f>$I$12*$AL$12</f>
        <v>0</v>
      </c>
      <c r="AM64" s="17">
        <f>$I$12*$AM$12</f>
        <v>0</v>
      </c>
      <c r="AN64" s="17">
        <f>$I$12*$AN$12</f>
        <v>4015233.8915550262</v>
      </c>
      <c r="AO64" s="17">
        <f>$I$12*$AO$12</f>
        <v>738125.76967140369</v>
      </c>
      <c r="AP64" s="17">
        <f>$I$12*$AP$12</f>
        <v>0</v>
      </c>
      <c r="AQ64" s="17">
        <f>$I$12*$AQ$12</f>
        <v>0</v>
      </c>
      <c r="AR64" s="17">
        <f>$I$12*$AR$12</f>
        <v>0</v>
      </c>
      <c r="AS64" s="17">
        <f>$I$12*$AS$12</f>
        <v>0</v>
      </c>
      <c r="AT64" s="17">
        <f>$I$12*$AT$12</f>
        <v>0</v>
      </c>
      <c r="AU64" s="17">
        <f>$I$12*$AU$12</f>
        <v>0</v>
      </c>
      <c r="AV64" s="17">
        <f>$I$12*$AV$12</f>
        <v>0</v>
      </c>
      <c r="AW64" s="17">
        <f>$I$12*$AW$12</f>
        <v>0</v>
      </c>
      <c r="AX64" s="17">
        <f>$I$12*$AX$12</f>
        <v>0</v>
      </c>
      <c r="AY64" s="17">
        <f>$I$12*$AY$12</f>
        <v>0</v>
      </c>
      <c r="AZ64" s="17">
        <f>$I$12*$AZ$12</f>
        <v>0</v>
      </c>
      <c r="BA64" s="17">
        <f>$I$12*$BA$12</f>
        <v>1238879.4842664937</v>
      </c>
      <c r="BB64" s="17">
        <f>$I$12*$BB$12</f>
        <v>0</v>
      </c>
      <c r="BC64" s="17">
        <f>$I$12*$BC$12</f>
        <v>0</v>
      </c>
      <c r="BD64" s="17">
        <f>$I$12*$BD$12</f>
        <v>0</v>
      </c>
    </row>
    <row r="65" spans="1:56" ht="11.25" customHeight="1" x14ac:dyDescent="0.25">
      <c r="A65" s="9" t="s">
        <v>33</v>
      </c>
      <c r="B65" s="9" t="s">
        <v>669</v>
      </c>
      <c r="C65" s="9" t="s">
        <v>670</v>
      </c>
      <c r="D65" s="9" t="s">
        <v>671</v>
      </c>
      <c r="E65" s="9" t="s">
        <v>677</v>
      </c>
      <c r="F65" s="9" t="s">
        <v>678</v>
      </c>
      <c r="G65" s="9" t="s">
        <v>679</v>
      </c>
      <c r="L65" s="17">
        <f>$I$13*$L$13</f>
        <v>0</v>
      </c>
      <c r="M65" s="17">
        <f>$I$13*$M$13</f>
        <v>0</v>
      </c>
      <c r="N65" s="17">
        <f ca="1">$I$13*$N$13</f>
        <v>0</v>
      </c>
      <c r="O65" s="17">
        <f>$I$13*$O$13</f>
        <v>0</v>
      </c>
      <c r="P65" s="17">
        <f>$I$13*$P$13</f>
        <v>0</v>
      </c>
      <c r="Q65" s="17">
        <f>$I$13*$Q$13</f>
        <v>0</v>
      </c>
      <c r="R65" s="17">
        <f>$I$13*$R$13</f>
        <v>0</v>
      </c>
      <c r="S65" s="17">
        <f>$I$13*$S$13</f>
        <v>0</v>
      </c>
      <c r="T65" s="17">
        <f>$I$13*$T$13</f>
        <v>0</v>
      </c>
      <c r="U65" s="17">
        <f>$I$13*$U$13</f>
        <v>0</v>
      </c>
      <c r="V65" s="17">
        <f>$I$13*$V$13</f>
        <v>0</v>
      </c>
      <c r="W65" s="17">
        <f>$I$13*$W$13</f>
        <v>0</v>
      </c>
      <c r="X65" s="17">
        <f>$I$13*$X$13</f>
        <v>0</v>
      </c>
      <c r="Y65" s="17">
        <f>$I$13*$Y$13</f>
        <v>0</v>
      </c>
      <c r="Z65" s="17">
        <f>$I$13*$Z$13</f>
        <v>0</v>
      </c>
      <c r="AA65" s="17">
        <f>$I$13*$AA$13</f>
        <v>0</v>
      </c>
      <c r="AB65" s="17">
        <f ca="1">$I$13*$AB$13</f>
        <v>0</v>
      </c>
      <c r="AC65" s="17">
        <f ca="1">$I$13*$AC$13</f>
        <v>0</v>
      </c>
      <c r="AD65" s="17">
        <f>$I$13*$AD$13</f>
        <v>0</v>
      </c>
      <c r="AE65" s="17">
        <f>$I$13*$AE$13</f>
        <v>0</v>
      </c>
      <c r="AF65" s="17">
        <f ca="1">$I$13*$AF$13</f>
        <v>0</v>
      </c>
      <c r="AG65" s="17">
        <f ca="1">$I$13*$AG$13</f>
        <v>0</v>
      </c>
      <c r="AI65" s="17">
        <f>$I$13*$AI$13</f>
        <v>0</v>
      </c>
      <c r="AJ65" s="17">
        <f>$I$13*$AJ$13</f>
        <v>0</v>
      </c>
      <c r="AK65" s="17">
        <f>$I$13*$AK$13</f>
        <v>0</v>
      </c>
      <c r="AL65" s="17">
        <f>$I$13*$AL$13</f>
        <v>0</v>
      </c>
      <c r="AM65" s="17">
        <f>$I$13*$AM$13</f>
        <v>0</v>
      </c>
      <c r="AN65" s="17">
        <f>$I$13*$AN$13</f>
        <v>0</v>
      </c>
      <c r="AO65" s="17">
        <f>$I$13*$AO$13</f>
        <v>0</v>
      </c>
      <c r="AP65" s="17">
        <f>$I$13*$AP$13</f>
        <v>0</v>
      </c>
      <c r="AQ65" s="17">
        <f>$I$13*$AQ$13</f>
        <v>0</v>
      </c>
      <c r="AR65" s="17">
        <f>$I$13*$AR$13</f>
        <v>0</v>
      </c>
      <c r="AS65" s="17">
        <f>$I$13*$AS$13</f>
        <v>0</v>
      </c>
      <c r="AT65" s="17">
        <f>$I$13*$AT$13</f>
        <v>0</v>
      </c>
      <c r="AU65" s="17">
        <f>$I$13*$AU$13</f>
        <v>0</v>
      </c>
      <c r="AV65" s="17">
        <f>$I$13*$AV$13</f>
        <v>0</v>
      </c>
      <c r="AW65" s="17">
        <f>$I$13*$AW$13</f>
        <v>0</v>
      </c>
      <c r="AX65" s="17">
        <f>$I$13*$AX$13</f>
        <v>0</v>
      </c>
      <c r="AY65" s="17">
        <f>$I$13*$AY$13</f>
        <v>0</v>
      </c>
      <c r="AZ65" s="17">
        <f>$I$13*$AZ$13</f>
        <v>0</v>
      </c>
      <c r="BA65" s="17">
        <f>$I$13*$BA$13</f>
        <v>0</v>
      </c>
      <c r="BB65" s="17">
        <f>$I$13*$BB$13</f>
        <v>0</v>
      </c>
      <c r="BC65" s="17">
        <f>$I$13*$BC$13</f>
        <v>0</v>
      </c>
      <c r="BD65" s="17">
        <f>$I$13*$BD$13</f>
        <v>0</v>
      </c>
    </row>
    <row r="66" spans="1:56" ht="11.25" customHeight="1" x14ac:dyDescent="0.25">
      <c r="A66" s="9" t="s">
        <v>33</v>
      </c>
      <c r="B66" s="9" t="s">
        <v>669</v>
      </c>
      <c r="C66" s="9" t="s">
        <v>670</v>
      </c>
      <c r="D66" s="9" t="s">
        <v>671</v>
      </c>
      <c r="E66" s="9" t="s">
        <v>677</v>
      </c>
      <c r="F66" s="9" t="s">
        <v>678</v>
      </c>
      <c r="G66" s="9" t="s">
        <v>680</v>
      </c>
      <c r="L66" s="17">
        <f>$I$14*$L$14</f>
        <v>0</v>
      </c>
      <c r="M66" s="17">
        <f>$I$14*$M$14</f>
        <v>0</v>
      </c>
      <c r="N66" s="17">
        <f ca="1">$I$14*$N$14</f>
        <v>0</v>
      </c>
      <c r="O66" s="17">
        <f>$I$14*$O$14</f>
        <v>0</v>
      </c>
      <c r="P66" s="17">
        <f>$I$14*$P$14</f>
        <v>0</v>
      </c>
      <c r="Q66" s="17">
        <f>$I$14*$Q$14</f>
        <v>0</v>
      </c>
      <c r="R66" s="17">
        <f>$I$14*$R$14</f>
        <v>0</v>
      </c>
      <c r="S66" s="17">
        <f>$I$14*$S$14</f>
        <v>0</v>
      </c>
      <c r="T66" s="17">
        <f>$I$14*$T$14</f>
        <v>0</v>
      </c>
      <c r="U66" s="17">
        <f>$I$14*$U$14</f>
        <v>0</v>
      </c>
      <c r="V66" s="17">
        <f>$I$14*$V$14</f>
        <v>0</v>
      </c>
      <c r="W66" s="17">
        <f>$I$14*$W$14</f>
        <v>0</v>
      </c>
      <c r="X66" s="17">
        <f>$I$14*$X$14</f>
        <v>0</v>
      </c>
      <c r="Y66" s="17">
        <f>$I$14*$Y$14</f>
        <v>0</v>
      </c>
      <c r="Z66" s="17">
        <f>$I$14*$Z$14</f>
        <v>0</v>
      </c>
      <c r="AA66" s="17">
        <f>$I$14*$AA$14</f>
        <v>0</v>
      </c>
      <c r="AB66" s="17">
        <f ca="1">$I$14*$AB$14</f>
        <v>0</v>
      </c>
      <c r="AC66" s="17">
        <f ca="1">$I$14*$AC$14</f>
        <v>0</v>
      </c>
      <c r="AD66" s="17">
        <f>$I$14*$AD$14</f>
        <v>0</v>
      </c>
      <c r="AE66" s="17">
        <f>$I$14*$AE$14</f>
        <v>0</v>
      </c>
      <c r="AF66" s="17">
        <f ca="1">$I$14*$AF$14</f>
        <v>0</v>
      </c>
      <c r="AG66" s="17">
        <f ca="1">$I$14*$AG$14</f>
        <v>0</v>
      </c>
      <c r="AI66" s="17">
        <f>$I$14*$AI$14</f>
        <v>0</v>
      </c>
      <c r="AJ66" s="17">
        <f>$I$14*$AJ$14</f>
        <v>0</v>
      </c>
      <c r="AK66" s="17">
        <f>$I$14*$AK$14</f>
        <v>0</v>
      </c>
      <c r="AL66" s="17">
        <f>$I$14*$AL$14</f>
        <v>0</v>
      </c>
      <c r="AM66" s="17">
        <f>$I$14*$AM$14</f>
        <v>0</v>
      </c>
      <c r="AN66" s="17">
        <f>$I$14*$AN$14</f>
        <v>0</v>
      </c>
      <c r="AO66" s="17">
        <f>$I$14*$AO$14</f>
        <v>0</v>
      </c>
      <c r="AP66" s="17">
        <f>$I$14*$AP$14</f>
        <v>0</v>
      </c>
      <c r="AQ66" s="17">
        <f>$I$14*$AQ$14</f>
        <v>0</v>
      </c>
      <c r="AR66" s="17">
        <f>$I$14*$AR$14</f>
        <v>0</v>
      </c>
      <c r="AS66" s="17">
        <f>$I$14*$AS$14</f>
        <v>0</v>
      </c>
      <c r="AT66" s="17">
        <f>$I$14*$AT$14</f>
        <v>0</v>
      </c>
      <c r="AU66" s="17">
        <f>$I$14*$AU$14</f>
        <v>0</v>
      </c>
      <c r="AV66" s="17">
        <f>$I$14*$AV$14</f>
        <v>0</v>
      </c>
      <c r="AW66" s="17">
        <f>$I$14*$AW$14</f>
        <v>0</v>
      </c>
      <c r="AX66" s="17">
        <f>$I$14*$AX$14</f>
        <v>0</v>
      </c>
      <c r="AY66" s="17">
        <f>$I$14*$AY$14</f>
        <v>0</v>
      </c>
      <c r="AZ66" s="17">
        <f>$I$14*$AZ$14</f>
        <v>0</v>
      </c>
      <c r="BA66" s="17">
        <f>$I$14*$BA$14</f>
        <v>0</v>
      </c>
      <c r="BB66" s="17">
        <f>$I$14*$BB$14</f>
        <v>0</v>
      </c>
      <c r="BC66" s="17">
        <f>$I$14*$BC$14</f>
        <v>0</v>
      </c>
      <c r="BD66" s="17">
        <f>$I$14*$BD$14</f>
        <v>0</v>
      </c>
    </row>
    <row r="67" spans="1:56" ht="11.25" customHeight="1" x14ac:dyDescent="0.25">
      <c r="A67" s="9" t="s">
        <v>82</v>
      </c>
      <c r="B67" s="9" t="s">
        <v>681</v>
      </c>
      <c r="C67" s="9" t="s">
        <v>682</v>
      </c>
      <c r="D67" s="9" t="s">
        <v>683</v>
      </c>
      <c r="E67" s="9" t="s">
        <v>684</v>
      </c>
      <c r="F67" s="9" t="s">
        <v>685</v>
      </c>
      <c r="G67" s="9" t="s">
        <v>686</v>
      </c>
      <c r="L67" s="17">
        <f>$I$15*$L$15</f>
        <v>0</v>
      </c>
      <c r="M67" s="17">
        <f>$I$15*$M$15</f>
        <v>8.7994083805554359E-11</v>
      </c>
      <c r="N67" s="17">
        <f ca="1">$I$15*$N$15</f>
        <v>0</v>
      </c>
      <c r="O67" s="17">
        <f>$I$15*$O$15</f>
        <v>0</v>
      </c>
      <c r="P67" s="17">
        <f>$I$15*$P$15</f>
        <v>0</v>
      </c>
      <c r="Q67" s="17">
        <f>$I$15*$Q$15</f>
        <v>0</v>
      </c>
      <c r="R67" s="17">
        <f>$I$15*$R$15</f>
        <v>0</v>
      </c>
      <c r="S67" s="17">
        <f>$I$15*$S$15</f>
        <v>0</v>
      </c>
      <c r="T67" s="17">
        <f>$I$15*$T$15</f>
        <v>0</v>
      </c>
      <c r="U67" s="17">
        <f>$I$15*$U$15</f>
        <v>0</v>
      </c>
      <c r="V67" s="17">
        <f>$I$15*$V$15</f>
        <v>0</v>
      </c>
      <c r="W67" s="17">
        <f>$I$15*$W$15</f>
        <v>0</v>
      </c>
      <c r="X67" s="17">
        <f>$I$15*$X$15</f>
        <v>0</v>
      </c>
      <c r="Y67" s="17">
        <f>$I$15*$Y$15</f>
        <v>0</v>
      </c>
      <c r="Z67" s="17">
        <f>$I$15*$Z$15</f>
        <v>0</v>
      </c>
      <c r="AA67" s="17">
        <f>$I$15*$AA$15</f>
        <v>5.1476359160479533E-8</v>
      </c>
      <c r="AB67" s="17">
        <f ca="1">$I$15*$AB$15</f>
        <v>1.3375608054115722E-9</v>
      </c>
      <c r="AC67" s="17">
        <f ca="1">$I$15*$AC$15</f>
        <v>0</v>
      </c>
      <c r="AD67" s="17">
        <f>$I$15*$AD$15</f>
        <v>0</v>
      </c>
      <c r="AE67" s="17">
        <f>$I$15*$AE$15</f>
        <v>0</v>
      </c>
      <c r="AF67" s="17">
        <f ca="1">$I$15*$AF$15</f>
        <v>0</v>
      </c>
      <c r="AG67" s="17">
        <f ca="1">$I$15*$AG$15</f>
        <v>0</v>
      </c>
      <c r="AI67" s="17">
        <f>$I$15*$AI$15</f>
        <v>0</v>
      </c>
      <c r="AJ67" s="17">
        <f>$I$15*$AJ$15</f>
        <v>8.2461714053704404E-11</v>
      </c>
      <c r="AK67" s="17">
        <f>$I$15*$AK$15</f>
        <v>0</v>
      </c>
      <c r="AL67" s="17">
        <f>$I$15*$AL$15</f>
        <v>0</v>
      </c>
      <c r="AM67" s="17">
        <f>$I$15*$AM$15</f>
        <v>0</v>
      </c>
      <c r="AN67" s="17">
        <f>$I$15*$AN$15</f>
        <v>0</v>
      </c>
      <c r="AO67" s="17">
        <f>$I$15*$AO$15</f>
        <v>0</v>
      </c>
      <c r="AP67" s="17">
        <f>$I$15*$AP$15</f>
        <v>0</v>
      </c>
      <c r="AQ67" s="17">
        <f>$I$15*$AQ$15</f>
        <v>0</v>
      </c>
      <c r="AR67" s="17">
        <f>$I$15*$AR$15</f>
        <v>0</v>
      </c>
      <c r="AS67" s="17">
        <f>$I$15*$AS$15</f>
        <v>0</v>
      </c>
      <c r="AT67" s="17">
        <f>$I$15*$AT$15</f>
        <v>0</v>
      </c>
      <c r="AU67" s="17">
        <f>$I$15*$AU$15</f>
        <v>0</v>
      </c>
      <c r="AV67" s="17">
        <f>$I$15*$AV$15</f>
        <v>0</v>
      </c>
      <c r="AW67" s="17">
        <f>$I$15*$AW$15</f>
        <v>0</v>
      </c>
      <c r="AX67" s="17">
        <f>$I$15*$AX$15</f>
        <v>5.0403942669386303E-8</v>
      </c>
      <c r="AY67" s="17">
        <f>$I$15*$AY$15</f>
        <v>0</v>
      </c>
      <c r="AZ67" s="17">
        <f>$I$15*$AZ$15</f>
        <v>0</v>
      </c>
      <c r="BA67" s="17">
        <f>$I$15*$BA$15</f>
        <v>0</v>
      </c>
      <c r="BB67" s="17">
        <f>$I$15*$BB$15</f>
        <v>0</v>
      </c>
      <c r="BC67" s="17">
        <f>$I$15*$BC$15</f>
        <v>0</v>
      </c>
      <c r="BD67" s="17">
        <f>$I$15*$BD$15</f>
        <v>0</v>
      </c>
    </row>
    <row r="68" spans="1:56" ht="11.25" customHeight="1" x14ac:dyDescent="0.25">
      <c r="A68" s="9" t="s">
        <v>82</v>
      </c>
      <c r="B68" s="9" t="s">
        <v>681</v>
      </c>
      <c r="C68" s="9" t="s">
        <v>682</v>
      </c>
      <c r="D68" s="9" t="s">
        <v>683</v>
      </c>
      <c r="E68" s="9" t="s">
        <v>687</v>
      </c>
      <c r="F68" s="9" t="s">
        <v>688</v>
      </c>
      <c r="G68" s="9" t="s">
        <v>689</v>
      </c>
      <c r="L68" s="17">
        <f>$I$16*$L$16</f>
        <v>0</v>
      </c>
      <c r="M68" s="17">
        <f>$I$16*$M$16</f>
        <v>8.7994083805554359E-11</v>
      </c>
      <c r="N68" s="17">
        <f ca="1">$I$16*$N$16</f>
        <v>0</v>
      </c>
      <c r="O68" s="17">
        <f>$I$16*$O$16</f>
        <v>0</v>
      </c>
      <c r="P68" s="17">
        <f>$I$16*$P$16</f>
        <v>0</v>
      </c>
      <c r="Q68" s="17">
        <f>$I$16*$Q$16</f>
        <v>0</v>
      </c>
      <c r="R68" s="17">
        <f>$I$16*$R$16</f>
        <v>0</v>
      </c>
      <c r="S68" s="17">
        <f>$I$16*$S$16</f>
        <v>0</v>
      </c>
      <c r="T68" s="17">
        <f>$I$16*$T$16</f>
        <v>0</v>
      </c>
      <c r="U68" s="17">
        <f>$I$16*$U$16</f>
        <v>0</v>
      </c>
      <c r="V68" s="17">
        <f>$I$16*$V$16</f>
        <v>0</v>
      </c>
      <c r="W68" s="17">
        <f>$I$16*$W$16</f>
        <v>0</v>
      </c>
      <c r="X68" s="17">
        <f>$I$16*$X$16</f>
        <v>0</v>
      </c>
      <c r="Y68" s="17">
        <f>$I$16*$Y$16</f>
        <v>0</v>
      </c>
      <c r="Z68" s="17">
        <f>$I$16*$Z$16</f>
        <v>0</v>
      </c>
      <c r="AA68" s="17">
        <f>$I$16*$AA$16</f>
        <v>1.7288066395133457E-7</v>
      </c>
      <c r="AB68" s="17">
        <f ca="1">$I$16*$AB$16</f>
        <v>4.4887071135561086E-9</v>
      </c>
      <c r="AC68" s="17">
        <f ca="1">$I$16*$AC$16</f>
        <v>0</v>
      </c>
      <c r="AD68" s="17">
        <f>$I$16*$AD$16</f>
        <v>0</v>
      </c>
      <c r="AE68" s="17">
        <f>$I$16*$AE$16</f>
        <v>0</v>
      </c>
      <c r="AF68" s="17">
        <f ca="1">$I$16*$AF$16</f>
        <v>0</v>
      </c>
      <c r="AG68" s="17">
        <f ca="1">$I$16*$AG$16</f>
        <v>0</v>
      </c>
      <c r="AI68" s="17">
        <f>$I$16*$AI$16</f>
        <v>0</v>
      </c>
      <c r="AJ68" s="17">
        <f>$I$16*$AJ$16</f>
        <v>8.2461714053704404E-11</v>
      </c>
      <c r="AK68" s="17">
        <f>$I$16*$AK$16</f>
        <v>0</v>
      </c>
      <c r="AL68" s="17">
        <f>$I$16*$AL$16</f>
        <v>0</v>
      </c>
      <c r="AM68" s="17">
        <f>$I$16*$AM$16</f>
        <v>0</v>
      </c>
      <c r="AN68" s="17">
        <f>$I$16*$AN$16</f>
        <v>0</v>
      </c>
      <c r="AO68" s="17">
        <f>$I$16*$AO$16</f>
        <v>0</v>
      </c>
      <c r="AP68" s="17">
        <f>$I$16*$AP$16</f>
        <v>0</v>
      </c>
      <c r="AQ68" s="17">
        <f>$I$16*$AQ$16</f>
        <v>0</v>
      </c>
      <c r="AR68" s="17">
        <f>$I$16*$AR$16</f>
        <v>0</v>
      </c>
      <c r="AS68" s="17">
        <f>$I$16*$AS$16</f>
        <v>0</v>
      </c>
      <c r="AT68" s="17">
        <f>$I$16*$AT$16</f>
        <v>0</v>
      </c>
      <c r="AU68" s="17">
        <f>$I$16*$AU$16</f>
        <v>0</v>
      </c>
      <c r="AV68" s="17">
        <f>$I$16*$AV$16</f>
        <v>0</v>
      </c>
      <c r="AW68" s="17">
        <f>$I$16*$AW$16</f>
        <v>0</v>
      </c>
      <c r="AX68" s="17">
        <f>$I$16*$AX$16</f>
        <v>1.6927903585193199E-7</v>
      </c>
      <c r="AY68" s="17">
        <f>$I$16*$AY$16</f>
        <v>0</v>
      </c>
      <c r="AZ68" s="17">
        <f>$I$16*$AZ$16</f>
        <v>0</v>
      </c>
      <c r="BA68" s="17">
        <f>$I$16*$BA$16</f>
        <v>0</v>
      </c>
      <c r="BB68" s="17">
        <f>$I$16*$BB$16</f>
        <v>0</v>
      </c>
      <c r="BC68" s="17">
        <f>$I$16*$BC$16</f>
        <v>0</v>
      </c>
      <c r="BD68" s="17">
        <f>$I$16*$BD$16</f>
        <v>0</v>
      </c>
    </row>
    <row r="69" spans="1:56" ht="11.25" customHeight="1" x14ac:dyDescent="0.25">
      <c r="A69" s="9" t="s">
        <v>22</v>
      </c>
      <c r="B69" s="9" t="s">
        <v>690</v>
      </c>
      <c r="C69" s="9" t="s">
        <v>691</v>
      </c>
      <c r="D69" s="9" t="s">
        <v>692</v>
      </c>
      <c r="E69" s="9" t="s">
        <v>693</v>
      </c>
      <c r="F69" s="9" t="s">
        <v>694</v>
      </c>
      <c r="G69" s="9" t="s">
        <v>695</v>
      </c>
      <c r="L69" s="17">
        <f>$I$17*$L$17</f>
        <v>0</v>
      </c>
      <c r="M69" s="17">
        <f>$I$17*$M$17</f>
        <v>0</v>
      </c>
      <c r="N69" s="17">
        <f ca="1">$I$17*$N$17</f>
        <v>0</v>
      </c>
      <c r="O69" s="17">
        <f>$I$17*$O$17</f>
        <v>0</v>
      </c>
      <c r="P69" s="17">
        <f>$I$17*$P$17</f>
        <v>0</v>
      </c>
      <c r="Q69" s="17">
        <f>$I$17*$Q$17</f>
        <v>0</v>
      </c>
      <c r="R69" s="17">
        <f>$I$17*$R$17</f>
        <v>0</v>
      </c>
      <c r="S69" s="17">
        <f>$I$17*$S$17</f>
        <v>0</v>
      </c>
      <c r="T69" s="17">
        <f>$I$17*$T$17</f>
        <v>0</v>
      </c>
      <c r="U69" s="17">
        <f>$I$17*$U$17</f>
        <v>0</v>
      </c>
      <c r="V69" s="17">
        <f>$I$17*$V$17</f>
        <v>0</v>
      </c>
      <c r="W69" s="17">
        <f>$I$17*$W$17</f>
        <v>0</v>
      </c>
      <c r="X69" s="17">
        <f>$I$17*$X$17</f>
        <v>0</v>
      </c>
      <c r="Y69" s="17">
        <f>$I$17*$Y$17</f>
        <v>0</v>
      </c>
      <c r="Z69" s="17">
        <f>$I$17*$Z$17</f>
        <v>0</v>
      </c>
      <c r="AA69" s="17">
        <f>$I$17*$AA$17</f>
        <v>0</v>
      </c>
      <c r="AB69" s="17">
        <f ca="1">$I$17*$AB$17</f>
        <v>0</v>
      </c>
      <c r="AC69" s="17">
        <f ca="1">$I$17*$AC$17</f>
        <v>0</v>
      </c>
      <c r="AD69" s="17">
        <f>$I$17*$AD$17</f>
        <v>0</v>
      </c>
      <c r="AE69" s="17">
        <f>$I$17*$AE$17</f>
        <v>0</v>
      </c>
      <c r="AF69" s="17">
        <f ca="1">$I$17*$AF$17</f>
        <v>0</v>
      </c>
      <c r="AG69" s="17">
        <f ca="1">$I$17*$AG$17</f>
        <v>0</v>
      </c>
      <c r="AI69" s="17">
        <f>$I$17*$AI$17</f>
        <v>0</v>
      </c>
      <c r="AJ69" s="17">
        <f>$I$17*$AJ$17</f>
        <v>0</v>
      </c>
      <c r="AK69" s="17">
        <f>$I$17*$AK$17</f>
        <v>0</v>
      </c>
      <c r="AL69" s="17">
        <f>$I$17*$AL$17</f>
        <v>0</v>
      </c>
      <c r="AM69" s="17">
        <f>$I$17*$AM$17</f>
        <v>0</v>
      </c>
      <c r="AN69" s="17">
        <f>$I$17*$AN$17</f>
        <v>0</v>
      </c>
      <c r="AO69" s="17">
        <f>$I$17*$AO$17</f>
        <v>0</v>
      </c>
      <c r="AP69" s="17">
        <f>$I$17*$AP$17</f>
        <v>0</v>
      </c>
      <c r="AQ69" s="17">
        <f>$I$17*$AQ$17</f>
        <v>0</v>
      </c>
      <c r="AR69" s="17">
        <f>$I$17*$AR$17</f>
        <v>0</v>
      </c>
      <c r="AS69" s="17">
        <f>$I$17*$AS$17</f>
        <v>0</v>
      </c>
      <c r="AT69" s="17">
        <f>$I$17*$AT$17</f>
        <v>0</v>
      </c>
      <c r="AU69" s="17">
        <f>$I$17*$AU$17</f>
        <v>0</v>
      </c>
      <c r="AV69" s="17">
        <f>$I$17*$AV$17</f>
        <v>0</v>
      </c>
      <c r="AW69" s="17">
        <f>$I$17*$AW$17</f>
        <v>0</v>
      </c>
      <c r="AX69" s="17">
        <f>$I$17*$AX$17</f>
        <v>0</v>
      </c>
      <c r="AY69" s="17">
        <f>$I$17*$AY$17</f>
        <v>0</v>
      </c>
      <c r="AZ69" s="17">
        <f>$I$17*$AZ$17</f>
        <v>0</v>
      </c>
      <c r="BA69" s="17">
        <f>$I$17*$BA$17</f>
        <v>0</v>
      </c>
      <c r="BB69" s="17">
        <f>$I$17*$BB$17</f>
        <v>0</v>
      </c>
      <c r="BC69" s="17">
        <f>$I$17*$BC$17</f>
        <v>0</v>
      </c>
      <c r="BD69" s="17">
        <f>$I$17*$BD$17</f>
        <v>0</v>
      </c>
    </row>
    <row r="70" spans="1:56" ht="11.25" customHeight="1" x14ac:dyDescent="0.25">
      <c r="A70" s="9" t="s">
        <v>22</v>
      </c>
      <c r="B70" s="9" t="s">
        <v>690</v>
      </c>
      <c r="C70" s="9" t="s">
        <v>691</v>
      </c>
      <c r="D70" s="9" t="s">
        <v>692</v>
      </c>
      <c r="E70" s="9" t="s">
        <v>693</v>
      </c>
      <c r="F70" s="9" t="s">
        <v>694</v>
      </c>
      <c r="G70" s="9" t="s">
        <v>696</v>
      </c>
      <c r="L70" s="17">
        <f>$I$18*$L$18</f>
        <v>0</v>
      </c>
      <c r="M70" s="17">
        <f>$I$18*$M$18</f>
        <v>0</v>
      </c>
      <c r="N70" s="17">
        <f ca="1">$I$18*$N$18</f>
        <v>0</v>
      </c>
      <c r="O70" s="17">
        <f>$I$18*$O$18</f>
        <v>0</v>
      </c>
      <c r="P70" s="17">
        <f>$I$18*$P$18</f>
        <v>0</v>
      </c>
      <c r="Q70" s="17">
        <f>$I$18*$Q$18</f>
        <v>0</v>
      </c>
      <c r="R70" s="17">
        <f>$I$18*$R$18</f>
        <v>0</v>
      </c>
      <c r="S70" s="17">
        <f>$I$18*$S$18</f>
        <v>0</v>
      </c>
      <c r="T70" s="17">
        <f>$I$18*$T$18</f>
        <v>0</v>
      </c>
      <c r="U70" s="17">
        <f>$I$18*$U$18</f>
        <v>0</v>
      </c>
      <c r="V70" s="17">
        <f>$I$18*$V$18</f>
        <v>0</v>
      </c>
      <c r="W70" s="17">
        <f>$I$18*$W$18</f>
        <v>0</v>
      </c>
      <c r="X70" s="17">
        <f>$I$18*$X$18</f>
        <v>0</v>
      </c>
      <c r="Y70" s="17">
        <f>$I$18*$Y$18</f>
        <v>0</v>
      </c>
      <c r="Z70" s="17">
        <f>$I$18*$Z$18</f>
        <v>0</v>
      </c>
      <c r="AA70" s="17">
        <f>$I$18*$AA$18</f>
        <v>0</v>
      </c>
      <c r="AB70" s="17">
        <f ca="1">$I$18*$AB$18</f>
        <v>0</v>
      </c>
      <c r="AC70" s="17">
        <f ca="1">$I$18*$AC$18</f>
        <v>0</v>
      </c>
      <c r="AD70" s="17">
        <f>$I$18*$AD$18</f>
        <v>0</v>
      </c>
      <c r="AE70" s="17">
        <f>$I$18*$AE$18</f>
        <v>0</v>
      </c>
      <c r="AF70" s="17">
        <f ca="1">$I$18*$AF$18</f>
        <v>0</v>
      </c>
      <c r="AG70" s="17">
        <f ca="1">$I$18*$AG$18</f>
        <v>0</v>
      </c>
      <c r="AI70" s="17">
        <f>$I$18*$AI$18</f>
        <v>0</v>
      </c>
      <c r="AJ70" s="17">
        <f>$I$18*$AJ$18</f>
        <v>0</v>
      </c>
      <c r="AK70" s="17">
        <f>$I$18*$AK$18</f>
        <v>0</v>
      </c>
      <c r="AL70" s="17">
        <f>$I$18*$AL$18</f>
        <v>0</v>
      </c>
      <c r="AM70" s="17">
        <f>$I$18*$AM$18</f>
        <v>0</v>
      </c>
      <c r="AN70" s="17">
        <f>$I$18*$AN$18</f>
        <v>0</v>
      </c>
      <c r="AO70" s="17">
        <f>$I$18*$AO$18</f>
        <v>0</v>
      </c>
      <c r="AP70" s="17">
        <f>$I$18*$AP$18</f>
        <v>0</v>
      </c>
      <c r="AQ70" s="17">
        <f>$I$18*$AQ$18</f>
        <v>0</v>
      </c>
      <c r="AR70" s="17">
        <f>$I$18*$AR$18</f>
        <v>0</v>
      </c>
      <c r="AS70" s="17">
        <f>$I$18*$AS$18</f>
        <v>0</v>
      </c>
      <c r="AT70" s="17">
        <f>$I$18*$AT$18</f>
        <v>0</v>
      </c>
      <c r="AU70" s="17">
        <f>$I$18*$AU$18</f>
        <v>0</v>
      </c>
      <c r="AV70" s="17">
        <f>$I$18*$AV$18</f>
        <v>0</v>
      </c>
      <c r="AW70" s="17">
        <f>$I$18*$AW$18</f>
        <v>0</v>
      </c>
      <c r="AX70" s="17">
        <f>$I$18*$AX$18</f>
        <v>0</v>
      </c>
      <c r="AY70" s="17">
        <f>$I$18*$AY$18</f>
        <v>0</v>
      </c>
      <c r="AZ70" s="17">
        <f>$I$18*$AZ$18</f>
        <v>0</v>
      </c>
      <c r="BA70" s="17">
        <f>$I$18*$BA$18</f>
        <v>0</v>
      </c>
      <c r="BB70" s="17">
        <f>$I$18*$BB$18</f>
        <v>0</v>
      </c>
      <c r="BC70" s="17">
        <f>$I$18*$BC$18</f>
        <v>0</v>
      </c>
      <c r="BD70" s="17">
        <f>$I$18*$BD$18</f>
        <v>0</v>
      </c>
    </row>
    <row r="71" spans="1:56" ht="11.25" customHeight="1" x14ac:dyDescent="0.25">
      <c r="A71" s="9" t="s">
        <v>22</v>
      </c>
      <c r="B71" s="9" t="s">
        <v>690</v>
      </c>
      <c r="C71" s="9" t="s">
        <v>691</v>
      </c>
      <c r="D71" s="9" t="s">
        <v>692</v>
      </c>
      <c r="E71" s="9" t="s">
        <v>693</v>
      </c>
      <c r="F71" s="9" t="s">
        <v>694</v>
      </c>
      <c r="G71" s="9" t="s">
        <v>697</v>
      </c>
      <c r="L71" s="17">
        <f>$I$19*$L$19</f>
        <v>0</v>
      </c>
      <c r="M71" s="17">
        <f>$I$19*$M$19</f>
        <v>0</v>
      </c>
      <c r="N71" s="17">
        <f ca="1">$I$19*$N$19</f>
        <v>0</v>
      </c>
      <c r="O71" s="17">
        <f>$I$19*$O$19</f>
        <v>0</v>
      </c>
      <c r="P71" s="17">
        <f>$I$19*$P$19</f>
        <v>0</v>
      </c>
      <c r="Q71" s="17">
        <f>$I$19*$Q$19</f>
        <v>0</v>
      </c>
      <c r="R71" s="17">
        <f>$I$19*$R$19</f>
        <v>0</v>
      </c>
      <c r="S71" s="17">
        <f>$I$19*$S$19</f>
        <v>0</v>
      </c>
      <c r="T71" s="17">
        <f>$I$19*$T$19</f>
        <v>0</v>
      </c>
      <c r="U71" s="17">
        <f>$I$19*$U$19</f>
        <v>0</v>
      </c>
      <c r="V71" s="17">
        <f>$I$19*$V$19</f>
        <v>0</v>
      </c>
      <c r="W71" s="17">
        <f>$I$19*$W$19</f>
        <v>0</v>
      </c>
      <c r="X71" s="17">
        <f>$I$19*$X$19</f>
        <v>0</v>
      </c>
      <c r="Y71" s="17">
        <f>$I$19*$Y$19</f>
        <v>0</v>
      </c>
      <c r="Z71" s="17">
        <f>$I$19*$Z$19</f>
        <v>0</v>
      </c>
      <c r="AA71" s="17">
        <f>$I$19*$AA$19</f>
        <v>0</v>
      </c>
      <c r="AB71" s="17">
        <f ca="1">$I$19*$AB$19</f>
        <v>0</v>
      </c>
      <c r="AC71" s="17">
        <f ca="1">$I$19*$AC$19</f>
        <v>0</v>
      </c>
      <c r="AD71" s="17">
        <f>$I$19*$AD$19</f>
        <v>0</v>
      </c>
      <c r="AE71" s="17">
        <f>$I$19*$AE$19</f>
        <v>0</v>
      </c>
      <c r="AF71" s="17">
        <f ca="1">$I$19*$AF$19</f>
        <v>0</v>
      </c>
      <c r="AG71" s="17">
        <f ca="1">$I$19*$AG$19</f>
        <v>0</v>
      </c>
      <c r="AI71" s="17">
        <f>$I$19*$AI$19</f>
        <v>0</v>
      </c>
      <c r="AJ71" s="17">
        <f>$I$19*$AJ$19</f>
        <v>0</v>
      </c>
      <c r="AK71" s="17">
        <f>$I$19*$AK$19</f>
        <v>0</v>
      </c>
      <c r="AL71" s="17">
        <f>$I$19*$AL$19</f>
        <v>0</v>
      </c>
      <c r="AM71" s="17">
        <f>$I$19*$AM$19</f>
        <v>0</v>
      </c>
      <c r="AN71" s="17">
        <f>$I$19*$AN$19</f>
        <v>0</v>
      </c>
      <c r="AO71" s="17">
        <f>$I$19*$AO$19</f>
        <v>0</v>
      </c>
      <c r="AP71" s="17">
        <f>$I$19*$AP$19</f>
        <v>0</v>
      </c>
      <c r="AQ71" s="17">
        <f>$I$19*$AQ$19</f>
        <v>0</v>
      </c>
      <c r="AR71" s="17">
        <f>$I$19*$AR$19</f>
        <v>0</v>
      </c>
      <c r="AS71" s="17">
        <f>$I$19*$AS$19</f>
        <v>0</v>
      </c>
      <c r="AT71" s="17">
        <f>$I$19*$AT$19</f>
        <v>0</v>
      </c>
      <c r="AU71" s="17">
        <f>$I$19*$AU$19</f>
        <v>0</v>
      </c>
      <c r="AV71" s="17">
        <f>$I$19*$AV$19</f>
        <v>0</v>
      </c>
      <c r="AW71" s="17">
        <f>$I$19*$AW$19</f>
        <v>0</v>
      </c>
      <c r="AX71" s="17">
        <f>$I$19*$AX$19</f>
        <v>0</v>
      </c>
      <c r="AY71" s="17">
        <f>$I$19*$AY$19</f>
        <v>0</v>
      </c>
      <c r="AZ71" s="17">
        <f>$I$19*$AZ$19</f>
        <v>0</v>
      </c>
      <c r="BA71" s="17">
        <f>$I$19*$BA$19</f>
        <v>0</v>
      </c>
      <c r="BB71" s="17">
        <f>$I$19*$BB$19</f>
        <v>0</v>
      </c>
      <c r="BC71" s="17">
        <f>$I$19*$BC$19</f>
        <v>0</v>
      </c>
      <c r="BD71" s="17">
        <f>$I$19*$BD$19</f>
        <v>0</v>
      </c>
    </row>
    <row r="72" spans="1:56" ht="11.25" customHeight="1" x14ac:dyDescent="0.25">
      <c r="A72" s="9" t="s">
        <v>22</v>
      </c>
      <c r="B72" s="9" t="s">
        <v>698</v>
      </c>
      <c r="C72" s="9" t="s">
        <v>699</v>
      </c>
      <c r="D72" s="9" t="s">
        <v>700</v>
      </c>
      <c r="E72" s="9" t="s">
        <v>701</v>
      </c>
      <c r="F72" s="9" t="s">
        <v>702</v>
      </c>
      <c r="G72" s="9" t="s">
        <v>703</v>
      </c>
      <c r="L72" s="17">
        <f>$I$20*$L$20</f>
        <v>0</v>
      </c>
      <c r="M72" s="17">
        <f>$I$20*$M$20</f>
        <v>42546.7042038199</v>
      </c>
      <c r="N72" s="17">
        <f ca="1">$I$20*$N$20</f>
        <v>0</v>
      </c>
      <c r="O72" s="17">
        <f>$I$20*$O$20</f>
        <v>0</v>
      </c>
      <c r="P72" s="17">
        <f>$I$20*$P$20</f>
        <v>0</v>
      </c>
      <c r="Q72" s="17">
        <f>$I$20*$Q$20</f>
        <v>1970896.0029719281</v>
      </c>
      <c r="R72" s="17">
        <f>$I$20*$R$20</f>
        <v>327861.70971426804</v>
      </c>
      <c r="S72" s="17">
        <f>$I$20*$S$20</f>
        <v>0</v>
      </c>
      <c r="T72" s="17">
        <f>$I$20*$T$20</f>
        <v>0</v>
      </c>
      <c r="U72" s="17">
        <f>$I$20*$U$20</f>
        <v>0</v>
      </c>
      <c r="V72" s="17">
        <f>$I$20*$V$20</f>
        <v>0</v>
      </c>
      <c r="W72" s="17">
        <f>$I$20*$W$20</f>
        <v>0</v>
      </c>
      <c r="X72" s="17">
        <f>$I$20*$X$20</f>
        <v>3040778.350383224</v>
      </c>
      <c r="Y72" s="17">
        <f>$I$20*$Y$20</f>
        <v>0</v>
      </c>
      <c r="Z72" s="17">
        <f>$I$20*$Z$20</f>
        <v>0</v>
      </c>
      <c r="AA72" s="17">
        <f>$I$20*$AA$20</f>
        <v>5314566.0366692729</v>
      </c>
      <c r="AB72" s="17">
        <f ca="1">$I$20*$AB$20</f>
        <v>236095.51194137387</v>
      </c>
      <c r="AC72" s="17">
        <f ca="1">$I$20*$AC$20</f>
        <v>0</v>
      </c>
      <c r="AD72" s="17">
        <f>$I$20*$AD$20</f>
        <v>885171.69035857555</v>
      </c>
      <c r="AE72" s="17">
        <f>$I$20*$AE$20</f>
        <v>0</v>
      </c>
      <c r="AF72" s="17">
        <f ca="1">$I$20*$AF$20</f>
        <v>0</v>
      </c>
      <c r="AG72" s="17">
        <f ca="1">$I$20*$AG$20</f>
        <v>0</v>
      </c>
      <c r="AI72" s="17">
        <f>$I$20*$AI$20</f>
        <v>0</v>
      </c>
      <c r="AJ72" s="17">
        <f>$I$20*$AJ$20</f>
        <v>38706.754817512214</v>
      </c>
      <c r="AK72" s="17">
        <f>$I$20*$AK$20</f>
        <v>0</v>
      </c>
      <c r="AL72" s="17">
        <f>$I$20*$AL$20</f>
        <v>0</v>
      </c>
      <c r="AM72" s="17">
        <f>$I$20*$AM$20</f>
        <v>0</v>
      </c>
      <c r="AN72" s="17">
        <f>$I$20*$AN$20</f>
        <v>1312653.1934976471</v>
      </c>
      <c r="AO72" s="17">
        <f>$I$20*$AO$20</f>
        <v>209936.8958794449</v>
      </c>
      <c r="AP72" s="17">
        <f>$I$20*$AP$20</f>
        <v>0</v>
      </c>
      <c r="AQ72" s="17">
        <f>$I$20*$AQ$20</f>
        <v>0</v>
      </c>
      <c r="AR72" s="17">
        <f>$I$20*$AR$20</f>
        <v>0</v>
      </c>
      <c r="AS72" s="17">
        <f>$I$20*$AS$20</f>
        <v>0</v>
      </c>
      <c r="AT72" s="17">
        <f>$I$20*$AT$20</f>
        <v>0</v>
      </c>
      <c r="AU72" s="17">
        <f>$I$20*$AU$20</f>
        <v>3015694.0386839788</v>
      </c>
      <c r="AV72" s="17">
        <f>$I$20*$AV$20</f>
        <v>0</v>
      </c>
      <c r="AW72" s="17">
        <f>$I$20*$AW$20</f>
        <v>0</v>
      </c>
      <c r="AX72" s="17">
        <f>$I$20*$AX$20</f>
        <v>5203842.1137286518</v>
      </c>
      <c r="AY72" s="17">
        <f>$I$20*$AY$20</f>
        <v>0</v>
      </c>
      <c r="AZ72" s="17">
        <f>$I$20*$AZ$20</f>
        <v>0</v>
      </c>
      <c r="BA72" s="17">
        <f>$I$20*$BA$20</f>
        <v>739358.99185492576</v>
      </c>
      <c r="BB72" s="17">
        <f>$I$20*$BB$20</f>
        <v>0</v>
      </c>
      <c r="BC72" s="17">
        <f>$I$20*$BC$20</f>
        <v>0</v>
      </c>
      <c r="BD72" s="17">
        <f>$I$20*$BD$20</f>
        <v>0</v>
      </c>
    </row>
    <row r="73" spans="1:56" ht="11.25" customHeight="1" x14ac:dyDescent="0.25">
      <c r="A73" s="9" t="s">
        <v>22</v>
      </c>
      <c r="B73" s="9" t="s">
        <v>698</v>
      </c>
      <c r="C73" s="9" t="s">
        <v>699</v>
      </c>
      <c r="D73" s="9" t="s">
        <v>704</v>
      </c>
      <c r="E73" s="9" t="s">
        <v>705</v>
      </c>
      <c r="F73" s="9" t="s">
        <v>706</v>
      </c>
      <c r="G73" s="9" t="s">
        <v>707</v>
      </c>
      <c r="L73" s="17">
        <f>$I$21*$L$21</f>
        <v>0</v>
      </c>
      <c r="M73" s="17">
        <f>$I$21*$M$21</f>
        <v>10.6153474613123</v>
      </c>
      <c r="N73" s="17">
        <f ca="1">$I$21*$N$21</f>
        <v>0</v>
      </c>
      <c r="O73" s="17">
        <f>$I$21*$O$21</f>
        <v>0</v>
      </c>
      <c r="P73" s="17">
        <f>$I$21*$P$21</f>
        <v>0</v>
      </c>
      <c r="Q73" s="17">
        <f>$I$21*$Q$21</f>
        <v>0</v>
      </c>
      <c r="R73" s="17">
        <f>$I$21*$R$21</f>
        <v>0</v>
      </c>
      <c r="S73" s="17">
        <f>$I$21*$S$21</f>
        <v>0</v>
      </c>
      <c r="T73" s="17">
        <f>$I$21*$T$21</f>
        <v>0</v>
      </c>
      <c r="U73" s="17">
        <f>$I$21*$U$21</f>
        <v>0</v>
      </c>
      <c r="V73" s="17">
        <f>$I$21*$V$21</f>
        <v>0</v>
      </c>
      <c r="W73" s="17">
        <f>$I$21*$W$21</f>
        <v>0</v>
      </c>
      <c r="X73" s="17">
        <f>$I$21*$X$21</f>
        <v>758.67025063849519</v>
      </c>
      <c r="Y73" s="17">
        <f>$I$21*$Y$21</f>
        <v>0</v>
      </c>
      <c r="Z73" s="17">
        <f>$I$21*$Z$21</f>
        <v>0</v>
      </c>
      <c r="AA73" s="17">
        <f>$I$21*$AA$21</f>
        <v>1325.977326353486</v>
      </c>
      <c r="AB73" s="17">
        <f ca="1">$I$21*$AB$21</f>
        <v>49.580241684417118</v>
      </c>
      <c r="AC73" s="17">
        <f ca="1">$I$21*$AC$21</f>
        <v>0</v>
      </c>
      <c r="AD73" s="17">
        <f>$I$21*$AD$21</f>
        <v>220.84918754364529</v>
      </c>
      <c r="AE73" s="17">
        <f>$I$21*$AE$21</f>
        <v>0</v>
      </c>
      <c r="AF73" s="17">
        <f ca="1">$I$21*$AF$21</f>
        <v>0</v>
      </c>
      <c r="AG73" s="17">
        <f ca="1">$I$21*$AG$21</f>
        <v>0</v>
      </c>
      <c r="AI73" s="17">
        <f>$I$21*$AI$21</f>
        <v>0</v>
      </c>
      <c r="AJ73" s="17">
        <f>$I$21*$AJ$21</f>
        <v>9.6572850747585406</v>
      </c>
      <c r="AK73" s="17">
        <f>$I$21*$AK$21</f>
        <v>0</v>
      </c>
      <c r="AL73" s="17">
        <f>$I$21*$AL$21</f>
        <v>0</v>
      </c>
      <c r="AM73" s="17">
        <f>$I$21*$AM$21</f>
        <v>0</v>
      </c>
      <c r="AN73" s="17">
        <f>$I$21*$AN$21</f>
        <v>0</v>
      </c>
      <c r="AO73" s="17">
        <f>$I$21*$AO$21</f>
        <v>0</v>
      </c>
      <c r="AP73" s="17">
        <f>$I$21*$AP$21</f>
        <v>0</v>
      </c>
      <c r="AQ73" s="17">
        <f>$I$21*$AQ$21</f>
        <v>0</v>
      </c>
      <c r="AR73" s="17">
        <f>$I$21*$AR$21</f>
        <v>0</v>
      </c>
      <c r="AS73" s="17">
        <f>$I$21*$AS$21</f>
        <v>0</v>
      </c>
      <c r="AT73" s="17">
        <f>$I$21*$AT$21</f>
        <v>0</v>
      </c>
      <c r="AU73" s="17">
        <f>$I$21*$AU$21</f>
        <v>752.4117474359997</v>
      </c>
      <c r="AV73" s="17">
        <f>$I$21*$AV$21</f>
        <v>0</v>
      </c>
      <c r="AW73" s="17">
        <f>$I$21*$AW$21</f>
        <v>0</v>
      </c>
      <c r="AX73" s="17">
        <f>$I$21*$AX$21</f>
        <v>1298.3518513304696</v>
      </c>
      <c r="AY73" s="17">
        <f>$I$21*$AY$21</f>
        <v>0</v>
      </c>
      <c r="AZ73" s="17">
        <f>$I$21*$AZ$21</f>
        <v>0</v>
      </c>
      <c r="BA73" s="17">
        <f>$I$21*$BA$21</f>
        <v>184.46910857271487</v>
      </c>
      <c r="BB73" s="17">
        <f>$I$21*$BB$21</f>
        <v>0</v>
      </c>
      <c r="BC73" s="17">
        <f>$I$21*$BC$21</f>
        <v>0</v>
      </c>
      <c r="BD73" s="17">
        <f>$I$21*$BD$21</f>
        <v>0</v>
      </c>
    </row>
    <row r="74" spans="1:56" ht="11.25" customHeight="1" x14ac:dyDescent="0.25">
      <c r="A74" s="9" t="s">
        <v>22</v>
      </c>
      <c r="B74" s="9" t="s">
        <v>698</v>
      </c>
      <c r="C74" s="9" t="s">
        <v>699</v>
      </c>
      <c r="D74" s="9" t="s">
        <v>708</v>
      </c>
      <c r="E74" s="9" t="s">
        <v>709</v>
      </c>
      <c r="F74" s="9" t="s">
        <v>710</v>
      </c>
      <c r="G74" s="9" t="s">
        <v>711</v>
      </c>
      <c r="L74" s="17">
        <f>$I$22*$L$22</f>
        <v>0</v>
      </c>
      <c r="M74" s="17">
        <f>$I$22*$M$22</f>
        <v>38.49825559686591</v>
      </c>
      <c r="N74" s="17">
        <f ca="1">$I$22*$N$22</f>
        <v>0</v>
      </c>
      <c r="O74" s="17">
        <f>$I$22*$O$22</f>
        <v>0</v>
      </c>
      <c r="P74" s="17">
        <f>$I$22*$P$22</f>
        <v>0</v>
      </c>
      <c r="Q74" s="17">
        <f>$I$22*$Q$22</f>
        <v>0</v>
      </c>
      <c r="R74" s="17">
        <f>$I$22*$R$22</f>
        <v>0</v>
      </c>
      <c r="S74" s="17">
        <f>$I$22*$S$22</f>
        <v>0</v>
      </c>
      <c r="T74" s="17">
        <f>$I$22*$T$22</f>
        <v>0</v>
      </c>
      <c r="U74" s="17">
        <f>$I$22*$U$22</f>
        <v>0</v>
      </c>
      <c r="V74" s="17">
        <f>$I$22*$V$22</f>
        <v>0</v>
      </c>
      <c r="W74" s="17">
        <f>$I$22*$W$22</f>
        <v>0</v>
      </c>
      <c r="X74" s="17">
        <f>$I$22*$X$22</f>
        <v>2751.439020650615</v>
      </c>
      <c r="Y74" s="17">
        <f>$I$22*$Y$22</f>
        <v>0</v>
      </c>
      <c r="Z74" s="17">
        <f>$I$22*$Z$22</f>
        <v>0</v>
      </c>
      <c r="AA74" s="17">
        <f>$I$22*$AA$22</f>
        <v>4808.8688770338849</v>
      </c>
      <c r="AB74" s="17">
        <f ca="1">$I$22*$AB$22</f>
        <v>179.81067731202745</v>
      </c>
      <c r="AC74" s="17">
        <f ca="1">$I$22*$AC$22</f>
        <v>0</v>
      </c>
      <c r="AD74" s="17">
        <f>$I$22*$AD$22</f>
        <v>800.94490560974543</v>
      </c>
      <c r="AE74" s="17">
        <f>$I$22*$AE$22</f>
        <v>0</v>
      </c>
      <c r="AF74" s="17">
        <f ca="1">$I$22*$AF$22</f>
        <v>0</v>
      </c>
      <c r="AG74" s="17">
        <f ca="1">$I$22*$AG$22</f>
        <v>0</v>
      </c>
      <c r="AI74" s="17">
        <f>$I$22*$AI$22</f>
        <v>0</v>
      </c>
      <c r="AJ74" s="17">
        <f>$I$22*$AJ$22</f>
        <v>35.023689100600635</v>
      </c>
      <c r="AK74" s="17">
        <f>$I$22*$AK$22</f>
        <v>0</v>
      </c>
      <c r="AL74" s="17">
        <f>$I$22*$AL$22</f>
        <v>0</v>
      </c>
      <c r="AM74" s="17">
        <f>$I$22*$AM$22</f>
        <v>0</v>
      </c>
      <c r="AN74" s="17">
        <f>$I$22*$AN$22</f>
        <v>0</v>
      </c>
      <c r="AO74" s="17">
        <f>$I$22*$AO$22</f>
        <v>0</v>
      </c>
      <c r="AP74" s="17">
        <f>$I$22*$AP$22</f>
        <v>0</v>
      </c>
      <c r="AQ74" s="17">
        <f>$I$22*$AQ$22</f>
        <v>0</v>
      </c>
      <c r="AR74" s="17">
        <f>$I$22*$AR$22</f>
        <v>0</v>
      </c>
      <c r="AS74" s="17">
        <f>$I$22*$AS$22</f>
        <v>0</v>
      </c>
      <c r="AT74" s="17">
        <f>$I$22*$AT$22</f>
        <v>0</v>
      </c>
      <c r="AU74" s="17">
        <f>$I$22*$AU$22</f>
        <v>2728.7415576781054</v>
      </c>
      <c r="AV74" s="17">
        <f>$I$22*$AV$22</f>
        <v>0</v>
      </c>
      <c r="AW74" s="17">
        <f>$I$22*$AW$22</f>
        <v>0</v>
      </c>
      <c r="AX74" s="17">
        <f>$I$22*$AX$22</f>
        <v>4708.6806728985966</v>
      </c>
      <c r="AY74" s="17">
        <f>$I$22*$AY$22</f>
        <v>0</v>
      </c>
      <c r="AZ74" s="17">
        <f>$I$22*$AZ$22</f>
        <v>0</v>
      </c>
      <c r="BA74" s="17">
        <f>$I$22*$BA$22</f>
        <v>669.00672987301698</v>
      </c>
      <c r="BB74" s="17">
        <f>$I$22*$BB$22</f>
        <v>0</v>
      </c>
      <c r="BC74" s="17">
        <f>$I$22*$BC$22</f>
        <v>0</v>
      </c>
      <c r="BD74" s="17">
        <f>$I$22*$BD$22</f>
        <v>0</v>
      </c>
    </row>
    <row r="75" spans="1:56" ht="11.25" customHeight="1" x14ac:dyDescent="0.25">
      <c r="A75" s="9" t="s">
        <v>22</v>
      </c>
      <c r="B75" s="9" t="s">
        <v>698</v>
      </c>
      <c r="C75" s="9" t="s">
        <v>699</v>
      </c>
      <c r="D75" s="9" t="s">
        <v>712</v>
      </c>
      <c r="E75" s="9" t="s">
        <v>713</v>
      </c>
      <c r="F75" s="9" t="s">
        <v>714</v>
      </c>
      <c r="G75" s="9" t="s">
        <v>715</v>
      </c>
      <c r="L75" s="17">
        <f>$I$23*$L$23</f>
        <v>0</v>
      </c>
      <c r="M75" s="17">
        <f>$I$23*$M$23</f>
        <v>52.598833082322344</v>
      </c>
      <c r="N75" s="17">
        <f ca="1">$I$23*$N$23</f>
        <v>0</v>
      </c>
      <c r="O75" s="17">
        <f>$I$23*$O$23</f>
        <v>0</v>
      </c>
      <c r="P75" s="17">
        <f>$I$23*$P$23</f>
        <v>0</v>
      </c>
      <c r="Q75" s="17">
        <f>$I$23*$Q$23</f>
        <v>0</v>
      </c>
      <c r="R75" s="17">
        <f>$I$23*$R$23</f>
        <v>0</v>
      </c>
      <c r="S75" s="17">
        <f>$I$23*$S$23</f>
        <v>0</v>
      </c>
      <c r="T75" s="17">
        <f>$I$23*$T$23</f>
        <v>0</v>
      </c>
      <c r="U75" s="17">
        <f>$I$23*$U$23</f>
        <v>0</v>
      </c>
      <c r="V75" s="17">
        <f>$I$23*$V$23</f>
        <v>0</v>
      </c>
      <c r="W75" s="17">
        <f>$I$23*$W$23</f>
        <v>0</v>
      </c>
      <c r="X75" s="17">
        <f>$I$23*$X$23</f>
        <v>3759.1958269187617</v>
      </c>
      <c r="Y75" s="17">
        <f>$I$23*$Y$23</f>
        <v>0</v>
      </c>
      <c r="Z75" s="17">
        <f>$I$23*$Z$23</f>
        <v>0</v>
      </c>
      <c r="AA75" s="17">
        <f>$I$23*$AA$23</f>
        <v>6570.1909724572515</v>
      </c>
      <c r="AB75" s="17">
        <f ca="1">$I$23*$AB$23</f>
        <v>245.66909995591095</v>
      </c>
      <c r="AC75" s="17">
        <f ca="1">$I$23*$AC$23</f>
        <v>0</v>
      </c>
      <c r="AD75" s="17">
        <f>$I$23*$AD$23</f>
        <v>1094.303280633138</v>
      </c>
      <c r="AE75" s="17">
        <f>$I$23*$AE$23</f>
        <v>0</v>
      </c>
      <c r="AF75" s="17">
        <f ca="1">$I$23*$AF$23</f>
        <v>0</v>
      </c>
      <c r="AG75" s="17">
        <f ca="1">$I$23*$AG$23</f>
        <v>0</v>
      </c>
      <c r="AI75" s="17">
        <f>$I$23*$AI$23</f>
        <v>0</v>
      </c>
      <c r="AJ75" s="17">
        <f>$I$23*$AJ$23</f>
        <v>47.851653233857576</v>
      </c>
      <c r="AK75" s="17">
        <f>$I$23*$AK$23</f>
        <v>0</v>
      </c>
      <c r="AL75" s="17">
        <f>$I$23*$AL$23</f>
        <v>0</v>
      </c>
      <c r="AM75" s="17">
        <f>$I$23*$AM$23</f>
        <v>0</v>
      </c>
      <c r="AN75" s="17">
        <f>$I$23*$AN$23</f>
        <v>0</v>
      </c>
      <c r="AO75" s="17">
        <f>$I$23*$AO$23</f>
        <v>0</v>
      </c>
      <c r="AP75" s="17">
        <f>$I$23*$AP$23</f>
        <v>0</v>
      </c>
      <c r="AQ75" s="17">
        <f>$I$23*$AQ$23</f>
        <v>0</v>
      </c>
      <c r="AR75" s="17">
        <f>$I$23*$AR$23</f>
        <v>0</v>
      </c>
      <c r="AS75" s="17">
        <f>$I$23*$AS$23</f>
        <v>0</v>
      </c>
      <c r="AT75" s="17">
        <f>$I$23*$AT$23</f>
        <v>0</v>
      </c>
      <c r="AU75" s="17">
        <f>$I$23*$AU$23</f>
        <v>3728.1850694760174</v>
      </c>
      <c r="AV75" s="17">
        <f>$I$23*$AV$23</f>
        <v>0</v>
      </c>
      <c r="AW75" s="17">
        <f>$I$23*$AW$23</f>
        <v>0</v>
      </c>
      <c r="AX75" s="17">
        <f>$I$23*$AX$23</f>
        <v>6433.3072995627663</v>
      </c>
      <c r="AY75" s="17">
        <f>$I$23*$AY$23</f>
        <v>0</v>
      </c>
      <c r="AZ75" s="17">
        <f>$I$23*$AZ$23</f>
        <v>0</v>
      </c>
      <c r="BA75" s="17">
        <f>$I$23*$BA$23</f>
        <v>914.04072132571685</v>
      </c>
      <c r="BB75" s="17">
        <f>$I$23*$BB$23</f>
        <v>0</v>
      </c>
      <c r="BC75" s="17">
        <f>$I$23*$BC$23</f>
        <v>0</v>
      </c>
      <c r="BD75" s="17">
        <f>$I$23*$BD$23</f>
        <v>0</v>
      </c>
    </row>
    <row r="76" spans="1:56" ht="11.25" customHeight="1" x14ac:dyDescent="0.25">
      <c r="A76" s="9" t="s">
        <v>22</v>
      </c>
      <c r="B76" s="9" t="s">
        <v>698</v>
      </c>
      <c r="C76" s="9" t="s">
        <v>699</v>
      </c>
      <c r="D76" s="9" t="s">
        <v>716</v>
      </c>
      <c r="E76" s="9" t="s">
        <v>717</v>
      </c>
      <c r="F76" s="9" t="s">
        <v>718</v>
      </c>
      <c r="G76" s="9" t="s">
        <v>719</v>
      </c>
      <c r="L76" s="17">
        <f>$I$24*$L$24</f>
        <v>0</v>
      </c>
      <c r="M76" s="17">
        <f>$I$24*$M$24</f>
        <v>18.810025481413213</v>
      </c>
      <c r="N76" s="17">
        <f ca="1">$I$24*$N$24</f>
        <v>0</v>
      </c>
      <c r="O76" s="17">
        <f>$I$24*$O$24</f>
        <v>0</v>
      </c>
      <c r="P76" s="17">
        <f>$I$24*$P$24</f>
        <v>0</v>
      </c>
      <c r="Q76" s="17">
        <f>$I$24*$Q$24</f>
        <v>0</v>
      </c>
      <c r="R76" s="17">
        <f>$I$24*$R$24</f>
        <v>0</v>
      </c>
      <c r="S76" s="17">
        <f>$I$24*$S$24</f>
        <v>0</v>
      </c>
      <c r="T76" s="17">
        <f>$I$24*$T$24</f>
        <v>0</v>
      </c>
      <c r="U76" s="17">
        <f>$I$24*$U$24</f>
        <v>0</v>
      </c>
      <c r="V76" s="17">
        <f>$I$24*$V$24</f>
        <v>0</v>
      </c>
      <c r="W76" s="17">
        <f>$I$24*$W$24</f>
        <v>0</v>
      </c>
      <c r="X76" s="17">
        <f>$I$24*$X$24</f>
        <v>1344.3372248067769</v>
      </c>
      <c r="Y76" s="17">
        <f>$I$24*$Y$24</f>
        <v>0</v>
      </c>
      <c r="Z76" s="17">
        <f>$I$24*$Z$24</f>
        <v>0</v>
      </c>
      <c r="AA76" s="17">
        <f>$I$24*$AA$24</f>
        <v>2349.5855776163048</v>
      </c>
      <c r="AB76" s="17">
        <f ca="1">$I$24*$AB$24</f>
        <v>87.854459108135515</v>
      </c>
      <c r="AC76" s="17">
        <f ca="1">$I$24*$AC$24</f>
        <v>0</v>
      </c>
      <c r="AD76" s="17">
        <f>$I$24*$AD$24</f>
        <v>391.3370580082568</v>
      </c>
      <c r="AE76" s="17">
        <f>$I$24*$AE$24</f>
        <v>0</v>
      </c>
      <c r="AF76" s="17">
        <f ca="1">$I$24*$AF$24</f>
        <v>0</v>
      </c>
      <c r="AG76" s="17">
        <f ca="1">$I$24*$AG$24</f>
        <v>0</v>
      </c>
      <c r="AI76" s="17">
        <f>$I$24*$AI$24</f>
        <v>0</v>
      </c>
      <c r="AJ76" s="17">
        <f>$I$24*$AJ$24</f>
        <v>17.112372345749186</v>
      </c>
      <c r="AK76" s="17">
        <f>$I$24*$AK$24</f>
        <v>0</v>
      </c>
      <c r="AL76" s="17">
        <f>$I$24*$AL$24</f>
        <v>0</v>
      </c>
      <c r="AM76" s="17">
        <f>$I$24*$AM$24</f>
        <v>0</v>
      </c>
      <c r="AN76" s="17">
        <f>$I$24*$AN$24</f>
        <v>0</v>
      </c>
      <c r="AO76" s="17">
        <f>$I$24*$AO$24</f>
        <v>0</v>
      </c>
      <c r="AP76" s="17">
        <f>$I$24*$AP$24</f>
        <v>0</v>
      </c>
      <c r="AQ76" s="17">
        <f>$I$24*$AQ$24</f>
        <v>0</v>
      </c>
      <c r="AR76" s="17">
        <f>$I$24*$AR$24</f>
        <v>0</v>
      </c>
      <c r="AS76" s="17">
        <f>$I$24*$AS$24</f>
        <v>0</v>
      </c>
      <c r="AT76" s="17">
        <f>$I$24*$AT$24</f>
        <v>0</v>
      </c>
      <c r="AU76" s="17">
        <f>$I$24*$AU$24</f>
        <v>1333.2473754030211</v>
      </c>
      <c r="AV76" s="17">
        <f>$I$24*$AV$24</f>
        <v>0</v>
      </c>
      <c r="AW76" s="17">
        <f>$I$24*$AW$24</f>
        <v>0</v>
      </c>
      <c r="AX76" s="17">
        <f>$I$24*$AX$24</f>
        <v>2300.6341993394385</v>
      </c>
      <c r="AY76" s="17">
        <f>$I$24*$AY$24</f>
        <v>0</v>
      </c>
      <c r="AZ76" s="17">
        <f>$I$24*$AZ$24</f>
        <v>0</v>
      </c>
      <c r="BA76" s="17">
        <f>$I$24*$BA$24</f>
        <v>326.87282686057068</v>
      </c>
      <c r="BB76" s="17">
        <f>$I$24*$BB$24</f>
        <v>0</v>
      </c>
      <c r="BC76" s="17">
        <f>$I$24*$BC$24</f>
        <v>0</v>
      </c>
      <c r="BD76" s="17">
        <f>$I$24*$BD$24</f>
        <v>0</v>
      </c>
    </row>
    <row r="77" spans="1:56" ht="11.25" customHeight="1" x14ac:dyDescent="0.25">
      <c r="A77" s="9" t="s">
        <v>22</v>
      </c>
      <c r="B77" s="9" t="s">
        <v>720</v>
      </c>
      <c r="C77" s="9" t="s">
        <v>721</v>
      </c>
      <c r="D77" s="9" t="s">
        <v>722</v>
      </c>
      <c r="E77" s="9" t="s">
        <v>723</v>
      </c>
      <c r="F77" s="9" t="s">
        <v>724</v>
      </c>
      <c r="G77" s="9" t="s">
        <v>725</v>
      </c>
      <c r="L77" s="17">
        <f>$I$25*$L$25</f>
        <v>0</v>
      </c>
      <c r="M77" s="17">
        <f>$I$25*$M$25</f>
        <v>0</v>
      </c>
      <c r="N77" s="17">
        <f ca="1">$I$25*$N$25</f>
        <v>0</v>
      </c>
      <c r="O77" s="17">
        <f>$I$25*$O$25</f>
        <v>0</v>
      </c>
      <c r="P77" s="17">
        <f>$I$25*$P$25</f>
        <v>0</v>
      </c>
      <c r="Q77" s="17">
        <f>$I$25*$Q$25</f>
        <v>0</v>
      </c>
      <c r="R77" s="17">
        <f>$I$25*$R$25</f>
        <v>0</v>
      </c>
      <c r="S77" s="17">
        <f>$I$25*$S$25</f>
        <v>0</v>
      </c>
      <c r="T77" s="17">
        <f>$I$25*$T$25</f>
        <v>0</v>
      </c>
      <c r="U77" s="17">
        <f>$I$25*$U$25</f>
        <v>0</v>
      </c>
      <c r="V77" s="17">
        <f>$I$25*$V$25</f>
        <v>0</v>
      </c>
      <c r="W77" s="17">
        <f>$I$25*$W$25</f>
        <v>0</v>
      </c>
      <c r="X77" s="17">
        <f>$I$25*$X$25</f>
        <v>0</v>
      </c>
      <c r="Y77" s="17">
        <f>$I$25*$Y$25</f>
        <v>0</v>
      </c>
      <c r="Z77" s="17">
        <f>$I$25*$Z$25</f>
        <v>0</v>
      </c>
      <c r="AA77" s="17">
        <f>$I$25*$AA$25</f>
        <v>0</v>
      </c>
      <c r="AB77" s="17">
        <f ca="1">$I$25*$AB$25</f>
        <v>0</v>
      </c>
      <c r="AC77" s="17">
        <f ca="1">$I$25*$AC$25</f>
        <v>0</v>
      </c>
      <c r="AD77" s="17">
        <f>$I$25*$AD$25</f>
        <v>0</v>
      </c>
      <c r="AE77" s="17">
        <f>$I$25*$AE$25</f>
        <v>0</v>
      </c>
      <c r="AF77" s="17">
        <f ca="1">$I$25*$AF$25</f>
        <v>0</v>
      </c>
      <c r="AG77" s="17">
        <f ca="1">$I$25*$AG$25</f>
        <v>0</v>
      </c>
      <c r="AI77" s="17">
        <f>$I$25*$AI$25</f>
        <v>0</v>
      </c>
      <c r="AJ77" s="17">
        <f>$I$25*$AJ$25</f>
        <v>0</v>
      </c>
      <c r="AK77" s="17">
        <f>$I$25*$AK$25</f>
        <v>0</v>
      </c>
      <c r="AL77" s="17">
        <f>$I$25*$AL$25</f>
        <v>0</v>
      </c>
      <c r="AM77" s="17">
        <f>$I$25*$AM$25</f>
        <v>0</v>
      </c>
      <c r="AN77" s="17">
        <f>$I$25*$AN$25</f>
        <v>0</v>
      </c>
      <c r="AO77" s="17">
        <f>$I$25*$AO$25</f>
        <v>0</v>
      </c>
      <c r="AP77" s="17">
        <f>$I$25*$AP$25</f>
        <v>0</v>
      </c>
      <c r="AQ77" s="17">
        <f>$I$25*$AQ$25</f>
        <v>0</v>
      </c>
      <c r="AR77" s="17">
        <f>$I$25*$AR$25</f>
        <v>0</v>
      </c>
      <c r="AS77" s="17">
        <f>$I$25*$AS$25</f>
        <v>0</v>
      </c>
      <c r="AT77" s="17">
        <f>$I$25*$AT$25</f>
        <v>0</v>
      </c>
      <c r="AU77" s="17">
        <f>$I$25*$AU$25</f>
        <v>0</v>
      </c>
      <c r="AV77" s="17">
        <f>$I$25*$AV$25</f>
        <v>0</v>
      </c>
      <c r="AW77" s="17">
        <f>$I$25*$AW$25</f>
        <v>0</v>
      </c>
      <c r="AX77" s="17">
        <f>$I$25*$AX$25</f>
        <v>0</v>
      </c>
      <c r="AY77" s="17">
        <f>$I$25*$AY$25</f>
        <v>0</v>
      </c>
      <c r="AZ77" s="17">
        <f>$I$25*$AZ$25</f>
        <v>0</v>
      </c>
      <c r="BA77" s="17">
        <f>$I$25*$BA$25</f>
        <v>0</v>
      </c>
      <c r="BB77" s="17">
        <f>$I$25*$BB$25</f>
        <v>0</v>
      </c>
      <c r="BC77" s="17">
        <f>$I$25*$BC$25</f>
        <v>0</v>
      </c>
      <c r="BD77" s="17">
        <f>$I$25*$BD$25</f>
        <v>0</v>
      </c>
    </row>
    <row r="78" spans="1:56" ht="11.25" customHeight="1" x14ac:dyDescent="0.25">
      <c r="A78" s="9" t="s">
        <v>22</v>
      </c>
      <c r="B78" s="9" t="s">
        <v>720</v>
      </c>
      <c r="C78" s="9" t="s">
        <v>721</v>
      </c>
      <c r="D78" s="9" t="s">
        <v>726</v>
      </c>
      <c r="E78" s="9" t="s">
        <v>727</v>
      </c>
      <c r="F78" s="9" t="s">
        <v>728</v>
      </c>
      <c r="G78" s="9" t="s">
        <v>729</v>
      </c>
      <c r="L78" s="17">
        <f>$I$26*$L$26</f>
        <v>0</v>
      </c>
      <c r="M78" s="17">
        <f>$I$26*$M$26</f>
        <v>0</v>
      </c>
      <c r="N78" s="17">
        <f ca="1">$I$26*$N$26</f>
        <v>0</v>
      </c>
      <c r="O78" s="17">
        <f>$I$26*$O$26</f>
        <v>0</v>
      </c>
      <c r="P78" s="17">
        <f>$I$26*$P$26</f>
        <v>0</v>
      </c>
      <c r="Q78" s="17">
        <f>$I$26*$Q$26</f>
        <v>0</v>
      </c>
      <c r="R78" s="17">
        <f>$I$26*$R$26</f>
        <v>0</v>
      </c>
      <c r="S78" s="17">
        <f>$I$26*$S$26</f>
        <v>0</v>
      </c>
      <c r="T78" s="17">
        <f>$I$26*$T$26</f>
        <v>0</v>
      </c>
      <c r="U78" s="17">
        <f>$I$26*$U$26</f>
        <v>0</v>
      </c>
      <c r="V78" s="17">
        <f>$I$26*$V$26</f>
        <v>0</v>
      </c>
      <c r="W78" s="17">
        <f>$I$26*$W$26</f>
        <v>0</v>
      </c>
      <c r="X78" s="17">
        <f>$I$26*$X$26</f>
        <v>0</v>
      </c>
      <c r="Y78" s="17">
        <f>$I$26*$Y$26</f>
        <v>0</v>
      </c>
      <c r="Z78" s="17">
        <f>$I$26*$Z$26</f>
        <v>0</v>
      </c>
      <c r="AA78" s="17">
        <f>$I$26*$AA$26</f>
        <v>0</v>
      </c>
      <c r="AB78" s="17">
        <f ca="1">$I$26*$AB$26</f>
        <v>0</v>
      </c>
      <c r="AC78" s="17">
        <f ca="1">$I$26*$AC$26</f>
        <v>0</v>
      </c>
      <c r="AD78" s="17">
        <f>$I$26*$AD$26</f>
        <v>0</v>
      </c>
      <c r="AE78" s="17">
        <f>$I$26*$AE$26</f>
        <v>0</v>
      </c>
      <c r="AF78" s="17">
        <f ca="1">$I$26*$AF$26</f>
        <v>0</v>
      </c>
      <c r="AG78" s="17">
        <f ca="1">$I$26*$AG$26</f>
        <v>0</v>
      </c>
      <c r="AI78" s="17">
        <f>$I$26*$AI$26</f>
        <v>0</v>
      </c>
      <c r="AJ78" s="17">
        <f>$I$26*$AJ$26</f>
        <v>0</v>
      </c>
      <c r="AK78" s="17">
        <f>$I$26*$AK$26</f>
        <v>0</v>
      </c>
      <c r="AL78" s="17">
        <f>$I$26*$AL$26</f>
        <v>0</v>
      </c>
      <c r="AM78" s="17">
        <f>$I$26*$AM$26</f>
        <v>0</v>
      </c>
      <c r="AN78" s="17">
        <f>$I$26*$AN$26</f>
        <v>0</v>
      </c>
      <c r="AO78" s="17">
        <f>$I$26*$AO$26</f>
        <v>0</v>
      </c>
      <c r="AP78" s="17">
        <f>$I$26*$AP$26</f>
        <v>0</v>
      </c>
      <c r="AQ78" s="17">
        <f>$I$26*$AQ$26</f>
        <v>0</v>
      </c>
      <c r="AR78" s="17">
        <f>$I$26*$AR$26</f>
        <v>0</v>
      </c>
      <c r="AS78" s="17">
        <f>$I$26*$AS$26</f>
        <v>0</v>
      </c>
      <c r="AT78" s="17">
        <f>$I$26*$AT$26</f>
        <v>0</v>
      </c>
      <c r="AU78" s="17">
        <f>$I$26*$AU$26</f>
        <v>0</v>
      </c>
      <c r="AV78" s="17">
        <f>$I$26*$AV$26</f>
        <v>0</v>
      </c>
      <c r="AW78" s="17">
        <f>$I$26*$AW$26</f>
        <v>0</v>
      </c>
      <c r="AX78" s="17">
        <f>$I$26*$AX$26</f>
        <v>0</v>
      </c>
      <c r="AY78" s="17">
        <f>$I$26*$AY$26</f>
        <v>0</v>
      </c>
      <c r="AZ78" s="17">
        <f>$I$26*$AZ$26</f>
        <v>0</v>
      </c>
      <c r="BA78" s="17">
        <f>$I$26*$BA$26</f>
        <v>0</v>
      </c>
      <c r="BB78" s="17">
        <f>$I$26*$BB$26</f>
        <v>0</v>
      </c>
      <c r="BC78" s="17">
        <f>$I$26*$BC$26</f>
        <v>0</v>
      </c>
      <c r="BD78" s="17">
        <f>$I$26*$BD$26</f>
        <v>0</v>
      </c>
    </row>
    <row r="79" spans="1:56" ht="11.25" customHeight="1" x14ac:dyDescent="0.25">
      <c r="A79" s="9" t="s">
        <v>22</v>
      </c>
      <c r="B79" s="9" t="s">
        <v>720</v>
      </c>
      <c r="C79" s="9" t="s">
        <v>721</v>
      </c>
      <c r="D79" s="9" t="s">
        <v>730</v>
      </c>
      <c r="E79" s="9" t="s">
        <v>731</v>
      </c>
      <c r="F79" s="9" t="s">
        <v>732</v>
      </c>
      <c r="G79" s="9" t="s">
        <v>733</v>
      </c>
      <c r="L79" s="17">
        <f>$I$27*$L$27</f>
        <v>0</v>
      </c>
      <c r="M79" s="17">
        <f>$I$27*$M$27</f>
        <v>0</v>
      </c>
      <c r="N79" s="17">
        <f ca="1">$I$27*$N$27</f>
        <v>0</v>
      </c>
      <c r="O79" s="17">
        <f>$I$27*$O$27</f>
        <v>0</v>
      </c>
      <c r="P79" s="17">
        <f>$I$27*$P$27</f>
        <v>0</v>
      </c>
      <c r="Q79" s="17">
        <f>$I$27*$Q$27</f>
        <v>0</v>
      </c>
      <c r="R79" s="17">
        <f>$I$27*$R$27</f>
        <v>0</v>
      </c>
      <c r="S79" s="17">
        <f>$I$27*$S$27</f>
        <v>0</v>
      </c>
      <c r="T79" s="17">
        <f>$I$27*$T$27</f>
        <v>0</v>
      </c>
      <c r="U79" s="17">
        <f>$I$27*$U$27</f>
        <v>0</v>
      </c>
      <c r="V79" s="17">
        <f>$I$27*$V$27</f>
        <v>0</v>
      </c>
      <c r="W79" s="17">
        <f>$I$27*$W$27</f>
        <v>0</v>
      </c>
      <c r="X79" s="17">
        <f>$I$27*$X$27</f>
        <v>0</v>
      </c>
      <c r="Y79" s="17">
        <f>$I$27*$Y$27</f>
        <v>0</v>
      </c>
      <c r="Z79" s="17">
        <f>$I$27*$Z$27</f>
        <v>0</v>
      </c>
      <c r="AA79" s="17">
        <f>$I$27*$AA$27</f>
        <v>0</v>
      </c>
      <c r="AB79" s="17">
        <f ca="1">$I$27*$AB$27</f>
        <v>0</v>
      </c>
      <c r="AC79" s="17">
        <f ca="1">$I$27*$AC$27</f>
        <v>0</v>
      </c>
      <c r="AD79" s="17">
        <f>$I$27*$AD$27</f>
        <v>0</v>
      </c>
      <c r="AE79" s="17">
        <f>$I$27*$AE$27</f>
        <v>0</v>
      </c>
      <c r="AF79" s="17">
        <f ca="1">$I$27*$AF$27</f>
        <v>0</v>
      </c>
      <c r="AG79" s="17">
        <f ca="1">$I$27*$AG$27</f>
        <v>0</v>
      </c>
      <c r="AI79" s="17">
        <f>$I$27*$AI$27</f>
        <v>0</v>
      </c>
      <c r="AJ79" s="17">
        <f>$I$27*$AJ$27</f>
        <v>0</v>
      </c>
      <c r="AK79" s="17">
        <f>$I$27*$AK$27</f>
        <v>0</v>
      </c>
      <c r="AL79" s="17">
        <f>$I$27*$AL$27</f>
        <v>0</v>
      </c>
      <c r="AM79" s="17">
        <f>$I$27*$AM$27</f>
        <v>0</v>
      </c>
      <c r="AN79" s="17">
        <f>$I$27*$AN$27</f>
        <v>0</v>
      </c>
      <c r="AO79" s="17">
        <f>$I$27*$AO$27</f>
        <v>0</v>
      </c>
      <c r="AP79" s="17">
        <f>$I$27*$AP$27</f>
        <v>0</v>
      </c>
      <c r="AQ79" s="17">
        <f>$I$27*$AQ$27</f>
        <v>0</v>
      </c>
      <c r="AR79" s="17">
        <f>$I$27*$AR$27</f>
        <v>0</v>
      </c>
      <c r="AS79" s="17">
        <f>$I$27*$AS$27</f>
        <v>0</v>
      </c>
      <c r="AT79" s="17">
        <f>$I$27*$AT$27</f>
        <v>0</v>
      </c>
      <c r="AU79" s="17">
        <f>$I$27*$AU$27</f>
        <v>0</v>
      </c>
      <c r="AV79" s="17">
        <f>$I$27*$AV$27</f>
        <v>0</v>
      </c>
      <c r="AW79" s="17">
        <f>$I$27*$AW$27</f>
        <v>0</v>
      </c>
      <c r="AX79" s="17">
        <f>$I$27*$AX$27</f>
        <v>0</v>
      </c>
      <c r="AY79" s="17">
        <f>$I$27*$AY$27</f>
        <v>0</v>
      </c>
      <c r="AZ79" s="17">
        <f>$I$27*$AZ$27</f>
        <v>0</v>
      </c>
      <c r="BA79" s="17">
        <f>$I$27*$BA$27</f>
        <v>0</v>
      </c>
      <c r="BB79" s="17">
        <f>$I$27*$BB$27</f>
        <v>0</v>
      </c>
      <c r="BC79" s="17">
        <f>$I$27*$BC$27</f>
        <v>0</v>
      </c>
      <c r="BD79" s="17">
        <f>$I$27*$BD$27</f>
        <v>0</v>
      </c>
    </row>
    <row r="80" spans="1:56" ht="11.25" customHeight="1" x14ac:dyDescent="0.25">
      <c r="A80" s="9" t="s">
        <v>22</v>
      </c>
      <c r="B80" s="9" t="s">
        <v>720</v>
      </c>
      <c r="C80" s="9" t="s">
        <v>721</v>
      </c>
      <c r="D80" s="9" t="s">
        <v>734</v>
      </c>
      <c r="E80" s="9" t="s">
        <v>735</v>
      </c>
      <c r="F80" s="9" t="s">
        <v>736</v>
      </c>
      <c r="G80" s="9" t="s">
        <v>737</v>
      </c>
      <c r="L80" s="17">
        <f>$I$28*$L$28</f>
        <v>0</v>
      </c>
      <c r="M80" s="17">
        <f>$I$28*$M$28</f>
        <v>0</v>
      </c>
      <c r="N80" s="17">
        <f ca="1">$I$28*$N$28</f>
        <v>0</v>
      </c>
      <c r="O80" s="17">
        <f>$I$28*$O$28</f>
        <v>0</v>
      </c>
      <c r="P80" s="17">
        <f>$I$28*$P$28</f>
        <v>0</v>
      </c>
      <c r="Q80" s="17">
        <f>$I$28*$Q$28</f>
        <v>0</v>
      </c>
      <c r="R80" s="17">
        <f>$I$28*$R$28</f>
        <v>0</v>
      </c>
      <c r="S80" s="17">
        <f>$I$28*$S$28</f>
        <v>0</v>
      </c>
      <c r="T80" s="17">
        <f>$I$28*$T$28</f>
        <v>0</v>
      </c>
      <c r="U80" s="17">
        <f>$I$28*$U$28</f>
        <v>0</v>
      </c>
      <c r="V80" s="17">
        <f>$I$28*$V$28</f>
        <v>0</v>
      </c>
      <c r="W80" s="17">
        <f>$I$28*$W$28</f>
        <v>0</v>
      </c>
      <c r="X80" s="17">
        <f>$I$28*$X$28</f>
        <v>0</v>
      </c>
      <c r="Y80" s="17">
        <f>$I$28*$Y$28</f>
        <v>0</v>
      </c>
      <c r="Z80" s="17">
        <f>$I$28*$Z$28</f>
        <v>0</v>
      </c>
      <c r="AA80" s="17">
        <f>$I$28*$AA$28</f>
        <v>0</v>
      </c>
      <c r="AB80" s="17">
        <f ca="1">$I$28*$AB$28</f>
        <v>0</v>
      </c>
      <c r="AC80" s="17">
        <f ca="1">$I$28*$AC$28</f>
        <v>0</v>
      </c>
      <c r="AD80" s="17">
        <f>$I$28*$AD$28</f>
        <v>0</v>
      </c>
      <c r="AE80" s="17">
        <f>$I$28*$AE$28</f>
        <v>0</v>
      </c>
      <c r="AF80" s="17">
        <f ca="1">$I$28*$AF$28</f>
        <v>0</v>
      </c>
      <c r="AG80" s="17">
        <f ca="1">$I$28*$AG$28</f>
        <v>0</v>
      </c>
      <c r="AI80" s="17">
        <f>$I$28*$AI$28</f>
        <v>0</v>
      </c>
      <c r="AJ80" s="17">
        <f>$I$28*$AJ$28</f>
        <v>0</v>
      </c>
      <c r="AK80" s="17">
        <f>$I$28*$AK$28</f>
        <v>0</v>
      </c>
      <c r="AL80" s="17">
        <f>$I$28*$AL$28</f>
        <v>0</v>
      </c>
      <c r="AM80" s="17">
        <f>$I$28*$AM$28</f>
        <v>0</v>
      </c>
      <c r="AN80" s="17">
        <f>$I$28*$AN$28</f>
        <v>0</v>
      </c>
      <c r="AO80" s="17">
        <f>$I$28*$AO$28</f>
        <v>0</v>
      </c>
      <c r="AP80" s="17">
        <f>$I$28*$AP$28</f>
        <v>0</v>
      </c>
      <c r="AQ80" s="17">
        <f>$I$28*$AQ$28</f>
        <v>0</v>
      </c>
      <c r="AR80" s="17">
        <f>$I$28*$AR$28</f>
        <v>0</v>
      </c>
      <c r="AS80" s="17">
        <f>$I$28*$AS$28</f>
        <v>0</v>
      </c>
      <c r="AT80" s="17">
        <f>$I$28*$AT$28</f>
        <v>0</v>
      </c>
      <c r="AU80" s="17">
        <f>$I$28*$AU$28</f>
        <v>0</v>
      </c>
      <c r="AV80" s="17">
        <f>$I$28*$AV$28</f>
        <v>0</v>
      </c>
      <c r="AW80" s="17">
        <f>$I$28*$AW$28</f>
        <v>0</v>
      </c>
      <c r="AX80" s="17">
        <f>$I$28*$AX$28</f>
        <v>0</v>
      </c>
      <c r="AY80" s="17">
        <f>$I$28*$AY$28</f>
        <v>0</v>
      </c>
      <c r="AZ80" s="17">
        <f>$I$28*$AZ$28</f>
        <v>0</v>
      </c>
      <c r="BA80" s="17">
        <f>$I$28*$BA$28</f>
        <v>0</v>
      </c>
      <c r="BB80" s="17">
        <f>$I$28*$BB$28</f>
        <v>0</v>
      </c>
      <c r="BC80" s="17">
        <f>$I$28*$BC$28</f>
        <v>0</v>
      </c>
      <c r="BD80" s="17">
        <f>$I$28*$BD$28</f>
        <v>0</v>
      </c>
    </row>
    <row r="81" spans="1:56" ht="11.25" customHeight="1" x14ac:dyDescent="0.25">
      <c r="A81" s="9" t="s">
        <v>22</v>
      </c>
      <c r="B81" s="9" t="s">
        <v>720</v>
      </c>
      <c r="C81" s="9" t="s">
        <v>721</v>
      </c>
      <c r="D81" s="9" t="s">
        <v>738</v>
      </c>
      <c r="E81" s="9" t="s">
        <v>739</v>
      </c>
      <c r="F81" s="9" t="s">
        <v>740</v>
      </c>
      <c r="G81" s="9" t="s">
        <v>741</v>
      </c>
      <c r="L81" s="17">
        <f>$I$29*$L$29</f>
        <v>0</v>
      </c>
      <c r="M81" s="17">
        <f>$I$29*$M$29</f>
        <v>0</v>
      </c>
      <c r="N81" s="17">
        <f ca="1">$I$29*$N$29</f>
        <v>0</v>
      </c>
      <c r="O81" s="17">
        <f>$I$29*$O$29</f>
        <v>0</v>
      </c>
      <c r="P81" s="17">
        <f>$I$29*$P$29</f>
        <v>0</v>
      </c>
      <c r="Q81" s="17">
        <f>$I$29*$Q$29</f>
        <v>0</v>
      </c>
      <c r="R81" s="17">
        <f>$I$29*$R$29</f>
        <v>0</v>
      </c>
      <c r="S81" s="17">
        <f>$I$29*$S$29</f>
        <v>0</v>
      </c>
      <c r="T81" s="17">
        <f>$I$29*$T$29</f>
        <v>0</v>
      </c>
      <c r="U81" s="17">
        <f>$I$29*$U$29</f>
        <v>0</v>
      </c>
      <c r="V81" s="17">
        <f>$I$29*$V$29</f>
        <v>0</v>
      </c>
      <c r="W81" s="17">
        <f>$I$29*$W$29</f>
        <v>0</v>
      </c>
      <c r="X81" s="17">
        <f>$I$29*$X$29</f>
        <v>0</v>
      </c>
      <c r="Y81" s="17">
        <f>$I$29*$Y$29</f>
        <v>0</v>
      </c>
      <c r="Z81" s="17">
        <f>$I$29*$Z$29</f>
        <v>0</v>
      </c>
      <c r="AA81" s="17">
        <f>$I$29*$AA$29</f>
        <v>0</v>
      </c>
      <c r="AB81" s="17">
        <f ca="1">$I$29*$AB$29</f>
        <v>0</v>
      </c>
      <c r="AC81" s="17">
        <f ca="1">$I$29*$AC$29</f>
        <v>0</v>
      </c>
      <c r="AD81" s="17">
        <f>$I$29*$AD$29</f>
        <v>0</v>
      </c>
      <c r="AE81" s="17">
        <f>$I$29*$AE$29</f>
        <v>0</v>
      </c>
      <c r="AF81" s="17">
        <f ca="1">$I$29*$AF$29</f>
        <v>0</v>
      </c>
      <c r="AG81" s="17">
        <f ca="1">$I$29*$AG$29</f>
        <v>0</v>
      </c>
      <c r="AI81" s="17">
        <f>$I$29*$AI$29</f>
        <v>0</v>
      </c>
      <c r="AJ81" s="17">
        <f>$I$29*$AJ$29</f>
        <v>0</v>
      </c>
      <c r="AK81" s="17">
        <f>$I$29*$AK$29</f>
        <v>0</v>
      </c>
      <c r="AL81" s="17">
        <f>$I$29*$AL$29</f>
        <v>0</v>
      </c>
      <c r="AM81" s="17">
        <f>$I$29*$AM$29</f>
        <v>0</v>
      </c>
      <c r="AN81" s="17">
        <f>$I$29*$AN$29</f>
        <v>0</v>
      </c>
      <c r="AO81" s="17">
        <f>$I$29*$AO$29</f>
        <v>0</v>
      </c>
      <c r="AP81" s="17">
        <f>$I$29*$AP$29</f>
        <v>0</v>
      </c>
      <c r="AQ81" s="17">
        <f>$I$29*$AQ$29</f>
        <v>0</v>
      </c>
      <c r="AR81" s="17">
        <f>$I$29*$AR$29</f>
        <v>0</v>
      </c>
      <c r="AS81" s="17">
        <f>$I$29*$AS$29</f>
        <v>0</v>
      </c>
      <c r="AT81" s="17">
        <f>$I$29*$AT$29</f>
        <v>0</v>
      </c>
      <c r="AU81" s="17">
        <f>$I$29*$AU$29</f>
        <v>0</v>
      </c>
      <c r="AV81" s="17">
        <f>$I$29*$AV$29</f>
        <v>0</v>
      </c>
      <c r="AW81" s="17">
        <f>$I$29*$AW$29</f>
        <v>0</v>
      </c>
      <c r="AX81" s="17">
        <f>$I$29*$AX$29</f>
        <v>0</v>
      </c>
      <c r="AY81" s="17">
        <f>$I$29*$AY$29</f>
        <v>0</v>
      </c>
      <c r="AZ81" s="17">
        <f>$I$29*$AZ$29</f>
        <v>0</v>
      </c>
      <c r="BA81" s="17">
        <f>$I$29*$BA$29</f>
        <v>0</v>
      </c>
      <c r="BB81" s="17">
        <f>$I$29*$BB$29</f>
        <v>0</v>
      </c>
      <c r="BC81" s="17">
        <f>$I$29*$BC$29</f>
        <v>0</v>
      </c>
      <c r="BD81" s="17">
        <f>$I$29*$BD$29</f>
        <v>0</v>
      </c>
    </row>
    <row r="82" spans="1:56" ht="11.25" customHeight="1" x14ac:dyDescent="0.25">
      <c r="A82" s="9" t="s">
        <v>40</v>
      </c>
      <c r="B82" s="9" t="s">
        <v>742</v>
      </c>
      <c r="C82" s="9" t="s">
        <v>743</v>
      </c>
      <c r="D82" s="9" t="s">
        <v>744</v>
      </c>
      <c r="E82" s="9" t="s">
        <v>745</v>
      </c>
      <c r="F82" s="9" t="s">
        <v>746</v>
      </c>
      <c r="G82" s="9" t="s">
        <v>747</v>
      </c>
      <c r="L82" s="17">
        <f>$I$30*$L$30</f>
        <v>0</v>
      </c>
      <c r="M82" s="17">
        <f>$I$30*$M$30</f>
        <v>0</v>
      </c>
      <c r="N82" s="17">
        <f ca="1">$I$30*$N$30</f>
        <v>0</v>
      </c>
      <c r="O82" s="17">
        <f>$I$30*$O$30</f>
        <v>0</v>
      </c>
      <c r="P82" s="17">
        <f>$I$30*$P$30</f>
        <v>0</v>
      </c>
      <c r="Q82" s="17">
        <f>$I$30*$Q$30</f>
        <v>0</v>
      </c>
      <c r="R82" s="17">
        <f>$I$30*$R$30</f>
        <v>0</v>
      </c>
      <c r="S82" s="17">
        <f>$I$30*$S$30</f>
        <v>0</v>
      </c>
      <c r="T82" s="17">
        <f>$I$30*$T$30</f>
        <v>0</v>
      </c>
      <c r="U82" s="17">
        <f>$I$30*$U$30</f>
        <v>0</v>
      </c>
      <c r="V82" s="17">
        <f>$I$30*$V$30</f>
        <v>0</v>
      </c>
      <c r="W82" s="17">
        <f>$I$30*$W$30</f>
        <v>0</v>
      </c>
      <c r="X82" s="17">
        <f>$I$30*$X$30</f>
        <v>0</v>
      </c>
      <c r="Y82" s="17">
        <f>$I$30*$Y$30</f>
        <v>0</v>
      </c>
      <c r="Z82" s="17">
        <f>$I$30*$Z$30</f>
        <v>0</v>
      </c>
      <c r="AA82" s="17">
        <f>$I$30*$AA$30</f>
        <v>0</v>
      </c>
      <c r="AB82" s="17">
        <f ca="1">$I$30*$AB$30</f>
        <v>0</v>
      </c>
      <c r="AC82" s="17">
        <f ca="1">$I$30*$AC$30</f>
        <v>0</v>
      </c>
      <c r="AD82" s="17">
        <f>$I$30*$AD$30</f>
        <v>0</v>
      </c>
      <c r="AE82" s="17">
        <f>$I$30*$AE$30</f>
        <v>0</v>
      </c>
      <c r="AF82" s="17">
        <f ca="1">$I$30*$AF$30</f>
        <v>0</v>
      </c>
      <c r="AG82" s="17">
        <f ca="1">$I$30*$AG$30</f>
        <v>0</v>
      </c>
      <c r="AI82" s="17">
        <f>$I$30*$AI$30</f>
        <v>0</v>
      </c>
      <c r="AJ82" s="17">
        <f>$I$30*$AJ$30</f>
        <v>0</v>
      </c>
      <c r="AK82" s="17">
        <f>$I$30*$AK$30</f>
        <v>0</v>
      </c>
      <c r="AL82" s="17">
        <f>$I$30*$AL$30</f>
        <v>0</v>
      </c>
      <c r="AM82" s="17">
        <f>$I$30*$AM$30</f>
        <v>0</v>
      </c>
      <c r="AN82" s="17">
        <f>$I$30*$AN$30</f>
        <v>0</v>
      </c>
      <c r="AO82" s="17">
        <f>$I$30*$AO$30</f>
        <v>0</v>
      </c>
      <c r="AP82" s="17">
        <f>$I$30*$AP$30</f>
        <v>0</v>
      </c>
      <c r="AQ82" s="17">
        <f>$I$30*$AQ$30</f>
        <v>0</v>
      </c>
      <c r="AR82" s="17">
        <f>$I$30*$AR$30</f>
        <v>0</v>
      </c>
      <c r="AS82" s="17">
        <f>$I$30*$AS$30</f>
        <v>0</v>
      </c>
      <c r="AT82" s="17">
        <f>$I$30*$AT$30</f>
        <v>0</v>
      </c>
      <c r="AU82" s="17">
        <f>$I$30*$AU$30</f>
        <v>0</v>
      </c>
      <c r="AV82" s="17">
        <f>$I$30*$AV$30</f>
        <v>0</v>
      </c>
      <c r="AW82" s="17">
        <f>$I$30*$AW$30</f>
        <v>0</v>
      </c>
      <c r="AX82" s="17">
        <f>$I$30*$AX$30</f>
        <v>0</v>
      </c>
      <c r="AY82" s="17">
        <f>$I$30*$AY$30</f>
        <v>0</v>
      </c>
      <c r="AZ82" s="17">
        <f>$I$30*$AZ$30</f>
        <v>0</v>
      </c>
      <c r="BA82" s="17">
        <f>$I$30*$BA$30</f>
        <v>0</v>
      </c>
      <c r="BB82" s="17">
        <f>$I$30*$BB$30</f>
        <v>0</v>
      </c>
      <c r="BC82" s="17">
        <f>$I$30*$BC$30</f>
        <v>0</v>
      </c>
      <c r="BD82" s="17">
        <f>$I$30*$BD$30</f>
        <v>0</v>
      </c>
    </row>
    <row r="83" spans="1:56" ht="11.25" customHeight="1" x14ac:dyDescent="0.25">
      <c r="A83" s="9" t="s">
        <v>40</v>
      </c>
      <c r="B83" s="9" t="s">
        <v>742</v>
      </c>
      <c r="C83" s="9" t="s">
        <v>743</v>
      </c>
      <c r="D83" s="9" t="s">
        <v>744</v>
      </c>
      <c r="E83" s="9" t="s">
        <v>745</v>
      </c>
      <c r="F83" s="9" t="s">
        <v>746</v>
      </c>
      <c r="G83" s="9" t="s">
        <v>748</v>
      </c>
      <c r="L83" s="17">
        <f>$I$31*$L$31</f>
        <v>0</v>
      </c>
      <c r="M83" s="17">
        <f>$I$31*$M$31</f>
        <v>0</v>
      </c>
      <c r="N83" s="17">
        <f ca="1">$I$31*$N$31</f>
        <v>0</v>
      </c>
      <c r="O83" s="17">
        <f>$I$31*$O$31</f>
        <v>0</v>
      </c>
      <c r="P83" s="17">
        <f>$I$31*$P$31</f>
        <v>0</v>
      </c>
      <c r="Q83" s="17">
        <f>$I$31*$Q$31</f>
        <v>0</v>
      </c>
      <c r="R83" s="17">
        <f>$I$31*$R$31</f>
        <v>0</v>
      </c>
      <c r="S83" s="17">
        <f>$I$31*$S$31</f>
        <v>0</v>
      </c>
      <c r="T83" s="17">
        <f>$I$31*$T$31</f>
        <v>0</v>
      </c>
      <c r="U83" s="17">
        <f>$I$31*$U$31</f>
        <v>0</v>
      </c>
      <c r="V83" s="17">
        <f>$I$31*$V$31</f>
        <v>0</v>
      </c>
      <c r="W83" s="17">
        <f>$I$31*$W$31</f>
        <v>0</v>
      </c>
      <c r="X83" s="17">
        <f>$I$31*$X$31</f>
        <v>0</v>
      </c>
      <c r="Y83" s="17">
        <f>$I$31*$Y$31</f>
        <v>0</v>
      </c>
      <c r="Z83" s="17">
        <f>$I$31*$Z$31</f>
        <v>0</v>
      </c>
      <c r="AA83" s="17">
        <f>$I$31*$AA$31</f>
        <v>0</v>
      </c>
      <c r="AB83" s="17">
        <f ca="1">$I$31*$AB$31</f>
        <v>0</v>
      </c>
      <c r="AC83" s="17">
        <f ca="1">$I$31*$AC$31</f>
        <v>0</v>
      </c>
      <c r="AD83" s="17">
        <f>$I$31*$AD$31</f>
        <v>0</v>
      </c>
      <c r="AE83" s="17">
        <f>$I$31*$AE$31</f>
        <v>0</v>
      </c>
      <c r="AF83" s="17">
        <f ca="1">$I$31*$AF$31</f>
        <v>0</v>
      </c>
      <c r="AG83" s="17">
        <f ca="1">$I$31*$AG$31</f>
        <v>0</v>
      </c>
      <c r="AI83" s="17">
        <f>$I$31*$AI$31</f>
        <v>0</v>
      </c>
      <c r="AJ83" s="17">
        <f>$I$31*$AJ$31</f>
        <v>0</v>
      </c>
      <c r="AK83" s="17">
        <f>$I$31*$AK$31</f>
        <v>0</v>
      </c>
      <c r="AL83" s="17">
        <f>$I$31*$AL$31</f>
        <v>0</v>
      </c>
      <c r="AM83" s="17">
        <f>$I$31*$AM$31</f>
        <v>0</v>
      </c>
      <c r="AN83" s="17">
        <f>$I$31*$AN$31</f>
        <v>0</v>
      </c>
      <c r="AO83" s="17">
        <f>$I$31*$AO$31</f>
        <v>0</v>
      </c>
      <c r="AP83" s="17">
        <f>$I$31*$AP$31</f>
        <v>0</v>
      </c>
      <c r="AQ83" s="17">
        <f>$I$31*$AQ$31</f>
        <v>0</v>
      </c>
      <c r="AR83" s="17">
        <f>$I$31*$AR$31</f>
        <v>0</v>
      </c>
      <c r="AS83" s="17">
        <f>$I$31*$AS$31</f>
        <v>0</v>
      </c>
      <c r="AT83" s="17">
        <f>$I$31*$AT$31</f>
        <v>0</v>
      </c>
      <c r="AU83" s="17">
        <f>$I$31*$AU$31</f>
        <v>0</v>
      </c>
      <c r="AV83" s="17">
        <f>$I$31*$AV$31</f>
        <v>0</v>
      </c>
      <c r="AW83" s="17">
        <f>$I$31*$AW$31</f>
        <v>0</v>
      </c>
      <c r="AX83" s="17">
        <f>$I$31*$AX$31</f>
        <v>0</v>
      </c>
      <c r="AY83" s="17">
        <f>$I$31*$AY$31</f>
        <v>0</v>
      </c>
      <c r="AZ83" s="17">
        <f>$I$31*$AZ$31</f>
        <v>0</v>
      </c>
      <c r="BA83" s="17">
        <f>$I$31*$BA$31</f>
        <v>0</v>
      </c>
      <c r="BB83" s="17">
        <f>$I$31*$BB$31</f>
        <v>0</v>
      </c>
      <c r="BC83" s="17">
        <f>$I$31*$BC$31</f>
        <v>0</v>
      </c>
      <c r="BD83" s="17">
        <f>$I$31*$BD$31</f>
        <v>0</v>
      </c>
    </row>
    <row r="84" spans="1:56" ht="11.25" customHeight="1" x14ac:dyDescent="0.25">
      <c r="A84" s="9" t="s">
        <v>40</v>
      </c>
      <c r="B84" s="9" t="s">
        <v>742</v>
      </c>
      <c r="C84" s="9" t="s">
        <v>743</v>
      </c>
      <c r="D84" s="9" t="s">
        <v>744</v>
      </c>
      <c r="E84" s="9" t="s">
        <v>745</v>
      </c>
      <c r="F84" s="9" t="s">
        <v>746</v>
      </c>
      <c r="G84" s="9" t="s">
        <v>749</v>
      </c>
      <c r="L84" s="17">
        <f>$I$32*$L$32</f>
        <v>0</v>
      </c>
      <c r="M84" s="17">
        <f>$I$32*$M$32</f>
        <v>0</v>
      </c>
      <c r="N84" s="17">
        <f ca="1">$I$32*$N$32</f>
        <v>0</v>
      </c>
      <c r="O84" s="17">
        <f>$I$32*$O$32</f>
        <v>0</v>
      </c>
      <c r="P84" s="17">
        <f>$I$32*$P$32</f>
        <v>0</v>
      </c>
      <c r="Q84" s="17">
        <f>$I$32*$Q$32</f>
        <v>0</v>
      </c>
      <c r="R84" s="17">
        <f>$I$32*$R$32</f>
        <v>0</v>
      </c>
      <c r="S84" s="17">
        <f>$I$32*$S$32</f>
        <v>0</v>
      </c>
      <c r="T84" s="17">
        <f>$I$32*$T$32</f>
        <v>0</v>
      </c>
      <c r="U84" s="17">
        <f>$I$32*$U$32</f>
        <v>0</v>
      </c>
      <c r="V84" s="17">
        <f>$I$32*$V$32</f>
        <v>0</v>
      </c>
      <c r="W84" s="17">
        <f>$I$32*$W$32</f>
        <v>0</v>
      </c>
      <c r="X84" s="17">
        <f>$I$32*$X$32</f>
        <v>0</v>
      </c>
      <c r="Y84" s="17">
        <f>$I$32*$Y$32</f>
        <v>0</v>
      </c>
      <c r="Z84" s="17">
        <f>$I$32*$Z$32</f>
        <v>0</v>
      </c>
      <c r="AA84" s="17">
        <f>$I$32*$AA$32</f>
        <v>0</v>
      </c>
      <c r="AB84" s="17">
        <f ca="1">$I$32*$AB$32</f>
        <v>0</v>
      </c>
      <c r="AC84" s="17">
        <f ca="1">$I$32*$AC$32</f>
        <v>0</v>
      </c>
      <c r="AD84" s="17">
        <f>$I$32*$AD$32</f>
        <v>0</v>
      </c>
      <c r="AE84" s="17">
        <f>$I$32*$AE$32</f>
        <v>0</v>
      </c>
      <c r="AF84" s="17">
        <f ca="1">$I$32*$AF$32</f>
        <v>0</v>
      </c>
      <c r="AG84" s="17">
        <f ca="1">$I$32*$AG$32</f>
        <v>0</v>
      </c>
      <c r="AI84" s="17">
        <f>$I$32*$AI$32</f>
        <v>0</v>
      </c>
      <c r="AJ84" s="17">
        <f>$I$32*$AJ$32</f>
        <v>0</v>
      </c>
      <c r="AK84" s="17">
        <f>$I$32*$AK$32</f>
        <v>0</v>
      </c>
      <c r="AL84" s="17">
        <f>$I$32*$AL$32</f>
        <v>0</v>
      </c>
      <c r="AM84" s="17">
        <f>$I$32*$AM$32</f>
        <v>0</v>
      </c>
      <c r="AN84" s="17">
        <f>$I$32*$AN$32</f>
        <v>0</v>
      </c>
      <c r="AO84" s="17">
        <f>$I$32*$AO$32</f>
        <v>0</v>
      </c>
      <c r="AP84" s="17">
        <f>$I$32*$AP$32</f>
        <v>0</v>
      </c>
      <c r="AQ84" s="17">
        <f>$I$32*$AQ$32</f>
        <v>0</v>
      </c>
      <c r="AR84" s="17">
        <f>$I$32*$AR$32</f>
        <v>0</v>
      </c>
      <c r="AS84" s="17">
        <f>$I$32*$AS$32</f>
        <v>0</v>
      </c>
      <c r="AT84" s="17">
        <f>$I$32*$AT$32</f>
        <v>0</v>
      </c>
      <c r="AU84" s="17">
        <f>$I$32*$AU$32</f>
        <v>0</v>
      </c>
      <c r="AV84" s="17">
        <f>$I$32*$AV$32</f>
        <v>0</v>
      </c>
      <c r="AW84" s="17">
        <f>$I$32*$AW$32</f>
        <v>0</v>
      </c>
      <c r="AX84" s="17">
        <f>$I$32*$AX$32</f>
        <v>0</v>
      </c>
      <c r="AY84" s="17">
        <f>$I$32*$AY$32</f>
        <v>0</v>
      </c>
      <c r="AZ84" s="17">
        <f>$I$32*$AZ$32</f>
        <v>0</v>
      </c>
      <c r="BA84" s="17">
        <f>$I$32*$BA$32</f>
        <v>0</v>
      </c>
      <c r="BB84" s="17">
        <f>$I$32*$BB$32</f>
        <v>0</v>
      </c>
      <c r="BC84" s="17">
        <f>$I$32*$BC$32</f>
        <v>0</v>
      </c>
      <c r="BD84" s="17">
        <f>$I$32*$BD$32</f>
        <v>0</v>
      </c>
    </row>
    <row r="85" spans="1:56" ht="11.25" customHeight="1" x14ac:dyDescent="0.25">
      <c r="A85" s="9" t="s">
        <v>40</v>
      </c>
      <c r="B85" s="9" t="s">
        <v>750</v>
      </c>
      <c r="C85" s="9" t="s">
        <v>751</v>
      </c>
      <c r="D85" s="9" t="s">
        <v>752</v>
      </c>
      <c r="E85" s="9" t="s">
        <v>753</v>
      </c>
      <c r="F85" s="9" t="s">
        <v>754</v>
      </c>
      <c r="G85" s="9" t="s">
        <v>755</v>
      </c>
      <c r="L85" s="17">
        <f>$I$33*$L$33</f>
        <v>0</v>
      </c>
      <c r="M85" s="17">
        <f>$I$33*$M$33</f>
        <v>93538.98408077762</v>
      </c>
      <c r="N85" s="17">
        <f ca="1">$I$33*$N$33</f>
        <v>0</v>
      </c>
      <c r="O85" s="17">
        <f>$I$33*$O$33</f>
        <v>0</v>
      </c>
      <c r="P85" s="17">
        <f>$I$33*$P$33</f>
        <v>0</v>
      </c>
      <c r="Q85" s="17">
        <f>$I$33*$Q$33</f>
        <v>4333017.4051485686</v>
      </c>
      <c r="R85" s="17">
        <f>$I$33*$R$33</f>
        <v>720804.39177486394</v>
      </c>
      <c r="S85" s="17">
        <f>$I$33*$S$33</f>
        <v>0</v>
      </c>
      <c r="T85" s="17">
        <f>$I$33*$T$33</f>
        <v>0</v>
      </c>
      <c r="U85" s="17">
        <f>$I$33*$U$33</f>
        <v>0</v>
      </c>
      <c r="V85" s="17">
        <f>$I$33*$V$33</f>
        <v>0</v>
      </c>
      <c r="W85" s="17">
        <f>$I$33*$W$33</f>
        <v>0</v>
      </c>
      <c r="X85" s="17">
        <f>$I$33*$X$33</f>
        <v>6685155.1261668112</v>
      </c>
      <c r="Y85" s="17">
        <f>$I$33*$Y$33</f>
        <v>0</v>
      </c>
      <c r="Z85" s="17">
        <f>$I$33*$Z$33</f>
        <v>0</v>
      </c>
      <c r="AA85" s="17">
        <f>$I$33*$AA$33</f>
        <v>11684080.287836172</v>
      </c>
      <c r="AB85" s="17">
        <f ca="1">$I$33*$AB$33</f>
        <v>519056.28758536058</v>
      </c>
      <c r="AC85" s="17">
        <f ca="1">$I$33*$AC$33</f>
        <v>0</v>
      </c>
      <c r="AD85" s="17">
        <f>$I$33*$AD$33</f>
        <v>1946051.103196193</v>
      </c>
      <c r="AE85" s="17">
        <f>$I$33*$AE$33</f>
        <v>0</v>
      </c>
      <c r="AF85" s="17">
        <f ca="1">$I$33*$AF$33</f>
        <v>0</v>
      </c>
      <c r="AG85" s="17">
        <f ca="1">$I$33*$AG$33</f>
        <v>0</v>
      </c>
      <c r="AI85" s="17">
        <f>$I$33*$AI$33</f>
        <v>0</v>
      </c>
      <c r="AJ85" s="17">
        <f>$I$33*$AJ$33</f>
        <v>79665.136545744419</v>
      </c>
      <c r="AK85" s="17">
        <f>$I$33*$AK$33</f>
        <v>0</v>
      </c>
      <c r="AL85" s="17">
        <f>$I$33*$AL$33</f>
        <v>0</v>
      </c>
      <c r="AM85" s="17">
        <f>$I$33*$AM$33</f>
        <v>0</v>
      </c>
      <c r="AN85" s="17">
        <f>$I$33*$AN$33</f>
        <v>2701665.2878862615</v>
      </c>
      <c r="AO85" s="17">
        <f>$I$33*$AO$33</f>
        <v>432086.11920777382</v>
      </c>
      <c r="AP85" s="17">
        <f>$I$33*$AP$33</f>
        <v>0</v>
      </c>
      <c r="AQ85" s="17">
        <f>$I$33*$AQ$33</f>
        <v>0</v>
      </c>
      <c r="AR85" s="17">
        <f>$I$33*$AR$33</f>
        <v>0</v>
      </c>
      <c r="AS85" s="17">
        <f>$I$33*$AS$33</f>
        <v>0</v>
      </c>
      <c r="AT85" s="17">
        <f>$I$33*$AT$33</f>
        <v>0</v>
      </c>
      <c r="AU85" s="17">
        <f>$I$33*$AU$33</f>
        <v>6206815.283394712</v>
      </c>
      <c r="AV85" s="17">
        <f>$I$33*$AV$33</f>
        <v>0</v>
      </c>
      <c r="AW85" s="17">
        <f>$I$33*$AW$33</f>
        <v>0</v>
      </c>
      <c r="AX85" s="17">
        <f>$I$33*$AX$33</f>
        <v>10710399.115275944</v>
      </c>
      <c r="AY85" s="17">
        <f>$I$33*$AY$33</f>
        <v>0</v>
      </c>
      <c r="AZ85" s="17">
        <f>$I$33*$AZ$33</f>
        <v>0</v>
      </c>
      <c r="BA85" s="17">
        <f>$I$33*$BA$33</f>
        <v>1521727.546526263</v>
      </c>
      <c r="BB85" s="17">
        <f>$I$33*$BB$33</f>
        <v>0</v>
      </c>
      <c r="BC85" s="17">
        <f>$I$33*$BC$33</f>
        <v>0</v>
      </c>
      <c r="BD85" s="17">
        <f>$I$33*$BD$33</f>
        <v>0</v>
      </c>
    </row>
    <row r="86" spans="1:56" ht="11.25" customHeight="1" x14ac:dyDescent="0.25">
      <c r="A86" s="9" t="s">
        <v>40</v>
      </c>
      <c r="B86" s="9" t="s">
        <v>742</v>
      </c>
      <c r="C86" s="9" t="s">
        <v>743</v>
      </c>
      <c r="D86" s="9" t="s">
        <v>756</v>
      </c>
      <c r="E86" s="9" t="s">
        <v>757</v>
      </c>
      <c r="F86" s="9" t="s">
        <v>758</v>
      </c>
      <c r="G86" s="9" t="s">
        <v>759</v>
      </c>
      <c r="L86" s="17">
        <f>$I$34*$L$34</f>
        <v>0</v>
      </c>
      <c r="M86" s="17">
        <f>$I$34*$M$34</f>
        <v>0</v>
      </c>
      <c r="N86" s="17">
        <f ca="1">$I$34*$N$34</f>
        <v>0</v>
      </c>
      <c r="O86" s="17">
        <f>$I$34*$O$34</f>
        <v>0</v>
      </c>
      <c r="P86" s="17">
        <f>$I$34*$P$34</f>
        <v>0</v>
      </c>
      <c r="Q86" s="17">
        <f>$I$34*$Q$34</f>
        <v>0</v>
      </c>
      <c r="R86" s="17">
        <f>$I$34*$R$34</f>
        <v>0</v>
      </c>
      <c r="S86" s="17">
        <f>$I$34*$S$34</f>
        <v>0</v>
      </c>
      <c r="T86" s="17">
        <f>$I$34*$T$34</f>
        <v>0</v>
      </c>
      <c r="U86" s="17">
        <f>$I$34*$U$34</f>
        <v>0</v>
      </c>
      <c r="V86" s="17">
        <f>$I$34*$V$34</f>
        <v>0</v>
      </c>
      <c r="W86" s="17">
        <f>$I$34*$W$34</f>
        <v>0</v>
      </c>
      <c r="X86" s="17">
        <f>$I$34*$X$34</f>
        <v>0</v>
      </c>
      <c r="Y86" s="17">
        <f>$I$34*$Y$34</f>
        <v>0</v>
      </c>
      <c r="Z86" s="17">
        <f>$I$34*$Z$34</f>
        <v>0</v>
      </c>
      <c r="AA86" s="17">
        <f>$I$34*$AA$34</f>
        <v>0</v>
      </c>
      <c r="AB86" s="17">
        <f ca="1">$I$34*$AB$34</f>
        <v>0</v>
      </c>
      <c r="AC86" s="17">
        <f ca="1">$I$34*$AC$34</f>
        <v>0</v>
      </c>
      <c r="AD86" s="17">
        <f>$I$34*$AD$34</f>
        <v>0</v>
      </c>
      <c r="AE86" s="17">
        <f>$I$34*$AE$34</f>
        <v>0</v>
      </c>
      <c r="AF86" s="17">
        <f ca="1">$I$34*$AF$34</f>
        <v>0</v>
      </c>
      <c r="AG86" s="17">
        <f ca="1">$I$34*$AG$34</f>
        <v>0</v>
      </c>
      <c r="AI86" s="17">
        <f>$I$34*$AI$34</f>
        <v>0</v>
      </c>
      <c r="AJ86" s="17">
        <f>$I$34*$AJ$34</f>
        <v>0</v>
      </c>
      <c r="AK86" s="17">
        <f>$I$34*$AK$34</f>
        <v>0</v>
      </c>
      <c r="AL86" s="17">
        <f>$I$34*$AL$34</f>
        <v>0</v>
      </c>
      <c r="AM86" s="17">
        <f>$I$34*$AM$34</f>
        <v>0</v>
      </c>
      <c r="AN86" s="17">
        <f>$I$34*$AN$34</f>
        <v>0</v>
      </c>
      <c r="AO86" s="17">
        <f>$I$34*$AO$34</f>
        <v>0</v>
      </c>
      <c r="AP86" s="17">
        <f>$I$34*$AP$34</f>
        <v>0</v>
      </c>
      <c r="AQ86" s="17">
        <f>$I$34*$AQ$34</f>
        <v>0</v>
      </c>
      <c r="AR86" s="17">
        <f>$I$34*$AR$34</f>
        <v>0</v>
      </c>
      <c r="AS86" s="17">
        <f>$I$34*$AS$34</f>
        <v>0</v>
      </c>
      <c r="AT86" s="17">
        <f>$I$34*$AT$34</f>
        <v>0</v>
      </c>
      <c r="AU86" s="17">
        <f>$I$34*$AU$34</f>
        <v>0</v>
      </c>
      <c r="AV86" s="17">
        <f>$I$34*$AV$34</f>
        <v>0</v>
      </c>
      <c r="AW86" s="17">
        <f>$I$34*$AW$34</f>
        <v>0</v>
      </c>
      <c r="AX86" s="17">
        <f>$I$34*$AX$34</f>
        <v>0</v>
      </c>
      <c r="AY86" s="17">
        <f>$I$34*$AY$34</f>
        <v>0</v>
      </c>
      <c r="AZ86" s="17">
        <f>$I$34*$AZ$34</f>
        <v>0</v>
      </c>
      <c r="BA86" s="17">
        <f>$I$34*$BA$34</f>
        <v>0</v>
      </c>
      <c r="BB86" s="17">
        <f>$I$34*$BB$34</f>
        <v>0</v>
      </c>
      <c r="BC86" s="17">
        <f>$I$34*$BC$34</f>
        <v>0</v>
      </c>
      <c r="BD86" s="17">
        <f>$I$34*$BD$34</f>
        <v>0</v>
      </c>
    </row>
    <row r="87" spans="1:56" ht="11.25" customHeight="1" x14ac:dyDescent="0.25">
      <c r="A87" s="9" t="s">
        <v>40</v>
      </c>
      <c r="B87" s="9" t="s">
        <v>742</v>
      </c>
      <c r="C87" s="9" t="s">
        <v>743</v>
      </c>
      <c r="D87" s="9" t="s">
        <v>756</v>
      </c>
      <c r="E87" s="9" t="s">
        <v>757</v>
      </c>
      <c r="F87" s="9" t="s">
        <v>758</v>
      </c>
      <c r="G87" s="9" t="s">
        <v>760</v>
      </c>
      <c r="L87" s="17">
        <f>$I$35*$L$35</f>
        <v>0</v>
      </c>
      <c r="M87" s="17">
        <f>$I$35*$M$35</f>
        <v>0</v>
      </c>
      <c r="N87" s="17">
        <f ca="1">$I$35*$N$35</f>
        <v>0</v>
      </c>
      <c r="O87" s="17">
        <f>$I$35*$O$35</f>
        <v>0</v>
      </c>
      <c r="P87" s="17">
        <f>$I$35*$P$35</f>
        <v>0</v>
      </c>
      <c r="Q87" s="17">
        <f>$I$35*$Q$35</f>
        <v>0</v>
      </c>
      <c r="R87" s="17">
        <f>$I$35*$R$35</f>
        <v>0</v>
      </c>
      <c r="S87" s="17">
        <f>$I$35*$S$35</f>
        <v>0</v>
      </c>
      <c r="T87" s="17">
        <f>$I$35*$T$35</f>
        <v>0</v>
      </c>
      <c r="U87" s="17">
        <f>$I$35*$U$35</f>
        <v>0</v>
      </c>
      <c r="V87" s="17">
        <f>$I$35*$V$35</f>
        <v>0</v>
      </c>
      <c r="W87" s="17">
        <f>$I$35*$W$35</f>
        <v>0</v>
      </c>
      <c r="X87" s="17">
        <f>$I$35*$X$35</f>
        <v>0</v>
      </c>
      <c r="Y87" s="17">
        <f>$I$35*$Y$35</f>
        <v>0</v>
      </c>
      <c r="Z87" s="17">
        <f>$I$35*$Z$35</f>
        <v>0</v>
      </c>
      <c r="AA87" s="17">
        <f>$I$35*$AA$35</f>
        <v>0</v>
      </c>
      <c r="AB87" s="17">
        <f ca="1">$I$35*$AB$35</f>
        <v>0</v>
      </c>
      <c r="AC87" s="17">
        <f ca="1">$I$35*$AC$35</f>
        <v>0</v>
      </c>
      <c r="AD87" s="17">
        <f>$I$35*$AD$35</f>
        <v>0</v>
      </c>
      <c r="AE87" s="17">
        <f>$I$35*$AE$35</f>
        <v>0</v>
      </c>
      <c r="AF87" s="17">
        <f ca="1">$I$35*$AF$35</f>
        <v>0</v>
      </c>
      <c r="AG87" s="17">
        <f ca="1">$I$35*$AG$35</f>
        <v>0</v>
      </c>
      <c r="AI87" s="17">
        <f>$I$35*$AI$35</f>
        <v>0</v>
      </c>
      <c r="AJ87" s="17">
        <f>$I$35*$AJ$35</f>
        <v>0</v>
      </c>
      <c r="AK87" s="17">
        <f>$I$35*$AK$35</f>
        <v>0</v>
      </c>
      <c r="AL87" s="17">
        <f>$I$35*$AL$35</f>
        <v>0</v>
      </c>
      <c r="AM87" s="17">
        <f>$I$35*$AM$35</f>
        <v>0</v>
      </c>
      <c r="AN87" s="17">
        <f>$I$35*$AN$35</f>
        <v>0</v>
      </c>
      <c r="AO87" s="17">
        <f>$I$35*$AO$35</f>
        <v>0</v>
      </c>
      <c r="AP87" s="17">
        <f>$I$35*$AP$35</f>
        <v>0</v>
      </c>
      <c r="AQ87" s="17">
        <f>$I$35*$AQ$35</f>
        <v>0</v>
      </c>
      <c r="AR87" s="17">
        <f>$I$35*$AR$35</f>
        <v>0</v>
      </c>
      <c r="AS87" s="17">
        <f>$I$35*$AS$35</f>
        <v>0</v>
      </c>
      <c r="AT87" s="17">
        <f>$I$35*$AT$35</f>
        <v>0</v>
      </c>
      <c r="AU87" s="17">
        <f>$I$35*$AU$35</f>
        <v>0</v>
      </c>
      <c r="AV87" s="17">
        <f>$I$35*$AV$35</f>
        <v>0</v>
      </c>
      <c r="AW87" s="17">
        <f>$I$35*$AW$35</f>
        <v>0</v>
      </c>
      <c r="AX87" s="17">
        <f>$I$35*$AX$35</f>
        <v>0</v>
      </c>
      <c r="AY87" s="17">
        <f>$I$35*$AY$35</f>
        <v>0</v>
      </c>
      <c r="AZ87" s="17">
        <f>$I$35*$AZ$35</f>
        <v>0</v>
      </c>
      <c r="BA87" s="17">
        <f>$I$35*$BA$35</f>
        <v>0</v>
      </c>
      <c r="BB87" s="17">
        <f>$I$35*$BB$35</f>
        <v>0</v>
      </c>
      <c r="BC87" s="17">
        <f>$I$35*$BC$35</f>
        <v>0</v>
      </c>
      <c r="BD87" s="17">
        <f>$I$35*$BD$35</f>
        <v>0</v>
      </c>
    </row>
    <row r="88" spans="1:56" ht="11.25" customHeight="1" x14ac:dyDescent="0.25">
      <c r="A88" s="9" t="s">
        <v>40</v>
      </c>
      <c r="B88" s="9" t="s">
        <v>742</v>
      </c>
      <c r="C88" s="9" t="s">
        <v>743</v>
      </c>
      <c r="D88" s="9" t="s">
        <v>756</v>
      </c>
      <c r="E88" s="9" t="s">
        <v>757</v>
      </c>
      <c r="F88" s="9" t="s">
        <v>758</v>
      </c>
      <c r="G88" s="9" t="s">
        <v>761</v>
      </c>
      <c r="L88" s="17">
        <f>$I$36*$L$36</f>
        <v>0</v>
      </c>
      <c r="M88" s="17">
        <f>$I$36*$M$36</f>
        <v>0</v>
      </c>
      <c r="N88" s="17">
        <f ca="1">$I$36*$N$36</f>
        <v>0</v>
      </c>
      <c r="O88" s="17">
        <f>$I$36*$O$36</f>
        <v>0</v>
      </c>
      <c r="P88" s="17">
        <f>$I$36*$P$36</f>
        <v>0</v>
      </c>
      <c r="Q88" s="17">
        <f>$I$36*$Q$36</f>
        <v>0</v>
      </c>
      <c r="R88" s="17">
        <f>$I$36*$R$36</f>
        <v>0</v>
      </c>
      <c r="S88" s="17">
        <f>$I$36*$S$36</f>
        <v>0</v>
      </c>
      <c r="T88" s="17">
        <f>$I$36*$T$36</f>
        <v>0</v>
      </c>
      <c r="U88" s="17">
        <f>$I$36*$U$36</f>
        <v>0</v>
      </c>
      <c r="V88" s="17">
        <f>$I$36*$V$36</f>
        <v>0</v>
      </c>
      <c r="W88" s="17">
        <f>$I$36*$W$36</f>
        <v>0</v>
      </c>
      <c r="X88" s="17">
        <f>$I$36*$X$36</f>
        <v>0</v>
      </c>
      <c r="Y88" s="17">
        <f>$I$36*$Y$36</f>
        <v>0</v>
      </c>
      <c r="Z88" s="17">
        <f>$I$36*$Z$36</f>
        <v>0</v>
      </c>
      <c r="AA88" s="17">
        <f>$I$36*$AA$36</f>
        <v>0</v>
      </c>
      <c r="AB88" s="17">
        <f ca="1">$I$36*$AB$36</f>
        <v>0</v>
      </c>
      <c r="AC88" s="17">
        <f ca="1">$I$36*$AC$36</f>
        <v>0</v>
      </c>
      <c r="AD88" s="17">
        <f>$I$36*$AD$36</f>
        <v>0</v>
      </c>
      <c r="AE88" s="17">
        <f>$I$36*$AE$36</f>
        <v>0</v>
      </c>
      <c r="AF88" s="17">
        <f ca="1">$I$36*$AF$36</f>
        <v>0</v>
      </c>
      <c r="AG88" s="17">
        <f ca="1">$I$36*$AG$36</f>
        <v>0</v>
      </c>
      <c r="AI88" s="17">
        <f>$I$36*$AI$36</f>
        <v>0</v>
      </c>
      <c r="AJ88" s="17">
        <f>$I$36*$AJ$36</f>
        <v>0</v>
      </c>
      <c r="AK88" s="17">
        <f>$I$36*$AK$36</f>
        <v>0</v>
      </c>
      <c r="AL88" s="17">
        <f>$I$36*$AL$36</f>
        <v>0</v>
      </c>
      <c r="AM88" s="17">
        <f>$I$36*$AM$36</f>
        <v>0</v>
      </c>
      <c r="AN88" s="17">
        <f>$I$36*$AN$36</f>
        <v>0</v>
      </c>
      <c r="AO88" s="17">
        <f>$I$36*$AO$36</f>
        <v>0</v>
      </c>
      <c r="AP88" s="17">
        <f>$I$36*$AP$36</f>
        <v>0</v>
      </c>
      <c r="AQ88" s="17">
        <f>$I$36*$AQ$36</f>
        <v>0</v>
      </c>
      <c r="AR88" s="17">
        <f>$I$36*$AR$36</f>
        <v>0</v>
      </c>
      <c r="AS88" s="17">
        <f>$I$36*$AS$36</f>
        <v>0</v>
      </c>
      <c r="AT88" s="17">
        <f>$I$36*$AT$36</f>
        <v>0</v>
      </c>
      <c r="AU88" s="17">
        <f>$I$36*$AU$36</f>
        <v>0</v>
      </c>
      <c r="AV88" s="17">
        <f>$I$36*$AV$36</f>
        <v>0</v>
      </c>
      <c r="AW88" s="17">
        <f>$I$36*$AW$36</f>
        <v>0</v>
      </c>
      <c r="AX88" s="17">
        <f>$I$36*$AX$36</f>
        <v>0</v>
      </c>
      <c r="AY88" s="17">
        <f>$I$36*$AY$36</f>
        <v>0</v>
      </c>
      <c r="AZ88" s="17">
        <f>$I$36*$AZ$36</f>
        <v>0</v>
      </c>
      <c r="BA88" s="17">
        <f>$I$36*$BA$36</f>
        <v>0</v>
      </c>
      <c r="BB88" s="17">
        <f>$I$36*$BB$36</f>
        <v>0</v>
      </c>
      <c r="BC88" s="17">
        <f>$I$36*$BC$36</f>
        <v>0</v>
      </c>
      <c r="BD88" s="17">
        <f>$I$36*$BD$36</f>
        <v>0</v>
      </c>
    </row>
    <row r="89" spans="1:56" ht="11.25" customHeight="1" x14ac:dyDescent="0.25">
      <c r="A89" s="9" t="s">
        <v>40</v>
      </c>
      <c r="B89" s="9" t="s">
        <v>750</v>
      </c>
      <c r="C89" s="9" t="s">
        <v>751</v>
      </c>
      <c r="D89" s="9" t="s">
        <v>762</v>
      </c>
      <c r="E89" s="9" t="s">
        <v>763</v>
      </c>
      <c r="F89" s="9" t="s">
        <v>764</v>
      </c>
      <c r="G89" s="9" t="s">
        <v>765</v>
      </c>
      <c r="L89" s="17">
        <f>$I$37*$L$37</f>
        <v>0</v>
      </c>
      <c r="M89" s="17">
        <f>$I$37*$M$37</f>
        <v>0</v>
      </c>
      <c r="N89" s="17">
        <f ca="1">$I$37*$N$37</f>
        <v>0</v>
      </c>
      <c r="O89" s="17">
        <f>$I$37*$O$37</f>
        <v>0</v>
      </c>
      <c r="P89" s="17">
        <f>$I$37*$P$37</f>
        <v>0</v>
      </c>
      <c r="Q89" s="17">
        <f>$I$37*$Q$37</f>
        <v>0</v>
      </c>
      <c r="R89" s="17">
        <f>$I$37*$R$37</f>
        <v>0</v>
      </c>
      <c r="S89" s="17">
        <f>$I$37*$S$37</f>
        <v>0</v>
      </c>
      <c r="T89" s="17">
        <f>$I$37*$T$37</f>
        <v>0</v>
      </c>
      <c r="U89" s="17">
        <f>$I$37*$U$37</f>
        <v>0</v>
      </c>
      <c r="V89" s="17">
        <f>$I$37*$V$37</f>
        <v>0</v>
      </c>
      <c r="W89" s="17">
        <f>$I$37*$W$37</f>
        <v>0</v>
      </c>
      <c r="X89" s="17">
        <f>$I$37*$X$37</f>
        <v>0</v>
      </c>
      <c r="Y89" s="17">
        <f>$I$37*$Y$37</f>
        <v>0</v>
      </c>
      <c r="Z89" s="17">
        <f>$I$37*$Z$37</f>
        <v>0</v>
      </c>
      <c r="AA89" s="17">
        <f>$I$37*$AA$37</f>
        <v>0</v>
      </c>
      <c r="AB89" s="17">
        <f ca="1">$I$37*$AB$37</f>
        <v>0</v>
      </c>
      <c r="AC89" s="17">
        <f ca="1">$I$37*$AC$37</f>
        <v>0</v>
      </c>
      <c r="AD89" s="17">
        <f>$I$37*$AD$37</f>
        <v>0</v>
      </c>
      <c r="AE89" s="17">
        <f>$I$37*$AE$37</f>
        <v>0</v>
      </c>
      <c r="AF89" s="17">
        <f ca="1">$I$37*$AF$37</f>
        <v>0</v>
      </c>
      <c r="AG89" s="17">
        <f ca="1">$I$37*$AG$37</f>
        <v>0</v>
      </c>
      <c r="AI89" s="17">
        <f>$I$37*$AI$37</f>
        <v>0</v>
      </c>
      <c r="AJ89" s="17">
        <f>$I$37*$AJ$37</f>
        <v>0</v>
      </c>
      <c r="AK89" s="17">
        <f>$I$37*$AK$37</f>
        <v>0</v>
      </c>
      <c r="AL89" s="17">
        <f>$I$37*$AL$37</f>
        <v>0</v>
      </c>
      <c r="AM89" s="17">
        <f>$I$37*$AM$37</f>
        <v>0</v>
      </c>
      <c r="AN89" s="17">
        <f>$I$37*$AN$37</f>
        <v>0</v>
      </c>
      <c r="AO89" s="17">
        <f>$I$37*$AO$37</f>
        <v>0</v>
      </c>
      <c r="AP89" s="17">
        <f>$I$37*$AP$37</f>
        <v>0</v>
      </c>
      <c r="AQ89" s="17">
        <f>$I$37*$AQ$37</f>
        <v>0</v>
      </c>
      <c r="AR89" s="17">
        <f>$I$37*$AR$37</f>
        <v>0</v>
      </c>
      <c r="AS89" s="17">
        <f>$I$37*$AS$37</f>
        <v>0</v>
      </c>
      <c r="AT89" s="17">
        <f>$I$37*$AT$37</f>
        <v>0</v>
      </c>
      <c r="AU89" s="17">
        <f>$I$37*$AU$37</f>
        <v>0</v>
      </c>
      <c r="AV89" s="17">
        <f>$I$37*$AV$37</f>
        <v>0</v>
      </c>
      <c r="AW89" s="17">
        <f>$I$37*$AW$37</f>
        <v>0</v>
      </c>
      <c r="AX89" s="17">
        <f>$I$37*$AX$37</f>
        <v>0</v>
      </c>
      <c r="AY89" s="17">
        <f>$I$37*$AY$37</f>
        <v>0</v>
      </c>
      <c r="AZ89" s="17">
        <f>$I$37*$AZ$37</f>
        <v>0</v>
      </c>
      <c r="BA89" s="17">
        <f>$I$37*$BA$37</f>
        <v>0</v>
      </c>
      <c r="BB89" s="17">
        <f>$I$37*$BB$37</f>
        <v>0</v>
      </c>
      <c r="BC89" s="17">
        <f>$I$37*$BC$37</f>
        <v>0</v>
      </c>
      <c r="BD89" s="17">
        <f>$I$37*$BD$37</f>
        <v>0</v>
      </c>
    </row>
    <row r="90" spans="1:56" ht="11.25" customHeight="1" x14ac:dyDescent="0.25">
      <c r="A90" s="9" t="s">
        <v>40</v>
      </c>
      <c r="B90" s="9" t="s">
        <v>742</v>
      </c>
      <c r="C90" s="9" t="s">
        <v>743</v>
      </c>
      <c r="D90" s="9" t="s">
        <v>766</v>
      </c>
      <c r="E90" s="9" t="s">
        <v>767</v>
      </c>
      <c r="F90" s="9" t="s">
        <v>768</v>
      </c>
      <c r="G90" s="9" t="s">
        <v>769</v>
      </c>
      <c r="L90" s="17">
        <f>$I$38*$L$38</f>
        <v>0</v>
      </c>
      <c r="M90" s="17">
        <f>$I$38*$M$38</f>
        <v>0</v>
      </c>
      <c r="N90" s="17">
        <f ca="1">$I$38*$N$38</f>
        <v>0</v>
      </c>
      <c r="O90" s="17">
        <f>$I$38*$O$38</f>
        <v>0</v>
      </c>
      <c r="P90" s="17">
        <f>$I$38*$P$38</f>
        <v>0</v>
      </c>
      <c r="Q90" s="17">
        <f>$I$38*$Q$38</f>
        <v>0</v>
      </c>
      <c r="R90" s="17">
        <f>$I$38*$R$38</f>
        <v>0</v>
      </c>
      <c r="S90" s="17">
        <f>$I$38*$S$38</f>
        <v>0</v>
      </c>
      <c r="T90" s="17">
        <f>$I$38*$T$38</f>
        <v>0</v>
      </c>
      <c r="U90" s="17">
        <f>$I$38*$U$38</f>
        <v>0</v>
      </c>
      <c r="V90" s="17">
        <f>$I$38*$V$38</f>
        <v>0</v>
      </c>
      <c r="W90" s="17">
        <f>$I$38*$W$38</f>
        <v>0</v>
      </c>
      <c r="X90" s="17">
        <f>$I$38*$X$38</f>
        <v>0</v>
      </c>
      <c r="Y90" s="17">
        <f>$I$38*$Y$38</f>
        <v>0</v>
      </c>
      <c r="Z90" s="17">
        <f>$I$38*$Z$38</f>
        <v>0</v>
      </c>
      <c r="AA90" s="17">
        <f>$I$38*$AA$38</f>
        <v>0</v>
      </c>
      <c r="AB90" s="17">
        <f ca="1">$I$38*$AB$38</f>
        <v>0</v>
      </c>
      <c r="AC90" s="17">
        <f ca="1">$I$38*$AC$38</f>
        <v>0</v>
      </c>
      <c r="AD90" s="17">
        <f>$I$38*$AD$38</f>
        <v>0</v>
      </c>
      <c r="AE90" s="17">
        <f>$I$38*$AE$38</f>
        <v>0</v>
      </c>
      <c r="AF90" s="17">
        <f ca="1">$I$38*$AF$38</f>
        <v>0</v>
      </c>
      <c r="AG90" s="17">
        <f ca="1">$I$38*$AG$38</f>
        <v>0</v>
      </c>
      <c r="AI90" s="17">
        <f>$I$38*$AI$38</f>
        <v>0</v>
      </c>
      <c r="AJ90" s="17">
        <f>$I$38*$AJ$38</f>
        <v>0</v>
      </c>
      <c r="AK90" s="17">
        <f>$I$38*$AK$38</f>
        <v>0</v>
      </c>
      <c r="AL90" s="17">
        <f>$I$38*$AL$38</f>
        <v>0</v>
      </c>
      <c r="AM90" s="17">
        <f>$I$38*$AM$38</f>
        <v>0</v>
      </c>
      <c r="AN90" s="17">
        <f>$I$38*$AN$38</f>
        <v>0</v>
      </c>
      <c r="AO90" s="17">
        <f>$I$38*$AO$38</f>
        <v>0</v>
      </c>
      <c r="AP90" s="17">
        <f>$I$38*$AP$38</f>
        <v>0</v>
      </c>
      <c r="AQ90" s="17">
        <f>$I$38*$AQ$38</f>
        <v>0</v>
      </c>
      <c r="AR90" s="17">
        <f>$I$38*$AR$38</f>
        <v>0</v>
      </c>
      <c r="AS90" s="17">
        <f>$I$38*$AS$38</f>
        <v>0</v>
      </c>
      <c r="AT90" s="17">
        <f>$I$38*$AT$38</f>
        <v>0</v>
      </c>
      <c r="AU90" s="17">
        <f>$I$38*$AU$38</f>
        <v>0</v>
      </c>
      <c r="AV90" s="17">
        <f>$I$38*$AV$38</f>
        <v>0</v>
      </c>
      <c r="AW90" s="17">
        <f>$I$38*$AW$38</f>
        <v>0</v>
      </c>
      <c r="AX90" s="17">
        <f>$I$38*$AX$38</f>
        <v>0</v>
      </c>
      <c r="AY90" s="17">
        <f>$I$38*$AY$38</f>
        <v>0</v>
      </c>
      <c r="AZ90" s="17">
        <f>$I$38*$AZ$38</f>
        <v>0</v>
      </c>
      <c r="BA90" s="17">
        <f>$I$38*$BA$38</f>
        <v>0</v>
      </c>
      <c r="BB90" s="17">
        <f>$I$38*$BB$38</f>
        <v>0</v>
      </c>
      <c r="BC90" s="17">
        <f>$I$38*$BC$38</f>
        <v>0</v>
      </c>
      <c r="BD90" s="17">
        <f>$I$38*$BD$38</f>
        <v>0</v>
      </c>
    </row>
    <row r="91" spans="1:56" ht="11.25" customHeight="1" x14ac:dyDescent="0.25">
      <c r="A91" s="9" t="s">
        <v>40</v>
      </c>
      <c r="B91" s="9" t="s">
        <v>742</v>
      </c>
      <c r="C91" s="9" t="s">
        <v>743</v>
      </c>
      <c r="D91" s="9" t="s">
        <v>766</v>
      </c>
      <c r="E91" s="9" t="s">
        <v>767</v>
      </c>
      <c r="F91" s="9" t="s">
        <v>768</v>
      </c>
      <c r="G91" s="9" t="s">
        <v>770</v>
      </c>
      <c r="L91" s="17">
        <f>$I$39*$L$39</f>
        <v>0</v>
      </c>
      <c r="M91" s="17">
        <f>$I$39*$M$39</f>
        <v>0</v>
      </c>
      <c r="N91" s="17">
        <f ca="1">$I$39*$N$39</f>
        <v>0</v>
      </c>
      <c r="O91" s="17">
        <f>$I$39*$O$39</f>
        <v>0</v>
      </c>
      <c r="P91" s="17">
        <f>$I$39*$P$39</f>
        <v>0</v>
      </c>
      <c r="Q91" s="17">
        <f>$I$39*$Q$39</f>
        <v>0</v>
      </c>
      <c r="R91" s="17">
        <f>$I$39*$R$39</f>
        <v>0</v>
      </c>
      <c r="S91" s="17">
        <f>$I$39*$S$39</f>
        <v>0</v>
      </c>
      <c r="T91" s="17">
        <f>$I$39*$T$39</f>
        <v>0</v>
      </c>
      <c r="U91" s="17">
        <f>$I$39*$U$39</f>
        <v>0</v>
      </c>
      <c r="V91" s="17">
        <f>$I$39*$V$39</f>
        <v>0</v>
      </c>
      <c r="W91" s="17">
        <f>$I$39*$W$39</f>
        <v>0</v>
      </c>
      <c r="X91" s="17">
        <f>$I$39*$X$39</f>
        <v>0</v>
      </c>
      <c r="Y91" s="17">
        <f>$I$39*$Y$39</f>
        <v>0</v>
      </c>
      <c r="Z91" s="17">
        <f>$I$39*$Z$39</f>
        <v>0</v>
      </c>
      <c r="AA91" s="17">
        <f>$I$39*$AA$39</f>
        <v>0</v>
      </c>
      <c r="AB91" s="17">
        <f ca="1">$I$39*$AB$39</f>
        <v>0</v>
      </c>
      <c r="AC91" s="17">
        <f ca="1">$I$39*$AC$39</f>
        <v>0</v>
      </c>
      <c r="AD91" s="17">
        <f>$I$39*$AD$39</f>
        <v>0</v>
      </c>
      <c r="AE91" s="17">
        <f>$I$39*$AE$39</f>
        <v>0</v>
      </c>
      <c r="AF91" s="17">
        <f ca="1">$I$39*$AF$39</f>
        <v>0</v>
      </c>
      <c r="AG91" s="17">
        <f ca="1">$I$39*$AG$39</f>
        <v>0</v>
      </c>
      <c r="AI91" s="17">
        <f>$I$39*$AI$39</f>
        <v>0</v>
      </c>
      <c r="AJ91" s="17">
        <f>$I$39*$AJ$39</f>
        <v>0</v>
      </c>
      <c r="AK91" s="17">
        <f>$I$39*$AK$39</f>
        <v>0</v>
      </c>
      <c r="AL91" s="17">
        <f>$I$39*$AL$39</f>
        <v>0</v>
      </c>
      <c r="AM91" s="17">
        <f>$I$39*$AM$39</f>
        <v>0</v>
      </c>
      <c r="AN91" s="17">
        <f>$I$39*$AN$39</f>
        <v>0</v>
      </c>
      <c r="AO91" s="17">
        <f>$I$39*$AO$39</f>
        <v>0</v>
      </c>
      <c r="AP91" s="17">
        <f>$I$39*$AP$39</f>
        <v>0</v>
      </c>
      <c r="AQ91" s="17">
        <f>$I$39*$AQ$39</f>
        <v>0</v>
      </c>
      <c r="AR91" s="17">
        <f>$I$39*$AR$39</f>
        <v>0</v>
      </c>
      <c r="AS91" s="17">
        <f>$I$39*$AS$39</f>
        <v>0</v>
      </c>
      <c r="AT91" s="17">
        <f>$I$39*$AT$39</f>
        <v>0</v>
      </c>
      <c r="AU91" s="17">
        <f>$I$39*$AU$39</f>
        <v>0</v>
      </c>
      <c r="AV91" s="17">
        <f>$I$39*$AV$39</f>
        <v>0</v>
      </c>
      <c r="AW91" s="17">
        <f>$I$39*$AW$39</f>
        <v>0</v>
      </c>
      <c r="AX91" s="17">
        <f>$I$39*$AX$39</f>
        <v>0</v>
      </c>
      <c r="AY91" s="17">
        <f>$I$39*$AY$39</f>
        <v>0</v>
      </c>
      <c r="AZ91" s="17">
        <f>$I$39*$AZ$39</f>
        <v>0</v>
      </c>
      <c r="BA91" s="17">
        <f>$I$39*$BA$39</f>
        <v>0</v>
      </c>
      <c r="BB91" s="17">
        <f>$I$39*$BB$39</f>
        <v>0</v>
      </c>
      <c r="BC91" s="17">
        <f>$I$39*$BC$39</f>
        <v>0</v>
      </c>
      <c r="BD91" s="17">
        <f>$I$39*$BD$39</f>
        <v>0</v>
      </c>
    </row>
    <row r="92" spans="1:56" ht="11.25" customHeight="1" x14ac:dyDescent="0.25">
      <c r="A92" s="9" t="s">
        <v>40</v>
      </c>
      <c r="B92" s="9" t="s">
        <v>742</v>
      </c>
      <c r="C92" s="9" t="s">
        <v>743</v>
      </c>
      <c r="D92" s="9" t="s">
        <v>766</v>
      </c>
      <c r="E92" s="9" t="s">
        <v>767</v>
      </c>
      <c r="F92" s="9" t="s">
        <v>768</v>
      </c>
      <c r="G92" s="9" t="s">
        <v>771</v>
      </c>
      <c r="L92" s="17">
        <f>$I$40*$L$40</f>
        <v>0</v>
      </c>
      <c r="M92" s="17">
        <f>$I$40*$M$40</f>
        <v>0</v>
      </c>
      <c r="N92" s="17">
        <f ca="1">$I$40*$N$40</f>
        <v>0</v>
      </c>
      <c r="O92" s="17">
        <f>$I$40*$O$40</f>
        <v>0</v>
      </c>
      <c r="P92" s="17">
        <f>$I$40*$P$40</f>
        <v>0</v>
      </c>
      <c r="Q92" s="17">
        <f>$I$40*$Q$40</f>
        <v>0</v>
      </c>
      <c r="R92" s="17">
        <f>$I$40*$R$40</f>
        <v>0</v>
      </c>
      <c r="S92" s="17">
        <f>$I$40*$S$40</f>
        <v>0</v>
      </c>
      <c r="T92" s="17">
        <f>$I$40*$T$40</f>
        <v>0</v>
      </c>
      <c r="U92" s="17">
        <f>$I$40*$U$40</f>
        <v>0</v>
      </c>
      <c r="V92" s="17">
        <f>$I$40*$V$40</f>
        <v>0</v>
      </c>
      <c r="W92" s="17">
        <f>$I$40*$W$40</f>
        <v>0</v>
      </c>
      <c r="X92" s="17">
        <f>$I$40*$X$40</f>
        <v>0</v>
      </c>
      <c r="Y92" s="17">
        <f>$I$40*$Y$40</f>
        <v>0</v>
      </c>
      <c r="Z92" s="17">
        <f>$I$40*$Z$40</f>
        <v>0</v>
      </c>
      <c r="AA92" s="17">
        <f>$I$40*$AA$40</f>
        <v>0</v>
      </c>
      <c r="AB92" s="17">
        <f ca="1">$I$40*$AB$40</f>
        <v>0</v>
      </c>
      <c r="AC92" s="17">
        <f ca="1">$I$40*$AC$40</f>
        <v>0</v>
      </c>
      <c r="AD92" s="17">
        <f>$I$40*$AD$40</f>
        <v>0</v>
      </c>
      <c r="AE92" s="17">
        <f>$I$40*$AE$40</f>
        <v>0</v>
      </c>
      <c r="AF92" s="17">
        <f ca="1">$I$40*$AF$40</f>
        <v>0</v>
      </c>
      <c r="AG92" s="17">
        <f ca="1">$I$40*$AG$40</f>
        <v>0</v>
      </c>
      <c r="AI92" s="17">
        <f>$I$40*$AI$40</f>
        <v>0</v>
      </c>
      <c r="AJ92" s="17">
        <f>$I$40*$AJ$40</f>
        <v>0</v>
      </c>
      <c r="AK92" s="17">
        <f>$I$40*$AK$40</f>
        <v>0</v>
      </c>
      <c r="AL92" s="17">
        <f>$I$40*$AL$40</f>
        <v>0</v>
      </c>
      <c r="AM92" s="17">
        <f>$I$40*$AM$40</f>
        <v>0</v>
      </c>
      <c r="AN92" s="17">
        <f>$I$40*$AN$40</f>
        <v>0</v>
      </c>
      <c r="AO92" s="17">
        <f>$I$40*$AO$40</f>
        <v>0</v>
      </c>
      <c r="AP92" s="17">
        <f>$I$40*$AP$40</f>
        <v>0</v>
      </c>
      <c r="AQ92" s="17">
        <f>$I$40*$AQ$40</f>
        <v>0</v>
      </c>
      <c r="AR92" s="17">
        <f>$I$40*$AR$40</f>
        <v>0</v>
      </c>
      <c r="AS92" s="17">
        <f>$I$40*$AS$40</f>
        <v>0</v>
      </c>
      <c r="AT92" s="17">
        <f>$I$40*$AT$40</f>
        <v>0</v>
      </c>
      <c r="AU92" s="17">
        <f>$I$40*$AU$40</f>
        <v>0</v>
      </c>
      <c r="AV92" s="17">
        <f>$I$40*$AV$40</f>
        <v>0</v>
      </c>
      <c r="AW92" s="17">
        <f>$I$40*$AW$40</f>
        <v>0</v>
      </c>
      <c r="AX92" s="17">
        <f>$I$40*$AX$40</f>
        <v>0</v>
      </c>
      <c r="AY92" s="17">
        <f>$I$40*$AY$40</f>
        <v>0</v>
      </c>
      <c r="AZ92" s="17">
        <f>$I$40*$AZ$40</f>
        <v>0</v>
      </c>
      <c r="BA92" s="17">
        <f>$I$40*$BA$40</f>
        <v>0</v>
      </c>
      <c r="BB92" s="17">
        <f>$I$40*$BB$40</f>
        <v>0</v>
      </c>
      <c r="BC92" s="17">
        <f>$I$40*$BC$40</f>
        <v>0</v>
      </c>
      <c r="BD92" s="17">
        <f>$I$40*$BD$40</f>
        <v>0</v>
      </c>
    </row>
    <row r="93" spans="1:56" ht="11.25" customHeight="1" x14ac:dyDescent="0.25">
      <c r="A93" s="9" t="s">
        <v>40</v>
      </c>
      <c r="B93" s="9" t="s">
        <v>750</v>
      </c>
      <c r="C93" s="9" t="s">
        <v>751</v>
      </c>
      <c r="D93" s="9" t="s">
        <v>772</v>
      </c>
      <c r="E93" s="9" t="s">
        <v>773</v>
      </c>
      <c r="F93" s="9" t="s">
        <v>774</v>
      </c>
      <c r="G93" s="9" t="s">
        <v>775</v>
      </c>
      <c r="L93" s="17">
        <f>$I$41*$L$41</f>
        <v>0</v>
      </c>
      <c r="M93" s="17">
        <f>$I$41*$M$41</f>
        <v>0</v>
      </c>
      <c r="N93" s="17">
        <f ca="1">$I$41*$N$41</f>
        <v>0</v>
      </c>
      <c r="O93" s="17">
        <f>$I$41*$O$41</f>
        <v>0</v>
      </c>
      <c r="P93" s="17">
        <f>$I$41*$P$41</f>
        <v>0</v>
      </c>
      <c r="Q93" s="17">
        <f>$I$41*$Q$41</f>
        <v>0</v>
      </c>
      <c r="R93" s="17">
        <f>$I$41*$R$41</f>
        <v>0</v>
      </c>
      <c r="S93" s="17">
        <f>$I$41*$S$41</f>
        <v>0</v>
      </c>
      <c r="T93" s="17">
        <f>$I$41*$T$41</f>
        <v>0</v>
      </c>
      <c r="U93" s="17">
        <f>$I$41*$U$41</f>
        <v>0</v>
      </c>
      <c r="V93" s="17">
        <f>$I$41*$V$41</f>
        <v>0</v>
      </c>
      <c r="W93" s="17">
        <f>$I$41*$W$41</f>
        <v>0</v>
      </c>
      <c r="X93" s="17">
        <f>$I$41*$X$41</f>
        <v>0</v>
      </c>
      <c r="Y93" s="17">
        <f>$I$41*$Y$41</f>
        <v>0</v>
      </c>
      <c r="Z93" s="17">
        <f>$I$41*$Z$41</f>
        <v>0</v>
      </c>
      <c r="AA93" s="17">
        <f>$I$41*$AA$41</f>
        <v>0</v>
      </c>
      <c r="AB93" s="17">
        <f ca="1">$I$41*$AB$41</f>
        <v>0</v>
      </c>
      <c r="AC93" s="17">
        <f ca="1">$I$41*$AC$41</f>
        <v>0</v>
      </c>
      <c r="AD93" s="17">
        <f>$I$41*$AD$41</f>
        <v>0</v>
      </c>
      <c r="AE93" s="17">
        <f>$I$41*$AE$41</f>
        <v>0</v>
      </c>
      <c r="AF93" s="17">
        <f ca="1">$I$41*$AF$41</f>
        <v>0</v>
      </c>
      <c r="AG93" s="17">
        <f ca="1">$I$41*$AG$41</f>
        <v>0</v>
      </c>
      <c r="AI93" s="17">
        <f>$I$41*$AI$41</f>
        <v>0</v>
      </c>
      <c r="AJ93" s="17">
        <f>$I$41*$AJ$41</f>
        <v>0</v>
      </c>
      <c r="AK93" s="17">
        <f>$I$41*$AK$41</f>
        <v>0</v>
      </c>
      <c r="AL93" s="17">
        <f>$I$41*$AL$41</f>
        <v>0</v>
      </c>
      <c r="AM93" s="17">
        <f>$I$41*$AM$41</f>
        <v>0</v>
      </c>
      <c r="AN93" s="17">
        <f>$I$41*$AN$41</f>
        <v>0</v>
      </c>
      <c r="AO93" s="17">
        <f>$I$41*$AO$41</f>
        <v>0</v>
      </c>
      <c r="AP93" s="17">
        <f>$I$41*$AP$41</f>
        <v>0</v>
      </c>
      <c r="AQ93" s="17">
        <f>$I$41*$AQ$41</f>
        <v>0</v>
      </c>
      <c r="AR93" s="17">
        <f>$I$41*$AR$41</f>
        <v>0</v>
      </c>
      <c r="AS93" s="17">
        <f>$I$41*$AS$41</f>
        <v>0</v>
      </c>
      <c r="AT93" s="17">
        <f>$I$41*$AT$41</f>
        <v>0</v>
      </c>
      <c r="AU93" s="17">
        <f>$I$41*$AU$41</f>
        <v>0</v>
      </c>
      <c r="AV93" s="17">
        <f>$I$41*$AV$41</f>
        <v>0</v>
      </c>
      <c r="AW93" s="17">
        <f>$I$41*$AW$41</f>
        <v>0</v>
      </c>
      <c r="AX93" s="17">
        <f>$I$41*$AX$41</f>
        <v>0</v>
      </c>
      <c r="AY93" s="17">
        <f>$I$41*$AY$41</f>
        <v>0</v>
      </c>
      <c r="AZ93" s="17">
        <f>$I$41*$AZ$41</f>
        <v>0</v>
      </c>
      <c r="BA93" s="17">
        <f>$I$41*$BA$41</f>
        <v>0</v>
      </c>
      <c r="BB93" s="17">
        <f>$I$41*$BB$41</f>
        <v>0</v>
      </c>
      <c r="BC93" s="17">
        <f>$I$41*$BC$41</f>
        <v>0</v>
      </c>
      <c r="BD93" s="17">
        <f>$I$41*$BD$41</f>
        <v>0</v>
      </c>
    </row>
    <row r="94" spans="1:56" ht="11.25" customHeight="1" x14ac:dyDescent="0.25">
      <c r="A94" s="9" t="s">
        <v>40</v>
      </c>
      <c r="B94" s="9" t="s">
        <v>776</v>
      </c>
      <c r="C94" s="9" t="s">
        <v>777</v>
      </c>
      <c r="D94" s="9" t="s">
        <v>778</v>
      </c>
      <c r="E94" s="9" t="s">
        <v>779</v>
      </c>
      <c r="F94" s="9" t="s">
        <v>780</v>
      </c>
      <c r="G94" s="9" t="s">
        <v>781</v>
      </c>
      <c r="L94" s="17">
        <f>$I$42*$L$42</f>
        <v>0</v>
      </c>
      <c r="M94" s="17">
        <f>$I$42*$M$42</f>
        <v>0</v>
      </c>
      <c r="N94" s="17">
        <f ca="1">$I$42*$N$42</f>
        <v>0</v>
      </c>
      <c r="O94" s="17">
        <f>$I$42*$O$42</f>
        <v>0</v>
      </c>
      <c r="P94" s="17">
        <f>$I$42*$P$42</f>
        <v>0</v>
      </c>
      <c r="Q94" s="17">
        <f>$I$42*$Q$42</f>
        <v>0</v>
      </c>
      <c r="R94" s="17">
        <f>$I$42*$R$42</f>
        <v>0</v>
      </c>
      <c r="S94" s="17">
        <f>$I$42*$S$42</f>
        <v>0</v>
      </c>
      <c r="T94" s="17">
        <f>$I$42*$T$42</f>
        <v>0</v>
      </c>
      <c r="U94" s="17">
        <f>$I$42*$U$42</f>
        <v>0</v>
      </c>
      <c r="V94" s="17">
        <f>$I$42*$V$42</f>
        <v>0</v>
      </c>
      <c r="W94" s="17">
        <f>$I$42*$W$42</f>
        <v>0</v>
      </c>
      <c r="X94" s="17">
        <f>$I$42*$X$42</f>
        <v>0</v>
      </c>
      <c r="Y94" s="17">
        <f>$I$42*$Y$42</f>
        <v>0</v>
      </c>
      <c r="Z94" s="17">
        <f>$I$42*$Z$42</f>
        <v>0</v>
      </c>
      <c r="AA94" s="17">
        <f>$I$42*$AA$42</f>
        <v>0</v>
      </c>
      <c r="AB94" s="17">
        <f ca="1">$I$42*$AB$42</f>
        <v>0</v>
      </c>
      <c r="AC94" s="17">
        <f ca="1">$I$42*$AC$42</f>
        <v>0</v>
      </c>
      <c r="AD94" s="17">
        <f>$I$42*$AD$42</f>
        <v>0</v>
      </c>
      <c r="AE94" s="17">
        <f>$I$42*$AE$42</f>
        <v>0</v>
      </c>
      <c r="AF94" s="17">
        <f ca="1">$I$42*$AF$42</f>
        <v>0</v>
      </c>
      <c r="AG94" s="17">
        <f ca="1">$I$42*$AG$42</f>
        <v>0</v>
      </c>
      <c r="AI94" s="17">
        <f>$I$42*$AI$42</f>
        <v>0</v>
      </c>
      <c r="AJ94" s="17">
        <f>$I$42*$AJ$42</f>
        <v>0</v>
      </c>
      <c r="AK94" s="17">
        <f>$I$42*$AK$42</f>
        <v>0</v>
      </c>
      <c r="AL94" s="17">
        <f>$I$42*$AL$42</f>
        <v>0</v>
      </c>
      <c r="AM94" s="17">
        <f>$I$42*$AM$42</f>
        <v>0</v>
      </c>
      <c r="AN94" s="17">
        <f>$I$42*$AN$42</f>
        <v>0</v>
      </c>
      <c r="AO94" s="17">
        <f>$I$42*$AO$42</f>
        <v>0</v>
      </c>
      <c r="AP94" s="17">
        <f>$I$42*$AP$42</f>
        <v>0</v>
      </c>
      <c r="AQ94" s="17">
        <f>$I$42*$AQ$42</f>
        <v>0</v>
      </c>
      <c r="AR94" s="17">
        <f>$I$42*$AR$42</f>
        <v>0</v>
      </c>
      <c r="AS94" s="17">
        <f>$I$42*$AS$42</f>
        <v>0</v>
      </c>
      <c r="AT94" s="17">
        <f>$I$42*$AT$42</f>
        <v>0</v>
      </c>
      <c r="AU94" s="17">
        <f>$I$42*$AU$42</f>
        <v>0</v>
      </c>
      <c r="AV94" s="17">
        <f>$I$42*$AV$42</f>
        <v>0</v>
      </c>
      <c r="AW94" s="17">
        <f>$I$42*$AW$42</f>
        <v>0</v>
      </c>
      <c r="AX94" s="17">
        <f>$I$42*$AX$42</f>
        <v>0</v>
      </c>
      <c r="AY94" s="17">
        <f>$I$42*$AY$42</f>
        <v>0</v>
      </c>
      <c r="AZ94" s="17">
        <f>$I$42*$AZ$42</f>
        <v>0</v>
      </c>
      <c r="BA94" s="17">
        <f>$I$42*$BA$42</f>
        <v>0</v>
      </c>
      <c r="BB94" s="17">
        <f>$I$42*$BB$42</f>
        <v>0</v>
      </c>
      <c r="BC94" s="17">
        <f>$I$42*$BC$42</f>
        <v>0</v>
      </c>
      <c r="BD94" s="17">
        <f>$I$42*$BD$42</f>
        <v>0</v>
      </c>
    </row>
    <row r="95" spans="1:56" ht="11.25" customHeight="1" x14ac:dyDescent="0.25">
      <c r="A95" s="9" t="s">
        <v>40</v>
      </c>
      <c r="B95" s="9" t="s">
        <v>776</v>
      </c>
      <c r="C95" s="9" t="s">
        <v>777</v>
      </c>
      <c r="D95" s="9" t="s">
        <v>782</v>
      </c>
      <c r="E95" s="9" t="s">
        <v>783</v>
      </c>
      <c r="F95" s="9" t="s">
        <v>784</v>
      </c>
      <c r="G95" s="9" t="s">
        <v>785</v>
      </c>
      <c r="L95" s="17">
        <f>$I$43*$L$43</f>
        <v>0</v>
      </c>
      <c r="M95" s="17">
        <f>$I$43*$M$43</f>
        <v>0</v>
      </c>
      <c r="N95" s="17">
        <f ca="1">$I$43*$N$43</f>
        <v>0</v>
      </c>
      <c r="O95" s="17">
        <f>$I$43*$O$43</f>
        <v>0</v>
      </c>
      <c r="P95" s="17">
        <f>$I$43*$P$43</f>
        <v>0</v>
      </c>
      <c r="Q95" s="17">
        <f>$I$43*$Q$43</f>
        <v>0</v>
      </c>
      <c r="R95" s="17">
        <f>$I$43*$R$43</f>
        <v>0</v>
      </c>
      <c r="S95" s="17">
        <f>$I$43*$S$43</f>
        <v>0</v>
      </c>
      <c r="T95" s="17">
        <f>$I$43*$T$43</f>
        <v>0</v>
      </c>
      <c r="U95" s="17">
        <f>$I$43*$U$43</f>
        <v>0</v>
      </c>
      <c r="V95" s="17">
        <f>$I$43*$V$43</f>
        <v>0</v>
      </c>
      <c r="W95" s="17">
        <f>$I$43*$W$43</f>
        <v>0</v>
      </c>
      <c r="X95" s="17">
        <f>$I$43*$X$43</f>
        <v>0</v>
      </c>
      <c r="Y95" s="17">
        <f>$I$43*$Y$43</f>
        <v>0</v>
      </c>
      <c r="Z95" s="17">
        <f>$I$43*$Z$43</f>
        <v>0</v>
      </c>
      <c r="AA95" s="17">
        <f>$I$43*$AA$43</f>
        <v>0</v>
      </c>
      <c r="AB95" s="17">
        <f ca="1">$I$43*$AB$43</f>
        <v>0</v>
      </c>
      <c r="AC95" s="17">
        <f ca="1">$I$43*$AC$43</f>
        <v>0</v>
      </c>
      <c r="AD95" s="17">
        <f>$I$43*$AD$43</f>
        <v>0</v>
      </c>
      <c r="AE95" s="17">
        <f>$I$43*$AE$43</f>
        <v>0</v>
      </c>
      <c r="AF95" s="17">
        <f ca="1">$I$43*$AF$43</f>
        <v>0</v>
      </c>
      <c r="AG95" s="17">
        <f ca="1">$I$43*$AG$43</f>
        <v>0</v>
      </c>
      <c r="AI95" s="17">
        <f>$I$43*$AI$43</f>
        <v>0</v>
      </c>
      <c r="AJ95" s="17">
        <f>$I$43*$AJ$43</f>
        <v>0</v>
      </c>
      <c r="AK95" s="17">
        <f>$I$43*$AK$43</f>
        <v>0</v>
      </c>
      <c r="AL95" s="17">
        <f>$I$43*$AL$43</f>
        <v>0</v>
      </c>
      <c r="AM95" s="17">
        <f>$I$43*$AM$43</f>
        <v>0</v>
      </c>
      <c r="AN95" s="17">
        <f>$I$43*$AN$43</f>
        <v>0</v>
      </c>
      <c r="AO95" s="17">
        <f>$I$43*$AO$43</f>
        <v>0</v>
      </c>
      <c r="AP95" s="17">
        <f>$I$43*$AP$43</f>
        <v>0</v>
      </c>
      <c r="AQ95" s="17">
        <f>$I$43*$AQ$43</f>
        <v>0</v>
      </c>
      <c r="AR95" s="17">
        <f>$I$43*$AR$43</f>
        <v>0</v>
      </c>
      <c r="AS95" s="17">
        <f>$I$43*$AS$43</f>
        <v>0</v>
      </c>
      <c r="AT95" s="17">
        <f>$I$43*$AT$43</f>
        <v>0</v>
      </c>
      <c r="AU95" s="17">
        <f>$I$43*$AU$43</f>
        <v>0</v>
      </c>
      <c r="AV95" s="17">
        <f>$I$43*$AV$43</f>
        <v>0</v>
      </c>
      <c r="AW95" s="17">
        <f>$I$43*$AW$43</f>
        <v>0</v>
      </c>
      <c r="AX95" s="17">
        <f>$I$43*$AX$43</f>
        <v>0</v>
      </c>
      <c r="AY95" s="17">
        <f>$I$43*$AY$43</f>
        <v>0</v>
      </c>
      <c r="AZ95" s="17">
        <f>$I$43*$AZ$43</f>
        <v>0</v>
      </c>
      <c r="BA95" s="17">
        <f>$I$43*$BA$43</f>
        <v>0</v>
      </c>
      <c r="BB95" s="17">
        <f>$I$43*$BB$43</f>
        <v>0</v>
      </c>
      <c r="BC95" s="17">
        <f>$I$43*$BC$43</f>
        <v>0</v>
      </c>
      <c r="BD95" s="17">
        <f>$I$43*$BD$43</f>
        <v>0</v>
      </c>
    </row>
    <row r="96" spans="1:56" ht="11.25" customHeight="1" x14ac:dyDescent="0.25">
      <c r="A96" s="9" t="s">
        <v>40</v>
      </c>
      <c r="B96" s="9" t="s">
        <v>776</v>
      </c>
      <c r="C96" s="9" t="s">
        <v>777</v>
      </c>
      <c r="D96" s="9" t="s">
        <v>786</v>
      </c>
      <c r="E96" s="9" t="s">
        <v>787</v>
      </c>
      <c r="F96" s="9" t="s">
        <v>788</v>
      </c>
      <c r="G96" s="9" t="s">
        <v>789</v>
      </c>
      <c r="L96" s="17">
        <f>$I$44*$L$44</f>
        <v>0</v>
      </c>
      <c r="M96" s="17">
        <f>$I$44*$M$44</f>
        <v>0</v>
      </c>
      <c r="N96" s="17">
        <f ca="1">$I$44*$N$44</f>
        <v>0</v>
      </c>
      <c r="O96" s="17">
        <f>$I$44*$O$44</f>
        <v>0</v>
      </c>
      <c r="P96" s="17">
        <f>$I$44*$P$44</f>
        <v>0</v>
      </c>
      <c r="Q96" s="17">
        <f>$I$44*$Q$44</f>
        <v>0</v>
      </c>
      <c r="R96" s="17">
        <f>$I$44*$R$44</f>
        <v>0</v>
      </c>
      <c r="S96" s="17">
        <f>$I$44*$S$44</f>
        <v>0</v>
      </c>
      <c r="T96" s="17">
        <f>$I$44*$T$44</f>
        <v>0</v>
      </c>
      <c r="U96" s="17">
        <f>$I$44*$U$44</f>
        <v>0</v>
      </c>
      <c r="V96" s="17">
        <f>$I$44*$V$44</f>
        <v>0</v>
      </c>
      <c r="W96" s="17">
        <f>$I$44*$W$44</f>
        <v>0</v>
      </c>
      <c r="X96" s="17">
        <f>$I$44*$X$44</f>
        <v>0</v>
      </c>
      <c r="Y96" s="17">
        <f>$I$44*$Y$44</f>
        <v>0</v>
      </c>
      <c r="Z96" s="17">
        <f>$I$44*$Z$44</f>
        <v>0</v>
      </c>
      <c r="AA96" s="17">
        <f>$I$44*$AA$44</f>
        <v>0</v>
      </c>
      <c r="AB96" s="17">
        <f ca="1">$I$44*$AB$44</f>
        <v>0</v>
      </c>
      <c r="AC96" s="17">
        <f ca="1">$I$44*$AC$44</f>
        <v>0</v>
      </c>
      <c r="AD96" s="17">
        <f>$I$44*$AD$44</f>
        <v>0</v>
      </c>
      <c r="AE96" s="17">
        <f>$I$44*$AE$44</f>
        <v>0</v>
      </c>
      <c r="AF96" s="17">
        <f ca="1">$I$44*$AF$44</f>
        <v>0</v>
      </c>
      <c r="AG96" s="17">
        <f ca="1">$I$44*$AG$44</f>
        <v>0</v>
      </c>
      <c r="AI96" s="17">
        <f>$I$44*$AI$44</f>
        <v>0</v>
      </c>
      <c r="AJ96" s="17">
        <f>$I$44*$AJ$44</f>
        <v>0</v>
      </c>
      <c r="AK96" s="17">
        <f>$I$44*$AK$44</f>
        <v>0</v>
      </c>
      <c r="AL96" s="17">
        <f>$I$44*$AL$44</f>
        <v>0</v>
      </c>
      <c r="AM96" s="17">
        <f>$I$44*$AM$44</f>
        <v>0</v>
      </c>
      <c r="AN96" s="17">
        <f>$I$44*$AN$44</f>
        <v>0</v>
      </c>
      <c r="AO96" s="17">
        <f>$I$44*$AO$44</f>
        <v>0</v>
      </c>
      <c r="AP96" s="17">
        <f>$I$44*$AP$44</f>
        <v>0</v>
      </c>
      <c r="AQ96" s="17">
        <f>$I$44*$AQ$44</f>
        <v>0</v>
      </c>
      <c r="AR96" s="17">
        <f>$I$44*$AR$44</f>
        <v>0</v>
      </c>
      <c r="AS96" s="17">
        <f>$I$44*$AS$44</f>
        <v>0</v>
      </c>
      <c r="AT96" s="17">
        <f>$I$44*$AT$44</f>
        <v>0</v>
      </c>
      <c r="AU96" s="17">
        <f>$I$44*$AU$44</f>
        <v>0</v>
      </c>
      <c r="AV96" s="17">
        <f>$I$44*$AV$44</f>
        <v>0</v>
      </c>
      <c r="AW96" s="17">
        <f>$I$44*$AW$44</f>
        <v>0</v>
      </c>
      <c r="AX96" s="17">
        <f>$I$44*$AX$44</f>
        <v>0</v>
      </c>
      <c r="AY96" s="17">
        <f>$I$44*$AY$44</f>
        <v>0</v>
      </c>
      <c r="AZ96" s="17">
        <f>$I$44*$AZ$44</f>
        <v>0</v>
      </c>
      <c r="BA96" s="17">
        <f>$I$44*$BA$44</f>
        <v>0</v>
      </c>
      <c r="BB96" s="17">
        <f>$I$44*$BB$44</f>
        <v>0</v>
      </c>
      <c r="BC96" s="17">
        <f>$I$44*$BC$44</f>
        <v>0</v>
      </c>
      <c r="BD96" s="17">
        <f>$I$44*$BD$44</f>
        <v>0</v>
      </c>
    </row>
    <row r="97" spans="1:56" ht="11.25" customHeight="1" x14ac:dyDescent="0.25">
      <c r="A97" s="9" t="s">
        <v>37</v>
      </c>
      <c r="B97" s="9" t="s">
        <v>790</v>
      </c>
      <c r="C97" s="9" t="s">
        <v>791</v>
      </c>
      <c r="D97" s="9" t="s">
        <v>792</v>
      </c>
      <c r="E97" s="9" t="s">
        <v>793</v>
      </c>
      <c r="F97" s="9" t="s">
        <v>794</v>
      </c>
      <c r="G97" s="9" t="s">
        <v>795</v>
      </c>
      <c r="L97" s="17">
        <f>$I$45*$L$45</f>
        <v>0</v>
      </c>
      <c r="M97" s="17">
        <f>$I$45*$M$45</f>
        <v>0</v>
      </c>
      <c r="N97" s="17">
        <f ca="1">$I$45*$N$45</f>
        <v>0</v>
      </c>
      <c r="O97" s="17">
        <f>$I$45*$O$45</f>
        <v>0</v>
      </c>
      <c r="P97" s="17">
        <f>$I$45*$P$45</f>
        <v>0</v>
      </c>
      <c r="Q97" s="17">
        <f>$I$45*$Q$45</f>
        <v>0</v>
      </c>
      <c r="R97" s="17">
        <f>$I$45*$R$45</f>
        <v>0</v>
      </c>
      <c r="S97" s="17">
        <f>$I$45*$S$45</f>
        <v>0</v>
      </c>
      <c r="T97" s="17">
        <f>$I$45*$T$45</f>
        <v>0</v>
      </c>
      <c r="U97" s="17">
        <f>$I$45*$U$45</f>
        <v>0</v>
      </c>
      <c r="V97" s="17">
        <f>$I$45*$V$45</f>
        <v>0</v>
      </c>
      <c r="W97" s="17">
        <f>$I$45*$W$45</f>
        <v>0</v>
      </c>
      <c r="X97" s="17">
        <f>$I$45*$X$45</f>
        <v>0</v>
      </c>
      <c r="Y97" s="17">
        <f>$I$45*$Y$45</f>
        <v>0</v>
      </c>
      <c r="Z97" s="17">
        <f>$I$45*$Z$45</f>
        <v>0</v>
      </c>
      <c r="AA97" s="17">
        <f>$I$45*$AA$45</f>
        <v>0</v>
      </c>
      <c r="AB97" s="17">
        <f ca="1">$I$45*$AB$45</f>
        <v>0</v>
      </c>
      <c r="AC97" s="17">
        <f ca="1">$I$45*$AC$45</f>
        <v>0</v>
      </c>
      <c r="AD97" s="17">
        <f>$I$45*$AD$45</f>
        <v>0</v>
      </c>
      <c r="AE97" s="17">
        <f>$I$45*$AE$45</f>
        <v>0</v>
      </c>
      <c r="AF97" s="17">
        <f ca="1">$I$45*$AF$45</f>
        <v>0</v>
      </c>
      <c r="AG97" s="17">
        <f ca="1">$I$45*$AG$45</f>
        <v>0</v>
      </c>
      <c r="AI97" s="17">
        <f>$I$45*$AI$45</f>
        <v>0</v>
      </c>
      <c r="AJ97" s="17">
        <f>$I$45*$AJ$45</f>
        <v>0</v>
      </c>
      <c r="AK97" s="17">
        <f>$I$45*$AK$45</f>
        <v>0</v>
      </c>
      <c r="AL97" s="17">
        <f>$I$45*$AL$45</f>
        <v>0</v>
      </c>
      <c r="AM97" s="17">
        <f>$I$45*$AM$45</f>
        <v>0</v>
      </c>
      <c r="AN97" s="17">
        <f>$I$45*$AN$45</f>
        <v>0</v>
      </c>
      <c r="AO97" s="17">
        <f>$I$45*$AO$45</f>
        <v>0</v>
      </c>
      <c r="AP97" s="17">
        <f>$I$45*$AP$45</f>
        <v>0</v>
      </c>
      <c r="AQ97" s="17">
        <f>$I$45*$AQ$45</f>
        <v>0</v>
      </c>
      <c r="AR97" s="17">
        <f>$I$45*$AR$45</f>
        <v>0</v>
      </c>
      <c r="AS97" s="17">
        <f>$I$45*$AS$45</f>
        <v>0</v>
      </c>
      <c r="AT97" s="17">
        <f>$I$45*$AT$45</f>
        <v>0</v>
      </c>
      <c r="AU97" s="17">
        <f>$I$45*$AU$45</f>
        <v>0</v>
      </c>
      <c r="AV97" s="17">
        <f>$I$45*$AV$45</f>
        <v>0</v>
      </c>
      <c r="AW97" s="17">
        <f>$I$45*$AW$45</f>
        <v>0</v>
      </c>
      <c r="AX97" s="17">
        <f>$I$45*$AX$45</f>
        <v>0</v>
      </c>
      <c r="AY97" s="17">
        <f>$I$45*$AY$45</f>
        <v>0</v>
      </c>
      <c r="AZ97" s="17">
        <f>$I$45*$AZ$45</f>
        <v>0</v>
      </c>
      <c r="BA97" s="17">
        <f>$I$45*$BA$45</f>
        <v>0</v>
      </c>
      <c r="BB97" s="17">
        <f>$I$45*$BB$45</f>
        <v>0</v>
      </c>
      <c r="BC97" s="17">
        <f>$I$45*$BC$45</f>
        <v>0</v>
      </c>
      <c r="BD97" s="17">
        <f>$I$45*$BD$45</f>
        <v>0</v>
      </c>
    </row>
    <row r="98" spans="1:56" ht="11.25" customHeight="1" x14ac:dyDescent="0.25">
      <c r="A98" s="9" t="s">
        <v>37</v>
      </c>
      <c r="B98" s="9" t="s">
        <v>790</v>
      </c>
      <c r="C98" s="9" t="s">
        <v>791</v>
      </c>
      <c r="D98" s="9" t="s">
        <v>792</v>
      </c>
      <c r="E98" s="9" t="s">
        <v>793</v>
      </c>
      <c r="F98" s="9" t="s">
        <v>794</v>
      </c>
      <c r="G98" s="9" t="s">
        <v>796</v>
      </c>
      <c r="L98" s="17">
        <f>$I$46*$L$46</f>
        <v>0</v>
      </c>
      <c r="M98" s="17">
        <f>$I$46*$M$46</f>
        <v>0</v>
      </c>
      <c r="N98" s="17">
        <f ca="1">$I$46*$N$46</f>
        <v>0</v>
      </c>
      <c r="O98" s="17">
        <f>$I$46*$O$46</f>
        <v>0</v>
      </c>
      <c r="P98" s="17">
        <f>$I$46*$P$46</f>
        <v>0</v>
      </c>
      <c r="Q98" s="17">
        <f>$I$46*$Q$46</f>
        <v>0</v>
      </c>
      <c r="R98" s="17">
        <f>$I$46*$R$46</f>
        <v>0</v>
      </c>
      <c r="S98" s="17">
        <f>$I$46*$S$46</f>
        <v>0</v>
      </c>
      <c r="T98" s="17">
        <f>$I$46*$T$46</f>
        <v>0</v>
      </c>
      <c r="U98" s="17">
        <f>$I$46*$U$46</f>
        <v>0</v>
      </c>
      <c r="V98" s="17">
        <f>$I$46*$V$46</f>
        <v>0</v>
      </c>
      <c r="W98" s="17">
        <f>$I$46*$W$46</f>
        <v>0</v>
      </c>
      <c r="X98" s="17">
        <f>$I$46*$X$46</f>
        <v>0</v>
      </c>
      <c r="Y98" s="17">
        <f>$I$46*$Y$46</f>
        <v>0</v>
      </c>
      <c r="Z98" s="17">
        <f>$I$46*$Z$46</f>
        <v>0</v>
      </c>
      <c r="AA98" s="17">
        <f>$I$46*$AA$46</f>
        <v>0</v>
      </c>
      <c r="AB98" s="17">
        <f ca="1">$I$46*$AB$46</f>
        <v>0</v>
      </c>
      <c r="AC98" s="17">
        <f ca="1">$I$46*$AC$46</f>
        <v>0</v>
      </c>
      <c r="AD98" s="17">
        <f>$I$46*$AD$46</f>
        <v>0</v>
      </c>
      <c r="AE98" s="17">
        <f>$I$46*$AE$46</f>
        <v>0</v>
      </c>
      <c r="AF98" s="17">
        <f ca="1">$I$46*$AF$46</f>
        <v>0</v>
      </c>
      <c r="AG98" s="17">
        <f ca="1">$I$46*$AG$46</f>
        <v>0</v>
      </c>
      <c r="AI98" s="17">
        <f>$I$46*$AI$46</f>
        <v>0</v>
      </c>
      <c r="AJ98" s="17">
        <f>$I$46*$AJ$46</f>
        <v>0</v>
      </c>
      <c r="AK98" s="17">
        <f>$I$46*$AK$46</f>
        <v>0</v>
      </c>
      <c r="AL98" s="17">
        <f>$I$46*$AL$46</f>
        <v>0</v>
      </c>
      <c r="AM98" s="17">
        <f>$I$46*$AM$46</f>
        <v>0</v>
      </c>
      <c r="AN98" s="17">
        <f>$I$46*$AN$46</f>
        <v>0</v>
      </c>
      <c r="AO98" s="17">
        <f>$I$46*$AO$46</f>
        <v>0</v>
      </c>
      <c r="AP98" s="17">
        <f>$I$46*$AP$46</f>
        <v>0</v>
      </c>
      <c r="AQ98" s="17">
        <f>$I$46*$AQ$46</f>
        <v>0</v>
      </c>
      <c r="AR98" s="17">
        <f>$I$46*$AR$46</f>
        <v>0</v>
      </c>
      <c r="AS98" s="17">
        <f>$I$46*$AS$46</f>
        <v>0</v>
      </c>
      <c r="AT98" s="17">
        <f>$I$46*$AT$46</f>
        <v>0</v>
      </c>
      <c r="AU98" s="17">
        <f>$I$46*$AU$46</f>
        <v>0</v>
      </c>
      <c r="AV98" s="17">
        <f>$I$46*$AV$46</f>
        <v>0</v>
      </c>
      <c r="AW98" s="17">
        <f>$I$46*$AW$46</f>
        <v>0</v>
      </c>
      <c r="AX98" s="17">
        <f>$I$46*$AX$46</f>
        <v>0</v>
      </c>
      <c r="AY98" s="17">
        <f>$I$46*$AY$46</f>
        <v>0</v>
      </c>
      <c r="AZ98" s="17">
        <f>$I$46*$AZ$46</f>
        <v>0</v>
      </c>
      <c r="BA98" s="17">
        <f>$I$46*$BA$46</f>
        <v>0</v>
      </c>
      <c r="BB98" s="17">
        <f>$I$46*$BB$46</f>
        <v>0</v>
      </c>
      <c r="BC98" s="17">
        <f>$I$46*$BC$46</f>
        <v>0</v>
      </c>
      <c r="BD98" s="17">
        <f>$I$46*$BD$46</f>
        <v>0</v>
      </c>
    </row>
    <row r="99" spans="1:56" ht="11.25" customHeight="1" x14ac:dyDescent="0.25">
      <c r="A99" s="9" t="s">
        <v>37</v>
      </c>
      <c r="B99" s="9" t="s">
        <v>790</v>
      </c>
      <c r="C99" s="9" t="s">
        <v>791</v>
      </c>
      <c r="D99" s="9" t="s">
        <v>792</v>
      </c>
      <c r="E99" s="9" t="s">
        <v>793</v>
      </c>
      <c r="F99" s="9" t="s">
        <v>794</v>
      </c>
      <c r="G99" s="9" t="s">
        <v>797</v>
      </c>
      <c r="L99" s="17">
        <f>$I$47*$L$47</f>
        <v>0</v>
      </c>
      <c r="M99" s="17">
        <f>$I$47*$M$47</f>
        <v>0</v>
      </c>
      <c r="N99" s="17">
        <f ca="1">$I$47*$N$47</f>
        <v>0</v>
      </c>
      <c r="O99" s="17">
        <f>$I$47*$O$47</f>
        <v>0</v>
      </c>
      <c r="P99" s="17">
        <f>$I$47*$P$47</f>
        <v>0</v>
      </c>
      <c r="Q99" s="17">
        <f>$I$47*$Q$47</f>
        <v>0</v>
      </c>
      <c r="R99" s="17">
        <f>$I$47*$R$47</f>
        <v>0</v>
      </c>
      <c r="S99" s="17">
        <f>$I$47*$S$47</f>
        <v>0</v>
      </c>
      <c r="T99" s="17">
        <f>$I$47*$T$47</f>
        <v>0</v>
      </c>
      <c r="U99" s="17">
        <f>$I$47*$U$47</f>
        <v>0</v>
      </c>
      <c r="V99" s="17">
        <f>$I$47*$V$47</f>
        <v>0</v>
      </c>
      <c r="W99" s="17">
        <f>$I$47*$W$47</f>
        <v>0</v>
      </c>
      <c r="X99" s="17">
        <f>$I$47*$X$47</f>
        <v>0</v>
      </c>
      <c r="Y99" s="17">
        <f>$I$47*$Y$47</f>
        <v>0</v>
      </c>
      <c r="Z99" s="17">
        <f>$I$47*$Z$47</f>
        <v>0</v>
      </c>
      <c r="AA99" s="17">
        <f>$I$47*$AA$47</f>
        <v>0</v>
      </c>
      <c r="AB99" s="17">
        <f ca="1">$I$47*$AB$47</f>
        <v>0</v>
      </c>
      <c r="AC99" s="17">
        <f ca="1">$I$47*$AC$47</f>
        <v>0</v>
      </c>
      <c r="AD99" s="17">
        <f>$I$47*$AD$47</f>
        <v>0</v>
      </c>
      <c r="AE99" s="17">
        <f>$I$47*$AE$47</f>
        <v>0</v>
      </c>
      <c r="AF99" s="17">
        <f ca="1">$I$47*$AF$47</f>
        <v>0</v>
      </c>
      <c r="AG99" s="17">
        <f ca="1">$I$47*$AG$47</f>
        <v>0</v>
      </c>
      <c r="AI99" s="17">
        <f>$I$47*$AI$47</f>
        <v>0</v>
      </c>
      <c r="AJ99" s="17">
        <f>$I$47*$AJ$47</f>
        <v>0</v>
      </c>
      <c r="AK99" s="17">
        <f>$I$47*$AK$47</f>
        <v>0</v>
      </c>
      <c r="AL99" s="17">
        <f>$I$47*$AL$47</f>
        <v>0</v>
      </c>
      <c r="AM99" s="17">
        <f>$I$47*$AM$47</f>
        <v>0</v>
      </c>
      <c r="AN99" s="17">
        <f>$I$47*$AN$47</f>
        <v>0</v>
      </c>
      <c r="AO99" s="17">
        <f>$I$47*$AO$47</f>
        <v>0</v>
      </c>
      <c r="AP99" s="17">
        <f>$I$47*$AP$47</f>
        <v>0</v>
      </c>
      <c r="AQ99" s="17">
        <f>$I$47*$AQ$47</f>
        <v>0</v>
      </c>
      <c r="AR99" s="17">
        <f>$I$47*$AR$47</f>
        <v>0</v>
      </c>
      <c r="AS99" s="17">
        <f>$I$47*$AS$47</f>
        <v>0</v>
      </c>
      <c r="AT99" s="17">
        <f>$I$47*$AT$47</f>
        <v>0</v>
      </c>
      <c r="AU99" s="17">
        <f>$I$47*$AU$47</f>
        <v>0</v>
      </c>
      <c r="AV99" s="17">
        <f>$I$47*$AV$47</f>
        <v>0</v>
      </c>
      <c r="AW99" s="17">
        <f>$I$47*$AW$47</f>
        <v>0</v>
      </c>
      <c r="AX99" s="17">
        <f>$I$47*$AX$47</f>
        <v>0</v>
      </c>
      <c r="AY99" s="17">
        <f>$I$47*$AY$47</f>
        <v>0</v>
      </c>
      <c r="AZ99" s="17">
        <f>$I$47*$AZ$47</f>
        <v>0</v>
      </c>
      <c r="BA99" s="17">
        <f>$I$47*$BA$47</f>
        <v>0</v>
      </c>
      <c r="BB99" s="17">
        <f>$I$47*$BB$47</f>
        <v>0</v>
      </c>
      <c r="BC99" s="17">
        <f>$I$47*$BC$47</f>
        <v>0</v>
      </c>
      <c r="BD99" s="17">
        <f>$I$47*$BD$47</f>
        <v>0</v>
      </c>
    </row>
    <row r="100" spans="1:56" ht="11.25" customHeight="1" x14ac:dyDescent="0.25">
      <c r="A100" s="9" t="s">
        <v>37</v>
      </c>
      <c r="B100" s="9" t="s">
        <v>798</v>
      </c>
      <c r="C100" s="9" t="s">
        <v>799</v>
      </c>
      <c r="D100" s="9" t="s">
        <v>800</v>
      </c>
      <c r="E100" s="9" t="s">
        <v>801</v>
      </c>
      <c r="F100" s="9" t="s">
        <v>802</v>
      </c>
      <c r="G100" s="9" t="s">
        <v>803</v>
      </c>
      <c r="L100" s="17">
        <f>$I$48*$L$48</f>
        <v>0</v>
      </c>
      <c r="M100" s="17">
        <f>$I$48*$M$48</f>
        <v>16644.11014004131</v>
      </c>
      <c r="N100" s="17">
        <f ca="1">$I$48*$N$48</f>
        <v>0</v>
      </c>
      <c r="O100" s="17">
        <f>$I$48*$O$48</f>
        <v>0</v>
      </c>
      <c r="P100" s="17">
        <f>$I$48*$P$48</f>
        <v>0</v>
      </c>
      <c r="Q100" s="17">
        <f>$I$48*$Q$48</f>
        <v>771007.07944110956</v>
      </c>
      <c r="R100" s="17">
        <f>$I$48*$R$48</f>
        <v>128258.26369640625</v>
      </c>
      <c r="S100" s="17">
        <f>$I$48*$S$48</f>
        <v>0</v>
      </c>
      <c r="T100" s="17">
        <f>$I$48*$T$48</f>
        <v>0</v>
      </c>
      <c r="U100" s="17">
        <f>$I$48*$U$48</f>
        <v>0</v>
      </c>
      <c r="V100" s="17">
        <f>$I$48*$V$48</f>
        <v>0</v>
      </c>
      <c r="W100" s="17">
        <f>$I$48*$W$48</f>
        <v>0</v>
      </c>
      <c r="X100" s="17">
        <f>$I$48*$X$48</f>
        <v>1189541.0166855552</v>
      </c>
      <c r="Y100" s="17">
        <f>$I$48*$Y$48</f>
        <v>0</v>
      </c>
      <c r="Z100" s="17">
        <f>$I$48*$Z$48</f>
        <v>0</v>
      </c>
      <c r="AA100" s="17">
        <f>$I$48*$AA$48</f>
        <v>2079038.1797165028</v>
      </c>
      <c r="AB100" s="17">
        <f ca="1">$I$48*$AB$48</f>
        <v>92359.673395544945</v>
      </c>
      <c r="AC100" s="17">
        <f ca="1">$I$48*$AC$48</f>
        <v>0</v>
      </c>
      <c r="AD100" s="17">
        <f>$I$48*$AD$48</f>
        <v>346275.82518722885</v>
      </c>
      <c r="AE100" s="17">
        <f>$I$48*$AE$48</f>
        <v>0</v>
      </c>
      <c r="AF100" s="17">
        <f ca="1">$I$48*$AF$48</f>
        <v>0</v>
      </c>
      <c r="AG100" s="17">
        <f ca="1">$I$48*$AG$48</f>
        <v>0</v>
      </c>
      <c r="AI100" s="17">
        <f>$I$48*$AI$48</f>
        <v>0</v>
      </c>
      <c r="AJ100" s="17">
        <f>$I$48*$AJ$48</f>
        <v>15141.936429670792</v>
      </c>
      <c r="AK100" s="17">
        <f>$I$48*$AK$48</f>
        <v>0</v>
      </c>
      <c r="AL100" s="17">
        <f>$I$48*$AL$48</f>
        <v>0</v>
      </c>
      <c r="AM100" s="17">
        <f>$I$48*$AM$48</f>
        <v>0</v>
      </c>
      <c r="AN100" s="17">
        <f>$I$48*$AN$48</f>
        <v>513504.97616899456</v>
      </c>
      <c r="AO100" s="17">
        <f>$I$48*$AO$48</f>
        <v>82126.521498277434</v>
      </c>
      <c r="AP100" s="17">
        <f>$I$48*$AP$48</f>
        <v>0</v>
      </c>
      <c r="AQ100" s="17">
        <f>$I$48*$AQ$48</f>
        <v>0</v>
      </c>
      <c r="AR100" s="17">
        <f>$I$48*$AR$48</f>
        <v>0</v>
      </c>
      <c r="AS100" s="17">
        <f>$I$48*$AS$48</f>
        <v>0</v>
      </c>
      <c r="AT100" s="17">
        <f>$I$48*$AT$48</f>
        <v>0</v>
      </c>
      <c r="AU100" s="17">
        <f>$I$48*$AU$48</f>
        <v>1179728.1286012209</v>
      </c>
      <c r="AV100" s="17">
        <f>$I$48*$AV$48</f>
        <v>0</v>
      </c>
      <c r="AW100" s="17">
        <f>$I$48*$AW$48</f>
        <v>0</v>
      </c>
      <c r="AX100" s="17">
        <f>$I$48*$AX$48</f>
        <v>2035723.398864554</v>
      </c>
      <c r="AY100" s="17">
        <f>$I$48*$AY$48</f>
        <v>0</v>
      </c>
      <c r="AZ100" s="17">
        <f>$I$48*$AZ$48</f>
        <v>0</v>
      </c>
      <c r="BA100" s="17">
        <f>$I$48*$BA$48</f>
        <v>289234.44773798587</v>
      </c>
      <c r="BB100" s="17">
        <f>$I$48*$BB$48</f>
        <v>0</v>
      </c>
      <c r="BC100" s="17">
        <f>$I$48*$BC$48</f>
        <v>0</v>
      </c>
      <c r="BD100" s="17">
        <f>$I$48*$BD$48</f>
        <v>0</v>
      </c>
    </row>
    <row r="101" spans="1:56" ht="11.25" customHeight="1" x14ac:dyDescent="0.25">
      <c r="A101" s="9" t="s">
        <v>37</v>
      </c>
      <c r="B101" s="9" t="s">
        <v>804</v>
      </c>
      <c r="C101" s="9" t="s">
        <v>805</v>
      </c>
      <c r="D101" s="9" t="s">
        <v>806</v>
      </c>
      <c r="E101" s="9" t="s">
        <v>807</v>
      </c>
      <c r="F101" s="9" t="s">
        <v>808</v>
      </c>
      <c r="G101" s="9" t="s">
        <v>809</v>
      </c>
      <c r="L101" s="17">
        <f>$I$49*$L$49</f>
        <v>0</v>
      </c>
      <c r="M101" s="17">
        <f>$I$49*$M$49</f>
        <v>0</v>
      </c>
      <c r="N101" s="17">
        <f ca="1">$I$49*$N$49</f>
        <v>0</v>
      </c>
      <c r="O101" s="17">
        <f>$I$49*$O$49</f>
        <v>0</v>
      </c>
      <c r="P101" s="17">
        <f>$I$49*$P$49</f>
        <v>0</v>
      </c>
      <c r="Q101" s="17">
        <f>$I$49*$Q$49</f>
        <v>0</v>
      </c>
      <c r="R101" s="17">
        <f>$I$49*$R$49</f>
        <v>0</v>
      </c>
      <c r="S101" s="17">
        <f>$I$49*$S$49</f>
        <v>0</v>
      </c>
      <c r="T101" s="17">
        <f>$I$49*$T$49</f>
        <v>0</v>
      </c>
      <c r="U101" s="17">
        <f>$I$49*$U$49</f>
        <v>0</v>
      </c>
      <c r="V101" s="17">
        <f>$I$49*$V$49</f>
        <v>0</v>
      </c>
      <c r="W101" s="17">
        <f>$I$49*$W$49</f>
        <v>0</v>
      </c>
      <c r="X101" s="17">
        <f>$I$49*$X$49</f>
        <v>0</v>
      </c>
      <c r="Y101" s="17">
        <f>$I$49*$Y$49</f>
        <v>0</v>
      </c>
      <c r="Z101" s="17">
        <f>$I$49*$Z$49</f>
        <v>0</v>
      </c>
      <c r="AA101" s="17">
        <f>$I$49*$AA$49</f>
        <v>0</v>
      </c>
      <c r="AB101" s="17">
        <f ca="1">$I$49*$AB$49</f>
        <v>0</v>
      </c>
      <c r="AC101" s="17">
        <f ca="1">$I$49*$AC$49</f>
        <v>0</v>
      </c>
      <c r="AD101" s="17">
        <f>$I$49*$AD$49</f>
        <v>0</v>
      </c>
      <c r="AE101" s="17">
        <f>$I$49*$AE$49</f>
        <v>0</v>
      </c>
      <c r="AF101" s="17">
        <f ca="1">$I$49*$AF$49</f>
        <v>0</v>
      </c>
      <c r="AG101" s="17">
        <f ca="1">$I$49*$AG$49</f>
        <v>0</v>
      </c>
      <c r="AI101" s="17">
        <f>$I$49*$AI$49</f>
        <v>0</v>
      </c>
      <c r="AJ101" s="17">
        <f>$I$49*$AJ$49</f>
        <v>0</v>
      </c>
      <c r="AK101" s="17">
        <f>$I$49*$AK$49</f>
        <v>0</v>
      </c>
      <c r="AL101" s="17">
        <f>$I$49*$AL$49</f>
        <v>0</v>
      </c>
      <c r="AM101" s="17">
        <f>$I$49*$AM$49</f>
        <v>0</v>
      </c>
      <c r="AN101" s="17">
        <f>$I$49*$AN$49</f>
        <v>0</v>
      </c>
      <c r="AO101" s="17">
        <f>$I$49*$AO$49</f>
        <v>0</v>
      </c>
      <c r="AP101" s="17">
        <f>$I$49*$AP$49</f>
        <v>0</v>
      </c>
      <c r="AQ101" s="17">
        <f>$I$49*$AQ$49</f>
        <v>0</v>
      </c>
      <c r="AR101" s="17">
        <f>$I$49*$AR$49</f>
        <v>0</v>
      </c>
      <c r="AS101" s="17">
        <f>$I$49*$AS$49</f>
        <v>0</v>
      </c>
      <c r="AT101" s="17">
        <f>$I$49*$AT$49</f>
        <v>0</v>
      </c>
      <c r="AU101" s="17">
        <f>$I$49*$AU$49</f>
        <v>0</v>
      </c>
      <c r="AV101" s="17">
        <f>$I$49*$AV$49</f>
        <v>0</v>
      </c>
      <c r="AW101" s="17">
        <f>$I$49*$AW$49</f>
        <v>0</v>
      </c>
      <c r="AX101" s="17">
        <f>$I$49*$AX$49</f>
        <v>0</v>
      </c>
      <c r="AY101" s="17">
        <f>$I$49*$AY$49</f>
        <v>0</v>
      </c>
      <c r="AZ101" s="17">
        <f>$I$49*$AZ$49</f>
        <v>0</v>
      </c>
      <c r="BA101" s="17">
        <f>$I$49*$BA$49</f>
        <v>0</v>
      </c>
      <c r="BB101" s="17">
        <f>$I$49*$BB$49</f>
        <v>0</v>
      </c>
      <c r="BC101" s="17">
        <f>$I$49*$BC$49</f>
        <v>0</v>
      </c>
      <c r="BD101" s="17">
        <f>$I$49*$BD$49</f>
        <v>0</v>
      </c>
    </row>
    <row r="102" spans="1:56" ht="11.25" customHeight="1" x14ac:dyDescent="0.25">
      <c r="A102" s="9" t="s">
        <v>44</v>
      </c>
      <c r="B102" s="9" t="s">
        <v>810</v>
      </c>
      <c r="C102" s="9" t="s">
        <v>811</v>
      </c>
      <c r="D102" s="9" t="s">
        <v>812</v>
      </c>
      <c r="E102" s="9" t="s">
        <v>813</v>
      </c>
      <c r="F102" s="9" t="s">
        <v>814</v>
      </c>
      <c r="G102" s="9" t="s">
        <v>815</v>
      </c>
      <c r="L102" s="17">
        <f>$I$50*$L$50</f>
        <v>0</v>
      </c>
      <c r="M102" s="17">
        <f>$I$50*$M$50</f>
        <v>119.04976905157679</v>
      </c>
      <c r="N102" s="17">
        <f ca="1">$I$50*$N$50</f>
        <v>0</v>
      </c>
      <c r="O102" s="17">
        <f>$I$50*$O$50</f>
        <v>0</v>
      </c>
      <c r="P102" s="17">
        <f>$I$50*$P$50</f>
        <v>0</v>
      </c>
      <c r="Q102" s="17">
        <f>$I$50*$Q$50</f>
        <v>5514.7565097984252</v>
      </c>
      <c r="R102" s="17">
        <f>$I$50*$R$50</f>
        <v>917.38858632519828</v>
      </c>
      <c r="S102" s="17">
        <f>$I$50*$S$50</f>
        <v>0</v>
      </c>
      <c r="T102" s="17">
        <f>$I$50*$T$50</f>
        <v>0</v>
      </c>
      <c r="U102" s="17">
        <f>$I$50*$U$50</f>
        <v>0</v>
      </c>
      <c r="V102" s="17">
        <f>$I$50*$V$50</f>
        <v>0</v>
      </c>
      <c r="W102" s="17">
        <f>$I$50*$W$50</f>
        <v>0</v>
      </c>
      <c r="X102" s="17">
        <f>$I$50*$X$50</f>
        <v>8508.390182609166</v>
      </c>
      <c r="Y102" s="17">
        <f>$I$50*$Y$50</f>
        <v>0</v>
      </c>
      <c r="Z102" s="17">
        <f>$I$50*$Z$50</f>
        <v>0</v>
      </c>
      <c r="AA102" s="17">
        <f>$I$50*$AA$50</f>
        <v>14870.666744100621</v>
      </c>
      <c r="AB102" s="17">
        <f ca="1">$I$50*$AB$50</f>
        <v>660.61794201701889</v>
      </c>
      <c r="AC102" s="17">
        <f ca="1">$I$50*$AC$50</f>
        <v>0</v>
      </c>
      <c r="AD102" s="17">
        <f>$I$50*$AD$50</f>
        <v>2476.7954952130253</v>
      </c>
      <c r="AE102" s="17">
        <f>$I$50*$AE$50</f>
        <v>0</v>
      </c>
      <c r="AF102" s="17">
        <f ca="1">$I$50*$AF$50</f>
        <v>0</v>
      </c>
      <c r="AG102" s="17">
        <f ca="1">$I$50*$AG$50</f>
        <v>0</v>
      </c>
      <c r="AI102" s="17">
        <f>$I$50*$AI$50</f>
        <v>0</v>
      </c>
      <c r="AJ102" s="17">
        <f>$I$50*$AJ$50</f>
        <v>108.30522147346781</v>
      </c>
      <c r="AK102" s="17">
        <f>$I$50*$AK$50</f>
        <v>0</v>
      </c>
      <c r="AL102" s="17">
        <f>$I$50*$AL$50</f>
        <v>0</v>
      </c>
      <c r="AM102" s="17">
        <f>$I$50*$AM$50</f>
        <v>0</v>
      </c>
      <c r="AN102" s="17">
        <f>$I$50*$AN$50</f>
        <v>3672.9298415711241</v>
      </c>
      <c r="AO102" s="17">
        <f>$I$50*$AO$50</f>
        <v>587.42361923321243</v>
      </c>
      <c r="AP102" s="17">
        <f>$I$50*$AP$50</f>
        <v>0</v>
      </c>
      <c r="AQ102" s="17">
        <f>$I$50*$AQ$50</f>
        <v>0</v>
      </c>
      <c r="AR102" s="17">
        <f>$I$50*$AR$50</f>
        <v>0</v>
      </c>
      <c r="AS102" s="17">
        <f>$I$50*$AS$50</f>
        <v>0</v>
      </c>
      <c r="AT102" s="17">
        <f>$I$50*$AT$50</f>
        <v>0</v>
      </c>
      <c r="AU102" s="17">
        <f>$I$50*$AU$50</f>
        <v>8438.2018667220927</v>
      </c>
      <c r="AV102" s="17">
        <f>$I$50*$AV$50</f>
        <v>0</v>
      </c>
      <c r="AW102" s="17">
        <f>$I$50*$AW$50</f>
        <v>0</v>
      </c>
      <c r="AX102" s="17">
        <f>$I$50*$AX$50</f>
        <v>14560.850562066445</v>
      </c>
      <c r="AY102" s="17">
        <f>$I$50*$AY$50</f>
        <v>0</v>
      </c>
      <c r="AZ102" s="17">
        <f>$I$50*$AZ$50</f>
        <v>0</v>
      </c>
      <c r="BA102" s="17">
        <f>$I$50*$BA$50</f>
        <v>2068.7975455131268</v>
      </c>
      <c r="BB102" s="17">
        <f>$I$50*$BB$50</f>
        <v>0</v>
      </c>
      <c r="BC102" s="17">
        <f>$I$50*$BC$50</f>
        <v>0</v>
      </c>
      <c r="BD102" s="17">
        <f>$I$50*$BD$50</f>
        <v>0</v>
      </c>
    </row>
    <row r="103" spans="1:56" ht="11.25" customHeight="1" x14ac:dyDescent="0.25">
      <c r="A103" s="9" t="s">
        <v>44</v>
      </c>
      <c r="B103" s="9" t="s">
        <v>810</v>
      </c>
      <c r="C103" s="9" t="s">
        <v>811</v>
      </c>
      <c r="D103" s="9" t="s">
        <v>816</v>
      </c>
      <c r="E103" s="9" t="s">
        <v>817</v>
      </c>
      <c r="F103" s="9" t="s">
        <v>818</v>
      </c>
      <c r="G103" s="9" t="s">
        <v>819</v>
      </c>
      <c r="L103" s="17">
        <f>$I$51*$L$51</f>
        <v>0</v>
      </c>
      <c r="M103" s="17">
        <f>$I$51*$M$51</f>
        <v>2371.758035247713</v>
      </c>
      <c r="N103" s="17">
        <f ca="1">$I$51*$N$51</f>
        <v>0</v>
      </c>
      <c r="O103" s="17">
        <f>$I$51*$O$51</f>
        <v>0</v>
      </c>
      <c r="P103" s="17">
        <f>$I$51*$P$51</f>
        <v>0</v>
      </c>
      <c r="Q103" s="17">
        <f>$I$51*$Q$51</f>
        <v>109867.22753643016</v>
      </c>
      <c r="R103" s="17">
        <f>$I$51*$R$51</f>
        <v>18276.589433102403</v>
      </c>
      <c r="S103" s="17">
        <f>$I$51*$S$51</f>
        <v>0</v>
      </c>
      <c r="T103" s="17">
        <f>$I$51*$T$51</f>
        <v>0</v>
      </c>
      <c r="U103" s="17">
        <f>$I$51*$U$51</f>
        <v>0</v>
      </c>
      <c r="V103" s="17">
        <f>$I$51*$V$51</f>
        <v>0</v>
      </c>
      <c r="W103" s="17">
        <f>$I$51*$W$51</f>
        <v>0</v>
      </c>
      <c r="X103" s="17">
        <f>$I$51*$X$51</f>
        <v>169507.61806084137</v>
      </c>
      <c r="Y103" s="17">
        <f>$I$51*$Y$51</f>
        <v>0</v>
      </c>
      <c r="Z103" s="17">
        <f>$I$51*$Z$51</f>
        <v>0</v>
      </c>
      <c r="AA103" s="17">
        <f>$I$51*$AA$51</f>
        <v>296259.48559825838</v>
      </c>
      <c r="AB103" s="17">
        <f ca="1">$I$51*$AB$51</f>
        <v>13161.099972641401</v>
      </c>
      <c r="AC103" s="17">
        <f ca="1">$I$51*$AC$51</f>
        <v>0</v>
      </c>
      <c r="AD103" s="17">
        <f>$I$51*$AD$51</f>
        <v>49343.729637071709</v>
      </c>
      <c r="AE103" s="17">
        <f>$I$51*$AE$51</f>
        <v>0</v>
      </c>
      <c r="AF103" s="17">
        <f ca="1">$I$51*$AF$51</f>
        <v>0</v>
      </c>
      <c r="AG103" s="17">
        <f ca="1">$I$51*$AG$51</f>
        <v>0</v>
      </c>
      <c r="AI103" s="17">
        <f>$I$51*$AI$51</f>
        <v>0</v>
      </c>
      <c r="AJ103" s="17">
        <f>$I$51*$AJ$51</f>
        <v>2157.7007778796537</v>
      </c>
      <c r="AK103" s="17">
        <f>$I$51*$AK$51</f>
        <v>0</v>
      </c>
      <c r="AL103" s="17">
        <f>$I$51*$AL$51</f>
        <v>0</v>
      </c>
      <c r="AM103" s="17">
        <f>$I$51*$AM$51</f>
        <v>0</v>
      </c>
      <c r="AN103" s="17">
        <f>$I$51*$AN$51</f>
        <v>73173.605745285779</v>
      </c>
      <c r="AO103" s="17">
        <f>$I$51*$AO$51</f>
        <v>11702.892833055956</v>
      </c>
      <c r="AP103" s="17">
        <f>$I$51*$AP$51</f>
        <v>0</v>
      </c>
      <c r="AQ103" s="17">
        <f>$I$51*$AQ$51</f>
        <v>0</v>
      </c>
      <c r="AR103" s="17">
        <f>$I$51*$AR$51</f>
        <v>0</v>
      </c>
      <c r="AS103" s="17">
        <f>$I$51*$AS$51</f>
        <v>0</v>
      </c>
      <c r="AT103" s="17">
        <f>$I$51*$AT$51</f>
        <v>0</v>
      </c>
      <c r="AU103" s="17">
        <f>$I$51*$AU$51</f>
        <v>168109.29781619192</v>
      </c>
      <c r="AV103" s="17">
        <f>$I$51*$AV$51</f>
        <v>0</v>
      </c>
      <c r="AW103" s="17">
        <f>$I$51*$AW$51</f>
        <v>0</v>
      </c>
      <c r="AX103" s="17">
        <f>$I$51*$AX$51</f>
        <v>290087.20130872674</v>
      </c>
      <c r="AY103" s="17">
        <f>$I$51*$AY$51</f>
        <v>0</v>
      </c>
      <c r="AZ103" s="17">
        <f>$I$51*$AZ$51</f>
        <v>0</v>
      </c>
      <c r="BA103" s="17">
        <f>$I$51*$BA$51</f>
        <v>41215.428143718207</v>
      </c>
      <c r="BB103" s="17">
        <f>$I$51*$BB$51</f>
        <v>0</v>
      </c>
      <c r="BC103" s="17">
        <f>$I$51*$BC$51</f>
        <v>0</v>
      </c>
      <c r="BD103" s="17">
        <f>$I$51*$BD$51</f>
        <v>0</v>
      </c>
    </row>
  </sheetData>
  <mergeCells count="88"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  <mergeCell ref="E45:E47"/>
    <mergeCell ref="F45:F47"/>
    <mergeCell ref="A50:A51"/>
    <mergeCell ref="B50:B51"/>
    <mergeCell ref="C50:C51"/>
    <mergeCell ref="D45:D47"/>
    <mergeCell ref="AI1:BD1"/>
    <mergeCell ref="AI2:BD2"/>
    <mergeCell ref="AI3:AP3"/>
    <mergeCell ref="AQ3:AW3"/>
    <mergeCell ref="AY3:AZ3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F5:F7"/>
    <mergeCell ref="B10:B14"/>
    <mergeCell ref="G1:G4"/>
    <mergeCell ref="H1:H4"/>
    <mergeCell ref="I1:I4"/>
    <mergeCell ref="F1:F4"/>
    <mergeCell ref="F10:F12"/>
    <mergeCell ref="F13:F1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ECBE0-B622-469E-93C8-A90692243D87}">
  <sheetPr codeName="Planilha23"/>
  <dimension ref="A1:AF83"/>
  <sheetViews>
    <sheetView showGridLines="0" topLeftCell="J17" workbookViewId="0">
      <selection activeCell="V42" sqref="V42"/>
    </sheetView>
  </sheetViews>
  <sheetFormatPr defaultColWidth="9.140625"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4.140625" style="9" bestFit="1" customWidth="1"/>
    <col min="13" max="13" width="10" style="9" bestFit="1" customWidth="1"/>
    <col min="14" max="14" width="6" style="9" bestFit="1" customWidth="1"/>
    <col min="15" max="15" width="11.140625" style="9" bestFit="1" customWidth="1"/>
    <col min="16" max="16" width="15" style="9" bestFit="1" customWidth="1"/>
    <col min="17" max="17" width="6" style="9" bestFit="1" customWidth="1"/>
    <col min="18" max="18" width="10.42578125" style="9" bestFit="1" customWidth="1"/>
    <col min="19" max="19" width="7" style="9" bestFit="1" customWidth="1"/>
    <col min="20" max="20" width="11.140625" style="9" bestFit="1" customWidth="1"/>
    <col min="21" max="21" width="11" style="9" bestFit="1" customWidth="1"/>
    <col min="22" max="22" width="9.140625" style="9"/>
    <col min="23" max="23" width="4.140625" style="9" bestFit="1" customWidth="1"/>
    <col min="24" max="24" width="10" style="9" bestFit="1" customWidth="1"/>
    <col min="25" max="25" width="6" style="9" bestFit="1" customWidth="1"/>
    <col min="26" max="26" width="11.140625" style="9" bestFit="1" customWidth="1"/>
    <col min="27" max="27" width="15" style="9" bestFit="1" customWidth="1"/>
    <col min="28" max="28" width="6" style="9" bestFit="1" customWidth="1"/>
    <col min="29" max="29" width="10.42578125" style="9" bestFit="1" customWidth="1"/>
    <col min="30" max="30" width="7" style="9" bestFit="1" customWidth="1"/>
    <col min="31" max="31" width="11.140625" style="9" bestFit="1" customWidth="1"/>
    <col min="32" max="32" width="11" style="9" bestFit="1" customWidth="1"/>
    <col min="33" max="16384" width="9.140625" style="9"/>
  </cols>
  <sheetData>
    <row r="1" spans="1:32" ht="11.25" customHeight="1" x14ac:dyDescent="0.25">
      <c r="A1" s="140" t="s">
        <v>63</v>
      </c>
      <c r="B1" s="140" t="s">
        <v>64</v>
      </c>
      <c r="C1" s="140" t="s">
        <v>65</v>
      </c>
      <c r="D1" s="140" t="s">
        <v>66</v>
      </c>
      <c r="E1" s="140" t="s">
        <v>67</v>
      </c>
      <c r="F1" s="140" t="s">
        <v>15</v>
      </c>
      <c r="G1" s="140" t="s">
        <v>69</v>
      </c>
      <c r="H1" s="140" t="s">
        <v>70</v>
      </c>
      <c r="I1" s="140" t="s">
        <v>488</v>
      </c>
      <c r="J1" s="124"/>
      <c r="L1" s="138" t="s">
        <v>820</v>
      </c>
      <c r="M1" s="138"/>
      <c r="N1" s="138"/>
      <c r="O1" s="138"/>
      <c r="P1" s="138"/>
      <c r="Q1" s="138"/>
      <c r="R1" s="138"/>
      <c r="S1" s="138"/>
      <c r="T1" s="138"/>
      <c r="U1" s="138"/>
      <c r="W1" s="138" t="s">
        <v>821</v>
      </c>
      <c r="X1" s="138"/>
      <c r="Y1" s="138"/>
      <c r="Z1" s="138"/>
      <c r="AA1" s="138"/>
      <c r="AB1" s="138"/>
      <c r="AC1" s="138"/>
      <c r="AD1" s="138"/>
      <c r="AE1" s="138"/>
      <c r="AF1" s="138"/>
    </row>
    <row r="2" spans="1:32" ht="11.25" customHeight="1" x14ac:dyDescent="0.25">
      <c r="A2" s="140"/>
      <c r="B2" s="140"/>
      <c r="C2" s="140"/>
      <c r="D2" s="140"/>
      <c r="E2" s="140"/>
      <c r="F2" s="140"/>
      <c r="G2" s="140"/>
      <c r="H2" s="140"/>
      <c r="I2" s="140"/>
      <c r="J2" s="124"/>
      <c r="L2" s="138" t="s">
        <v>427</v>
      </c>
      <c r="M2" s="138"/>
      <c r="N2" s="138"/>
      <c r="O2" s="138"/>
      <c r="P2" s="138"/>
      <c r="Q2" s="138"/>
      <c r="R2" s="138"/>
      <c r="S2" s="138"/>
      <c r="T2" s="138"/>
      <c r="U2" s="138"/>
      <c r="W2" s="138" t="s">
        <v>427</v>
      </c>
      <c r="X2" s="138"/>
      <c r="Y2" s="138"/>
      <c r="Z2" s="138"/>
      <c r="AA2" s="138"/>
      <c r="AB2" s="138"/>
      <c r="AC2" s="138"/>
      <c r="AD2" s="138"/>
      <c r="AE2" s="138"/>
      <c r="AF2" s="138"/>
    </row>
    <row r="3" spans="1:32" ht="11.25" customHeight="1" x14ac:dyDescent="0.25">
      <c r="A3" s="140"/>
      <c r="B3" s="140"/>
      <c r="C3" s="140"/>
      <c r="D3" s="140"/>
      <c r="E3" s="140"/>
      <c r="F3" s="140"/>
      <c r="G3" s="140"/>
      <c r="H3" s="140"/>
      <c r="I3" s="140"/>
      <c r="J3" s="124"/>
      <c r="L3" s="138" t="s">
        <v>400</v>
      </c>
      <c r="M3" s="138"/>
      <c r="N3" s="138"/>
      <c r="O3" s="138"/>
      <c r="P3" s="82" t="s">
        <v>430</v>
      </c>
      <c r="Q3" s="138" t="s">
        <v>409</v>
      </c>
      <c r="R3" s="138"/>
      <c r="S3" s="138"/>
      <c r="T3" s="82" t="s">
        <v>419</v>
      </c>
      <c r="U3" s="82" t="s">
        <v>422</v>
      </c>
      <c r="W3" s="138" t="s">
        <v>400</v>
      </c>
      <c r="X3" s="138"/>
      <c r="Y3" s="138"/>
      <c r="Z3" s="138"/>
      <c r="AA3" s="82" t="s">
        <v>430</v>
      </c>
      <c r="AB3" s="138" t="s">
        <v>409</v>
      </c>
      <c r="AC3" s="138"/>
      <c r="AD3" s="138"/>
      <c r="AE3" s="82" t="s">
        <v>419</v>
      </c>
      <c r="AF3" s="82" t="s">
        <v>422</v>
      </c>
    </row>
    <row r="4" spans="1:32" ht="11.25" customHeight="1" x14ac:dyDescent="0.25">
      <c r="A4" s="140"/>
      <c r="B4" s="140"/>
      <c r="C4" s="140"/>
      <c r="D4" s="140"/>
      <c r="E4" s="140"/>
      <c r="F4" s="140"/>
      <c r="G4" s="140"/>
      <c r="H4" s="140"/>
      <c r="I4" s="140"/>
      <c r="J4" s="124"/>
      <c r="L4" s="82" t="s">
        <v>402</v>
      </c>
      <c r="M4" s="82" t="s">
        <v>428</v>
      </c>
      <c r="N4" s="82" t="s">
        <v>429</v>
      </c>
      <c r="O4" s="82" t="s">
        <v>487</v>
      </c>
      <c r="P4" s="82" t="s">
        <v>431</v>
      </c>
      <c r="Q4" s="82" t="s">
        <v>432</v>
      </c>
      <c r="R4" s="82" t="s">
        <v>433</v>
      </c>
      <c r="S4" s="82" t="s">
        <v>434</v>
      </c>
      <c r="T4" s="82" t="s">
        <v>420</v>
      </c>
      <c r="U4" s="82" t="s">
        <v>435</v>
      </c>
      <c r="W4" s="82" t="s">
        <v>402</v>
      </c>
      <c r="X4" s="82" t="s">
        <v>428</v>
      </c>
      <c r="Y4" s="82" t="s">
        <v>429</v>
      </c>
      <c r="Z4" s="82" t="s">
        <v>487</v>
      </c>
      <c r="AA4" s="82" t="s">
        <v>431</v>
      </c>
      <c r="AB4" s="82" t="s">
        <v>432</v>
      </c>
      <c r="AC4" s="82" t="s">
        <v>433</v>
      </c>
      <c r="AD4" s="82" t="s">
        <v>434</v>
      </c>
      <c r="AE4" s="82" t="s">
        <v>420</v>
      </c>
      <c r="AF4" s="82" t="s">
        <v>435</v>
      </c>
    </row>
    <row r="5" spans="1:32" ht="11.25" customHeight="1" x14ac:dyDescent="0.25">
      <c r="A5" s="141" t="s">
        <v>33</v>
      </c>
      <c r="B5" s="141" t="s">
        <v>72</v>
      </c>
      <c r="C5" s="141" t="s">
        <v>25</v>
      </c>
      <c r="D5" s="141" t="s">
        <v>25</v>
      </c>
      <c r="E5" s="141" t="s">
        <v>25</v>
      </c>
      <c r="F5" s="141" t="s">
        <v>25</v>
      </c>
      <c r="G5" s="45" t="s">
        <v>74</v>
      </c>
      <c r="H5" s="45" t="s">
        <v>73</v>
      </c>
      <c r="I5" s="45">
        <f>'MERCADO TE'!$U$2</f>
        <v>1862.7550000000001</v>
      </c>
      <c r="J5" s="16"/>
      <c r="L5" s="43">
        <f>('TE BE'!$L$5+'TE BF'!$L$5+'TE CVA'!$L$5)*1</f>
        <v>0</v>
      </c>
      <c r="M5" s="43">
        <f>('TE BE'!$M$5+'TE BF'!$M$5+'TE CVA'!$M$5)*1</f>
        <v>16.043462855204801</v>
      </c>
      <c r="N5" s="43">
        <f>('TE BE'!$N$5+'TE BF'!$N$5+'TE CVA'!$N$5)*1</f>
        <v>0</v>
      </c>
      <c r="O5" s="43">
        <f>('TE BE'!$O$5+'TE BF'!$O$5+'TE CVA'!$O$5)*1</f>
        <v>0</v>
      </c>
      <c r="P5" s="43">
        <f>('TE BE'!$Q$5+'TE BF'!$Q$5+'TE CVA'!$Q$5)*1</f>
        <v>203.43475803874034</v>
      </c>
      <c r="Q5" s="43">
        <f>('TE BE'!$S$5+'TE BF'!$S$5+'TE CVA'!$S$5)*1</f>
        <v>0</v>
      </c>
      <c r="R5" s="43">
        <f>('TE BE'!$T$5+'TE BF'!$T$5+'TE CVA'!$T$5)*1</f>
        <v>0</v>
      </c>
      <c r="S5" s="43">
        <f>('TE BE'!$U$5+'TE BF'!$U$5+'TE CVA'!$U$5)*1</f>
        <v>0</v>
      </c>
      <c r="T5" s="43">
        <f>('TE BE'!$W$5+'TE BF'!$W$5+'TE CVA'!$W$5)*1</f>
        <v>-1.8488216877162351</v>
      </c>
      <c r="U5" s="43">
        <f>('TE BE'!$Y$5+'TE BF'!$Y$5+'TE CVA'!$Y$5)*1</f>
        <v>0</v>
      </c>
      <c r="W5" s="43">
        <v>0</v>
      </c>
      <c r="X5" s="43">
        <v>0</v>
      </c>
      <c r="Y5" s="43">
        <v>0</v>
      </c>
      <c r="Z5" s="43">
        <v>0</v>
      </c>
      <c r="AA5" s="43">
        <v>229.37330167004299</v>
      </c>
      <c r="AB5" s="43">
        <v>0</v>
      </c>
      <c r="AC5" s="43">
        <v>0</v>
      </c>
      <c r="AD5" s="43">
        <v>0</v>
      </c>
      <c r="AE5" s="43">
        <v>-5.6556396335699004</v>
      </c>
      <c r="AF5" s="43">
        <v>0</v>
      </c>
    </row>
    <row r="6" spans="1:32" ht="11.25" customHeight="1" x14ac:dyDescent="0.25">
      <c r="A6" s="141"/>
      <c r="B6" s="141"/>
      <c r="C6" s="141"/>
      <c r="D6" s="141"/>
      <c r="E6" s="141"/>
      <c r="F6" s="141"/>
      <c r="G6" s="45" t="s">
        <v>75</v>
      </c>
      <c r="H6" s="45" t="s">
        <v>73</v>
      </c>
      <c r="I6" s="45">
        <f>'MERCADO TE'!$U$3</f>
        <v>75274.775999999998</v>
      </c>
      <c r="J6" s="16"/>
      <c r="L6" s="43">
        <f>('TE BE'!$L$6+'TE BF'!$L$6+'TE CVA'!$L$6)*1</f>
        <v>0</v>
      </c>
      <c r="M6" s="43">
        <f>('TE BE'!$M$6+'TE BF'!$M$6+'TE CVA'!$M$6)*1</f>
        <v>16.043462855204801</v>
      </c>
      <c r="N6" s="43">
        <f>('TE BE'!$N$6+'TE BF'!$N$6+'TE CVA'!$N$6)*1</f>
        <v>0</v>
      </c>
      <c r="O6" s="43">
        <f>('TE BE'!$O$6+'TE BF'!$O$6+'TE CVA'!$O$6)*1</f>
        <v>0</v>
      </c>
      <c r="P6" s="43">
        <f>('TE BE'!$Q$6+'TE BF'!$Q$6+'TE CVA'!$Q$6)*1</f>
        <v>203.43475803874034</v>
      </c>
      <c r="Q6" s="43">
        <f>('TE BE'!$S$6+'TE BF'!$S$6+'TE CVA'!$S$6)*1</f>
        <v>0</v>
      </c>
      <c r="R6" s="43">
        <f>('TE BE'!$T$6+'TE BF'!$T$6+'TE CVA'!$T$6)*1</f>
        <v>0</v>
      </c>
      <c r="S6" s="43">
        <f>('TE BE'!$U$6+'TE BF'!$U$6+'TE CVA'!$U$6)*1</f>
        <v>0</v>
      </c>
      <c r="T6" s="43">
        <f>('TE BE'!$W$6+'TE BF'!$W$6+'TE CVA'!$W$6)*1</f>
        <v>-1.8488216877162351</v>
      </c>
      <c r="U6" s="43">
        <f>('TE BE'!$Y$6+'TE BF'!$Y$6+'TE CVA'!$Y$6)*1</f>
        <v>0</v>
      </c>
      <c r="W6" s="43">
        <v>0</v>
      </c>
      <c r="X6" s="43">
        <v>0</v>
      </c>
      <c r="Y6" s="43">
        <v>0</v>
      </c>
      <c r="Z6" s="43">
        <v>0</v>
      </c>
      <c r="AA6" s="43">
        <v>229.37330167004299</v>
      </c>
      <c r="AB6" s="43">
        <v>0</v>
      </c>
      <c r="AC6" s="43">
        <v>0</v>
      </c>
      <c r="AD6" s="43">
        <v>0</v>
      </c>
      <c r="AE6" s="43">
        <v>-5.6556396335699004</v>
      </c>
      <c r="AF6" s="43">
        <v>0</v>
      </c>
    </row>
    <row r="7" spans="1:32" ht="11.25" customHeight="1" x14ac:dyDescent="0.25">
      <c r="A7" s="141" t="s">
        <v>22</v>
      </c>
      <c r="B7" s="141" t="s">
        <v>72</v>
      </c>
      <c r="C7" s="141" t="s">
        <v>24</v>
      </c>
      <c r="D7" s="141" t="s">
        <v>24</v>
      </c>
      <c r="E7" s="141" t="s">
        <v>25</v>
      </c>
      <c r="F7" s="141" t="s">
        <v>25</v>
      </c>
      <c r="G7" s="45" t="s">
        <v>74</v>
      </c>
      <c r="H7" s="45" t="s">
        <v>73</v>
      </c>
      <c r="I7" s="45">
        <f>'MERCADO TE'!$U$4</f>
        <v>0</v>
      </c>
      <c r="J7" s="16"/>
      <c r="L7" s="43">
        <f>('TE BE'!$L$7+'TE BF'!$L$7+'TE CVA'!$L$7)*1</f>
        <v>0</v>
      </c>
      <c r="M7" s="43">
        <f>('TE BE'!$M$7+'TE BF'!$M$7+'TE CVA'!$M$7)*1</f>
        <v>16.043462855204801</v>
      </c>
      <c r="N7" s="43">
        <f>('TE BE'!$N$7+'TE BF'!$N$7+'TE CVA'!$N$7)*1</f>
        <v>0</v>
      </c>
      <c r="O7" s="43">
        <f>('TE BE'!$O$7+'TE BF'!$O$7+'TE CVA'!$O$7)*1</f>
        <v>0</v>
      </c>
      <c r="P7" s="43">
        <f>('TE BE'!$Q$7+'TE BF'!$Q$7+'TE CVA'!$Q$7)*1</f>
        <v>203.43475803874034</v>
      </c>
      <c r="Q7" s="43">
        <f>('TE BE'!$S$7+'TE BF'!$S$7+'TE CVA'!$S$7)*1</f>
        <v>0</v>
      </c>
      <c r="R7" s="43">
        <f>('TE BE'!$T$7+'TE BF'!$T$7+'TE CVA'!$T$7)*1</f>
        <v>0</v>
      </c>
      <c r="S7" s="43">
        <f>('TE BE'!$U$7+'TE BF'!$U$7+'TE CVA'!$U$7)*1</f>
        <v>0</v>
      </c>
      <c r="T7" s="43">
        <f>('TE BE'!$W$7+'TE BF'!$W$7+'TE CVA'!$W$7)*1</f>
        <v>-1.8488216877162351</v>
      </c>
      <c r="U7" s="43">
        <f>('TE BE'!$Y$7+'TE BF'!$Y$7+'TE CVA'!$Y$7)*1</f>
        <v>0</v>
      </c>
      <c r="W7" s="43">
        <v>0</v>
      </c>
      <c r="X7" s="43">
        <v>0</v>
      </c>
      <c r="Y7" s="43">
        <v>0</v>
      </c>
      <c r="Z7" s="43">
        <v>0</v>
      </c>
      <c r="AA7" s="43">
        <v>229.37330167004299</v>
      </c>
      <c r="AB7" s="43">
        <v>0</v>
      </c>
      <c r="AC7" s="43">
        <v>0</v>
      </c>
      <c r="AD7" s="43">
        <v>0</v>
      </c>
      <c r="AE7" s="43">
        <v>-5.6556396335699004</v>
      </c>
      <c r="AF7" s="43">
        <v>0</v>
      </c>
    </row>
    <row r="8" spans="1:32" ht="11.25" customHeight="1" x14ac:dyDescent="0.25">
      <c r="A8" s="141"/>
      <c r="B8" s="141"/>
      <c r="C8" s="141"/>
      <c r="D8" s="141"/>
      <c r="E8" s="141"/>
      <c r="F8" s="141"/>
      <c r="G8" s="45" t="s">
        <v>85</v>
      </c>
      <c r="H8" s="45" t="s">
        <v>73</v>
      </c>
      <c r="I8" s="45">
        <f>'MERCADO TE'!$U$5</f>
        <v>0</v>
      </c>
      <c r="J8" s="16"/>
      <c r="L8" s="43">
        <f>('TE BE'!$L$8+'TE BF'!$L$8+'TE CVA'!$L$8)*1</f>
        <v>0</v>
      </c>
      <c r="M8" s="43">
        <f>('TE BE'!$M$8+'TE BF'!$M$8+'TE CVA'!$M$8)*1</f>
        <v>16.043462855204801</v>
      </c>
      <c r="N8" s="43">
        <f>('TE BE'!$N$8+'TE BF'!$N$8+'TE CVA'!$N$8)*1</f>
        <v>0</v>
      </c>
      <c r="O8" s="43">
        <f>('TE BE'!$O$8+'TE BF'!$O$8+'TE CVA'!$O$8)*1</f>
        <v>0</v>
      </c>
      <c r="P8" s="43">
        <f>('TE BE'!$Q$8+'TE BF'!$Q$8+'TE CVA'!$Q$8)*1</f>
        <v>203.43475803874034</v>
      </c>
      <c r="Q8" s="43">
        <f>('TE BE'!$S$8+'TE BF'!$S$8+'TE CVA'!$S$8)*1</f>
        <v>0</v>
      </c>
      <c r="R8" s="43">
        <f>('TE BE'!$T$8+'TE BF'!$T$8+'TE CVA'!$T$8)*1</f>
        <v>0</v>
      </c>
      <c r="S8" s="43">
        <f>('TE BE'!$U$8+'TE BF'!$U$8+'TE CVA'!$U$8)*1</f>
        <v>0</v>
      </c>
      <c r="T8" s="43">
        <f>('TE BE'!$W$8+'TE BF'!$W$8+'TE CVA'!$W$8)*1</f>
        <v>-1.8488216877162351</v>
      </c>
      <c r="U8" s="43">
        <f>('TE BE'!$Y$8+'TE BF'!$Y$8+'TE CVA'!$Y$8)*1</f>
        <v>0</v>
      </c>
      <c r="W8" s="43">
        <v>0</v>
      </c>
      <c r="X8" s="43">
        <v>0</v>
      </c>
      <c r="Y8" s="43">
        <v>0</v>
      </c>
      <c r="Z8" s="43">
        <v>0</v>
      </c>
      <c r="AA8" s="43">
        <v>229.37330167004299</v>
      </c>
      <c r="AB8" s="43">
        <v>0</v>
      </c>
      <c r="AC8" s="43">
        <v>0</v>
      </c>
      <c r="AD8" s="43">
        <v>0</v>
      </c>
      <c r="AE8" s="43">
        <v>-5.6556396335699004</v>
      </c>
      <c r="AF8" s="43">
        <v>0</v>
      </c>
    </row>
    <row r="9" spans="1:32" ht="11.25" customHeight="1" x14ac:dyDescent="0.25">
      <c r="A9" s="141"/>
      <c r="B9" s="141"/>
      <c r="C9" s="141"/>
      <c r="D9" s="141"/>
      <c r="E9" s="141"/>
      <c r="F9" s="141"/>
      <c r="G9" s="45" t="s">
        <v>75</v>
      </c>
      <c r="H9" s="45" t="s">
        <v>73</v>
      </c>
      <c r="I9" s="45">
        <f>'MERCADO TE'!$U$6</f>
        <v>0</v>
      </c>
      <c r="J9" s="16"/>
      <c r="L9" s="43">
        <f>('TE BE'!$L$9+'TE BF'!$L$9+'TE CVA'!$L$9)*1</f>
        <v>0</v>
      </c>
      <c r="M9" s="43">
        <f>('TE BE'!$M$9+'TE BF'!$M$9+'TE CVA'!$M$9)*1</f>
        <v>16.043462855204801</v>
      </c>
      <c r="N9" s="43">
        <f>('TE BE'!$N$9+'TE BF'!$N$9+'TE CVA'!$N$9)*1</f>
        <v>0</v>
      </c>
      <c r="O9" s="43">
        <f>('TE BE'!$O$9+'TE BF'!$O$9+'TE CVA'!$O$9)*1</f>
        <v>0</v>
      </c>
      <c r="P9" s="43">
        <f>('TE BE'!$Q$9+'TE BF'!$Q$9+'TE CVA'!$Q$9)*1</f>
        <v>203.43475803874034</v>
      </c>
      <c r="Q9" s="43">
        <f>('TE BE'!$S$9+'TE BF'!$S$9+'TE CVA'!$S$9)*1</f>
        <v>0</v>
      </c>
      <c r="R9" s="43">
        <f>('TE BE'!$T$9+'TE BF'!$T$9+'TE CVA'!$T$9)*1</f>
        <v>0</v>
      </c>
      <c r="S9" s="43">
        <f>('TE BE'!$U$9+'TE BF'!$U$9+'TE CVA'!$U$9)*1</f>
        <v>0</v>
      </c>
      <c r="T9" s="43">
        <f>('TE BE'!$W$9+'TE BF'!$W$9+'TE CVA'!$W$9)*1</f>
        <v>-1.8488216877162351</v>
      </c>
      <c r="U9" s="43">
        <f>('TE BE'!$Y$9+'TE BF'!$Y$9+'TE CVA'!$Y$9)*1</f>
        <v>0</v>
      </c>
      <c r="W9" s="43">
        <v>0</v>
      </c>
      <c r="X9" s="43">
        <v>0</v>
      </c>
      <c r="Y9" s="43">
        <v>0</v>
      </c>
      <c r="Z9" s="43">
        <v>0</v>
      </c>
      <c r="AA9" s="43">
        <v>229.37330167004299</v>
      </c>
      <c r="AB9" s="43">
        <v>0</v>
      </c>
      <c r="AC9" s="43">
        <v>0</v>
      </c>
      <c r="AD9" s="43">
        <v>0</v>
      </c>
      <c r="AE9" s="43">
        <v>-5.6556396335699004</v>
      </c>
      <c r="AF9" s="43">
        <v>0</v>
      </c>
    </row>
    <row r="10" spans="1:32" ht="11.25" customHeight="1" x14ac:dyDescent="0.25">
      <c r="A10" s="141"/>
      <c r="B10" s="141" t="s">
        <v>86</v>
      </c>
      <c r="C10" s="141" t="s">
        <v>24</v>
      </c>
      <c r="D10" s="81" t="s">
        <v>24</v>
      </c>
      <c r="E10" s="81" t="s">
        <v>25</v>
      </c>
      <c r="F10" s="81" t="s">
        <v>25</v>
      </c>
      <c r="G10" s="45" t="s">
        <v>79</v>
      </c>
      <c r="H10" s="45" t="s">
        <v>73</v>
      </c>
      <c r="I10" s="45">
        <f>'MERCADO TE'!$U$7</f>
        <v>23903.932000000001</v>
      </c>
      <c r="J10" s="16"/>
      <c r="L10" s="43">
        <f>('TE BE'!$L$10+'TE BF'!$L$10+'TE CVA'!$L$10)*1</f>
        <v>0</v>
      </c>
      <c r="M10" s="43">
        <f>('TE BE'!$M$10+'TE BF'!$M$10+'TE CVA'!$M$10)*1</f>
        <v>16.043462855204801</v>
      </c>
      <c r="N10" s="43">
        <f>('TE BE'!$N$10+'TE BF'!$N$10+'TE CVA'!$N$10)*1</f>
        <v>0</v>
      </c>
      <c r="O10" s="43">
        <f>('TE BE'!$O$10+'TE BF'!$O$10+'TE CVA'!$O$10)*1</f>
        <v>0</v>
      </c>
      <c r="P10" s="43">
        <f>('TE BE'!$Q$10+'TE BF'!$Q$10+'TE CVA'!$Q$10)*1</f>
        <v>203.43475803874034</v>
      </c>
      <c r="Q10" s="43">
        <f>('TE BE'!$S$10+'TE BF'!$S$10+'TE CVA'!$S$10)*1</f>
        <v>0</v>
      </c>
      <c r="R10" s="43">
        <f>('TE BE'!$T$10+'TE BF'!$T$10+'TE CVA'!$T$10)*1</f>
        <v>0</v>
      </c>
      <c r="S10" s="43">
        <f>('TE BE'!$U$10+'TE BF'!$U$10+'TE CVA'!$U$10)*1</f>
        <v>0</v>
      </c>
      <c r="T10" s="43">
        <f>('TE BE'!$W$10+'TE BF'!$W$10+'TE CVA'!$W$10)*1</f>
        <v>-1.8488216877162351</v>
      </c>
      <c r="U10" s="43">
        <f>('TE BE'!$Y$10+'TE BF'!$Y$10+'TE CVA'!$Y$10)*1</f>
        <v>0</v>
      </c>
      <c r="W10" s="43">
        <v>0</v>
      </c>
      <c r="X10" s="43">
        <v>0</v>
      </c>
      <c r="Y10" s="43">
        <v>0</v>
      </c>
      <c r="Z10" s="43">
        <v>0</v>
      </c>
      <c r="AA10" s="43">
        <v>229.37330167004299</v>
      </c>
      <c r="AB10" s="43">
        <v>0</v>
      </c>
      <c r="AC10" s="43">
        <v>0</v>
      </c>
      <c r="AD10" s="43">
        <v>0</v>
      </c>
      <c r="AE10" s="43">
        <v>-5.6556396335699004</v>
      </c>
      <c r="AF10" s="43">
        <v>0</v>
      </c>
    </row>
    <row r="11" spans="1:32" ht="11.25" customHeight="1" x14ac:dyDescent="0.25">
      <c r="A11" s="141"/>
      <c r="B11" s="141"/>
      <c r="C11" s="141"/>
      <c r="D11" s="81" t="s">
        <v>29</v>
      </c>
      <c r="E11" s="81" t="s">
        <v>25</v>
      </c>
      <c r="F11" s="81" t="s">
        <v>25</v>
      </c>
      <c r="G11" s="45" t="s">
        <v>79</v>
      </c>
      <c r="H11" s="45" t="s">
        <v>73</v>
      </c>
      <c r="I11" s="45">
        <f>'MERCADO TE'!$U$8</f>
        <v>17.04</v>
      </c>
      <c r="J11" s="16"/>
      <c r="L11" s="43">
        <f>('TE BE'!$L$11+'TE BF'!$L$11+'TE CVA'!$L$11)*(1 - 0.65)</f>
        <v>0</v>
      </c>
      <c r="M11" s="43">
        <f>('TE BE'!$M$11+'TE BF'!$M$11+'TE CVA'!$M$11)*(1 - 0.65)</f>
        <v>5.61521199932168</v>
      </c>
      <c r="N11" s="43">
        <f>('TE BE'!$N$11+'TE BF'!$N$11+'TE CVA'!$N$11)*(1 - 0.65)</f>
        <v>0</v>
      </c>
      <c r="O11" s="43">
        <f>('TE BE'!$O$11+'TE BF'!$O$11+'TE CVA'!$O$11)*(1 - 0.65)</f>
        <v>0</v>
      </c>
      <c r="P11" s="43">
        <f>('TE BE'!$Q$11+'TE BF'!$Q$11+'TE CVA'!$Q$11)*(1 - 0.65)</f>
        <v>71.202165313559121</v>
      </c>
      <c r="Q11" s="43">
        <f>('TE BE'!$S$11+'TE BF'!$S$11+'TE CVA'!$S$11)*(1 - 0.65)</f>
        <v>0</v>
      </c>
      <c r="R11" s="43">
        <f>('TE BE'!$T$11+'TE BF'!$T$11+'TE CVA'!$T$11)*(1 - 0.65)</f>
        <v>0</v>
      </c>
      <c r="S11" s="43">
        <f>('TE BE'!$U$11+'TE BF'!$U$11+'TE CVA'!$U$11)*(1 - 0.65)</f>
        <v>0</v>
      </c>
      <c r="T11" s="43">
        <f>('TE BE'!$W$11+'TE BF'!$W$11+'TE CVA'!$W$11)*(1 - 0.65)</f>
        <v>-0.64708759070068222</v>
      </c>
      <c r="U11" s="43">
        <f>('TE BE'!$Y$11+'TE BF'!$Y$11+'TE CVA'!$Y$11)*(1 - 0.65)</f>
        <v>0</v>
      </c>
      <c r="W11" s="43">
        <v>0</v>
      </c>
      <c r="X11" s="43">
        <v>0</v>
      </c>
      <c r="Y11" s="43">
        <v>0</v>
      </c>
      <c r="Z11" s="43">
        <v>0</v>
      </c>
      <c r="AA11" s="43">
        <v>80.280655584514903</v>
      </c>
      <c r="AB11" s="43">
        <v>0</v>
      </c>
      <c r="AC11" s="43">
        <v>0</v>
      </c>
      <c r="AD11" s="43">
        <v>0</v>
      </c>
      <c r="AE11" s="43">
        <v>-1.97947387174946</v>
      </c>
      <c r="AF11" s="43">
        <v>0</v>
      </c>
    </row>
    <row r="12" spans="1:32" ht="11.25" customHeight="1" x14ac:dyDescent="0.25">
      <c r="A12" s="141"/>
      <c r="B12" s="141"/>
      <c r="C12" s="141"/>
      <c r="D12" s="81" t="s">
        <v>30</v>
      </c>
      <c r="E12" s="81" t="s">
        <v>25</v>
      </c>
      <c r="F12" s="81" t="s">
        <v>25</v>
      </c>
      <c r="G12" s="45" t="s">
        <v>79</v>
      </c>
      <c r="H12" s="45" t="s">
        <v>73</v>
      </c>
      <c r="I12" s="45">
        <f>'MERCADO TE'!$U$9</f>
        <v>36.048999999999999</v>
      </c>
      <c r="J12" s="16"/>
      <c r="L12" s="43">
        <f>('TE BE'!$L$12+'TE BF'!$L$12+'TE CVA'!$L$12)*(1 - 0.4)</f>
        <v>0</v>
      </c>
      <c r="M12" s="43">
        <f>('TE BE'!$M$12+'TE BF'!$M$12+'TE CVA'!$M$12)*(1 - 0.4)</f>
        <v>9.6260777131228803</v>
      </c>
      <c r="N12" s="43">
        <f>('TE BE'!$N$12+'TE BF'!$N$12+'TE CVA'!$N$12)*(1 - 0.4)</f>
        <v>0</v>
      </c>
      <c r="O12" s="43">
        <f>('TE BE'!$O$12+'TE BF'!$O$12+'TE CVA'!$O$12)*(1 - 0.4)</f>
        <v>0</v>
      </c>
      <c r="P12" s="43">
        <f>('TE BE'!$Q$12+'TE BF'!$Q$12+'TE CVA'!$Q$12)*(1 - 0.4)</f>
        <v>122.0608548232442</v>
      </c>
      <c r="Q12" s="43">
        <f>('TE BE'!$S$12+'TE BF'!$S$12+'TE CVA'!$S$12)*(1 - 0.4)</f>
        <v>0</v>
      </c>
      <c r="R12" s="43">
        <f>('TE BE'!$T$12+'TE BF'!$T$12+'TE CVA'!$T$12)*(1 - 0.4)</f>
        <v>0</v>
      </c>
      <c r="S12" s="43">
        <f>('TE BE'!$U$12+'TE BF'!$U$12+'TE CVA'!$U$12)*(1 - 0.4)</f>
        <v>0</v>
      </c>
      <c r="T12" s="43">
        <f>('TE BE'!$W$12+'TE BF'!$W$12+'TE CVA'!$W$12)*(1 - 0.4)</f>
        <v>-1.1092930126297411</v>
      </c>
      <c r="U12" s="43">
        <f>('TE BE'!$Y$12+'TE BF'!$Y$12+'TE CVA'!$Y$12)*(1 - 0.4)</f>
        <v>0</v>
      </c>
      <c r="W12" s="43">
        <v>0</v>
      </c>
      <c r="X12" s="43">
        <v>0</v>
      </c>
      <c r="Y12" s="43">
        <v>0</v>
      </c>
      <c r="Z12" s="43">
        <v>0</v>
      </c>
      <c r="AA12" s="43">
        <v>137.623981002026</v>
      </c>
      <c r="AB12" s="43">
        <v>0</v>
      </c>
      <c r="AC12" s="43">
        <v>0</v>
      </c>
      <c r="AD12" s="43">
        <v>0</v>
      </c>
      <c r="AE12" s="43">
        <v>-3.39338378014194</v>
      </c>
      <c r="AF12" s="43">
        <v>0</v>
      </c>
    </row>
    <row r="13" spans="1:32" ht="11.25" customHeight="1" x14ac:dyDescent="0.25">
      <c r="A13" s="141"/>
      <c r="B13" s="141"/>
      <c r="C13" s="141"/>
      <c r="D13" s="81" t="s">
        <v>31</v>
      </c>
      <c r="E13" s="81" t="s">
        <v>25</v>
      </c>
      <c r="F13" s="81" t="s">
        <v>25</v>
      </c>
      <c r="G13" s="45" t="s">
        <v>79</v>
      </c>
      <c r="H13" s="45" t="s">
        <v>73</v>
      </c>
      <c r="I13" s="45">
        <f>'MERCADO TE'!$U$10</f>
        <v>32.835000000000001</v>
      </c>
      <c r="J13" s="16"/>
      <c r="L13" s="43">
        <f>('TE BE'!$L$13+'TE BF'!$L$13+'TE CVA'!$L$13)*(1 - 0.1)</f>
        <v>0</v>
      </c>
      <c r="M13" s="43">
        <f>('TE BE'!$M$13+'TE BF'!$M$13+'TE CVA'!$M$13)*(1 - 0.1)</f>
        <v>14.439116569684321</v>
      </c>
      <c r="N13" s="43">
        <f>('TE BE'!$N$13+'TE BF'!$N$13+'TE CVA'!$N$13)*(1 - 0.1)</f>
        <v>0</v>
      </c>
      <c r="O13" s="43">
        <f>('TE BE'!$O$13+'TE BF'!$O$13+'TE CVA'!$O$13)*(1 - 0.1)</f>
        <v>0</v>
      </c>
      <c r="P13" s="43">
        <f>('TE BE'!$Q$13+'TE BF'!$Q$13+'TE CVA'!$Q$13)*(1 - 0.1)</f>
        <v>183.0912822348663</v>
      </c>
      <c r="Q13" s="43">
        <f>('TE BE'!$S$13+'TE BF'!$S$13+'TE CVA'!$S$13)*(1 - 0.1)</f>
        <v>0</v>
      </c>
      <c r="R13" s="43">
        <f>('TE BE'!$T$13+'TE BF'!$T$13+'TE CVA'!$T$13)*(1 - 0.1)</f>
        <v>0</v>
      </c>
      <c r="S13" s="43">
        <f>('TE BE'!$U$13+'TE BF'!$U$13+'TE CVA'!$U$13)*(1 - 0.1)</f>
        <v>0</v>
      </c>
      <c r="T13" s="43">
        <f>('TE BE'!$W$13+'TE BF'!$W$13+'TE CVA'!$W$13)*(1 - 0.1)</f>
        <v>-1.6639395189446116</v>
      </c>
      <c r="U13" s="43">
        <f>('TE BE'!$Y$13+'TE BF'!$Y$13+'TE CVA'!$Y$13)*(1 - 0.1)</f>
        <v>0</v>
      </c>
      <c r="W13" s="43">
        <v>0</v>
      </c>
      <c r="X13" s="43">
        <v>0</v>
      </c>
      <c r="Y13" s="43">
        <v>0</v>
      </c>
      <c r="Z13" s="43">
        <v>0</v>
      </c>
      <c r="AA13" s="43">
        <v>206.43597150303799</v>
      </c>
      <c r="AB13" s="43">
        <v>0</v>
      </c>
      <c r="AC13" s="43">
        <v>0</v>
      </c>
      <c r="AD13" s="43">
        <v>0</v>
      </c>
      <c r="AE13" s="43">
        <v>-5.0900756702129097</v>
      </c>
      <c r="AF13" s="43">
        <v>0</v>
      </c>
    </row>
    <row r="14" spans="1:32" ht="11.25" customHeight="1" x14ac:dyDescent="0.25">
      <c r="A14" s="141"/>
      <c r="B14" s="141"/>
      <c r="C14" s="141"/>
      <c r="D14" s="81" t="s">
        <v>32</v>
      </c>
      <c r="E14" s="81" t="s">
        <v>25</v>
      </c>
      <c r="F14" s="81" t="s">
        <v>25</v>
      </c>
      <c r="G14" s="45" t="s">
        <v>79</v>
      </c>
      <c r="H14" s="45" t="s">
        <v>73</v>
      </c>
      <c r="I14" s="45">
        <f>'MERCADO TE'!$U$11</f>
        <v>10.568</v>
      </c>
      <c r="J14" s="16"/>
      <c r="L14" s="43">
        <f>('TE BE'!$L$14+'TE BF'!$L$14+'TE CVA'!$L$14)*1</f>
        <v>0</v>
      </c>
      <c r="M14" s="43">
        <f>('TE BE'!$M$14+'TE BF'!$M$14+'TE CVA'!$M$14)*1</f>
        <v>16.043462855204801</v>
      </c>
      <c r="N14" s="43">
        <f>('TE BE'!$N$14+'TE BF'!$N$14+'TE CVA'!$N$14)*1</f>
        <v>0</v>
      </c>
      <c r="O14" s="43">
        <f>('TE BE'!$O$14+'TE BF'!$O$14+'TE CVA'!$O$14)*1</f>
        <v>0</v>
      </c>
      <c r="P14" s="43">
        <f>('TE BE'!$Q$14+'TE BF'!$Q$14+'TE CVA'!$Q$14)*1</f>
        <v>203.43475803874034</v>
      </c>
      <c r="Q14" s="43">
        <f>('TE BE'!$S$14+'TE BF'!$S$14+'TE CVA'!$S$14)*1</f>
        <v>0</v>
      </c>
      <c r="R14" s="43">
        <f>('TE BE'!$T$14+'TE BF'!$T$14+'TE CVA'!$T$14)*1</f>
        <v>0</v>
      </c>
      <c r="S14" s="43">
        <f>('TE BE'!$U$14+'TE BF'!$U$14+'TE CVA'!$U$14)*1</f>
        <v>0</v>
      </c>
      <c r="T14" s="43">
        <f>('TE BE'!$W$14+'TE BF'!$W$14+'TE CVA'!$W$14)*1</f>
        <v>-1.8488216877162351</v>
      </c>
      <c r="U14" s="43">
        <f>('TE BE'!$Y$14+'TE BF'!$Y$14+'TE CVA'!$Y$14)*1</f>
        <v>0</v>
      </c>
      <c r="W14" s="43">
        <v>0</v>
      </c>
      <c r="X14" s="43">
        <v>0</v>
      </c>
      <c r="Y14" s="43">
        <v>0</v>
      </c>
      <c r="Z14" s="43">
        <v>0</v>
      </c>
      <c r="AA14" s="43">
        <v>229.37330167004299</v>
      </c>
      <c r="AB14" s="43">
        <v>0</v>
      </c>
      <c r="AC14" s="43">
        <v>0</v>
      </c>
      <c r="AD14" s="43">
        <v>0</v>
      </c>
      <c r="AE14" s="43">
        <v>-5.6556396335699004</v>
      </c>
      <c r="AF14" s="43">
        <v>0</v>
      </c>
    </row>
    <row r="15" spans="1:32" ht="11.25" customHeight="1" x14ac:dyDescent="0.25">
      <c r="A15" s="141"/>
      <c r="B15" s="141" t="s">
        <v>88</v>
      </c>
      <c r="C15" s="141" t="s">
        <v>24</v>
      </c>
      <c r="D15" s="81" t="s">
        <v>24</v>
      </c>
      <c r="E15" s="81" t="s">
        <v>25</v>
      </c>
      <c r="F15" s="81" t="s">
        <v>25</v>
      </c>
      <c r="G15" s="45" t="s">
        <v>79</v>
      </c>
      <c r="H15" s="45" t="s">
        <v>73</v>
      </c>
      <c r="I15" s="45">
        <f>'MERCADO TE'!$U$12</f>
        <v>0</v>
      </c>
      <c r="J15" s="16"/>
      <c r="L15" s="43">
        <f>('TE BE'!$L$15+'TE BF'!$L$15+'TE CVA'!$L$15)*1</f>
        <v>0</v>
      </c>
      <c r="M15" s="43">
        <f>('TE BE'!$M$15+'TE BF'!$M$15+'TE CVA'!$M$15)*1</f>
        <v>16.043462855204801</v>
      </c>
      <c r="N15" s="43">
        <f>('TE BE'!$N$15+'TE BF'!$N$15+'TE CVA'!$N$15)*1</f>
        <v>0</v>
      </c>
      <c r="O15" s="43">
        <f>('TE BE'!$O$15+'TE BF'!$O$15+'TE CVA'!$O$15)*1</f>
        <v>0</v>
      </c>
      <c r="P15" s="43">
        <f>('TE BE'!$Q$15+'TE BF'!$Q$15+'TE CVA'!$Q$15)*1</f>
        <v>203.43475803874034</v>
      </c>
      <c r="Q15" s="43">
        <f>('TE BE'!$S$15+'TE BF'!$S$15+'TE CVA'!$S$15)*1</f>
        <v>0</v>
      </c>
      <c r="R15" s="43">
        <f>('TE BE'!$T$15+'TE BF'!$T$15+'TE CVA'!$T$15)*1</f>
        <v>0</v>
      </c>
      <c r="S15" s="43">
        <f>('TE BE'!$U$15+'TE BF'!$U$15+'TE CVA'!$U$15)*1</f>
        <v>0</v>
      </c>
      <c r="T15" s="43">
        <f>('TE BE'!$W$15+'TE BF'!$W$15+'TE CVA'!$W$15)*1</f>
        <v>-1.8488216877162351</v>
      </c>
      <c r="U15" s="43">
        <f>('TE BE'!$Y$15+'TE BF'!$Y$15+'TE CVA'!$Y$15)*1</f>
        <v>0</v>
      </c>
      <c r="W15" s="43">
        <v>0</v>
      </c>
      <c r="X15" s="43">
        <v>0</v>
      </c>
      <c r="Y15" s="43">
        <v>0</v>
      </c>
      <c r="Z15" s="43">
        <v>0</v>
      </c>
      <c r="AA15" s="43">
        <v>229.37330167004299</v>
      </c>
      <c r="AB15" s="43">
        <v>0</v>
      </c>
      <c r="AC15" s="43">
        <v>0</v>
      </c>
      <c r="AD15" s="43">
        <v>0</v>
      </c>
      <c r="AE15" s="43">
        <v>-5.6556396335699004</v>
      </c>
      <c r="AF15" s="43">
        <v>0</v>
      </c>
    </row>
    <row r="16" spans="1:32" ht="11.25" customHeight="1" x14ac:dyDescent="0.25">
      <c r="A16" s="141"/>
      <c r="B16" s="141"/>
      <c r="C16" s="141"/>
      <c r="D16" s="81" t="s">
        <v>29</v>
      </c>
      <c r="E16" s="81" t="s">
        <v>25</v>
      </c>
      <c r="F16" s="81" t="s">
        <v>25</v>
      </c>
      <c r="G16" s="45" t="s">
        <v>79</v>
      </c>
      <c r="H16" s="45" t="s">
        <v>73</v>
      </c>
      <c r="I16" s="45">
        <f>'MERCADO TE'!$U$13</f>
        <v>0</v>
      </c>
      <c r="J16" s="16"/>
      <c r="L16" s="43">
        <f>('TE BE'!$L$16+'TE BF'!$L$16+'TE CVA'!$L$16)*(1 - 0.65)</f>
        <v>0</v>
      </c>
      <c r="M16" s="43">
        <f>('TE BE'!$M$16+'TE BF'!$M$16+'TE CVA'!$M$16)*(1 - 0.65)</f>
        <v>5.61521199932168</v>
      </c>
      <c r="N16" s="43">
        <f>('TE BE'!$N$16+'TE BF'!$N$16+'TE CVA'!$N$16)*(1 - 0.65)</f>
        <v>0</v>
      </c>
      <c r="O16" s="43">
        <f>('TE BE'!$O$16+'TE BF'!$O$16+'TE CVA'!$O$16)*(1 - 0.65)</f>
        <v>0</v>
      </c>
      <c r="P16" s="43">
        <f>('TE BE'!$Q$16+'TE BF'!$Q$16+'TE CVA'!$Q$16)*(1 - 0.65)</f>
        <v>71.202165313559121</v>
      </c>
      <c r="Q16" s="43">
        <f>('TE BE'!$S$16+'TE BF'!$S$16+'TE CVA'!$S$16)*(1 - 0.65)</f>
        <v>0</v>
      </c>
      <c r="R16" s="43">
        <f>('TE BE'!$T$16+'TE BF'!$T$16+'TE CVA'!$T$16)*(1 - 0.65)</f>
        <v>0</v>
      </c>
      <c r="S16" s="43">
        <f>('TE BE'!$U$16+'TE BF'!$U$16+'TE CVA'!$U$16)*(1 - 0.65)</f>
        <v>0</v>
      </c>
      <c r="T16" s="43">
        <f>('TE BE'!$W$16+'TE BF'!$W$16+'TE CVA'!$W$16)*(1 - 0.65)</f>
        <v>-0.64708759070068222</v>
      </c>
      <c r="U16" s="43">
        <f>('TE BE'!$Y$16+'TE BF'!$Y$16+'TE CVA'!$Y$16)*(1 - 0.65)</f>
        <v>0</v>
      </c>
      <c r="W16" s="43">
        <v>0</v>
      </c>
      <c r="X16" s="43">
        <v>0</v>
      </c>
      <c r="Y16" s="43">
        <v>0</v>
      </c>
      <c r="Z16" s="43">
        <v>0</v>
      </c>
      <c r="AA16" s="43">
        <v>80.280655584514903</v>
      </c>
      <c r="AB16" s="43">
        <v>0</v>
      </c>
      <c r="AC16" s="43">
        <v>0</v>
      </c>
      <c r="AD16" s="43">
        <v>0</v>
      </c>
      <c r="AE16" s="43">
        <v>-1.97947387174946</v>
      </c>
      <c r="AF16" s="43">
        <v>0</v>
      </c>
    </row>
    <row r="17" spans="1:32" ht="11.25" customHeight="1" x14ac:dyDescent="0.25">
      <c r="A17" s="141"/>
      <c r="B17" s="141"/>
      <c r="C17" s="141"/>
      <c r="D17" s="81" t="s">
        <v>30</v>
      </c>
      <c r="E17" s="81" t="s">
        <v>25</v>
      </c>
      <c r="F17" s="81" t="s">
        <v>25</v>
      </c>
      <c r="G17" s="45" t="s">
        <v>79</v>
      </c>
      <c r="H17" s="45" t="s">
        <v>73</v>
      </c>
      <c r="I17" s="45">
        <f>'MERCADO TE'!$U$14</f>
        <v>0</v>
      </c>
      <c r="J17" s="16"/>
      <c r="L17" s="43">
        <f>('TE BE'!$L$17+'TE BF'!$L$17+'TE CVA'!$L$17)*(1 - 0.4)</f>
        <v>0</v>
      </c>
      <c r="M17" s="43">
        <f>('TE BE'!$M$17+'TE BF'!$M$17+'TE CVA'!$M$17)*(1 - 0.4)</f>
        <v>9.6260777131228803</v>
      </c>
      <c r="N17" s="43">
        <f>('TE BE'!$N$17+'TE BF'!$N$17+'TE CVA'!$N$17)*(1 - 0.4)</f>
        <v>0</v>
      </c>
      <c r="O17" s="43">
        <f>('TE BE'!$O$17+'TE BF'!$O$17+'TE CVA'!$O$17)*(1 - 0.4)</f>
        <v>0</v>
      </c>
      <c r="P17" s="43">
        <f>('TE BE'!$Q$17+'TE BF'!$Q$17+'TE CVA'!$Q$17)*(1 - 0.4)</f>
        <v>122.0608548232442</v>
      </c>
      <c r="Q17" s="43">
        <f>('TE BE'!$S$17+'TE BF'!$S$17+'TE CVA'!$S$17)*(1 - 0.4)</f>
        <v>0</v>
      </c>
      <c r="R17" s="43">
        <f>('TE BE'!$T$17+'TE BF'!$T$17+'TE CVA'!$T$17)*(1 - 0.4)</f>
        <v>0</v>
      </c>
      <c r="S17" s="43">
        <f>('TE BE'!$U$17+'TE BF'!$U$17+'TE CVA'!$U$17)*(1 - 0.4)</f>
        <v>0</v>
      </c>
      <c r="T17" s="43">
        <f>('TE BE'!$W$17+'TE BF'!$W$17+'TE CVA'!$W$17)*(1 - 0.4)</f>
        <v>-1.1092930126297411</v>
      </c>
      <c r="U17" s="43">
        <f>('TE BE'!$Y$17+'TE BF'!$Y$17+'TE CVA'!$Y$17)*(1 - 0.4)</f>
        <v>0</v>
      </c>
      <c r="W17" s="43">
        <v>0</v>
      </c>
      <c r="X17" s="43">
        <v>0</v>
      </c>
      <c r="Y17" s="43">
        <v>0</v>
      </c>
      <c r="Z17" s="43">
        <v>0</v>
      </c>
      <c r="AA17" s="43">
        <v>137.623981002026</v>
      </c>
      <c r="AB17" s="43">
        <v>0</v>
      </c>
      <c r="AC17" s="43">
        <v>0</v>
      </c>
      <c r="AD17" s="43">
        <v>0</v>
      </c>
      <c r="AE17" s="43">
        <v>-3.39338378014194</v>
      </c>
      <c r="AF17" s="43">
        <v>0</v>
      </c>
    </row>
    <row r="18" spans="1:32" ht="11.25" customHeight="1" x14ac:dyDescent="0.25">
      <c r="A18" s="141"/>
      <c r="B18" s="141"/>
      <c r="C18" s="141"/>
      <c r="D18" s="81" t="s">
        <v>31</v>
      </c>
      <c r="E18" s="81" t="s">
        <v>25</v>
      </c>
      <c r="F18" s="81" t="s">
        <v>25</v>
      </c>
      <c r="G18" s="45" t="s">
        <v>79</v>
      </c>
      <c r="H18" s="45" t="s">
        <v>73</v>
      </c>
      <c r="I18" s="45">
        <f>'MERCADO TE'!$U$15</f>
        <v>0</v>
      </c>
      <c r="J18" s="16"/>
      <c r="L18" s="43">
        <f>('TE BE'!$L$18+'TE BF'!$L$18+'TE CVA'!$L$18)*(1 - 0.1)</f>
        <v>0</v>
      </c>
      <c r="M18" s="43">
        <f>('TE BE'!$M$18+'TE BF'!$M$18+'TE CVA'!$M$18)*(1 - 0.1)</f>
        <v>14.439116569684321</v>
      </c>
      <c r="N18" s="43">
        <f>('TE BE'!$N$18+'TE BF'!$N$18+'TE CVA'!$N$18)*(1 - 0.1)</f>
        <v>0</v>
      </c>
      <c r="O18" s="43">
        <f>('TE BE'!$O$18+'TE BF'!$O$18+'TE CVA'!$O$18)*(1 - 0.1)</f>
        <v>0</v>
      </c>
      <c r="P18" s="43">
        <f>('TE BE'!$Q$18+'TE BF'!$Q$18+'TE CVA'!$Q$18)*(1 - 0.1)</f>
        <v>183.0912822348663</v>
      </c>
      <c r="Q18" s="43">
        <f>('TE BE'!$S$18+'TE BF'!$S$18+'TE CVA'!$S$18)*(1 - 0.1)</f>
        <v>0</v>
      </c>
      <c r="R18" s="43">
        <f>('TE BE'!$T$18+'TE BF'!$T$18+'TE CVA'!$T$18)*(1 - 0.1)</f>
        <v>0</v>
      </c>
      <c r="S18" s="43">
        <f>('TE BE'!$U$18+'TE BF'!$U$18+'TE CVA'!$U$18)*(1 - 0.1)</f>
        <v>0</v>
      </c>
      <c r="T18" s="43">
        <f>('TE BE'!$W$18+'TE BF'!$W$18+'TE CVA'!$W$18)*(1 - 0.1)</f>
        <v>-1.6639395189446116</v>
      </c>
      <c r="U18" s="43">
        <f>('TE BE'!$Y$18+'TE BF'!$Y$18+'TE CVA'!$Y$18)*(1 - 0.1)</f>
        <v>0</v>
      </c>
      <c r="W18" s="43">
        <v>0</v>
      </c>
      <c r="X18" s="43">
        <v>0</v>
      </c>
      <c r="Y18" s="43">
        <v>0</v>
      </c>
      <c r="Z18" s="43">
        <v>0</v>
      </c>
      <c r="AA18" s="43">
        <v>206.43597150303799</v>
      </c>
      <c r="AB18" s="43">
        <v>0</v>
      </c>
      <c r="AC18" s="43">
        <v>0</v>
      </c>
      <c r="AD18" s="43">
        <v>0</v>
      </c>
      <c r="AE18" s="43">
        <v>-5.0900756702129097</v>
      </c>
      <c r="AF18" s="43">
        <v>0</v>
      </c>
    </row>
    <row r="19" spans="1:32" ht="11.25" customHeight="1" x14ac:dyDescent="0.25">
      <c r="A19" s="141"/>
      <c r="B19" s="141"/>
      <c r="C19" s="141"/>
      <c r="D19" s="81" t="s">
        <v>32</v>
      </c>
      <c r="E19" s="81" t="s">
        <v>25</v>
      </c>
      <c r="F19" s="81" t="s">
        <v>25</v>
      </c>
      <c r="G19" s="45" t="s">
        <v>79</v>
      </c>
      <c r="H19" s="45" t="s">
        <v>73</v>
      </c>
      <c r="I19" s="45">
        <f>'MERCADO TE'!$U$16</f>
        <v>0</v>
      </c>
      <c r="J19" s="16"/>
      <c r="L19" s="43">
        <f>('TE BE'!$L$19+'TE BF'!$L$19+'TE CVA'!$L$19)*1</f>
        <v>0</v>
      </c>
      <c r="M19" s="43">
        <f>('TE BE'!$M$19+'TE BF'!$M$19+'TE CVA'!$M$19)*1</f>
        <v>16.043462855204801</v>
      </c>
      <c r="N19" s="43">
        <f>('TE BE'!$N$19+'TE BF'!$N$19+'TE CVA'!$N$19)*1</f>
        <v>0</v>
      </c>
      <c r="O19" s="43">
        <f>('TE BE'!$O$19+'TE BF'!$O$19+'TE CVA'!$O$19)*1</f>
        <v>0</v>
      </c>
      <c r="P19" s="43">
        <f>('TE BE'!$Q$19+'TE BF'!$Q$19+'TE CVA'!$Q$19)*1</f>
        <v>203.43475803874034</v>
      </c>
      <c r="Q19" s="43">
        <f>('TE BE'!$S$19+'TE BF'!$S$19+'TE CVA'!$S$19)*1</f>
        <v>0</v>
      </c>
      <c r="R19" s="43">
        <f>('TE BE'!$T$19+'TE BF'!$T$19+'TE CVA'!$T$19)*1</f>
        <v>0</v>
      </c>
      <c r="S19" s="43">
        <f>('TE BE'!$U$19+'TE BF'!$U$19+'TE CVA'!$U$19)*1</f>
        <v>0</v>
      </c>
      <c r="T19" s="43">
        <f>('TE BE'!$W$19+'TE BF'!$W$19+'TE CVA'!$W$19)*1</f>
        <v>-1.8488216877162351</v>
      </c>
      <c r="U19" s="43">
        <f>('TE BE'!$Y$19+'TE BF'!$Y$19+'TE CVA'!$Y$19)*1</f>
        <v>0</v>
      </c>
      <c r="W19" s="43">
        <v>0</v>
      </c>
      <c r="X19" s="43">
        <v>0</v>
      </c>
      <c r="Y19" s="43">
        <v>0</v>
      </c>
      <c r="Z19" s="43">
        <v>0</v>
      </c>
      <c r="AA19" s="43">
        <v>229.37330167004299</v>
      </c>
      <c r="AB19" s="43">
        <v>0</v>
      </c>
      <c r="AC19" s="43">
        <v>0</v>
      </c>
      <c r="AD19" s="43">
        <v>0</v>
      </c>
      <c r="AE19" s="43">
        <v>-5.6556396335699004</v>
      </c>
      <c r="AF19" s="43">
        <v>0</v>
      </c>
    </row>
    <row r="20" spans="1:32" ht="11.25" customHeight="1" x14ac:dyDescent="0.25">
      <c r="A20" s="141" t="s">
        <v>40</v>
      </c>
      <c r="B20" s="141" t="s">
        <v>72</v>
      </c>
      <c r="C20" s="141" t="s">
        <v>41</v>
      </c>
      <c r="D20" s="141" t="s">
        <v>25</v>
      </c>
      <c r="E20" s="141" t="s">
        <v>25</v>
      </c>
      <c r="F20" s="141" t="s">
        <v>25</v>
      </c>
      <c r="G20" s="45" t="s">
        <v>74</v>
      </c>
      <c r="H20" s="45" t="s">
        <v>73</v>
      </c>
      <c r="I20" s="45">
        <f>'MERCADO TE'!$U$17</f>
        <v>0</v>
      </c>
      <c r="J20" s="16"/>
      <c r="L20" s="43">
        <f>('TE BE'!$L$20+'TE BF'!$L$20+'TE CVA'!$L$20)*(1 - CUSTOS!$M$38)</f>
        <v>0</v>
      </c>
      <c r="M20" s="43">
        <f>('TE BE'!$M$20+'TE BF'!$M$20+'TE CVA'!$M$20)*(1 - CUSTOS!$M$38)</f>
        <v>15.080855083892512</v>
      </c>
      <c r="N20" s="43">
        <f>('TE BE'!$N$20+'TE BF'!$N$20+'TE CVA'!$N$20)*(1 - CUSTOS!$M$38)</f>
        <v>0</v>
      </c>
      <c r="O20" s="43">
        <f>('TE BE'!$O$20+'TE BF'!$O$20+'TE CVA'!$O$20)*(1 - CUSTOS!$M$38)</f>
        <v>0</v>
      </c>
      <c r="P20" s="43">
        <f>('TE BE'!$Q$20+'TE BF'!$Q$20+'TE CVA'!$Q$20)*(1 - CUSTOS!$M$38)</f>
        <v>191.22867255641592</v>
      </c>
      <c r="Q20" s="43">
        <f>('TE BE'!$S$20+'TE BF'!$S$20+'TE CVA'!$S$20)*(1 - CUSTOS!$M$38)</f>
        <v>0</v>
      </c>
      <c r="R20" s="43">
        <f>('TE BE'!$T$20+'TE BF'!$T$20+'TE CVA'!$T$20)*(1 - CUSTOS!$M$38)</f>
        <v>0</v>
      </c>
      <c r="S20" s="43">
        <f>('TE BE'!$U$20+'TE BF'!$U$20+'TE CVA'!$U$20)*(1 - CUSTOS!$M$38)</f>
        <v>0</v>
      </c>
      <c r="T20" s="43">
        <f>('TE BE'!$W$20+'TE BF'!$W$20+'TE CVA'!$W$20)*(1 - CUSTOS!$M$38)</f>
        <v>-1.7378923864532609</v>
      </c>
      <c r="U20" s="43">
        <f>('TE BE'!$Y$20+'TE BF'!$Y$20+'TE CVA'!$Y$20)*(1 - CUSTOS!$M$38)</f>
        <v>0</v>
      </c>
      <c r="W20" s="43">
        <v>0</v>
      </c>
      <c r="X20" s="43">
        <v>0</v>
      </c>
      <c r="Y20" s="43">
        <v>0</v>
      </c>
      <c r="Z20" s="43">
        <v>0</v>
      </c>
      <c r="AA20" s="43">
        <v>201.84850546963699</v>
      </c>
      <c r="AB20" s="43">
        <v>0</v>
      </c>
      <c r="AC20" s="43">
        <v>0</v>
      </c>
      <c r="AD20" s="43">
        <v>0</v>
      </c>
      <c r="AE20" s="43">
        <v>-4.97696287754151</v>
      </c>
      <c r="AF20" s="43">
        <v>0</v>
      </c>
    </row>
    <row r="21" spans="1:32" ht="11.25" customHeight="1" x14ac:dyDescent="0.25">
      <c r="A21" s="141"/>
      <c r="B21" s="141"/>
      <c r="C21" s="141"/>
      <c r="D21" s="141"/>
      <c r="E21" s="141"/>
      <c r="F21" s="141"/>
      <c r="G21" s="45" t="s">
        <v>85</v>
      </c>
      <c r="H21" s="45" t="s">
        <v>73</v>
      </c>
      <c r="I21" s="45">
        <f>'MERCADO TE'!$U$18</f>
        <v>0</v>
      </c>
      <c r="J21" s="16"/>
      <c r="L21" s="43">
        <f>('TE BE'!$L$21+'TE BF'!$L$21+'TE CVA'!$L$21)*(1 - CUSTOS!$M$38)</f>
        <v>0</v>
      </c>
      <c r="M21" s="43">
        <f>('TE BE'!$M$21+'TE BF'!$M$21+'TE CVA'!$M$21)*(1 - CUSTOS!$M$38)</f>
        <v>15.080855083892512</v>
      </c>
      <c r="N21" s="43">
        <f>('TE BE'!$N$21+'TE BF'!$N$21+'TE CVA'!$N$21)*(1 - CUSTOS!$M$38)</f>
        <v>0</v>
      </c>
      <c r="O21" s="43">
        <f>('TE BE'!$O$21+'TE BF'!$O$21+'TE CVA'!$O$21)*(1 - CUSTOS!$M$38)</f>
        <v>0</v>
      </c>
      <c r="P21" s="43">
        <f>('TE BE'!$Q$21+'TE BF'!$Q$21+'TE CVA'!$Q$21)*(1 - CUSTOS!$M$38)</f>
        <v>191.22867255641592</v>
      </c>
      <c r="Q21" s="43">
        <f>('TE BE'!$S$21+'TE BF'!$S$21+'TE CVA'!$S$21)*(1 - CUSTOS!$M$38)</f>
        <v>0</v>
      </c>
      <c r="R21" s="43">
        <f>('TE BE'!$T$21+'TE BF'!$T$21+'TE CVA'!$T$21)*(1 - CUSTOS!$M$38)</f>
        <v>0</v>
      </c>
      <c r="S21" s="43">
        <f>('TE BE'!$U$21+'TE BF'!$U$21+'TE CVA'!$U$21)*(1 - CUSTOS!$M$38)</f>
        <v>0</v>
      </c>
      <c r="T21" s="43">
        <f>('TE BE'!$W$21+'TE BF'!$W$21+'TE CVA'!$W$21)*(1 - CUSTOS!$M$38)</f>
        <v>-1.7378923864532609</v>
      </c>
      <c r="U21" s="43">
        <f>('TE BE'!$Y$21+'TE BF'!$Y$21+'TE CVA'!$Y$21)*(1 - CUSTOS!$M$38)</f>
        <v>0</v>
      </c>
      <c r="W21" s="43">
        <v>0</v>
      </c>
      <c r="X21" s="43">
        <v>0</v>
      </c>
      <c r="Y21" s="43">
        <v>0</v>
      </c>
      <c r="Z21" s="43">
        <v>0</v>
      </c>
      <c r="AA21" s="43">
        <v>201.84850546963699</v>
      </c>
      <c r="AB21" s="43">
        <v>0</v>
      </c>
      <c r="AC21" s="43">
        <v>0</v>
      </c>
      <c r="AD21" s="43">
        <v>0</v>
      </c>
      <c r="AE21" s="43">
        <v>-4.97696287754151</v>
      </c>
      <c r="AF21" s="43">
        <v>0</v>
      </c>
    </row>
    <row r="22" spans="1:32" ht="11.25" customHeight="1" x14ac:dyDescent="0.25">
      <c r="A22" s="141"/>
      <c r="B22" s="141"/>
      <c r="C22" s="141"/>
      <c r="D22" s="141"/>
      <c r="E22" s="141"/>
      <c r="F22" s="141"/>
      <c r="G22" s="45" t="s">
        <v>75</v>
      </c>
      <c r="H22" s="45" t="s">
        <v>73</v>
      </c>
      <c r="I22" s="45">
        <f>'MERCADO TE'!$U$19</f>
        <v>0</v>
      </c>
      <c r="J22" s="16"/>
      <c r="L22" s="43">
        <f>('TE BE'!$L$22+'TE BF'!$L$22+'TE CVA'!$L$22)*(1 - CUSTOS!$M$38)</f>
        <v>0</v>
      </c>
      <c r="M22" s="43">
        <f>('TE BE'!$M$22+'TE BF'!$M$22+'TE CVA'!$M$22)*(1 - CUSTOS!$M$38)</f>
        <v>15.080855083892512</v>
      </c>
      <c r="N22" s="43">
        <f>('TE BE'!$N$22+'TE BF'!$N$22+'TE CVA'!$N$22)*(1 - CUSTOS!$M$38)</f>
        <v>0</v>
      </c>
      <c r="O22" s="43">
        <f>('TE BE'!$O$22+'TE BF'!$O$22+'TE CVA'!$O$22)*(1 - CUSTOS!$M$38)</f>
        <v>0</v>
      </c>
      <c r="P22" s="43">
        <f>('TE BE'!$Q$22+'TE BF'!$Q$22+'TE CVA'!$Q$22)*(1 - CUSTOS!$M$38)</f>
        <v>191.22867255641592</v>
      </c>
      <c r="Q22" s="43">
        <f>('TE BE'!$S$22+'TE BF'!$S$22+'TE CVA'!$S$22)*(1 - CUSTOS!$M$38)</f>
        <v>0</v>
      </c>
      <c r="R22" s="43">
        <f>('TE BE'!$T$22+'TE BF'!$T$22+'TE CVA'!$T$22)*(1 - CUSTOS!$M$38)</f>
        <v>0</v>
      </c>
      <c r="S22" s="43">
        <f>('TE BE'!$U$22+'TE BF'!$U$22+'TE CVA'!$U$22)*(1 - CUSTOS!$M$38)</f>
        <v>0</v>
      </c>
      <c r="T22" s="43">
        <f>('TE BE'!$W$22+'TE BF'!$W$22+'TE CVA'!$W$22)*(1 - CUSTOS!$M$38)</f>
        <v>-1.7378923864532609</v>
      </c>
      <c r="U22" s="43">
        <f>('TE BE'!$Y$22+'TE BF'!$Y$22+'TE CVA'!$Y$22)*(1 - CUSTOS!$M$38)</f>
        <v>0</v>
      </c>
      <c r="W22" s="43">
        <v>0</v>
      </c>
      <c r="X22" s="43">
        <v>0</v>
      </c>
      <c r="Y22" s="43">
        <v>0</v>
      </c>
      <c r="Z22" s="43">
        <v>0</v>
      </c>
      <c r="AA22" s="43">
        <v>201.84850546963699</v>
      </c>
      <c r="AB22" s="43">
        <v>0</v>
      </c>
      <c r="AC22" s="43">
        <v>0</v>
      </c>
      <c r="AD22" s="43">
        <v>0</v>
      </c>
      <c r="AE22" s="43">
        <v>-4.97696287754151</v>
      </c>
      <c r="AF22" s="43">
        <v>0</v>
      </c>
    </row>
    <row r="23" spans="1:32" ht="11.25" customHeight="1" x14ac:dyDescent="0.25">
      <c r="A23" s="141"/>
      <c r="B23" s="81" t="s">
        <v>86</v>
      </c>
      <c r="C23" s="81" t="s">
        <v>41</v>
      </c>
      <c r="D23" s="81" t="s">
        <v>25</v>
      </c>
      <c r="E23" s="81" t="s">
        <v>25</v>
      </c>
      <c r="F23" s="81" t="s">
        <v>25</v>
      </c>
      <c r="G23" s="45" t="s">
        <v>79</v>
      </c>
      <c r="H23" s="45" t="s">
        <v>73</v>
      </c>
      <c r="I23" s="45">
        <f>'MERCADO TE'!$U$20</f>
        <v>55907.260999999999</v>
      </c>
      <c r="J23" s="16"/>
      <c r="L23" s="43">
        <f>('TE BE'!$L$23+'TE BF'!$L$23+'TE CVA'!$L$23)*(1 - CUSTOS!$M$38)</f>
        <v>0</v>
      </c>
      <c r="M23" s="43">
        <f>('TE BE'!$M$23+'TE BF'!$M$23+'TE CVA'!$M$23)*(1 - CUSTOS!$M$38)</f>
        <v>15.080855083892512</v>
      </c>
      <c r="N23" s="43">
        <f>('TE BE'!$N$23+'TE BF'!$N$23+'TE CVA'!$N$23)*(1 - CUSTOS!$M$38)</f>
        <v>0</v>
      </c>
      <c r="O23" s="43">
        <f>('TE BE'!$O$23+'TE BF'!$O$23+'TE CVA'!$O$23)*(1 - CUSTOS!$M$38)</f>
        <v>0</v>
      </c>
      <c r="P23" s="43">
        <f>('TE BE'!$Q$23+'TE BF'!$Q$23+'TE CVA'!$Q$23)*(1 - CUSTOS!$M$38)</f>
        <v>191.22867255641592</v>
      </c>
      <c r="Q23" s="43">
        <f>('TE BE'!$S$23+'TE BF'!$S$23+'TE CVA'!$S$23)*(1 - CUSTOS!$M$38)</f>
        <v>0</v>
      </c>
      <c r="R23" s="43">
        <f>('TE BE'!$T$23+'TE BF'!$T$23+'TE CVA'!$T$23)*(1 - CUSTOS!$M$38)</f>
        <v>0</v>
      </c>
      <c r="S23" s="43">
        <f>('TE BE'!$U$23+'TE BF'!$U$23+'TE CVA'!$U$23)*(1 - CUSTOS!$M$38)</f>
        <v>0</v>
      </c>
      <c r="T23" s="43">
        <f>('TE BE'!$W$23+'TE BF'!$W$23+'TE CVA'!$W$23)*(1 - CUSTOS!$M$38)</f>
        <v>-1.7378923864532609</v>
      </c>
      <c r="U23" s="43">
        <f>('TE BE'!$Y$23+'TE BF'!$Y$23+'TE CVA'!$Y$23)*(1 - CUSTOS!$M$38)</f>
        <v>0</v>
      </c>
      <c r="W23" s="43">
        <v>0</v>
      </c>
      <c r="X23" s="43">
        <v>0</v>
      </c>
      <c r="Y23" s="43">
        <v>0</v>
      </c>
      <c r="Z23" s="43">
        <v>0</v>
      </c>
      <c r="AA23" s="43">
        <v>201.84850546963699</v>
      </c>
      <c r="AB23" s="43">
        <v>0</v>
      </c>
      <c r="AC23" s="43">
        <v>0</v>
      </c>
      <c r="AD23" s="43">
        <v>0</v>
      </c>
      <c r="AE23" s="43">
        <v>-4.97696287754151</v>
      </c>
      <c r="AF23" s="43">
        <v>0</v>
      </c>
    </row>
    <row r="24" spans="1:32" ht="11.25" customHeight="1" x14ac:dyDescent="0.25">
      <c r="A24" s="141"/>
      <c r="B24" s="141" t="s">
        <v>72</v>
      </c>
      <c r="C24" s="141" t="s">
        <v>41</v>
      </c>
      <c r="D24" s="141" t="s">
        <v>90</v>
      </c>
      <c r="E24" s="141" t="s">
        <v>25</v>
      </c>
      <c r="F24" s="141" t="s">
        <v>25</v>
      </c>
      <c r="G24" s="45" t="s">
        <v>74</v>
      </c>
      <c r="H24" s="45" t="s">
        <v>73</v>
      </c>
      <c r="I24" s="45">
        <f>'MERCADO TE'!$U$21</f>
        <v>0</v>
      </c>
      <c r="J24" s="16"/>
      <c r="L24" s="43">
        <f>('TE BE'!$L$24+'TE BF'!$L$24+'TE CVA'!$L$24)*(1 - CUSTOS!$M$39)</f>
        <v>0</v>
      </c>
      <c r="M24" s="43">
        <f>('TE BE'!$M$24+'TE BF'!$M$24+'TE CVA'!$M$24)*(1 - CUSTOS!$M$39)</f>
        <v>15.080855083892512</v>
      </c>
      <c r="N24" s="43">
        <f>('TE BE'!$N$24+'TE BF'!$N$24+'TE CVA'!$N$24)*(1 - CUSTOS!$M$39)</f>
        <v>0</v>
      </c>
      <c r="O24" s="43">
        <f>('TE BE'!$O$24+'TE BF'!$O$24+'TE CVA'!$O$24)*(1 - CUSTOS!$M$39)</f>
        <v>0</v>
      </c>
      <c r="P24" s="43">
        <f>('TE BE'!$Q$24+'TE BF'!$Q$24+'TE CVA'!$Q$24)*(1 - CUSTOS!$M$39)</f>
        <v>191.22867255641592</v>
      </c>
      <c r="Q24" s="43">
        <f>('TE BE'!$S$24+'TE BF'!$S$24+'TE CVA'!$S$24)*(1 - CUSTOS!$M$39)</f>
        <v>0</v>
      </c>
      <c r="R24" s="43">
        <f>('TE BE'!$T$24+'TE BF'!$T$24+'TE CVA'!$T$24)*(1 - CUSTOS!$M$39)</f>
        <v>0</v>
      </c>
      <c r="S24" s="43">
        <f>('TE BE'!$U$24+'TE BF'!$U$24+'TE CVA'!$U$24)*(1 - CUSTOS!$M$39)</f>
        <v>0</v>
      </c>
      <c r="T24" s="43">
        <f>('TE BE'!$W$24+'TE BF'!$W$24+'TE CVA'!$W$24)*(1 - CUSTOS!$M$39)</f>
        <v>-1.7378923864532609</v>
      </c>
      <c r="U24" s="43">
        <f>('TE BE'!$Y$24+'TE BF'!$Y$24+'TE CVA'!$Y$24)*(1 - CUSTOS!$M$39)</f>
        <v>0</v>
      </c>
      <c r="W24" s="43">
        <v>0</v>
      </c>
      <c r="X24" s="43">
        <v>0</v>
      </c>
      <c r="Y24" s="43">
        <v>0</v>
      </c>
      <c r="Z24" s="43">
        <v>0</v>
      </c>
      <c r="AA24" s="43">
        <v>201.84850546963699</v>
      </c>
      <c r="AB24" s="43">
        <v>0</v>
      </c>
      <c r="AC24" s="43">
        <v>0</v>
      </c>
      <c r="AD24" s="43">
        <v>0</v>
      </c>
      <c r="AE24" s="43">
        <v>-4.97696287754151</v>
      </c>
      <c r="AF24" s="43">
        <v>0</v>
      </c>
    </row>
    <row r="25" spans="1:32" ht="11.25" customHeight="1" x14ac:dyDescent="0.25">
      <c r="A25" s="141"/>
      <c r="B25" s="141"/>
      <c r="C25" s="141"/>
      <c r="D25" s="141"/>
      <c r="E25" s="141"/>
      <c r="F25" s="141"/>
      <c r="G25" s="45" t="s">
        <v>85</v>
      </c>
      <c r="H25" s="45" t="s">
        <v>73</v>
      </c>
      <c r="I25" s="45">
        <f>'MERCADO TE'!$U$22</f>
        <v>0</v>
      </c>
      <c r="J25" s="16"/>
      <c r="L25" s="43">
        <f>('TE BE'!$L$25+'TE BF'!$L$25+'TE CVA'!$L$25)*(1 - CUSTOS!$M$39)</f>
        <v>0</v>
      </c>
      <c r="M25" s="43">
        <f>('TE BE'!$M$25+'TE BF'!$M$25+'TE CVA'!$M$25)*(1 - CUSTOS!$M$39)</f>
        <v>15.080855083892512</v>
      </c>
      <c r="N25" s="43">
        <f>('TE BE'!$N$25+'TE BF'!$N$25+'TE CVA'!$N$25)*(1 - CUSTOS!$M$39)</f>
        <v>0</v>
      </c>
      <c r="O25" s="43">
        <f>('TE BE'!$O$25+'TE BF'!$O$25+'TE CVA'!$O$25)*(1 - CUSTOS!$M$39)</f>
        <v>0</v>
      </c>
      <c r="P25" s="43">
        <f>('TE BE'!$Q$25+'TE BF'!$Q$25+'TE CVA'!$Q$25)*(1 - CUSTOS!$M$39)</f>
        <v>191.22867255641592</v>
      </c>
      <c r="Q25" s="43">
        <f>('TE BE'!$S$25+'TE BF'!$S$25+'TE CVA'!$S$25)*(1 - CUSTOS!$M$39)</f>
        <v>0</v>
      </c>
      <c r="R25" s="43">
        <f>('TE BE'!$T$25+'TE BF'!$T$25+'TE CVA'!$T$25)*(1 - CUSTOS!$M$39)</f>
        <v>0</v>
      </c>
      <c r="S25" s="43">
        <f>('TE BE'!$U$25+'TE BF'!$U$25+'TE CVA'!$U$25)*(1 - CUSTOS!$M$39)</f>
        <v>0</v>
      </c>
      <c r="T25" s="43">
        <f>('TE BE'!$W$25+'TE BF'!$W$25+'TE CVA'!$W$25)*(1 - CUSTOS!$M$39)</f>
        <v>-1.7378923864532609</v>
      </c>
      <c r="U25" s="43">
        <f>('TE BE'!$Y$25+'TE BF'!$Y$25+'TE CVA'!$Y$25)*(1 - CUSTOS!$M$39)</f>
        <v>0</v>
      </c>
      <c r="W25" s="43">
        <v>0</v>
      </c>
      <c r="X25" s="43">
        <v>0</v>
      </c>
      <c r="Y25" s="43">
        <v>0</v>
      </c>
      <c r="Z25" s="43">
        <v>0</v>
      </c>
      <c r="AA25" s="43">
        <v>201.84850546963699</v>
      </c>
      <c r="AB25" s="43">
        <v>0</v>
      </c>
      <c r="AC25" s="43">
        <v>0</v>
      </c>
      <c r="AD25" s="43">
        <v>0</v>
      </c>
      <c r="AE25" s="43">
        <v>-4.97696287754151</v>
      </c>
      <c r="AF25" s="43">
        <v>0</v>
      </c>
    </row>
    <row r="26" spans="1:32" ht="11.25" customHeight="1" x14ac:dyDescent="0.25">
      <c r="A26" s="141"/>
      <c r="B26" s="141"/>
      <c r="C26" s="141"/>
      <c r="D26" s="141"/>
      <c r="E26" s="141"/>
      <c r="F26" s="141"/>
      <c r="G26" s="45" t="s">
        <v>75</v>
      </c>
      <c r="H26" s="45" t="s">
        <v>73</v>
      </c>
      <c r="I26" s="45">
        <f>'MERCADO TE'!$U$23</f>
        <v>0</v>
      </c>
      <c r="J26" s="16"/>
      <c r="L26" s="43">
        <f>('TE BE'!$L$26+'TE BF'!$L$26+'TE CVA'!$L$26)*(1 - CUSTOS!$M$39)</f>
        <v>0</v>
      </c>
      <c r="M26" s="43">
        <f>('TE BE'!$M$26+'TE BF'!$M$26+'TE CVA'!$M$26)*(1 - CUSTOS!$M$39)</f>
        <v>15.080855083892512</v>
      </c>
      <c r="N26" s="43">
        <f>('TE BE'!$N$26+'TE BF'!$N$26+'TE CVA'!$N$26)*(1 - CUSTOS!$M$39)</f>
        <v>0</v>
      </c>
      <c r="O26" s="43">
        <f>('TE BE'!$O$26+'TE BF'!$O$26+'TE CVA'!$O$26)*(1 - CUSTOS!$M$39)</f>
        <v>0</v>
      </c>
      <c r="P26" s="43">
        <f>('TE BE'!$Q$26+'TE BF'!$Q$26+'TE CVA'!$Q$26)*(1 - CUSTOS!$M$39)</f>
        <v>191.22867255641592</v>
      </c>
      <c r="Q26" s="43">
        <f>('TE BE'!$S$26+'TE BF'!$S$26+'TE CVA'!$S$26)*(1 - CUSTOS!$M$39)</f>
        <v>0</v>
      </c>
      <c r="R26" s="43">
        <f>('TE BE'!$T$26+'TE BF'!$T$26+'TE CVA'!$T$26)*(1 - CUSTOS!$M$39)</f>
        <v>0</v>
      </c>
      <c r="S26" s="43">
        <f>('TE BE'!$U$26+'TE BF'!$U$26+'TE CVA'!$U$26)*(1 - CUSTOS!$M$39)</f>
        <v>0</v>
      </c>
      <c r="T26" s="43">
        <f>('TE BE'!$W$26+'TE BF'!$W$26+'TE CVA'!$W$26)*(1 - CUSTOS!$M$39)</f>
        <v>-1.7378923864532609</v>
      </c>
      <c r="U26" s="43">
        <f>('TE BE'!$Y$26+'TE BF'!$Y$26+'TE CVA'!$Y$26)*(1 - CUSTOS!$M$39)</f>
        <v>0</v>
      </c>
      <c r="W26" s="43">
        <v>0</v>
      </c>
      <c r="X26" s="43">
        <v>0</v>
      </c>
      <c r="Y26" s="43">
        <v>0</v>
      </c>
      <c r="Z26" s="43">
        <v>0</v>
      </c>
      <c r="AA26" s="43">
        <v>201.84850546963699</v>
      </c>
      <c r="AB26" s="43">
        <v>0</v>
      </c>
      <c r="AC26" s="43">
        <v>0</v>
      </c>
      <c r="AD26" s="43">
        <v>0</v>
      </c>
      <c r="AE26" s="43">
        <v>-4.97696287754151</v>
      </c>
      <c r="AF26" s="43">
        <v>0</v>
      </c>
    </row>
    <row r="27" spans="1:32" ht="11.25" customHeight="1" x14ac:dyDescent="0.25">
      <c r="A27" s="141"/>
      <c r="B27" s="81" t="s">
        <v>86</v>
      </c>
      <c r="C27" s="81" t="s">
        <v>41</v>
      </c>
      <c r="D27" s="81" t="s">
        <v>90</v>
      </c>
      <c r="E27" s="81" t="s">
        <v>25</v>
      </c>
      <c r="F27" s="81" t="s">
        <v>25</v>
      </c>
      <c r="G27" s="45" t="s">
        <v>79</v>
      </c>
      <c r="H27" s="45" t="s">
        <v>73</v>
      </c>
      <c r="I27" s="45">
        <f>'MERCADO TE'!$U$24</f>
        <v>0</v>
      </c>
      <c r="J27" s="16"/>
      <c r="L27" s="43">
        <f>('TE BE'!$L$27+'TE BF'!$L$27+'TE CVA'!$L$27)*(1 - CUSTOS!$M$39)</f>
        <v>0</v>
      </c>
      <c r="M27" s="43">
        <f>('TE BE'!$M$27+'TE BF'!$M$27+'TE CVA'!$M$27)*(1 - CUSTOS!$M$39)</f>
        <v>15.080855083892512</v>
      </c>
      <c r="N27" s="43">
        <f>('TE BE'!$N$27+'TE BF'!$N$27+'TE CVA'!$N$27)*(1 - CUSTOS!$M$39)</f>
        <v>0</v>
      </c>
      <c r="O27" s="43">
        <f>('TE BE'!$O$27+'TE BF'!$O$27+'TE CVA'!$O$27)*(1 - CUSTOS!$M$39)</f>
        <v>0</v>
      </c>
      <c r="P27" s="43">
        <f>('TE BE'!$Q$27+'TE BF'!$Q$27+'TE CVA'!$Q$27)*(1 - CUSTOS!$M$39)</f>
        <v>191.22867255641592</v>
      </c>
      <c r="Q27" s="43">
        <f>('TE BE'!$S$27+'TE BF'!$S$27+'TE CVA'!$S$27)*(1 - CUSTOS!$M$39)</f>
        <v>0</v>
      </c>
      <c r="R27" s="43">
        <f>('TE BE'!$T$27+'TE BF'!$T$27+'TE CVA'!$T$27)*(1 - CUSTOS!$M$39)</f>
        <v>0</v>
      </c>
      <c r="S27" s="43">
        <f>('TE BE'!$U$27+'TE BF'!$U$27+'TE CVA'!$U$27)*(1 - CUSTOS!$M$39)</f>
        <v>0</v>
      </c>
      <c r="T27" s="43">
        <f>('TE BE'!$W$27+'TE BF'!$W$27+'TE CVA'!$W$27)*(1 - CUSTOS!$M$39)</f>
        <v>-1.7378923864532609</v>
      </c>
      <c r="U27" s="43">
        <f>('TE BE'!$Y$27+'TE BF'!$Y$27+'TE CVA'!$Y$27)*(1 - CUSTOS!$M$39)</f>
        <v>0</v>
      </c>
      <c r="W27" s="43">
        <v>0</v>
      </c>
      <c r="X27" s="43">
        <v>0</v>
      </c>
      <c r="Y27" s="43">
        <v>0</v>
      </c>
      <c r="Z27" s="43">
        <v>0</v>
      </c>
      <c r="AA27" s="43">
        <v>201.84850546963699</v>
      </c>
      <c r="AB27" s="43">
        <v>0</v>
      </c>
      <c r="AC27" s="43">
        <v>0</v>
      </c>
      <c r="AD27" s="43">
        <v>0</v>
      </c>
      <c r="AE27" s="43">
        <v>-4.97696287754151</v>
      </c>
      <c r="AF27" s="43">
        <v>0</v>
      </c>
    </row>
    <row r="28" spans="1:32" ht="11.25" customHeight="1" x14ac:dyDescent="0.25">
      <c r="A28" s="141"/>
      <c r="B28" s="141" t="s">
        <v>72</v>
      </c>
      <c r="C28" s="141" t="s">
        <v>41</v>
      </c>
      <c r="D28" s="141" t="s">
        <v>91</v>
      </c>
      <c r="E28" s="141" t="s">
        <v>25</v>
      </c>
      <c r="F28" s="141" t="s">
        <v>25</v>
      </c>
      <c r="G28" s="45" t="s">
        <v>74</v>
      </c>
      <c r="H28" s="45" t="s">
        <v>73</v>
      </c>
      <c r="I28" s="45">
        <f>'MERCADO TE'!$U$25</f>
        <v>0</v>
      </c>
      <c r="J28" s="16"/>
      <c r="L28" s="43">
        <f>('TE BE'!$L$28+'TE BF'!$L$28+'TE CVA'!$L$28)*(1 - CUSTOS!$M$40)</f>
        <v>0</v>
      </c>
      <c r="M28" s="43">
        <f>('TE BE'!$M$28+'TE BF'!$M$28+'TE CVA'!$M$28)*(1 - CUSTOS!$M$40)</f>
        <v>14.759985826788418</v>
      </c>
      <c r="N28" s="43">
        <f>('TE BE'!$N$28+'TE BF'!$N$28+'TE CVA'!$N$28)*(1 - CUSTOS!$M$40)</f>
        <v>0</v>
      </c>
      <c r="O28" s="43">
        <f>('TE BE'!$O$28+'TE BF'!$O$28+'TE CVA'!$O$28)*(1 - CUSTOS!$M$40)</f>
        <v>0</v>
      </c>
      <c r="P28" s="43">
        <f>('TE BE'!$Q$28+'TE BF'!$Q$28+'TE CVA'!$Q$28)*(1 - CUSTOS!$M$40)</f>
        <v>187.15997739564114</v>
      </c>
      <c r="Q28" s="43">
        <f>('TE BE'!$S$28+'TE BF'!$S$28+'TE CVA'!$S$28)*(1 - CUSTOS!$M$40)</f>
        <v>0</v>
      </c>
      <c r="R28" s="43">
        <f>('TE BE'!$T$28+'TE BF'!$T$28+'TE CVA'!$T$28)*(1 - CUSTOS!$M$40)</f>
        <v>0</v>
      </c>
      <c r="S28" s="43">
        <f>('TE BE'!$U$28+'TE BF'!$U$28+'TE CVA'!$U$28)*(1 - CUSTOS!$M$40)</f>
        <v>0</v>
      </c>
      <c r="T28" s="43">
        <f>('TE BE'!$W$28+'TE BF'!$W$28+'TE CVA'!$W$28)*(1 - CUSTOS!$M$40)</f>
        <v>-1.7009159526989364</v>
      </c>
      <c r="U28" s="43">
        <f>('TE BE'!$Y$28+'TE BF'!$Y$28+'TE CVA'!$Y$28)*(1 - CUSTOS!$M$40)</f>
        <v>0</v>
      </c>
      <c r="W28" s="43">
        <v>0</v>
      </c>
      <c r="X28" s="43">
        <v>0</v>
      </c>
      <c r="Y28" s="43">
        <v>0</v>
      </c>
      <c r="Z28" s="43">
        <v>0</v>
      </c>
      <c r="AA28" s="43">
        <v>192.67357340283601</v>
      </c>
      <c r="AB28" s="43">
        <v>0</v>
      </c>
      <c r="AC28" s="43">
        <v>0</v>
      </c>
      <c r="AD28" s="43">
        <v>0</v>
      </c>
      <c r="AE28" s="43">
        <v>-4.7507372921987097</v>
      </c>
      <c r="AF28" s="43">
        <v>0</v>
      </c>
    </row>
    <row r="29" spans="1:32" ht="11.25" customHeight="1" x14ac:dyDescent="0.25">
      <c r="A29" s="141"/>
      <c r="B29" s="141"/>
      <c r="C29" s="141"/>
      <c r="D29" s="141"/>
      <c r="E29" s="141"/>
      <c r="F29" s="141"/>
      <c r="G29" s="45" t="s">
        <v>85</v>
      </c>
      <c r="H29" s="45" t="s">
        <v>73</v>
      </c>
      <c r="I29" s="45">
        <f>'MERCADO TE'!$U$26</f>
        <v>0</v>
      </c>
      <c r="J29" s="16"/>
      <c r="L29" s="43">
        <f>('TE BE'!$L$29+'TE BF'!$L$29+'TE CVA'!$L$29)*(1 - CUSTOS!$M$40)</f>
        <v>0</v>
      </c>
      <c r="M29" s="43">
        <f>('TE BE'!$M$29+'TE BF'!$M$29+'TE CVA'!$M$29)*(1 - CUSTOS!$M$40)</f>
        <v>14.759985826788418</v>
      </c>
      <c r="N29" s="43">
        <f>('TE BE'!$N$29+'TE BF'!$N$29+'TE CVA'!$N$29)*(1 - CUSTOS!$M$40)</f>
        <v>0</v>
      </c>
      <c r="O29" s="43">
        <f>('TE BE'!$O$29+'TE BF'!$O$29+'TE CVA'!$O$29)*(1 - CUSTOS!$M$40)</f>
        <v>0</v>
      </c>
      <c r="P29" s="43">
        <f>('TE BE'!$Q$29+'TE BF'!$Q$29+'TE CVA'!$Q$29)*(1 - CUSTOS!$M$40)</f>
        <v>187.15997739564114</v>
      </c>
      <c r="Q29" s="43">
        <f>('TE BE'!$S$29+'TE BF'!$S$29+'TE CVA'!$S$29)*(1 - CUSTOS!$M$40)</f>
        <v>0</v>
      </c>
      <c r="R29" s="43">
        <f>('TE BE'!$T$29+'TE BF'!$T$29+'TE CVA'!$T$29)*(1 - CUSTOS!$M$40)</f>
        <v>0</v>
      </c>
      <c r="S29" s="43">
        <f>('TE BE'!$U$29+'TE BF'!$U$29+'TE CVA'!$U$29)*(1 - CUSTOS!$M$40)</f>
        <v>0</v>
      </c>
      <c r="T29" s="43">
        <f>('TE BE'!$W$29+'TE BF'!$W$29+'TE CVA'!$W$29)*(1 - CUSTOS!$M$40)</f>
        <v>-1.7009159526989364</v>
      </c>
      <c r="U29" s="43">
        <f>('TE BE'!$Y$29+'TE BF'!$Y$29+'TE CVA'!$Y$29)*(1 - CUSTOS!$M$40)</f>
        <v>0</v>
      </c>
      <c r="W29" s="43">
        <v>0</v>
      </c>
      <c r="X29" s="43">
        <v>0</v>
      </c>
      <c r="Y29" s="43">
        <v>0</v>
      </c>
      <c r="Z29" s="43">
        <v>0</v>
      </c>
      <c r="AA29" s="43">
        <v>192.67357340283601</v>
      </c>
      <c r="AB29" s="43">
        <v>0</v>
      </c>
      <c r="AC29" s="43">
        <v>0</v>
      </c>
      <c r="AD29" s="43">
        <v>0</v>
      </c>
      <c r="AE29" s="43">
        <v>-4.7507372921987097</v>
      </c>
      <c r="AF29" s="43">
        <v>0</v>
      </c>
    </row>
    <row r="30" spans="1:32" ht="11.25" customHeight="1" x14ac:dyDescent="0.25">
      <c r="A30" s="141"/>
      <c r="B30" s="141"/>
      <c r="C30" s="141"/>
      <c r="D30" s="141"/>
      <c r="E30" s="141"/>
      <c r="F30" s="141"/>
      <c r="G30" s="45" t="s">
        <v>75</v>
      </c>
      <c r="H30" s="45" t="s">
        <v>73</v>
      </c>
      <c r="I30" s="45">
        <f>'MERCADO TE'!$U$27</f>
        <v>0</v>
      </c>
      <c r="J30" s="16"/>
      <c r="L30" s="43">
        <f>('TE BE'!$L$30+'TE BF'!$L$30+'TE CVA'!$L$30)*(1 - CUSTOS!$M$40)</f>
        <v>0</v>
      </c>
      <c r="M30" s="43">
        <f>('TE BE'!$M$30+'TE BF'!$M$30+'TE CVA'!$M$30)*(1 - CUSTOS!$M$40)</f>
        <v>14.759985826788418</v>
      </c>
      <c r="N30" s="43">
        <f>('TE BE'!$N$30+'TE BF'!$N$30+'TE CVA'!$N$30)*(1 - CUSTOS!$M$40)</f>
        <v>0</v>
      </c>
      <c r="O30" s="43">
        <f>('TE BE'!$O$30+'TE BF'!$O$30+'TE CVA'!$O$30)*(1 - CUSTOS!$M$40)</f>
        <v>0</v>
      </c>
      <c r="P30" s="43">
        <f>('TE BE'!$Q$30+'TE BF'!$Q$30+'TE CVA'!$Q$30)*(1 - CUSTOS!$M$40)</f>
        <v>187.15997739564114</v>
      </c>
      <c r="Q30" s="43">
        <f>('TE BE'!$S$30+'TE BF'!$S$30+'TE CVA'!$S$30)*(1 - CUSTOS!$M$40)</f>
        <v>0</v>
      </c>
      <c r="R30" s="43">
        <f>('TE BE'!$T$30+'TE BF'!$T$30+'TE CVA'!$T$30)*(1 - CUSTOS!$M$40)</f>
        <v>0</v>
      </c>
      <c r="S30" s="43">
        <f>('TE BE'!$U$30+'TE BF'!$U$30+'TE CVA'!$U$30)*(1 - CUSTOS!$M$40)</f>
        <v>0</v>
      </c>
      <c r="T30" s="43">
        <f>('TE BE'!$W$30+'TE BF'!$W$30+'TE CVA'!$W$30)*(1 - CUSTOS!$M$40)</f>
        <v>-1.7009159526989364</v>
      </c>
      <c r="U30" s="43">
        <f>('TE BE'!$Y$30+'TE BF'!$Y$30+'TE CVA'!$Y$30)*(1 - CUSTOS!$M$40)</f>
        <v>0</v>
      </c>
      <c r="W30" s="43">
        <v>0</v>
      </c>
      <c r="X30" s="43">
        <v>0</v>
      </c>
      <c r="Y30" s="43">
        <v>0</v>
      </c>
      <c r="Z30" s="43">
        <v>0</v>
      </c>
      <c r="AA30" s="43">
        <v>192.67357340283601</v>
      </c>
      <c r="AB30" s="43">
        <v>0</v>
      </c>
      <c r="AC30" s="43">
        <v>0</v>
      </c>
      <c r="AD30" s="43">
        <v>0</v>
      </c>
      <c r="AE30" s="43">
        <v>-4.7507372921987097</v>
      </c>
      <c r="AF30" s="43">
        <v>0</v>
      </c>
    </row>
    <row r="31" spans="1:32" ht="11.25" customHeight="1" x14ac:dyDescent="0.25">
      <c r="A31" s="141"/>
      <c r="B31" s="81" t="s">
        <v>86</v>
      </c>
      <c r="C31" s="81" t="s">
        <v>41</v>
      </c>
      <c r="D31" s="81" t="s">
        <v>91</v>
      </c>
      <c r="E31" s="81" t="s">
        <v>25</v>
      </c>
      <c r="F31" s="81" t="s">
        <v>25</v>
      </c>
      <c r="G31" s="45" t="s">
        <v>79</v>
      </c>
      <c r="H31" s="45" t="s">
        <v>73</v>
      </c>
      <c r="I31" s="45">
        <f>'MERCADO TE'!$U$28</f>
        <v>0</v>
      </c>
      <c r="J31" s="16"/>
      <c r="L31" s="43">
        <f>('TE BE'!$L$31+'TE BF'!$L$31+'TE CVA'!$L$31)*(1 - CUSTOS!$M$40)</f>
        <v>0</v>
      </c>
      <c r="M31" s="43">
        <f>('TE BE'!$M$31+'TE BF'!$M$31+'TE CVA'!$M$31)*(1 - CUSTOS!$M$40)</f>
        <v>14.759985826788418</v>
      </c>
      <c r="N31" s="43">
        <f>('TE BE'!$N$31+'TE BF'!$N$31+'TE CVA'!$N$31)*(1 - CUSTOS!$M$40)</f>
        <v>0</v>
      </c>
      <c r="O31" s="43">
        <f>('TE BE'!$O$31+'TE BF'!$O$31+'TE CVA'!$O$31)*(1 - CUSTOS!$M$40)</f>
        <v>0</v>
      </c>
      <c r="P31" s="43">
        <f>('TE BE'!$Q$31+'TE BF'!$Q$31+'TE CVA'!$Q$31)*(1 - CUSTOS!$M$40)</f>
        <v>187.15997739564114</v>
      </c>
      <c r="Q31" s="43">
        <f>('TE BE'!$S$31+'TE BF'!$S$31+'TE CVA'!$S$31)*(1 - CUSTOS!$M$40)</f>
        <v>0</v>
      </c>
      <c r="R31" s="43">
        <f>('TE BE'!$T$31+'TE BF'!$T$31+'TE CVA'!$T$31)*(1 - CUSTOS!$M$40)</f>
        <v>0</v>
      </c>
      <c r="S31" s="43">
        <f>('TE BE'!$U$31+'TE BF'!$U$31+'TE CVA'!$U$31)*(1 - CUSTOS!$M$40)</f>
        <v>0</v>
      </c>
      <c r="T31" s="43">
        <f>('TE BE'!$W$31+'TE BF'!$W$31+'TE CVA'!$W$31)*(1 - CUSTOS!$M$40)</f>
        <v>-1.7009159526989364</v>
      </c>
      <c r="U31" s="43">
        <f>('TE BE'!$Y$31+'TE BF'!$Y$31+'TE CVA'!$Y$31)*(1 - CUSTOS!$M$40)</f>
        <v>0</v>
      </c>
      <c r="W31" s="43">
        <v>0</v>
      </c>
      <c r="X31" s="43">
        <v>0</v>
      </c>
      <c r="Y31" s="43">
        <v>0</v>
      </c>
      <c r="Z31" s="43">
        <v>0</v>
      </c>
      <c r="AA31" s="43">
        <v>192.67357340283601</v>
      </c>
      <c r="AB31" s="43">
        <v>0</v>
      </c>
      <c r="AC31" s="43">
        <v>0</v>
      </c>
      <c r="AD31" s="43">
        <v>0</v>
      </c>
      <c r="AE31" s="43">
        <v>-4.7507372921987097</v>
      </c>
      <c r="AF31" s="43">
        <v>0</v>
      </c>
    </row>
    <row r="32" spans="1:32" ht="11.25" customHeight="1" x14ac:dyDescent="0.25">
      <c r="A32" s="141"/>
      <c r="B32" s="141" t="s">
        <v>88</v>
      </c>
      <c r="C32" s="141" t="s">
        <v>41</v>
      </c>
      <c r="D32" s="81" t="s">
        <v>25</v>
      </c>
      <c r="E32" s="81" t="s">
        <v>25</v>
      </c>
      <c r="F32" s="81" t="s">
        <v>25</v>
      </c>
      <c r="G32" s="45" t="s">
        <v>79</v>
      </c>
      <c r="H32" s="45" t="s">
        <v>73</v>
      </c>
      <c r="I32" s="45">
        <f>'MERCADO TE'!$U$29</f>
        <v>0</v>
      </c>
      <c r="J32" s="16"/>
      <c r="L32" s="43">
        <f>('TE BE'!$L$32+'TE BF'!$L$32+'TE CVA'!$L$32)*(1 - CUSTOS!$M$38)</f>
        <v>0</v>
      </c>
      <c r="M32" s="43">
        <f>('TE BE'!$M$32+'TE BF'!$M$32+'TE CVA'!$M$32)*(1 - CUSTOS!$M$38)</f>
        <v>15.080855083892512</v>
      </c>
      <c r="N32" s="43">
        <f>('TE BE'!$N$32+'TE BF'!$N$32+'TE CVA'!$N$32)*(1 - CUSTOS!$M$38)</f>
        <v>0</v>
      </c>
      <c r="O32" s="43">
        <f>('TE BE'!$O$32+'TE BF'!$O$32+'TE CVA'!$O$32)*(1 - CUSTOS!$M$38)</f>
        <v>0</v>
      </c>
      <c r="P32" s="43">
        <f>('TE BE'!$Q$32+'TE BF'!$Q$32+'TE CVA'!$Q$32)*(1 - CUSTOS!$M$38)</f>
        <v>191.22867255641592</v>
      </c>
      <c r="Q32" s="43">
        <f>('TE BE'!$S$32+'TE BF'!$S$32+'TE CVA'!$S$32)*(1 - CUSTOS!$M$38)</f>
        <v>0</v>
      </c>
      <c r="R32" s="43">
        <f>('TE BE'!$T$32+'TE BF'!$T$32+'TE CVA'!$T$32)*(1 - CUSTOS!$M$38)</f>
        <v>0</v>
      </c>
      <c r="S32" s="43">
        <f>('TE BE'!$U$32+'TE BF'!$U$32+'TE CVA'!$U$32)*(1 - CUSTOS!$M$38)</f>
        <v>0</v>
      </c>
      <c r="T32" s="43">
        <f>('TE BE'!$W$32+'TE BF'!$W$32+'TE CVA'!$W$32)*(1 - CUSTOS!$M$38)</f>
        <v>-1.7378923864532609</v>
      </c>
      <c r="U32" s="43">
        <f>('TE BE'!$Y$32+'TE BF'!$Y$32+'TE CVA'!$Y$32)*(1 - CUSTOS!$M$38)</f>
        <v>0</v>
      </c>
      <c r="W32" s="43">
        <v>0</v>
      </c>
      <c r="X32" s="43">
        <v>0</v>
      </c>
      <c r="Y32" s="43">
        <v>0</v>
      </c>
      <c r="Z32" s="43">
        <v>0</v>
      </c>
      <c r="AA32" s="43">
        <v>201.84850546963699</v>
      </c>
      <c r="AB32" s="43">
        <v>0</v>
      </c>
      <c r="AC32" s="43">
        <v>0</v>
      </c>
      <c r="AD32" s="43">
        <v>0</v>
      </c>
      <c r="AE32" s="43">
        <v>-4.97696287754151</v>
      </c>
      <c r="AF32" s="43">
        <v>0</v>
      </c>
    </row>
    <row r="33" spans="1:32" ht="11.25" customHeight="1" x14ac:dyDescent="0.25">
      <c r="A33" s="141"/>
      <c r="B33" s="141"/>
      <c r="C33" s="141"/>
      <c r="D33" s="81" t="s">
        <v>90</v>
      </c>
      <c r="E33" s="81" t="s">
        <v>25</v>
      </c>
      <c r="F33" s="81" t="s">
        <v>25</v>
      </c>
      <c r="G33" s="45" t="s">
        <v>79</v>
      </c>
      <c r="H33" s="45" t="s">
        <v>73</v>
      </c>
      <c r="I33" s="45">
        <f>'MERCADO TE'!$U$30</f>
        <v>0</v>
      </c>
      <c r="J33" s="16"/>
      <c r="L33" s="43">
        <f>('TE BE'!$L$33+'TE BF'!$L$33+'TE CVA'!$L$33)*(1 - CUSTOS!$M$39)</f>
        <v>0</v>
      </c>
      <c r="M33" s="43">
        <f>('TE BE'!$M$33+'TE BF'!$M$33+'TE CVA'!$M$33)*(1 - CUSTOS!$M$39)</f>
        <v>15.080855083892512</v>
      </c>
      <c r="N33" s="43">
        <f>('TE BE'!$N$33+'TE BF'!$N$33+'TE CVA'!$N$33)*(1 - CUSTOS!$M$39)</f>
        <v>0</v>
      </c>
      <c r="O33" s="43">
        <f>('TE BE'!$O$33+'TE BF'!$O$33+'TE CVA'!$O$33)*(1 - CUSTOS!$M$39)</f>
        <v>0</v>
      </c>
      <c r="P33" s="43">
        <f>('TE BE'!$Q$33+'TE BF'!$Q$33+'TE CVA'!$Q$33)*(1 - CUSTOS!$M$39)</f>
        <v>191.22867255641592</v>
      </c>
      <c r="Q33" s="43">
        <f>('TE BE'!$S$33+'TE BF'!$S$33+'TE CVA'!$S$33)*(1 - CUSTOS!$M$39)</f>
        <v>0</v>
      </c>
      <c r="R33" s="43">
        <f>('TE BE'!$T$33+'TE BF'!$T$33+'TE CVA'!$T$33)*(1 - CUSTOS!$M$39)</f>
        <v>0</v>
      </c>
      <c r="S33" s="43">
        <f>('TE BE'!$U$33+'TE BF'!$U$33+'TE CVA'!$U$33)*(1 - CUSTOS!$M$39)</f>
        <v>0</v>
      </c>
      <c r="T33" s="43">
        <f>('TE BE'!$W$33+'TE BF'!$W$33+'TE CVA'!$W$33)*(1 - CUSTOS!$M$39)</f>
        <v>-1.7378923864532609</v>
      </c>
      <c r="U33" s="43">
        <f>('TE BE'!$Y$33+'TE BF'!$Y$33+'TE CVA'!$Y$33)*(1 - CUSTOS!$M$39)</f>
        <v>0</v>
      </c>
      <c r="W33" s="43">
        <v>0</v>
      </c>
      <c r="X33" s="43">
        <v>0</v>
      </c>
      <c r="Y33" s="43">
        <v>0</v>
      </c>
      <c r="Z33" s="43">
        <v>0</v>
      </c>
      <c r="AA33" s="43">
        <v>201.84850546963699</v>
      </c>
      <c r="AB33" s="43">
        <v>0</v>
      </c>
      <c r="AC33" s="43">
        <v>0</v>
      </c>
      <c r="AD33" s="43">
        <v>0</v>
      </c>
      <c r="AE33" s="43">
        <v>-4.97696287754151</v>
      </c>
      <c r="AF33" s="43">
        <v>0</v>
      </c>
    </row>
    <row r="34" spans="1:32" ht="11.25" customHeight="1" x14ac:dyDescent="0.25">
      <c r="A34" s="141"/>
      <c r="B34" s="141"/>
      <c r="C34" s="141"/>
      <c r="D34" s="81" t="s">
        <v>91</v>
      </c>
      <c r="E34" s="81" t="s">
        <v>25</v>
      </c>
      <c r="F34" s="81" t="s">
        <v>25</v>
      </c>
      <c r="G34" s="45" t="s">
        <v>79</v>
      </c>
      <c r="H34" s="45" t="s">
        <v>73</v>
      </c>
      <c r="I34" s="45">
        <f>'MERCADO TE'!$U$31</f>
        <v>0</v>
      </c>
      <c r="J34" s="16"/>
      <c r="L34" s="43">
        <f>('TE BE'!$L$34+'TE BF'!$L$34+'TE CVA'!$L$34)*(1 - CUSTOS!$M$40)</f>
        <v>0</v>
      </c>
      <c r="M34" s="43">
        <f>('TE BE'!$M$34+'TE BF'!$M$34+'TE CVA'!$M$34)*(1 - CUSTOS!$M$40)</f>
        <v>14.759985826788418</v>
      </c>
      <c r="N34" s="43">
        <f>('TE BE'!$N$34+'TE BF'!$N$34+'TE CVA'!$N$34)*(1 - CUSTOS!$M$40)</f>
        <v>0</v>
      </c>
      <c r="O34" s="43">
        <f>('TE BE'!$O$34+'TE BF'!$O$34+'TE CVA'!$O$34)*(1 - CUSTOS!$M$40)</f>
        <v>0</v>
      </c>
      <c r="P34" s="43">
        <f>('TE BE'!$Q$34+'TE BF'!$Q$34+'TE CVA'!$Q$34)*(1 - CUSTOS!$M$40)</f>
        <v>187.15997739564114</v>
      </c>
      <c r="Q34" s="43">
        <f>('TE BE'!$S$34+'TE BF'!$S$34+'TE CVA'!$S$34)*(1 - CUSTOS!$M$40)</f>
        <v>0</v>
      </c>
      <c r="R34" s="43">
        <f>('TE BE'!$T$34+'TE BF'!$T$34+'TE CVA'!$T$34)*(1 - CUSTOS!$M$40)</f>
        <v>0</v>
      </c>
      <c r="S34" s="43">
        <f>('TE BE'!$U$34+'TE BF'!$U$34+'TE CVA'!$U$34)*(1 - CUSTOS!$M$40)</f>
        <v>0</v>
      </c>
      <c r="T34" s="43">
        <f>('TE BE'!$W$34+'TE BF'!$W$34+'TE CVA'!$W$34)*(1 - CUSTOS!$M$40)</f>
        <v>-1.7009159526989364</v>
      </c>
      <c r="U34" s="43">
        <f>('TE BE'!$Y$34+'TE BF'!$Y$34+'TE CVA'!$Y$34)*(1 - CUSTOS!$M$40)</f>
        <v>0</v>
      </c>
      <c r="W34" s="43">
        <v>0</v>
      </c>
      <c r="X34" s="43">
        <v>0</v>
      </c>
      <c r="Y34" s="43">
        <v>0</v>
      </c>
      <c r="Z34" s="43">
        <v>0</v>
      </c>
      <c r="AA34" s="43">
        <v>192.67357340283601</v>
      </c>
      <c r="AB34" s="43">
        <v>0</v>
      </c>
      <c r="AC34" s="43">
        <v>0</v>
      </c>
      <c r="AD34" s="43">
        <v>0</v>
      </c>
      <c r="AE34" s="43">
        <v>-4.7507372921987097</v>
      </c>
      <c r="AF34" s="43">
        <v>0</v>
      </c>
    </row>
    <row r="35" spans="1:32" ht="11.25" customHeight="1" x14ac:dyDescent="0.25">
      <c r="A35" s="141" t="s">
        <v>37</v>
      </c>
      <c r="B35" s="141" t="s">
        <v>72</v>
      </c>
      <c r="C35" s="141" t="s">
        <v>25</v>
      </c>
      <c r="D35" s="141" t="s">
        <v>25</v>
      </c>
      <c r="E35" s="141" t="s">
        <v>25</v>
      </c>
      <c r="F35" s="141" t="s">
        <v>25</v>
      </c>
      <c r="G35" s="45" t="s">
        <v>74</v>
      </c>
      <c r="H35" s="45" t="s">
        <v>73</v>
      </c>
      <c r="I35" s="45">
        <f>'MERCADO TE'!$U$32</f>
        <v>0</v>
      </c>
      <c r="J35" s="16"/>
      <c r="L35" s="43">
        <f>('TE BE'!$L$35+'TE BF'!$L$35+'TE CVA'!$L$35)*1</f>
        <v>0</v>
      </c>
      <c r="M35" s="43">
        <f>('TE BE'!$M$35+'TE BF'!$M$35+'TE CVA'!$M$35)*1</f>
        <v>16.043462855204801</v>
      </c>
      <c r="N35" s="43">
        <f>('TE BE'!$N$35+'TE BF'!$N$35+'TE CVA'!$N$35)*1</f>
        <v>0</v>
      </c>
      <c r="O35" s="43">
        <f>('TE BE'!$O$35+'TE BF'!$O$35+'TE CVA'!$O$35)*1</f>
        <v>0</v>
      </c>
      <c r="P35" s="43">
        <f>('TE BE'!$Q$35+'TE BF'!$Q$35+'TE CVA'!$Q$35)*1</f>
        <v>203.43475803874034</v>
      </c>
      <c r="Q35" s="43">
        <f>('TE BE'!$S$35+'TE BF'!$S$35+'TE CVA'!$S$35)*1</f>
        <v>0</v>
      </c>
      <c r="R35" s="43">
        <f>('TE BE'!$T$35+'TE BF'!$T$35+'TE CVA'!$T$35)*1</f>
        <v>0</v>
      </c>
      <c r="S35" s="43">
        <f>('TE BE'!$U$35+'TE BF'!$U$35+'TE CVA'!$U$35)*1</f>
        <v>0</v>
      </c>
      <c r="T35" s="43">
        <f>('TE BE'!$W$35+'TE BF'!$W$35+'TE CVA'!$W$35)*1</f>
        <v>-1.8488216877162351</v>
      </c>
      <c r="U35" s="43">
        <f>('TE BE'!$Y$35+'TE BF'!$Y$35+'TE CVA'!$Y$35)*1</f>
        <v>0</v>
      </c>
      <c r="W35" s="43">
        <v>0</v>
      </c>
      <c r="X35" s="43">
        <v>0</v>
      </c>
      <c r="Y35" s="43">
        <v>0</v>
      </c>
      <c r="Z35" s="43">
        <v>0</v>
      </c>
      <c r="AA35" s="43">
        <v>229.37330167004299</v>
      </c>
      <c r="AB35" s="43">
        <v>0</v>
      </c>
      <c r="AC35" s="43">
        <v>0</v>
      </c>
      <c r="AD35" s="43">
        <v>0</v>
      </c>
      <c r="AE35" s="43">
        <v>-5.6556396335699004</v>
      </c>
      <c r="AF35" s="43">
        <v>0</v>
      </c>
    </row>
    <row r="36" spans="1:32" ht="11.25" customHeight="1" x14ac:dyDescent="0.25">
      <c r="A36" s="141"/>
      <c r="B36" s="141"/>
      <c r="C36" s="141"/>
      <c r="D36" s="141"/>
      <c r="E36" s="141"/>
      <c r="F36" s="141"/>
      <c r="G36" s="45" t="s">
        <v>85</v>
      </c>
      <c r="H36" s="45" t="s">
        <v>73</v>
      </c>
      <c r="I36" s="45">
        <f>'MERCADO TE'!$U$33</f>
        <v>0</v>
      </c>
      <c r="J36" s="16"/>
      <c r="L36" s="43">
        <f>('TE BE'!$L$36+'TE BF'!$L$36+'TE CVA'!$L$36)*1</f>
        <v>0</v>
      </c>
      <c r="M36" s="43">
        <f>('TE BE'!$M$36+'TE BF'!$M$36+'TE CVA'!$M$36)*1</f>
        <v>16.043462855204801</v>
      </c>
      <c r="N36" s="43">
        <f>('TE BE'!$N$36+'TE BF'!$N$36+'TE CVA'!$N$36)*1</f>
        <v>0</v>
      </c>
      <c r="O36" s="43">
        <f>('TE BE'!$O$36+'TE BF'!$O$36+'TE CVA'!$O$36)*1</f>
        <v>0</v>
      </c>
      <c r="P36" s="43">
        <f>('TE BE'!$Q$36+'TE BF'!$Q$36+'TE CVA'!$Q$36)*1</f>
        <v>203.43475803874034</v>
      </c>
      <c r="Q36" s="43">
        <f>('TE BE'!$S$36+'TE BF'!$S$36+'TE CVA'!$S$36)*1</f>
        <v>0</v>
      </c>
      <c r="R36" s="43">
        <f>('TE BE'!$T$36+'TE BF'!$T$36+'TE CVA'!$T$36)*1</f>
        <v>0</v>
      </c>
      <c r="S36" s="43">
        <f>('TE BE'!$U$36+'TE BF'!$U$36+'TE CVA'!$U$36)*1</f>
        <v>0</v>
      </c>
      <c r="T36" s="43">
        <f>('TE BE'!$W$36+'TE BF'!$W$36+'TE CVA'!$W$36)*1</f>
        <v>-1.8488216877162351</v>
      </c>
      <c r="U36" s="43">
        <f>('TE BE'!$Y$36+'TE BF'!$Y$36+'TE CVA'!$Y$36)*1</f>
        <v>0</v>
      </c>
      <c r="W36" s="43">
        <v>0</v>
      </c>
      <c r="X36" s="43">
        <v>0</v>
      </c>
      <c r="Y36" s="43">
        <v>0</v>
      </c>
      <c r="Z36" s="43">
        <v>0</v>
      </c>
      <c r="AA36" s="43">
        <v>229.37330167004299</v>
      </c>
      <c r="AB36" s="43">
        <v>0</v>
      </c>
      <c r="AC36" s="43">
        <v>0</v>
      </c>
      <c r="AD36" s="43">
        <v>0</v>
      </c>
      <c r="AE36" s="43">
        <v>-5.6556396335699004</v>
      </c>
      <c r="AF36" s="43">
        <v>0</v>
      </c>
    </row>
    <row r="37" spans="1:32" ht="11.25" customHeight="1" x14ac:dyDescent="0.25">
      <c r="A37" s="141"/>
      <c r="B37" s="141"/>
      <c r="C37" s="141"/>
      <c r="D37" s="141"/>
      <c r="E37" s="141"/>
      <c r="F37" s="141"/>
      <c r="G37" s="45" t="s">
        <v>75</v>
      </c>
      <c r="H37" s="45" t="s">
        <v>73</v>
      </c>
      <c r="I37" s="45">
        <f>'MERCADO TE'!$U$34</f>
        <v>0</v>
      </c>
      <c r="J37" s="16"/>
      <c r="L37" s="43">
        <f>('TE BE'!$L$37+'TE BF'!$L$37+'TE CVA'!$L$37)*1</f>
        <v>0</v>
      </c>
      <c r="M37" s="43">
        <f>('TE BE'!$M$37+'TE BF'!$M$37+'TE CVA'!$M$37)*1</f>
        <v>16.043462855204801</v>
      </c>
      <c r="N37" s="43">
        <f>('TE BE'!$N$37+'TE BF'!$N$37+'TE CVA'!$N$37)*1</f>
        <v>0</v>
      </c>
      <c r="O37" s="43">
        <f>('TE BE'!$O$37+'TE BF'!$O$37+'TE CVA'!$O$37)*1</f>
        <v>0</v>
      </c>
      <c r="P37" s="43">
        <f>('TE BE'!$Q$37+'TE BF'!$Q$37+'TE CVA'!$Q$37)*1</f>
        <v>203.43475803874034</v>
      </c>
      <c r="Q37" s="43">
        <f>('TE BE'!$S$37+'TE BF'!$S$37+'TE CVA'!$S$37)*1</f>
        <v>0</v>
      </c>
      <c r="R37" s="43">
        <f>('TE BE'!$T$37+'TE BF'!$T$37+'TE CVA'!$T$37)*1</f>
        <v>0</v>
      </c>
      <c r="S37" s="43">
        <f>('TE BE'!$U$37+'TE BF'!$U$37+'TE CVA'!$U$37)*1</f>
        <v>0</v>
      </c>
      <c r="T37" s="43">
        <f>('TE BE'!$W$37+'TE BF'!$W$37+'TE CVA'!$W$37)*1</f>
        <v>-1.8488216877162351</v>
      </c>
      <c r="U37" s="43">
        <f>('TE BE'!$Y$37+'TE BF'!$Y$37+'TE CVA'!$Y$37)*1</f>
        <v>0</v>
      </c>
      <c r="W37" s="43">
        <v>0</v>
      </c>
      <c r="X37" s="43">
        <v>0</v>
      </c>
      <c r="Y37" s="43">
        <v>0</v>
      </c>
      <c r="Z37" s="43">
        <v>0</v>
      </c>
      <c r="AA37" s="43">
        <v>229.37330167004299</v>
      </c>
      <c r="AB37" s="43">
        <v>0</v>
      </c>
      <c r="AC37" s="43">
        <v>0</v>
      </c>
      <c r="AD37" s="43">
        <v>0</v>
      </c>
      <c r="AE37" s="43">
        <v>-5.6556396335699004</v>
      </c>
      <c r="AF37" s="43">
        <v>0</v>
      </c>
    </row>
    <row r="38" spans="1:32" ht="11.25" customHeight="1" x14ac:dyDescent="0.25">
      <c r="A38" s="141"/>
      <c r="B38" s="81" t="s">
        <v>86</v>
      </c>
      <c r="C38" s="81" t="s">
        <v>25</v>
      </c>
      <c r="D38" s="81" t="s">
        <v>25</v>
      </c>
      <c r="E38" s="81" t="s">
        <v>25</v>
      </c>
      <c r="F38" s="81" t="s">
        <v>25</v>
      </c>
      <c r="G38" s="45" t="s">
        <v>79</v>
      </c>
      <c r="H38" s="45" t="s">
        <v>73</v>
      </c>
      <c r="I38" s="45">
        <f>'MERCADO TE'!$U$35</f>
        <v>9351.1280000000006</v>
      </c>
      <c r="J38" s="16"/>
      <c r="L38" s="43">
        <f>('TE BE'!$L$38+'TE BF'!$L$38+'TE CVA'!$L$38)*1</f>
        <v>0</v>
      </c>
      <c r="M38" s="43">
        <f>('TE BE'!$M$38+'TE BF'!$M$38+'TE CVA'!$M$38)*1</f>
        <v>16.043462855204801</v>
      </c>
      <c r="N38" s="43">
        <f>('TE BE'!$N$38+'TE BF'!$N$38+'TE CVA'!$N$38)*1</f>
        <v>0</v>
      </c>
      <c r="O38" s="43">
        <f>('TE BE'!$O$38+'TE BF'!$O$38+'TE CVA'!$O$38)*1</f>
        <v>0</v>
      </c>
      <c r="P38" s="43">
        <f>('TE BE'!$Q$38+'TE BF'!$Q$38+'TE CVA'!$Q$38)*1</f>
        <v>203.43475803874034</v>
      </c>
      <c r="Q38" s="43">
        <f>('TE BE'!$S$38+'TE BF'!$S$38+'TE CVA'!$S$38)*1</f>
        <v>0</v>
      </c>
      <c r="R38" s="43">
        <f>('TE BE'!$T$38+'TE BF'!$T$38+'TE CVA'!$T$38)*1</f>
        <v>0</v>
      </c>
      <c r="S38" s="43">
        <f>('TE BE'!$U$38+'TE BF'!$U$38+'TE CVA'!$U$38)*1</f>
        <v>0</v>
      </c>
      <c r="T38" s="43">
        <f>('TE BE'!$W$38+'TE BF'!$W$38+'TE CVA'!$W$38)*1</f>
        <v>-1.8488216877162351</v>
      </c>
      <c r="U38" s="43">
        <f>('TE BE'!$Y$38+'TE BF'!$Y$38+'TE CVA'!$Y$38)*1</f>
        <v>0</v>
      </c>
      <c r="W38" s="43">
        <v>0</v>
      </c>
      <c r="X38" s="43">
        <v>0</v>
      </c>
      <c r="Y38" s="43">
        <v>0</v>
      </c>
      <c r="Z38" s="43">
        <v>0</v>
      </c>
      <c r="AA38" s="43">
        <v>229.37330167004299</v>
      </c>
      <c r="AB38" s="43">
        <v>0</v>
      </c>
      <c r="AC38" s="43">
        <v>0</v>
      </c>
      <c r="AD38" s="43">
        <v>0</v>
      </c>
      <c r="AE38" s="43">
        <v>-5.6556396335699004</v>
      </c>
      <c r="AF38" s="43">
        <v>0</v>
      </c>
    </row>
    <row r="39" spans="1:32" ht="11.25" customHeight="1" x14ac:dyDescent="0.25">
      <c r="A39" s="141"/>
      <c r="B39" s="81" t="s">
        <v>88</v>
      </c>
      <c r="C39" s="81" t="s">
        <v>25</v>
      </c>
      <c r="D39" s="81" t="s">
        <v>25</v>
      </c>
      <c r="E39" s="81" t="s">
        <v>25</v>
      </c>
      <c r="F39" s="81" t="s">
        <v>25</v>
      </c>
      <c r="G39" s="45" t="s">
        <v>79</v>
      </c>
      <c r="H39" s="45" t="s">
        <v>73</v>
      </c>
      <c r="I39" s="45">
        <f>'MERCADO TE'!$U$36</f>
        <v>0</v>
      </c>
      <c r="J39" s="16"/>
      <c r="L39" s="43">
        <f>('TE BE'!$L$39+'TE BF'!$L$39+'TE CVA'!$L$39)*1</f>
        <v>0</v>
      </c>
      <c r="M39" s="43">
        <f>('TE BE'!$M$39+'TE BF'!$M$39+'TE CVA'!$M$39)*1</f>
        <v>16.043462855204801</v>
      </c>
      <c r="N39" s="43">
        <f>('TE BE'!$N$39+'TE BF'!$N$39+'TE CVA'!$N$39)*1</f>
        <v>0</v>
      </c>
      <c r="O39" s="43">
        <f>('TE BE'!$O$39+'TE BF'!$O$39+'TE CVA'!$O$39)*1</f>
        <v>0</v>
      </c>
      <c r="P39" s="43">
        <f>('TE BE'!$Q$39+'TE BF'!$Q$39+'TE CVA'!$Q$39)*1</f>
        <v>203.43475803874034</v>
      </c>
      <c r="Q39" s="43">
        <f>('TE BE'!$S$39+'TE BF'!$S$39+'TE CVA'!$S$39)*1</f>
        <v>0</v>
      </c>
      <c r="R39" s="43">
        <f>('TE BE'!$T$39+'TE BF'!$T$39+'TE CVA'!$T$39)*1</f>
        <v>0</v>
      </c>
      <c r="S39" s="43">
        <f>('TE BE'!$U$39+'TE BF'!$U$39+'TE CVA'!$U$39)*1</f>
        <v>0</v>
      </c>
      <c r="T39" s="43">
        <f>('TE BE'!$W$39+'TE BF'!$W$39+'TE CVA'!$W$39)*1</f>
        <v>-1.8488216877162351</v>
      </c>
      <c r="U39" s="43">
        <f>('TE BE'!$Y$39+'TE BF'!$Y$39+'TE CVA'!$Y$39)*1</f>
        <v>0</v>
      </c>
      <c r="W39" s="43">
        <v>0</v>
      </c>
      <c r="X39" s="43">
        <v>0</v>
      </c>
      <c r="Y39" s="43">
        <v>0</v>
      </c>
      <c r="Z39" s="43">
        <v>0</v>
      </c>
      <c r="AA39" s="43">
        <v>229.37330167004299</v>
      </c>
      <c r="AB39" s="43">
        <v>0</v>
      </c>
      <c r="AC39" s="43">
        <v>0</v>
      </c>
      <c r="AD39" s="43">
        <v>0</v>
      </c>
      <c r="AE39" s="43">
        <v>-5.6556396335699004</v>
      </c>
      <c r="AF39" s="43">
        <v>0</v>
      </c>
    </row>
    <row r="40" spans="1:32" ht="11.25" customHeight="1" x14ac:dyDescent="0.25">
      <c r="A40" s="141" t="s">
        <v>44</v>
      </c>
      <c r="B40" s="141" t="s">
        <v>86</v>
      </c>
      <c r="C40" s="141" t="s">
        <v>45</v>
      </c>
      <c r="D40" s="81" t="s">
        <v>46</v>
      </c>
      <c r="E40" s="81" t="s">
        <v>25</v>
      </c>
      <c r="F40" s="81" t="s">
        <v>25</v>
      </c>
      <c r="G40" s="45" t="s">
        <v>79</v>
      </c>
      <c r="H40" s="45" t="s">
        <v>73</v>
      </c>
      <c r="I40" s="45">
        <f>'MERCADO TE'!$U$37</f>
        <v>121.60999999999999</v>
      </c>
      <c r="J40" s="16"/>
      <c r="L40" s="43">
        <f>('TE BE'!$L$40+'TE BF'!$L$40+'TE CVA'!$L$40)*1</f>
        <v>0</v>
      </c>
      <c r="M40" s="43">
        <f>('TE BE'!$M$40+'TE BF'!$M$40+'TE CVA'!$M$40)*1</f>
        <v>8.8239045703626413</v>
      </c>
      <c r="N40" s="43">
        <f>('TE BE'!$N$40+'TE BF'!$N$40+'TE CVA'!$N$40)*1</f>
        <v>0</v>
      </c>
      <c r="O40" s="43">
        <f>('TE BE'!$O$40+'TE BF'!$O$40+'TE CVA'!$O$40)*1</f>
        <v>0</v>
      </c>
      <c r="P40" s="43">
        <f>('TE BE'!$Q$40+'TE BF'!$Q$40+'TE CVA'!$Q$40)*1</f>
        <v>111.88911692130721</v>
      </c>
      <c r="Q40" s="43">
        <f>('TE BE'!$S$40+'TE BF'!$S$40+'TE CVA'!$S$40)*1</f>
        <v>0</v>
      </c>
      <c r="R40" s="43">
        <f>('TE BE'!$T$40+'TE BF'!$T$40+'TE CVA'!$T$40)*1</f>
        <v>0</v>
      </c>
      <c r="S40" s="43">
        <f>('TE BE'!$U$40+'TE BF'!$U$40+'TE CVA'!$U$40)*1</f>
        <v>0</v>
      </c>
      <c r="T40" s="43">
        <f>('TE BE'!$W$40+'TE BF'!$W$40+'TE CVA'!$W$40)*1</f>
        <v>-1.0168519282439294</v>
      </c>
      <c r="U40" s="43">
        <f>('TE BE'!$Y$40+'TE BF'!$Y$40+'TE CVA'!$Y$40)*1</f>
        <v>0</v>
      </c>
      <c r="W40" s="43">
        <v>0</v>
      </c>
      <c r="X40" s="43">
        <v>0</v>
      </c>
      <c r="Y40" s="43">
        <v>0</v>
      </c>
      <c r="Z40" s="43">
        <v>0</v>
      </c>
      <c r="AA40" s="43">
        <v>126.155315918523</v>
      </c>
      <c r="AB40" s="43">
        <v>0</v>
      </c>
      <c r="AC40" s="43">
        <v>0</v>
      </c>
      <c r="AD40" s="43">
        <v>0</v>
      </c>
      <c r="AE40" s="43">
        <v>-3.11060179846345</v>
      </c>
      <c r="AF40" s="43">
        <v>0</v>
      </c>
    </row>
    <row r="41" spans="1:32" ht="11.25" customHeight="1" x14ac:dyDescent="0.25">
      <c r="A41" s="141"/>
      <c r="B41" s="141"/>
      <c r="C41" s="141"/>
      <c r="D41" s="45" t="s">
        <v>47</v>
      </c>
      <c r="E41" s="45" t="s">
        <v>25</v>
      </c>
      <c r="F41" s="45" t="s">
        <v>25</v>
      </c>
      <c r="G41" s="45" t="s">
        <v>79</v>
      </c>
      <c r="H41" s="45" t="s">
        <v>73</v>
      </c>
      <c r="I41" s="45">
        <f>'MERCADO TE'!$U$38</f>
        <v>2220.8670000000002</v>
      </c>
      <c r="J41" s="16"/>
      <c r="L41" s="43">
        <f>('TE BE'!$L$41+'TE BF'!$L$41+'TE CVA'!$L$41)*1</f>
        <v>0</v>
      </c>
      <c r="M41" s="43">
        <f>('TE BE'!$M$41+'TE BF'!$M$41+'TE CVA'!$M$41)*1</f>
        <v>9.6260777131228803</v>
      </c>
      <c r="N41" s="43">
        <f>('TE BE'!$N$41+'TE BF'!$N$41+'TE CVA'!$N$41)*1</f>
        <v>0</v>
      </c>
      <c r="O41" s="43">
        <f>('TE BE'!$O$41+'TE BF'!$O$41+'TE CVA'!$O$41)*1</f>
        <v>0</v>
      </c>
      <c r="P41" s="43">
        <f>('TE BE'!$Q$41+'TE BF'!$Q$41+'TE CVA'!$Q$41)*1</f>
        <v>122.0608548232442</v>
      </c>
      <c r="Q41" s="43">
        <f>('TE BE'!$S$41+'TE BF'!$S$41+'TE CVA'!$S$41)*1</f>
        <v>0</v>
      </c>
      <c r="R41" s="43">
        <f>('TE BE'!$T$41+'TE BF'!$T$41+'TE CVA'!$T$41)*1</f>
        <v>0</v>
      </c>
      <c r="S41" s="43">
        <f>('TE BE'!$U$41+'TE BF'!$U$41+'TE CVA'!$U$41)*1</f>
        <v>0</v>
      </c>
      <c r="T41" s="43">
        <f>('TE BE'!$W$41+'TE BF'!$W$41+'TE CVA'!$W$41)*1</f>
        <v>-1.1092930126297409</v>
      </c>
      <c r="U41" s="43">
        <f>('TE BE'!$Y$41+'TE BF'!$Y$41+'TE CVA'!$Y$41)*1</f>
        <v>0</v>
      </c>
      <c r="W41" s="43">
        <v>0</v>
      </c>
      <c r="X41" s="43">
        <v>0</v>
      </c>
      <c r="Y41" s="43">
        <v>0</v>
      </c>
      <c r="Z41" s="43">
        <v>0</v>
      </c>
      <c r="AA41" s="43">
        <v>137.623981002026</v>
      </c>
      <c r="AB41" s="43">
        <v>0</v>
      </c>
      <c r="AC41" s="43">
        <v>0</v>
      </c>
      <c r="AD41" s="43">
        <v>0</v>
      </c>
      <c r="AE41" s="43">
        <v>-3.39338378014194</v>
      </c>
      <c r="AF41" s="43">
        <v>0</v>
      </c>
    </row>
    <row r="43" spans="1:32" ht="11.25" customHeight="1" x14ac:dyDescent="0.25">
      <c r="L43" s="138" t="s">
        <v>820</v>
      </c>
      <c r="M43" s="138"/>
      <c r="N43" s="138"/>
      <c r="O43" s="138"/>
      <c r="P43" s="138"/>
      <c r="Q43" s="138"/>
      <c r="R43" s="138"/>
      <c r="S43" s="138"/>
      <c r="T43" s="138"/>
      <c r="U43" s="138"/>
      <c r="W43" s="138" t="s">
        <v>821</v>
      </c>
      <c r="X43" s="138"/>
      <c r="Y43" s="138"/>
      <c r="Z43" s="138"/>
      <c r="AA43" s="138"/>
      <c r="AB43" s="138"/>
      <c r="AC43" s="138"/>
      <c r="AD43" s="138"/>
      <c r="AE43" s="138"/>
      <c r="AF43" s="138"/>
    </row>
    <row r="44" spans="1:32" ht="11.25" customHeight="1" x14ac:dyDescent="0.25">
      <c r="L44" s="138" t="s">
        <v>427</v>
      </c>
      <c r="M44" s="138"/>
      <c r="N44" s="138"/>
      <c r="O44" s="138"/>
      <c r="P44" s="138"/>
      <c r="Q44" s="138"/>
      <c r="R44" s="138"/>
      <c r="S44" s="138"/>
      <c r="T44" s="138"/>
      <c r="U44" s="138"/>
      <c r="W44" s="138" t="s">
        <v>427</v>
      </c>
      <c r="X44" s="138"/>
      <c r="Y44" s="138"/>
      <c r="Z44" s="138"/>
      <c r="AA44" s="138"/>
      <c r="AB44" s="138"/>
      <c r="AC44" s="138"/>
      <c r="AD44" s="138"/>
      <c r="AE44" s="138"/>
      <c r="AF44" s="138"/>
    </row>
    <row r="45" spans="1:32" ht="11.25" customHeight="1" x14ac:dyDescent="0.25">
      <c r="L45" s="138" t="s">
        <v>400</v>
      </c>
      <c r="M45" s="138"/>
      <c r="N45" s="138"/>
      <c r="O45" s="138"/>
      <c r="P45" s="82" t="s">
        <v>430</v>
      </c>
      <c r="Q45" s="138" t="s">
        <v>409</v>
      </c>
      <c r="R45" s="138"/>
      <c r="S45" s="138"/>
      <c r="T45" s="82" t="s">
        <v>419</v>
      </c>
      <c r="U45" s="82" t="s">
        <v>422</v>
      </c>
      <c r="W45" s="138" t="s">
        <v>400</v>
      </c>
      <c r="X45" s="138"/>
      <c r="Y45" s="138"/>
      <c r="Z45" s="138"/>
      <c r="AA45" s="82" t="s">
        <v>430</v>
      </c>
      <c r="AB45" s="138" t="s">
        <v>409</v>
      </c>
      <c r="AC45" s="138"/>
      <c r="AD45" s="138"/>
      <c r="AE45" s="82" t="s">
        <v>419</v>
      </c>
      <c r="AF45" s="82" t="s">
        <v>422</v>
      </c>
    </row>
    <row r="46" spans="1:32" ht="11.25" customHeight="1" x14ac:dyDescent="0.25">
      <c r="L46" s="82" t="s">
        <v>402</v>
      </c>
      <c r="M46" s="82" t="s">
        <v>428</v>
      </c>
      <c r="N46" s="82" t="s">
        <v>429</v>
      </c>
      <c r="O46" s="82" t="s">
        <v>487</v>
      </c>
      <c r="P46" s="82" t="s">
        <v>431</v>
      </c>
      <c r="Q46" s="82" t="s">
        <v>432</v>
      </c>
      <c r="R46" s="82" t="s">
        <v>433</v>
      </c>
      <c r="S46" s="82" t="s">
        <v>434</v>
      </c>
      <c r="T46" s="82" t="s">
        <v>420</v>
      </c>
      <c r="U46" s="82" t="s">
        <v>435</v>
      </c>
      <c r="W46" s="82" t="s">
        <v>402</v>
      </c>
      <c r="X46" s="82" t="s">
        <v>428</v>
      </c>
      <c r="Y46" s="82" t="s">
        <v>429</v>
      </c>
      <c r="Z46" s="82" t="s">
        <v>487</v>
      </c>
      <c r="AA46" s="82" t="s">
        <v>431</v>
      </c>
      <c r="AB46" s="82" t="s">
        <v>432</v>
      </c>
      <c r="AC46" s="82" t="s">
        <v>433</v>
      </c>
      <c r="AD46" s="82" t="s">
        <v>434</v>
      </c>
      <c r="AE46" s="82" t="s">
        <v>420</v>
      </c>
      <c r="AF46" s="82" t="s">
        <v>435</v>
      </c>
    </row>
    <row r="47" spans="1:32" ht="11.25" customHeight="1" x14ac:dyDescent="0.25">
      <c r="A47" s="9" t="s">
        <v>33</v>
      </c>
      <c r="B47" s="9" t="s">
        <v>822</v>
      </c>
      <c r="C47" s="9" t="s">
        <v>823</v>
      </c>
      <c r="D47" s="9" t="s">
        <v>824</v>
      </c>
      <c r="E47" s="9" t="s">
        <v>825</v>
      </c>
      <c r="F47" s="9" t="s">
        <v>826</v>
      </c>
      <c r="G47" s="9" t="s">
        <v>827</v>
      </c>
      <c r="L47" s="43">
        <f>$I$5*$L$5</f>
        <v>0</v>
      </c>
      <c r="M47" s="43">
        <f>$I$5*$M$5</f>
        <v>29885.040650847022</v>
      </c>
      <c r="N47" s="43">
        <f>$I$5*$N$5</f>
        <v>0</v>
      </c>
      <c r="O47" s="43">
        <f>$I$5*$O$5</f>
        <v>0</v>
      </c>
      <c r="P47" s="43">
        <f>$I$5*$P$5</f>
        <v>378949.1127104538</v>
      </c>
      <c r="Q47" s="43">
        <f>$I$5*$Q$5</f>
        <v>0</v>
      </c>
      <c r="R47" s="43">
        <f>$I$5*$R$5</f>
        <v>0</v>
      </c>
      <c r="S47" s="43">
        <f>$I$5*$S$5</f>
        <v>0</v>
      </c>
      <c r="T47" s="43">
        <f>$I$5*$T$5</f>
        <v>-3443.9018429018556</v>
      </c>
      <c r="U47" s="43">
        <f>$I$5*$U$5</f>
        <v>0</v>
      </c>
      <c r="W47" s="43">
        <f>$I$5*$W$5</f>
        <v>0</v>
      </c>
      <c r="X47" s="43">
        <f>$I$5*$X$5</f>
        <v>0</v>
      </c>
      <c r="Y47" s="43">
        <f>$I$5*$Y$5</f>
        <v>0</v>
      </c>
      <c r="Z47" s="43">
        <f>$I$5*$Z$5</f>
        <v>0</v>
      </c>
      <c r="AA47" s="43">
        <f>$I$5*$AA$5</f>
        <v>427266.26455238095</v>
      </c>
      <c r="AB47" s="43">
        <f>$I$5*$AB$5</f>
        <v>0</v>
      </c>
      <c r="AC47" s="43">
        <f>$I$5*$AC$5</f>
        <v>0</v>
      </c>
      <c r="AD47" s="43">
        <f>$I$5*$AD$5</f>
        <v>0</v>
      </c>
      <c r="AE47" s="43">
        <f>$I$5*$AE$5</f>
        <v>-10535.0710056305</v>
      </c>
      <c r="AF47" s="43">
        <f>$I$5*$AF$5</f>
        <v>0</v>
      </c>
    </row>
    <row r="48" spans="1:32" ht="11.25" customHeight="1" x14ac:dyDescent="0.25">
      <c r="A48" s="9" t="s">
        <v>33</v>
      </c>
      <c r="B48" s="9" t="s">
        <v>822</v>
      </c>
      <c r="C48" s="9" t="s">
        <v>823</v>
      </c>
      <c r="D48" s="9" t="s">
        <v>824</v>
      </c>
      <c r="E48" s="9" t="s">
        <v>825</v>
      </c>
      <c r="F48" s="9" t="s">
        <v>826</v>
      </c>
      <c r="G48" s="9" t="s">
        <v>828</v>
      </c>
      <c r="L48" s="43">
        <f>$I$6*$L$6</f>
        <v>0</v>
      </c>
      <c r="M48" s="43">
        <f>$I$6*$M$6</f>
        <v>1207668.0726898618</v>
      </c>
      <c r="N48" s="43">
        <f>$I$6*$N$6</f>
        <v>0</v>
      </c>
      <c r="O48" s="43">
        <f>$I$6*$O$6</f>
        <v>0</v>
      </c>
      <c r="P48" s="43">
        <f>$I$6*$P$6</f>
        <v>15313505.841980377</v>
      </c>
      <c r="Q48" s="43">
        <f>$I$6*$Q$6</f>
        <v>0</v>
      </c>
      <c r="R48" s="43">
        <f>$I$6*$R$6</f>
        <v>0</v>
      </c>
      <c r="S48" s="43">
        <f>$I$6*$S$6</f>
        <v>0</v>
      </c>
      <c r="T48" s="43">
        <f>$I$6*$T$6</f>
        <v>-139169.63840678154</v>
      </c>
      <c r="U48" s="43">
        <f>$I$6*$U$6</f>
        <v>0</v>
      </c>
      <c r="W48" s="43">
        <f>$I$6*$W$6</f>
        <v>0</v>
      </c>
      <c r="X48" s="43">
        <f>$I$6*$X$6</f>
        <v>0</v>
      </c>
      <c r="Y48" s="43">
        <f>$I$6*$Y$6</f>
        <v>0</v>
      </c>
      <c r="Z48" s="43">
        <f>$I$6*$Z$6</f>
        <v>0</v>
      </c>
      <c r="AA48" s="43">
        <f>$I$6*$AA$6</f>
        <v>17266023.903592911</v>
      </c>
      <c r="AB48" s="43">
        <f>$I$6*$AB$6</f>
        <v>0</v>
      </c>
      <c r="AC48" s="43">
        <f>$I$6*$AC$6</f>
        <v>0</v>
      </c>
      <c r="AD48" s="43">
        <f>$I$6*$AD$6</f>
        <v>0</v>
      </c>
      <c r="AE48" s="43">
        <f>$I$6*$AE$6</f>
        <v>-425727.00655369629</v>
      </c>
      <c r="AF48" s="43">
        <f>$I$6*$AF$6</f>
        <v>0</v>
      </c>
    </row>
    <row r="49" spans="1:32" ht="11.25" customHeight="1" x14ac:dyDescent="0.25">
      <c r="A49" s="9" t="s">
        <v>22</v>
      </c>
      <c r="B49" s="9" t="s">
        <v>829</v>
      </c>
      <c r="C49" s="9" t="s">
        <v>830</v>
      </c>
      <c r="D49" s="9" t="s">
        <v>831</v>
      </c>
      <c r="E49" s="9" t="s">
        <v>832</v>
      </c>
      <c r="F49" s="9" t="s">
        <v>833</v>
      </c>
      <c r="G49" s="9" t="s">
        <v>834</v>
      </c>
      <c r="L49" s="43">
        <f>$I$7*$L$7</f>
        <v>0</v>
      </c>
      <c r="M49" s="43">
        <f>$I$7*$M$7</f>
        <v>0</v>
      </c>
      <c r="N49" s="43">
        <f>$I$7*$N$7</f>
        <v>0</v>
      </c>
      <c r="O49" s="43">
        <f>$I$7*$O$7</f>
        <v>0</v>
      </c>
      <c r="P49" s="43">
        <f>$I$7*$P$7</f>
        <v>0</v>
      </c>
      <c r="Q49" s="43">
        <f>$I$7*$Q$7</f>
        <v>0</v>
      </c>
      <c r="R49" s="43">
        <f>$I$7*$R$7</f>
        <v>0</v>
      </c>
      <c r="S49" s="43">
        <f>$I$7*$S$7</f>
        <v>0</v>
      </c>
      <c r="T49" s="43">
        <f>$I$7*$T$7</f>
        <v>0</v>
      </c>
      <c r="U49" s="43">
        <f>$I$7*$U$7</f>
        <v>0</v>
      </c>
      <c r="W49" s="43">
        <f>$I$7*$W$7</f>
        <v>0</v>
      </c>
      <c r="X49" s="43">
        <f>$I$7*$X$7</f>
        <v>0</v>
      </c>
      <c r="Y49" s="43">
        <f>$I$7*$Y$7</f>
        <v>0</v>
      </c>
      <c r="Z49" s="43">
        <f>$I$7*$Z$7</f>
        <v>0</v>
      </c>
      <c r="AA49" s="43">
        <f>$I$7*$AA$7</f>
        <v>0</v>
      </c>
      <c r="AB49" s="43">
        <f>$I$7*$AB$7</f>
        <v>0</v>
      </c>
      <c r="AC49" s="43">
        <f>$I$7*$AC$7</f>
        <v>0</v>
      </c>
      <c r="AD49" s="43">
        <f>$I$7*$AD$7</f>
        <v>0</v>
      </c>
      <c r="AE49" s="43">
        <f>$I$7*$AE$7</f>
        <v>0</v>
      </c>
      <c r="AF49" s="43">
        <f>$I$7*$AF$7</f>
        <v>0</v>
      </c>
    </row>
    <row r="50" spans="1:32" ht="11.25" customHeight="1" x14ac:dyDescent="0.25">
      <c r="A50" s="9" t="s">
        <v>22</v>
      </c>
      <c r="B50" s="9" t="s">
        <v>829</v>
      </c>
      <c r="C50" s="9" t="s">
        <v>830</v>
      </c>
      <c r="D50" s="9" t="s">
        <v>831</v>
      </c>
      <c r="E50" s="9" t="s">
        <v>832</v>
      </c>
      <c r="F50" s="9" t="s">
        <v>833</v>
      </c>
      <c r="G50" s="9" t="s">
        <v>835</v>
      </c>
      <c r="L50" s="43">
        <f>$I$8*$L$8</f>
        <v>0</v>
      </c>
      <c r="M50" s="43">
        <f>$I$8*$M$8</f>
        <v>0</v>
      </c>
      <c r="N50" s="43">
        <f>$I$8*$N$8</f>
        <v>0</v>
      </c>
      <c r="O50" s="43">
        <f>$I$8*$O$8</f>
        <v>0</v>
      </c>
      <c r="P50" s="43">
        <f>$I$8*$P$8</f>
        <v>0</v>
      </c>
      <c r="Q50" s="43">
        <f>$I$8*$Q$8</f>
        <v>0</v>
      </c>
      <c r="R50" s="43">
        <f>$I$8*$R$8</f>
        <v>0</v>
      </c>
      <c r="S50" s="43">
        <f>$I$8*$S$8</f>
        <v>0</v>
      </c>
      <c r="T50" s="43">
        <f>$I$8*$T$8</f>
        <v>0</v>
      </c>
      <c r="U50" s="43">
        <f>$I$8*$U$8</f>
        <v>0</v>
      </c>
      <c r="W50" s="43">
        <f>$I$8*$W$8</f>
        <v>0</v>
      </c>
      <c r="X50" s="43">
        <f>$I$8*$X$8</f>
        <v>0</v>
      </c>
      <c r="Y50" s="43">
        <f>$I$8*$Y$8</f>
        <v>0</v>
      </c>
      <c r="Z50" s="43">
        <f>$I$8*$Z$8</f>
        <v>0</v>
      </c>
      <c r="AA50" s="43">
        <f>$I$8*$AA$8</f>
        <v>0</v>
      </c>
      <c r="AB50" s="43">
        <f>$I$8*$AB$8</f>
        <v>0</v>
      </c>
      <c r="AC50" s="43">
        <f>$I$8*$AC$8</f>
        <v>0</v>
      </c>
      <c r="AD50" s="43">
        <f>$I$8*$AD$8</f>
        <v>0</v>
      </c>
      <c r="AE50" s="43">
        <f>$I$8*$AE$8</f>
        <v>0</v>
      </c>
      <c r="AF50" s="43">
        <f>$I$8*$AF$8</f>
        <v>0</v>
      </c>
    </row>
    <row r="51" spans="1:32" ht="11.25" customHeight="1" x14ac:dyDescent="0.25">
      <c r="A51" s="9" t="s">
        <v>22</v>
      </c>
      <c r="B51" s="9" t="s">
        <v>829</v>
      </c>
      <c r="C51" s="9" t="s">
        <v>830</v>
      </c>
      <c r="D51" s="9" t="s">
        <v>831</v>
      </c>
      <c r="E51" s="9" t="s">
        <v>832</v>
      </c>
      <c r="F51" s="9" t="s">
        <v>833</v>
      </c>
      <c r="G51" s="9" t="s">
        <v>836</v>
      </c>
      <c r="L51" s="43">
        <f>$I$9*$L$9</f>
        <v>0</v>
      </c>
      <c r="M51" s="43">
        <f>$I$9*$M$9</f>
        <v>0</v>
      </c>
      <c r="N51" s="43">
        <f>$I$9*$N$9</f>
        <v>0</v>
      </c>
      <c r="O51" s="43">
        <f>$I$9*$O$9</f>
        <v>0</v>
      </c>
      <c r="P51" s="43">
        <f>$I$9*$P$9</f>
        <v>0</v>
      </c>
      <c r="Q51" s="43">
        <f>$I$9*$Q$9</f>
        <v>0</v>
      </c>
      <c r="R51" s="43">
        <f>$I$9*$R$9</f>
        <v>0</v>
      </c>
      <c r="S51" s="43">
        <f>$I$9*$S$9</f>
        <v>0</v>
      </c>
      <c r="T51" s="43">
        <f>$I$9*$T$9</f>
        <v>0</v>
      </c>
      <c r="U51" s="43">
        <f>$I$9*$U$9</f>
        <v>0</v>
      </c>
      <c r="W51" s="43">
        <f>$I$9*$W$9</f>
        <v>0</v>
      </c>
      <c r="X51" s="43">
        <f>$I$9*$X$9</f>
        <v>0</v>
      </c>
      <c r="Y51" s="43">
        <f>$I$9*$Y$9</f>
        <v>0</v>
      </c>
      <c r="Z51" s="43">
        <f>$I$9*$Z$9</f>
        <v>0</v>
      </c>
      <c r="AA51" s="43">
        <f>$I$9*$AA$9</f>
        <v>0</v>
      </c>
      <c r="AB51" s="43">
        <f>$I$9*$AB$9</f>
        <v>0</v>
      </c>
      <c r="AC51" s="43">
        <f>$I$9*$AC$9</f>
        <v>0</v>
      </c>
      <c r="AD51" s="43">
        <f>$I$9*$AD$9</f>
        <v>0</v>
      </c>
      <c r="AE51" s="43">
        <f>$I$9*$AE$9</f>
        <v>0</v>
      </c>
      <c r="AF51" s="43">
        <f>$I$9*$AF$9</f>
        <v>0</v>
      </c>
    </row>
    <row r="52" spans="1:32" ht="11.25" customHeight="1" x14ac:dyDescent="0.25">
      <c r="A52" s="9" t="s">
        <v>22</v>
      </c>
      <c r="B52" s="9" t="s">
        <v>837</v>
      </c>
      <c r="C52" s="9" t="s">
        <v>838</v>
      </c>
      <c r="D52" s="9" t="s">
        <v>839</v>
      </c>
      <c r="E52" s="9" t="s">
        <v>840</v>
      </c>
      <c r="F52" s="9" t="s">
        <v>841</v>
      </c>
      <c r="G52" s="9" t="s">
        <v>842</v>
      </c>
      <c r="L52" s="43">
        <f>$I$10*$L$10</f>
        <v>0</v>
      </c>
      <c r="M52" s="43">
        <f>$I$10*$M$10</f>
        <v>383501.8451353414</v>
      </c>
      <c r="N52" s="43">
        <f>$I$10*$N$10</f>
        <v>0</v>
      </c>
      <c r="O52" s="43">
        <f>$I$10*$O$10</f>
        <v>0</v>
      </c>
      <c r="P52" s="43">
        <f>$I$10*$P$10</f>
        <v>4862890.6225945028</v>
      </c>
      <c r="Q52" s="43">
        <f>$I$10*$Q$10</f>
        <v>0</v>
      </c>
      <c r="R52" s="43">
        <f>$I$10*$R$10</f>
        <v>0</v>
      </c>
      <c r="S52" s="43">
        <f>$I$10*$S$10</f>
        <v>0</v>
      </c>
      <c r="T52" s="43">
        <f>$I$10*$T$10</f>
        <v>-44194.10790329412</v>
      </c>
      <c r="U52" s="43">
        <f>$I$10*$U$10</f>
        <v>0</v>
      </c>
      <c r="W52" s="43">
        <f>$I$10*$W$10</f>
        <v>0</v>
      </c>
      <c r="X52" s="43">
        <f>$I$10*$X$10</f>
        <v>0</v>
      </c>
      <c r="Y52" s="43">
        <f>$I$10*$Y$10</f>
        <v>0</v>
      </c>
      <c r="Z52" s="43">
        <f>$I$10*$Z$10</f>
        <v>0</v>
      </c>
      <c r="AA52" s="43">
        <f>$I$10*$AA$10</f>
        <v>5482923.8057361944</v>
      </c>
      <c r="AB52" s="43">
        <f>$I$10*$AB$10</f>
        <v>0</v>
      </c>
      <c r="AC52" s="43">
        <f>$I$10*$AC$10</f>
        <v>0</v>
      </c>
      <c r="AD52" s="43">
        <f>$I$10*$AD$10</f>
        <v>0</v>
      </c>
      <c r="AE52" s="43">
        <f>$I$10*$AE$10</f>
        <v>-135192.02521735983</v>
      </c>
      <c r="AF52" s="43">
        <f>$I$10*$AF$10</f>
        <v>0</v>
      </c>
    </row>
    <row r="53" spans="1:32" ht="11.25" customHeight="1" x14ac:dyDescent="0.25">
      <c r="A53" s="9" t="s">
        <v>22</v>
      </c>
      <c r="B53" s="9" t="s">
        <v>837</v>
      </c>
      <c r="C53" s="9" t="s">
        <v>838</v>
      </c>
      <c r="D53" s="9" t="s">
        <v>843</v>
      </c>
      <c r="E53" s="9" t="s">
        <v>844</v>
      </c>
      <c r="F53" s="9" t="s">
        <v>845</v>
      </c>
      <c r="G53" s="9" t="s">
        <v>846</v>
      </c>
      <c r="L53" s="43">
        <f>$I$11*$L$11</f>
        <v>0</v>
      </c>
      <c r="M53" s="43">
        <f>$I$11*$M$11</f>
        <v>95.683212468441425</v>
      </c>
      <c r="N53" s="43">
        <f>$I$11*$N$11</f>
        <v>0</v>
      </c>
      <c r="O53" s="43">
        <f>$I$11*$O$11</f>
        <v>0</v>
      </c>
      <c r="P53" s="43">
        <f>$I$11*$P$11</f>
        <v>1213.2848969430474</v>
      </c>
      <c r="Q53" s="43">
        <f>$I$11*$Q$11</f>
        <v>0</v>
      </c>
      <c r="R53" s="43">
        <f>$I$11*$R$11</f>
        <v>0</v>
      </c>
      <c r="S53" s="43">
        <f>$I$11*$S$11</f>
        <v>0</v>
      </c>
      <c r="T53" s="43">
        <f>$I$11*$T$11</f>
        <v>-11.026372545539624</v>
      </c>
      <c r="U53" s="43">
        <f>$I$11*$U$11</f>
        <v>0</v>
      </c>
      <c r="W53" s="43">
        <f>$I$11*$W$11</f>
        <v>0</v>
      </c>
      <c r="X53" s="43">
        <f>$I$11*$X$11</f>
        <v>0</v>
      </c>
      <c r="Y53" s="43">
        <f>$I$11*$Y$11</f>
        <v>0</v>
      </c>
      <c r="Z53" s="43">
        <f>$I$11*$Z$11</f>
        <v>0</v>
      </c>
      <c r="AA53" s="43">
        <f>$I$11*$AA$11</f>
        <v>1367.9823711601339</v>
      </c>
      <c r="AB53" s="43">
        <f>$I$11*$AB$11</f>
        <v>0</v>
      </c>
      <c r="AC53" s="43">
        <f>$I$11*$AC$11</f>
        <v>0</v>
      </c>
      <c r="AD53" s="43">
        <f>$I$11*$AD$11</f>
        <v>0</v>
      </c>
      <c r="AE53" s="43">
        <f>$I$11*$AE$11</f>
        <v>-33.7302347746108</v>
      </c>
      <c r="AF53" s="43">
        <f>$I$11*$AF$11</f>
        <v>0</v>
      </c>
    </row>
    <row r="54" spans="1:32" ht="11.25" customHeight="1" x14ac:dyDescent="0.25">
      <c r="A54" s="9" t="s">
        <v>22</v>
      </c>
      <c r="B54" s="9" t="s">
        <v>837</v>
      </c>
      <c r="C54" s="9" t="s">
        <v>838</v>
      </c>
      <c r="D54" s="9" t="s">
        <v>847</v>
      </c>
      <c r="E54" s="9" t="s">
        <v>848</v>
      </c>
      <c r="F54" s="9" t="s">
        <v>849</v>
      </c>
      <c r="G54" s="9" t="s">
        <v>850</v>
      </c>
      <c r="L54" s="43">
        <f>$I$12*$L$12</f>
        <v>0</v>
      </c>
      <c r="M54" s="43">
        <f>$I$12*$M$12</f>
        <v>347.01047548036672</v>
      </c>
      <c r="N54" s="43">
        <f>$I$12*$N$12</f>
        <v>0</v>
      </c>
      <c r="O54" s="43">
        <f>$I$12*$O$12</f>
        <v>0</v>
      </c>
      <c r="P54" s="43">
        <f>$I$12*$P$12</f>
        <v>4400.1717555231298</v>
      </c>
      <c r="Q54" s="43">
        <f>$I$12*$Q$12</f>
        <v>0</v>
      </c>
      <c r="R54" s="43">
        <f>$I$12*$R$12</f>
        <v>0</v>
      </c>
      <c r="S54" s="43">
        <f>$I$12*$S$12</f>
        <v>0</v>
      </c>
      <c r="T54" s="43">
        <f>$I$12*$T$12</f>
        <v>-39.988903812289536</v>
      </c>
      <c r="U54" s="43">
        <f>$I$12*$U$12</f>
        <v>0</v>
      </c>
      <c r="W54" s="43">
        <f>$I$12*$W$12</f>
        <v>0</v>
      </c>
      <c r="X54" s="43">
        <f>$I$12*$X$12</f>
        <v>0</v>
      </c>
      <c r="Y54" s="43">
        <f>$I$12*$Y$12</f>
        <v>0</v>
      </c>
      <c r="Z54" s="43">
        <f>$I$12*$Z$12</f>
        <v>0</v>
      </c>
      <c r="AA54" s="43">
        <f>$I$12*$AA$12</f>
        <v>4961.2068911420356</v>
      </c>
      <c r="AB54" s="43">
        <f>$I$12*$AB$12</f>
        <v>0</v>
      </c>
      <c r="AC54" s="43">
        <f>$I$12*$AC$12</f>
        <v>0</v>
      </c>
      <c r="AD54" s="43">
        <f>$I$12*$AD$12</f>
        <v>0</v>
      </c>
      <c r="AE54" s="43">
        <f>$I$12*$AE$12</f>
        <v>-122.32809189033679</v>
      </c>
      <c r="AF54" s="43">
        <f>$I$12*$AF$12</f>
        <v>0</v>
      </c>
    </row>
    <row r="55" spans="1:32" ht="11.25" customHeight="1" x14ac:dyDescent="0.25">
      <c r="A55" s="9" t="s">
        <v>22</v>
      </c>
      <c r="B55" s="9" t="s">
        <v>837</v>
      </c>
      <c r="C55" s="9" t="s">
        <v>838</v>
      </c>
      <c r="D55" s="9" t="s">
        <v>851</v>
      </c>
      <c r="E55" s="9" t="s">
        <v>852</v>
      </c>
      <c r="F55" s="9" t="s">
        <v>853</v>
      </c>
      <c r="G55" s="9" t="s">
        <v>854</v>
      </c>
      <c r="L55" s="43">
        <f>$I$13*$L$13</f>
        <v>0</v>
      </c>
      <c r="M55" s="43">
        <f>$I$13*$M$13</f>
        <v>474.10839256558472</v>
      </c>
      <c r="N55" s="43">
        <f>$I$13*$N$13</f>
        <v>0</v>
      </c>
      <c r="O55" s="43">
        <f>$I$13*$O$13</f>
        <v>0</v>
      </c>
      <c r="P55" s="43">
        <f>$I$13*$P$13</f>
        <v>6011.8022521818348</v>
      </c>
      <c r="Q55" s="43">
        <f>$I$13*$Q$13</f>
        <v>0</v>
      </c>
      <c r="R55" s="43">
        <f>$I$13*$R$13</f>
        <v>0</v>
      </c>
      <c r="S55" s="43">
        <f>$I$13*$S$13</f>
        <v>0</v>
      </c>
      <c r="T55" s="43">
        <f>$I$13*$T$13</f>
        <v>-54.635454104546319</v>
      </c>
      <c r="U55" s="43">
        <f>$I$13*$U$13</f>
        <v>0</v>
      </c>
      <c r="W55" s="43">
        <f>$I$13*$W$13</f>
        <v>0</v>
      </c>
      <c r="X55" s="43">
        <f>$I$13*$X$13</f>
        <v>0</v>
      </c>
      <c r="Y55" s="43">
        <f>$I$13*$Y$13</f>
        <v>0</v>
      </c>
      <c r="Z55" s="43">
        <f>$I$13*$Z$13</f>
        <v>0</v>
      </c>
      <c r="AA55" s="43">
        <f>$I$13*$AA$13</f>
        <v>6778.3251243022523</v>
      </c>
      <c r="AB55" s="43">
        <f>$I$13*$AB$13</f>
        <v>0</v>
      </c>
      <c r="AC55" s="43">
        <f>$I$13*$AC$13</f>
        <v>0</v>
      </c>
      <c r="AD55" s="43">
        <f>$I$13*$AD$13</f>
        <v>0</v>
      </c>
      <c r="AE55" s="43">
        <f>$I$13*$AE$13</f>
        <v>-167.13263463144091</v>
      </c>
      <c r="AF55" s="43">
        <f>$I$13*$AF$13</f>
        <v>0</v>
      </c>
    </row>
    <row r="56" spans="1:32" ht="11.25" customHeight="1" x14ac:dyDescent="0.25">
      <c r="A56" s="9" t="s">
        <v>22</v>
      </c>
      <c r="B56" s="9" t="s">
        <v>837</v>
      </c>
      <c r="C56" s="9" t="s">
        <v>838</v>
      </c>
      <c r="D56" s="9" t="s">
        <v>855</v>
      </c>
      <c r="E56" s="9" t="s">
        <v>856</v>
      </c>
      <c r="F56" s="9" t="s">
        <v>857</v>
      </c>
      <c r="G56" s="9" t="s">
        <v>858</v>
      </c>
      <c r="L56" s="43">
        <f>$I$14*$L$14</f>
        <v>0</v>
      </c>
      <c r="M56" s="43">
        <f>$I$14*$M$14</f>
        <v>169.54731545380434</v>
      </c>
      <c r="N56" s="43">
        <f>$I$14*$N$14</f>
        <v>0</v>
      </c>
      <c r="O56" s="43">
        <f>$I$14*$O$14</f>
        <v>0</v>
      </c>
      <c r="P56" s="43">
        <f>$I$14*$P$14</f>
        <v>2149.8985229534078</v>
      </c>
      <c r="Q56" s="43">
        <f>$I$14*$Q$14</f>
        <v>0</v>
      </c>
      <c r="R56" s="43">
        <f>$I$14*$R$14</f>
        <v>0</v>
      </c>
      <c r="S56" s="43">
        <f>$I$14*$S$14</f>
        <v>0</v>
      </c>
      <c r="T56" s="43">
        <f>$I$14*$T$14</f>
        <v>-19.538347595785172</v>
      </c>
      <c r="U56" s="43">
        <f>$I$14*$U$14</f>
        <v>0</v>
      </c>
      <c r="W56" s="43">
        <f>$I$14*$W$14</f>
        <v>0</v>
      </c>
      <c r="X56" s="43">
        <f>$I$14*$X$14</f>
        <v>0</v>
      </c>
      <c r="Y56" s="43">
        <f>$I$14*$Y$14</f>
        <v>0</v>
      </c>
      <c r="Z56" s="43">
        <f>$I$14*$Z$14</f>
        <v>0</v>
      </c>
      <c r="AA56" s="43">
        <f>$I$14*$AA$14</f>
        <v>2424.0170520490142</v>
      </c>
      <c r="AB56" s="43">
        <f>$I$14*$AB$14</f>
        <v>0</v>
      </c>
      <c r="AC56" s="43">
        <f>$I$14*$AC$14</f>
        <v>0</v>
      </c>
      <c r="AD56" s="43">
        <f>$I$14*$AD$14</f>
        <v>0</v>
      </c>
      <c r="AE56" s="43">
        <f>$I$14*$AE$14</f>
        <v>-59.768799647566702</v>
      </c>
      <c r="AF56" s="43">
        <f>$I$14*$AF$14</f>
        <v>0</v>
      </c>
    </row>
    <row r="57" spans="1:32" ht="11.25" customHeight="1" x14ac:dyDescent="0.25">
      <c r="A57" s="9" t="s">
        <v>22</v>
      </c>
      <c r="B57" s="9" t="s">
        <v>859</v>
      </c>
      <c r="C57" s="9" t="s">
        <v>860</v>
      </c>
      <c r="D57" s="9" t="s">
        <v>861</v>
      </c>
      <c r="E57" s="9" t="s">
        <v>862</v>
      </c>
      <c r="F57" s="9" t="s">
        <v>863</v>
      </c>
      <c r="G57" s="9" t="s">
        <v>864</v>
      </c>
      <c r="L57" s="43">
        <f>$I$15*$L$15</f>
        <v>0</v>
      </c>
      <c r="M57" s="43">
        <f>$I$15*$M$15</f>
        <v>0</v>
      </c>
      <c r="N57" s="43">
        <f>$I$15*$N$15</f>
        <v>0</v>
      </c>
      <c r="O57" s="43">
        <f>$I$15*$O$15</f>
        <v>0</v>
      </c>
      <c r="P57" s="43">
        <f>$I$15*$P$15</f>
        <v>0</v>
      </c>
      <c r="Q57" s="43">
        <f>$I$15*$Q$15</f>
        <v>0</v>
      </c>
      <c r="R57" s="43">
        <f>$I$15*$R$15</f>
        <v>0</v>
      </c>
      <c r="S57" s="43">
        <f>$I$15*$S$15</f>
        <v>0</v>
      </c>
      <c r="T57" s="43">
        <f>$I$15*$T$15</f>
        <v>0</v>
      </c>
      <c r="U57" s="43">
        <f>$I$15*$U$15</f>
        <v>0</v>
      </c>
      <c r="W57" s="43">
        <f>$I$15*$W$15</f>
        <v>0</v>
      </c>
      <c r="X57" s="43">
        <f>$I$15*$X$15</f>
        <v>0</v>
      </c>
      <c r="Y57" s="43">
        <f>$I$15*$Y$15</f>
        <v>0</v>
      </c>
      <c r="Z57" s="43">
        <f>$I$15*$Z$15</f>
        <v>0</v>
      </c>
      <c r="AA57" s="43">
        <f>$I$15*$AA$15</f>
        <v>0</v>
      </c>
      <c r="AB57" s="43">
        <f>$I$15*$AB$15</f>
        <v>0</v>
      </c>
      <c r="AC57" s="43">
        <f>$I$15*$AC$15</f>
        <v>0</v>
      </c>
      <c r="AD57" s="43">
        <f>$I$15*$AD$15</f>
        <v>0</v>
      </c>
      <c r="AE57" s="43">
        <f>$I$15*$AE$15</f>
        <v>0</v>
      </c>
      <c r="AF57" s="43">
        <f>$I$15*$AF$15</f>
        <v>0</v>
      </c>
    </row>
    <row r="58" spans="1:32" ht="11.25" customHeight="1" x14ac:dyDescent="0.25">
      <c r="A58" s="9" t="s">
        <v>22</v>
      </c>
      <c r="B58" s="9" t="s">
        <v>859</v>
      </c>
      <c r="C58" s="9" t="s">
        <v>860</v>
      </c>
      <c r="D58" s="9" t="s">
        <v>865</v>
      </c>
      <c r="E58" s="9" t="s">
        <v>866</v>
      </c>
      <c r="F58" s="9" t="s">
        <v>867</v>
      </c>
      <c r="G58" s="9" t="s">
        <v>868</v>
      </c>
      <c r="L58" s="43">
        <f>$I$16*$L$16</f>
        <v>0</v>
      </c>
      <c r="M58" s="43">
        <f>$I$16*$M$16</f>
        <v>0</v>
      </c>
      <c r="N58" s="43">
        <f>$I$16*$N$16</f>
        <v>0</v>
      </c>
      <c r="O58" s="43">
        <f>$I$16*$O$16</f>
        <v>0</v>
      </c>
      <c r="P58" s="43">
        <f>$I$16*$P$16</f>
        <v>0</v>
      </c>
      <c r="Q58" s="43">
        <f>$I$16*$Q$16</f>
        <v>0</v>
      </c>
      <c r="R58" s="43">
        <f>$I$16*$R$16</f>
        <v>0</v>
      </c>
      <c r="S58" s="43">
        <f>$I$16*$S$16</f>
        <v>0</v>
      </c>
      <c r="T58" s="43">
        <f>$I$16*$T$16</f>
        <v>0</v>
      </c>
      <c r="U58" s="43">
        <f>$I$16*$U$16</f>
        <v>0</v>
      </c>
      <c r="W58" s="43">
        <f>$I$16*$W$16</f>
        <v>0</v>
      </c>
      <c r="X58" s="43">
        <f>$I$16*$X$16</f>
        <v>0</v>
      </c>
      <c r="Y58" s="43">
        <f>$I$16*$Y$16</f>
        <v>0</v>
      </c>
      <c r="Z58" s="43">
        <f>$I$16*$Z$16</f>
        <v>0</v>
      </c>
      <c r="AA58" s="43">
        <f>$I$16*$AA$16</f>
        <v>0</v>
      </c>
      <c r="AB58" s="43">
        <f>$I$16*$AB$16</f>
        <v>0</v>
      </c>
      <c r="AC58" s="43">
        <f>$I$16*$AC$16</f>
        <v>0</v>
      </c>
      <c r="AD58" s="43">
        <f>$I$16*$AD$16</f>
        <v>0</v>
      </c>
      <c r="AE58" s="43">
        <f>$I$16*$AE$16</f>
        <v>0</v>
      </c>
      <c r="AF58" s="43">
        <f>$I$16*$AF$16</f>
        <v>0</v>
      </c>
    </row>
    <row r="59" spans="1:32" ht="11.25" customHeight="1" x14ac:dyDescent="0.25">
      <c r="A59" s="9" t="s">
        <v>22</v>
      </c>
      <c r="B59" s="9" t="s">
        <v>859</v>
      </c>
      <c r="C59" s="9" t="s">
        <v>860</v>
      </c>
      <c r="D59" s="9" t="s">
        <v>869</v>
      </c>
      <c r="E59" s="9" t="s">
        <v>870</v>
      </c>
      <c r="F59" s="9" t="s">
        <v>871</v>
      </c>
      <c r="G59" s="9" t="s">
        <v>872</v>
      </c>
      <c r="L59" s="43">
        <f>$I$17*$L$17</f>
        <v>0</v>
      </c>
      <c r="M59" s="43">
        <f>$I$17*$M$17</f>
        <v>0</v>
      </c>
      <c r="N59" s="43">
        <f>$I$17*$N$17</f>
        <v>0</v>
      </c>
      <c r="O59" s="43">
        <f>$I$17*$O$17</f>
        <v>0</v>
      </c>
      <c r="P59" s="43">
        <f>$I$17*$P$17</f>
        <v>0</v>
      </c>
      <c r="Q59" s="43">
        <f>$I$17*$Q$17</f>
        <v>0</v>
      </c>
      <c r="R59" s="43">
        <f>$I$17*$R$17</f>
        <v>0</v>
      </c>
      <c r="S59" s="43">
        <f>$I$17*$S$17</f>
        <v>0</v>
      </c>
      <c r="T59" s="43">
        <f>$I$17*$T$17</f>
        <v>0</v>
      </c>
      <c r="U59" s="43">
        <f>$I$17*$U$17</f>
        <v>0</v>
      </c>
      <c r="W59" s="43">
        <f>$I$17*$W$17</f>
        <v>0</v>
      </c>
      <c r="X59" s="43">
        <f>$I$17*$X$17</f>
        <v>0</v>
      </c>
      <c r="Y59" s="43">
        <f>$I$17*$Y$17</f>
        <v>0</v>
      </c>
      <c r="Z59" s="43">
        <f>$I$17*$Z$17</f>
        <v>0</v>
      </c>
      <c r="AA59" s="43">
        <f>$I$17*$AA$17</f>
        <v>0</v>
      </c>
      <c r="AB59" s="43">
        <f>$I$17*$AB$17</f>
        <v>0</v>
      </c>
      <c r="AC59" s="43">
        <f>$I$17*$AC$17</f>
        <v>0</v>
      </c>
      <c r="AD59" s="43">
        <f>$I$17*$AD$17</f>
        <v>0</v>
      </c>
      <c r="AE59" s="43">
        <f>$I$17*$AE$17</f>
        <v>0</v>
      </c>
      <c r="AF59" s="43">
        <f>$I$17*$AF$17</f>
        <v>0</v>
      </c>
    </row>
    <row r="60" spans="1:32" ht="11.25" customHeight="1" x14ac:dyDescent="0.25">
      <c r="A60" s="9" t="s">
        <v>22</v>
      </c>
      <c r="B60" s="9" t="s">
        <v>859</v>
      </c>
      <c r="C60" s="9" t="s">
        <v>860</v>
      </c>
      <c r="D60" s="9" t="s">
        <v>873</v>
      </c>
      <c r="E60" s="9" t="s">
        <v>874</v>
      </c>
      <c r="F60" s="9" t="s">
        <v>875</v>
      </c>
      <c r="G60" s="9" t="s">
        <v>876</v>
      </c>
      <c r="L60" s="43">
        <f>$I$18*$L$18</f>
        <v>0</v>
      </c>
      <c r="M60" s="43">
        <f>$I$18*$M$18</f>
        <v>0</v>
      </c>
      <c r="N60" s="43">
        <f>$I$18*$N$18</f>
        <v>0</v>
      </c>
      <c r="O60" s="43">
        <f>$I$18*$O$18</f>
        <v>0</v>
      </c>
      <c r="P60" s="43">
        <f>$I$18*$P$18</f>
        <v>0</v>
      </c>
      <c r="Q60" s="43">
        <f>$I$18*$Q$18</f>
        <v>0</v>
      </c>
      <c r="R60" s="43">
        <f>$I$18*$R$18</f>
        <v>0</v>
      </c>
      <c r="S60" s="43">
        <f>$I$18*$S$18</f>
        <v>0</v>
      </c>
      <c r="T60" s="43">
        <f>$I$18*$T$18</f>
        <v>0</v>
      </c>
      <c r="U60" s="43">
        <f>$I$18*$U$18</f>
        <v>0</v>
      </c>
      <c r="W60" s="43">
        <f>$I$18*$W$18</f>
        <v>0</v>
      </c>
      <c r="X60" s="43">
        <f>$I$18*$X$18</f>
        <v>0</v>
      </c>
      <c r="Y60" s="43">
        <f>$I$18*$Y$18</f>
        <v>0</v>
      </c>
      <c r="Z60" s="43">
        <f>$I$18*$Z$18</f>
        <v>0</v>
      </c>
      <c r="AA60" s="43">
        <f>$I$18*$AA$18</f>
        <v>0</v>
      </c>
      <c r="AB60" s="43">
        <f>$I$18*$AB$18</f>
        <v>0</v>
      </c>
      <c r="AC60" s="43">
        <f>$I$18*$AC$18</f>
        <v>0</v>
      </c>
      <c r="AD60" s="43">
        <f>$I$18*$AD$18</f>
        <v>0</v>
      </c>
      <c r="AE60" s="43">
        <f>$I$18*$AE$18</f>
        <v>0</v>
      </c>
      <c r="AF60" s="43">
        <f>$I$18*$AF$18</f>
        <v>0</v>
      </c>
    </row>
    <row r="61" spans="1:32" ht="11.25" customHeight="1" x14ac:dyDescent="0.25">
      <c r="A61" s="9" t="s">
        <v>22</v>
      </c>
      <c r="B61" s="9" t="s">
        <v>859</v>
      </c>
      <c r="C61" s="9" t="s">
        <v>860</v>
      </c>
      <c r="D61" s="9" t="s">
        <v>877</v>
      </c>
      <c r="E61" s="9" t="s">
        <v>878</v>
      </c>
      <c r="F61" s="9" t="s">
        <v>879</v>
      </c>
      <c r="G61" s="9" t="s">
        <v>880</v>
      </c>
      <c r="L61" s="43">
        <f>$I$19*$L$19</f>
        <v>0</v>
      </c>
      <c r="M61" s="43">
        <f>$I$19*$M$19</f>
        <v>0</v>
      </c>
      <c r="N61" s="43">
        <f>$I$19*$N$19</f>
        <v>0</v>
      </c>
      <c r="O61" s="43">
        <f>$I$19*$O$19</f>
        <v>0</v>
      </c>
      <c r="P61" s="43">
        <f>$I$19*$P$19</f>
        <v>0</v>
      </c>
      <c r="Q61" s="43">
        <f>$I$19*$Q$19</f>
        <v>0</v>
      </c>
      <c r="R61" s="43">
        <f>$I$19*$R$19</f>
        <v>0</v>
      </c>
      <c r="S61" s="43">
        <f>$I$19*$S$19</f>
        <v>0</v>
      </c>
      <c r="T61" s="43">
        <f>$I$19*$T$19</f>
        <v>0</v>
      </c>
      <c r="U61" s="43">
        <f>$I$19*$U$19</f>
        <v>0</v>
      </c>
      <c r="W61" s="43">
        <f>$I$19*$W$19</f>
        <v>0</v>
      </c>
      <c r="X61" s="43">
        <f>$I$19*$X$19</f>
        <v>0</v>
      </c>
      <c r="Y61" s="43">
        <f>$I$19*$Y$19</f>
        <v>0</v>
      </c>
      <c r="Z61" s="43">
        <f>$I$19*$Z$19</f>
        <v>0</v>
      </c>
      <c r="AA61" s="43">
        <f>$I$19*$AA$19</f>
        <v>0</v>
      </c>
      <c r="AB61" s="43">
        <f>$I$19*$AB$19</f>
        <v>0</v>
      </c>
      <c r="AC61" s="43">
        <f>$I$19*$AC$19</f>
        <v>0</v>
      </c>
      <c r="AD61" s="43">
        <f>$I$19*$AD$19</f>
        <v>0</v>
      </c>
      <c r="AE61" s="43">
        <f>$I$19*$AE$19</f>
        <v>0</v>
      </c>
      <c r="AF61" s="43">
        <f>$I$19*$AF$19</f>
        <v>0</v>
      </c>
    </row>
    <row r="62" spans="1:32" ht="11.25" customHeight="1" x14ac:dyDescent="0.25">
      <c r="A62" s="9" t="s">
        <v>40</v>
      </c>
      <c r="B62" s="9" t="s">
        <v>881</v>
      </c>
      <c r="C62" s="9" t="s">
        <v>882</v>
      </c>
      <c r="D62" s="9" t="s">
        <v>883</v>
      </c>
      <c r="E62" s="9" t="s">
        <v>884</v>
      </c>
      <c r="F62" s="9" t="s">
        <v>885</v>
      </c>
      <c r="G62" s="9" t="s">
        <v>886</v>
      </c>
      <c r="L62" s="43">
        <f>$I$20*$L$20</f>
        <v>0</v>
      </c>
      <c r="M62" s="43">
        <f>$I$20*$M$20</f>
        <v>0</v>
      </c>
      <c r="N62" s="43">
        <f>$I$20*$N$20</f>
        <v>0</v>
      </c>
      <c r="O62" s="43">
        <f>$I$20*$O$20</f>
        <v>0</v>
      </c>
      <c r="P62" s="43">
        <f>$I$20*$P$20</f>
        <v>0</v>
      </c>
      <c r="Q62" s="43">
        <f>$I$20*$Q$20</f>
        <v>0</v>
      </c>
      <c r="R62" s="43">
        <f>$I$20*$R$20</f>
        <v>0</v>
      </c>
      <c r="S62" s="43">
        <f>$I$20*$S$20</f>
        <v>0</v>
      </c>
      <c r="T62" s="43">
        <f>$I$20*$T$20</f>
        <v>0</v>
      </c>
      <c r="U62" s="43">
        <f>$I$20*$U$20</f>
        <v>0</v>
      </c>
      <c r="W62" s="43">
        <f>$I$20*$W$20</f>
        <v>0</v>
      </c>
      <c r="X62" s="43">
        <f>$I$20*$X$20</f>
        <v>0</v>
      </c>
      <c r="Y62" s="43">
        <f>$I$20*$Y$20</f>
        <v>0</v>
      </c>
      <c r="Z62" s="43">
        <f>$I$20*$Z$20</f>
        <v>0</v>
      </c>
      <c r="AA62" s="43">
        <f>$I$20*$AA$20</f>
        <v>0</v>
      </c>
      <c r="AB62" s="43">
        <f>$I$20*$AB$20</f>
        <v>0</v>
      </c>
      <c r="AC62" s="43">
        <f>$I$20*$AC$20</f>
        <v>0</v>
      </c>
      <c r="AD62" s="43">
        <f>$I$20*$AD$20</f>
        <v>0</v>
      </c>
      <c r="AE62" s="43">
        <f>$I$20*$AE$20</f>
        <v>0</v>
      </c>
      <c r="AF62" s="43">
        <f>$I$20*$AF$20</f>
        <v>0</v>
      </c>
    </row>
    <row r="63" spans="1:32" ht="11.25" customHeight="1" x14ac:dyDescent="0.25">
      <c r="A63" s="9" t="s">
        <v>40</v>
      </c>
      <c r="B63" s="9" t="s">
        <v>881</v>
      </c>
      <c r="C63" s="9" t="s">
        <v>882</v>
      </c>
      <c r="D63" s="9" t="s">
        <v>883</v>
      </c>
      <c r="E63" s="9" t="s">
        <v>884</v>
      </c>
      <c r="F63" s="9" t="s">
        <v>885</v>
      </c>
      <c r="G63" s="9" t="s">
        <v>887</v>
      </c>
      <c r="L63" s="43">
        <f>$I$21*$L$21</f>
        <v>0</v>
      </c>
      <c r="M63" s="43">
        <f>$I$21*$M$21</f>
        <v>0</v>
      </c>
      <c r="N63" s="43">
        <f>$I$21*$N$21</f>
        <v>0</v>
      </c>
      <c r="O63" s="43">
        <f>$I$21*$O$21</f>
        <v>0</v>
      </c>
      <c r="P63" s="43">
        <f>$I$21*$P$21</f>
        <v>0</v>
      </c>
      <c r="Q63" s="43">
        <f>$I$21*$Q$21</f>
        <v>0</v>
      </c>
      <c r="R63" s="43">
        <f>$I$21*$R$21</f>
        <v>0</v>
      </c>
      <c r="S63" s="43">
        <f>$I$21*$S$21</f>
        <v>0</v>
      </c>
      <c r="T63" s="43">
        <f>$I$21*$T$21</f>
        <v>0</v>
      </c>
      <c r="U63" s="43">
        <f>$I$21*$U$21</f>
        <v>0</v>
      </c>
      <c r="W63" s="43">
        <f>$I$21*$W$21</f>
        <v>0</v>
      </c>
      <c r="X63" s="43">
        <f>$I$21*$X$21</f>
        <v>0</v>
      </c>
      <c r="Y63" s="43">
        <f>$I$21*$Y$21</f>
        <v>0</v>
      </c>
      <c r="Z63" s="43">
        <f>$I$21*$Z$21</f>
        <v>0</v>
      </c>
      <c r="AA63" s="43">
        <f>$I$21*$AA$21</f>
        <v>0</v>
      </c>
      <c r="AB63" s="43">
        <f>$I$21*$AB$21</f>
        <v>0</v>
      </c>
      <c r="AC63" s="43">
        <f>$I$21*$AC$21</f>
        <v>0</v>
      </c>
      <c r="AD63" s="43">
        <f>$I$21*$AD$21</f>
        <v>0</v>
      </c>
      <c r="AE63" s="43">
        <f>$I$21*$AE$21</f>
        <v>0</v>
      </c>
      <c r="AF63" s="43">
        <f>$I$21*$AF$21</f>
        <v>0</v>
      </c>
    </row>
    <row r="64" spans="1:32" ht="11.25" customHeight="1" x14ac:dyDescent="0.25">
      <c r="A64" s="9" t="s">
        <v>40</v>
      </c>
      <c r="B64" s="9" t="s">
        <v>881</v>
      </c>
      <c r="C64" s="9" t="s">
        <v>882</v>
      </c>
      <c r="D64" s="9" t="s">
        <v>883</v>
      </c>
      <c r="E64" s="9" t="s">
        <v>884</v>
      </c>
      <c r="F64" s="9" t="s">
        <v>885</v>
      </c>
      <c r="G64" s="9" t="s">
        <v>888</v>
      </c>
      <c r="L64" s="43">
        <f>$I$22*$L$22</f>
        <v>0</v>
      </c>
      <c r="M64" s="43">
        <f>$I$22*$M$22</f>
        <v>0</v>
      </c>
      <c r="N64" s="43">
        <f>$I$22*$N$22</f>
        <v>0</v>
      </c>
      <c r="O64" s="43">
        <f>$I$22*$O$22</f>
        <v>0</v>
      </c>
      <c r="P64" s="43">
        <f>$I$22*$P$22</f>
        <v>0</v>
      </c>
      <c r="Q64" s="43">
        <f>$I$22*$Q$22</f>
        <v>0</v>
      </c>
      <c r="R64" s="43">
        <f>$I$22*$R$22</f>
        <v>0</v>
      </c>
      <c r="S64" s="43">
        <f>$I$22*$S$22</f>
        <v>0</v>
      </c>
      <c r="T64" s="43">
        <f>$I$22*$T$22</f>
        <v>0</v>
      </c>
      <c r="U64" s="43">
        <f>$I$22*$U$22</f>
        <v>0</v>
      </c>
      <c r="W64" s="43">
        <f>$I$22*$W$22</f>
        <v>0</v>
      </c>
      <c r="X64" s="43">
        <f>$I$22*$X$22</f>
        <v>0</v>
      </c>
      <c r="Y64" s="43">
        <f>$I$22*$Y$22</f>
        <v>0</v>
      </c>
      <c r="Z64" s="43">
        <f>$I$22*$Z$22</f>
        <v>0</v>
      </c>
      <c r="AA64" s="43">
        <f>$I$22*$AA$22</f>
        <v>0</v>
      </c>
      <c r="AB64" s="43">
        <f>$I$22*$AB$22</f>
        <v>0</v>
      </c>
      <c r="AC64" s="43">
        <f>$I$22*$AC$22</f>
        <v>0</v>
      </c>
      <c r="AD64" s="43">
        <f>$I$22*$AD$22</f>
        <v>0</v>
      </c>
      <c r="AE64" s="43">
        <f>$I$22*$AE$22</f>
        <v>0</v>
      </c>
      <c r="AF64" s="43">
        <f>$I$22*$AF$22</f>
        <v>0</v>
      </c>
    </row>
    <row r="65" spans="1:32" ht="11.25" customHeight="1" x14ac:dyDescent="0.25">
      <c r="A65" s="9" t="s">
        <v>40</v>
      </c>
      <c r="B65" s="9" t="s">
        <v>889</v>
      </c>
      <c r="C65" s="9" t="s">
        <v>890</v>
      </c>
      <c r="D65" s="9" t="s">
        <v>891</v>
      </c>
      <c r="E65" s="9" t="s">
        <v>892</v>
      </c>
      <c r="F65" s="9" t="s">
        <v>893</v>
      </c>
      <c r="G65" s="9" t="s">
        <v>894</v>
      </c>
      <c r="L65" s="43">
        <f>$I$23*$L$23</f>
        <v>0</v>
      </c>
      <c r="M65" s="43">
        <f>$I$23*$M$23</f>
        <v>843129.30127835553</v>
      </c>
      <c r="N65" s="43">
        <f>$I$23*$N$23</f>
        <v>0</v>
      </c>
      <c r="O65" s="43">
        <f>$I$23*$O$23</f>
        <v>0</v>
      </c>
      <c r="P65" s="43">
        <f>$I$23*$P$23</f>
        <v>10691071.307295082</v>
      </c>
      <c r="Q65" s="43">
        <f>$I$23*$Q$23</f>
        <v>0</v>
      </c>
      <c r="R65" s="43">
        <f>$I$23*$R$23</f>
        <v>0</v>
      </c>
      <c r="S65" s="43">
        <f>$I$23*$S$23</f>
        <v>0</v>
      </c>
      <c r="T65" s="43">
        <f>$I$23*$T$23</f>
        <v>-97160.803239355315</v>
      </c>
      <c r="U65" s="43">
        <f>$I$23*$U$23</f>
        <v>0</v>
      </c>
      <c r="W65" s="43">
        <f>$I$23*$W$23</f>
        <v>0</v>
      </c>
      <c r="X65" s="43">
        <f>$I$23*$X$23</f>
        <v>0</v>
      </c>
      <c r="Y65" s="43">
        <f>$I$23*$Y$23</f>
        <v>0</v>
      </c>
      <c r="Z65" s="43">
        <f>$I$23*$Z$23</f>
        <v>0</v>
      </c>
      <c r="AA65" s="43">
        <f>$I$23*$AA$23</f>
        <v>11284797.077750923</v>
      </c>
      <c r="AB65" s="43">
        <f>$I$23*$AB$23</f>
        <v>0</v>
      </c>
      <c r="AC65" s="43">
        <f>$I$23*$AC$23</f>
        <v>0</v>
      </c>
      <c r="AD65" s="43">
        <f>$I$23*$AD$23</f>
        <v>0</v>
      </c>
      <c r="AE65" s="43">
        <f>$I$23*$AE$23</f>
        <v>-278248.36258202425</v>
      </c>
      <c r="AF65" s="43">
        <f>$I$23*$AF$23</f>
        <v>0</v>
      </c>
    </row>
    <row r="66" spans="1:32" ht="11.25" customHeight="1" x14ac:dyDescent="0.25">
      <c r="A66" s="9" t="s">
        <v>40</v>
      </c>
      <c r="B66" s="9" t="s">
        <v>881</v>
      </c>
      <c r="C66" s="9" t="s">
        <v>882</v>
      </c>
      <c r="D66" s="9" t="s">
        <v>895</v>
      </c>
      <c r="E66" s="9" t="s">
        <v>896</v>
      </c>
      <c r="F66" s="9" t="s">
        <v>897</v>
      </c>
      <c r="G66" s="9" t="s">
        <v>898</v>
      </c>
      <c r="L66" s="43">
        <f>$I$24*$L$24</f>
        <v>0</v>
      </c>
      <c r="M66" s="43">
        <f>$I$24*$M$24</f>
        <v>0</v>
      </c>
      <c r="N66" s="43">
        <f>$I$24*$N$24</f>
        <v>0</v>
      </c>
      <c r="O66" s="43">
        <f>$I$24*$O$24</f>
        <v>0</v>
      </c>
      <c r="P66" s="43">
        <f>$I$24*$P$24</f>
        <v>0</v>
      </c>
      <c r="Q66" s="43">
        <f>$I$24*$Q$24</f>
        <v>0</v>
      </c>
      <c r="R66" s="43">
        <f>$I$24*$R$24</f>
        <v>0</v>
      </c>
      <c r="S66" s="43">
        <f>$I$24*$S$24</f>
        <v>0</v>
      </c>
      <c r="T66" s="43">
        <f>$I$24*$T$24</f>
        <v>0</v>
      </c>
      <c r="U66" s="43">
        <f>$I$24*$U$24</f>
        <v>0</v>
      </c>
      <c r="W66" s="43">
        <f>$I$24*$W$24</f>
        <v>0</v>
      </c>
      <c r="X66" s="43">
        <f>$I$24*$X$24</f>
        <v>0</v>
      </c>
      <c r="Y66" s="43">
        <f>$I$24*$Y$24</f>
        <v>0</v>
      </c>
      <c r="Z66" s="43">
        <f>$I$24*$Z$24</f>
        <v>0</v>
      </c>
      <c r="AA66" s="43">
        <f>$I$24*$AA$24</f>
        <v>0</v>
      </c>
      <c r="AB66" s="43">
        <f>$I$24*$AB$24</f>
        <v>0</v>
      </c>
      <c r="AC66" s="43">
        <f>$I$24*$AC$24</f>
        <v>0</v>
      </c>
      <c r="AD66" s="43">
        <f>$I$24*$AD$24</f>
        <v>0</v>
      </c>
      <c r="AE66" s="43">
        <f>$I$24*$AE$24</f>
        <v>0</v>
      </c>
      <c r="AF66" s="43">
        <f>$I$24*$AF$24</f>
        <v>0</v>
      </c>
    </row>
    <row r="67" spans="1:32" ht="11.25" customHeight="1" x14ac:dyDescent="0.25">
      <c r="A67" s="9" t="s">
        <v>40</v>
      </c>
      <c r="B67" s="9" t="s">
        <v>881</v>
      </c>
      <c r="C67" s="9" t="s">
        <v>882</v>
      </c>
      <c r="D67" s="9" t="s">
        <v>895</v>
      </c>
      <c r="E67" s="9" t="s">
        <v>896</v>
      </c>
      <c r="F67" s="9" t="s">
        <v>897</v>
      </c>
      <c r="G67" s="9" t="s">
        <v>899</v>
      </c>
      <c r="L67" s="43">
        <f>$I$25*$L$25</f>
        <v>0</v>
      </c>
      <c r="M67" s="43">
        <f>$I$25*$M$25</f>
        <v>0</v>
      </c>
      <c r="N67" s="43">
        <f>$I$25*$N$25</f>
        <v>0</v>
      </c>
      <c r="O67" s="43">
        <f>$I$25*$O$25</f>
        <v>0</v>
      </c>
      <c r="P67" s="43">
        <f>$I$25*$P$25</f>
        <v>0</v>
      </c>
      <c r="Q67" s="43">
        <f>$I$25*$Q$25</f>
        <v>0</v>
      </c>
      <c r="R67" s="43">
        <f>$I$25*$R$25</f>
        <v>0</v>
      </c>
      <c r="S67" s="43">
        <f>$I$25*$S$25</f>
        <v>0</v>
      </c>
      <c r="T67" s="43">
        <f>$I$25*$T$25</f>
        <v>0</v>
      </c>
      <c r="U67" s="43">
        <f>$I$25*$U$25</f>
        <v>0</v>
      </c>
      <c r="W67" s="43">
        <f>$I$25*$W$25</f>
        <v>0</v>
      </c>
      <c r="X67" s="43">
        <f>$I$25*$X$25</f>
        <v>0</v>
      </c>
      <c r="Y67" s="43">
        <f>$I$25*$Y$25</f>
        <v>0</v>
      </c>
      <c r="Z67" s="43">
        <f>$I$25*$Z$25</f>
        <v>0</v>
      </c>
      <c r="AA67" s="43">
        <f>$I$25*$AA$25</f>
        <v>0</v>
      </c>
      <c r="AB67" s="43">
        <f>$I$25*$AB$25</f>
        <v>0</v>
      </c>
      <c r="AC67" s="43">
        <f>$I$25*$AC$25</f>
        <v>0</v>
      </c>
      <c r="AD67" s="43">
        <f>$I$25*$AD$25</f>
        <v>0</v>
      </c>
      <c r="AE67" s="43">
        <f>$I$25*$AE$25</f>
        <v>0</v>
      </c>
      <c r="AF67" s="43">
        <f>$I$25*$AF$25</f>
        <v>0</v>
      </c>
    </row>
    <row r="68" spans="1:32" ht="11.25" customHeight="1" x14ac:dyDescent="0.25">
      <c r="A68" s="9" t="s">
        <v>40</v>
      </c>
      <c r="B68" s="9" t="s">
        <v>881</v>
      </c>
      <c r="C68" s="9" t="s">
        <v>882</v>
      </c>
      <c r="D68" s="9" t="s">
        <v>895</v>
      </c>
      <c r="E68" s="9" t="s">
        <v>896</v>
      </c>
      <c r="F68" s="9" t="s">
        <v>897</v>
      </c>
      <c r="G68" s="9" t="s">
        <v>900</v>
      </c>
      <c r="L68" s="43">
        <f>$I$26*$L$26</f>
        <v>0</v>
      </c>
      <c r="M68" s="43">
        <f>$I$26*$M$26</f>
        <v>0</v>
      </c>
      <c r="N68" s="43">
        <f>$I$26*$N$26</f>
        <v>0</v>
      </c>
      <c r="O68" s="43">
        <f>$I$26*$O$26</f>
        <v>0</v>
      </c>
      <c r="P68" s="43">
        <f>$I$26*$P$26</f>
        <v>0</v>
      </c>
      <c r="Q68" s="43">
        <f>$I$26*$Q$26</f>
        <v>0</v>
      </c>
      <c r="R68" s="43">
        <f>$I$26*$R$26</f>
        <v>0</v>
      </c>
      <c r="S68" s="43">
        <f>$I$26*$S$26</f>
        <v>0</v>
      </c>
      <c r="T68" s="43">
        <f>$I$26*$T$26</f>
        <v>0</v>
      </c>
      <c r="U68" s="43">
        <f>$I$26*$U$26</f>
        <v>0</v>
      </c>
      <c r="W68" s="43">
        <f>$I$26*$W$26</f>
        <v>0</v>
      </c>
      <c r="X68" s="43">
        <f>$I$26*$X$26</f>
        <v>0</v>
      </c>
      <c r="Y68" s="43">
        <f>$I$26*$Y$26</f>
        <v>0</v>
      </c>
      <c r="Z68" s="43">
        <f>$I$26*$Z$26</f>
        <v>0</v>
      </c>
      <c r="AA68" s="43">
        <f>$I$26*$AA$26</f>
        <v>0</v>
      </c>
      <c r="AB68" s="43">
        <f>$I$26*$AB$26</f>
        <v>0</v>
      </c>
      <c r="AC68" s="43">
        <f>$I$26*$AC$26</f>
        <v>0</v>
      </c>
      <c r="AD68" s="43">
        <f>$I$26*$AD$26</f>
        <v>0</v>
      </c>
      <c r="AE68" s="43">
        <f>$I$26*$AE$26</f>
        <v>0</v>
      </c>
      <c r="AF68" s="43">
        <f>$I$26*$AF$26</f>
        <v>0</v>
      </c>
    </row>
    <row r="69" spans="1:32" ht="11.25" customHeight="1" x14ac:dyDescent="0.25">
      <c r="A69" s="9" t="s">
        <v>40</v>
      </c>
      <c r="B69" s="9" t="s">
        <v>889</v>
      </c>
      <c r="C69" s="9" t="s">
        <v>890</v>
      </c>
      <c r="D69" s="9" t="s">
        <v>901</v>
      </c>
      <c r="E69" s="9" t="s">
        <v>902</v>
      </c>
      <c r="F69" s="9" t="s">
        <v>903</v>
      </c>
      <c r="G69" s="9" t="s">
        <v>904</v>
      </c>
      <c r="L69" s="43">
        <f>$I$27*$L$27</f>
        <v>0</v>
      </c>
      <c r="M69" s="43">
        <f>$I$27*$M$27</f>
        <v>0</v>
      </c>
      <c r="N69" s="43">
        <f>$I$27*$N$27</f>
        <v>0</v>
      </c>
      <c r="O69" s="43">
        <f>$I$27*$O$27</f>
        <v>0</v>
      </c>
      <c r="P69" s="43">
        <f>$I$27*$P$27</f>
        <v>0</v>
      </c>
      <c r="Q69" s="43">
        <f>$I$27*$Q$27</f>
        <v>0</v>
      </c>
      <c r="R69" s="43">
        <f>$I$27*$R$27</f>
        <v>0</v>
      </c>
      <c r="S69" s="43">
        <f>$I$27*$S$27</f>
        <v>0</v>
      </c>
      <c r="T69" s="43">
        <f>$I$27*$T$27</f>
        <v>0</v>
      </c>
      <c r="U69" s="43">
        <f>$I$27*$U$27</f>
        <v>0</v>
      </c>
      <c r="W69" s="43">
        <f>$I$27*$W$27</f>
        <v>0</v>
      </c>
      <c r="X69" s="43">
        <f>$I$27*$X$27</f>
        <v>0</v>
      </c>
      <c r="Y69" s="43">
        <f>$I$27*$Y$27</f>
        <v>0</v>
      </c>
      <c r="Z69" s="43">
        <f>$I$27*$Z$27</f>
        <v>0</v>
      </c>
      <c r="AA69" s="43">
        <f>$I$27*$AA$27</f>
        <v>0</v>
      </c>
      <c r="AB69" s="43">
        <f>$I$27*$AB$27</f>
        <v>0</v>
      </c>
      <c r="AC69" s="43">
        <f>$I$27*$AC$27</f>
        <v>0</v>
      </c>
      <c r="AD69" s="43">
        <f>$I$27*$AD$27</f>
        <v>0</v>
      </c>
      <c r="AE69" s="43">
        <f>$I$27*$AE$27</f>
        <v>0</v>
      </c>
      <c r="AF69" s="43">
        <f>$I$27*$AF$27</f>
        <v>0</v>
      </c>
    </row>
    <row r="70" spans="1:32" ht="11.25" customHeight="1" x14ac:dyDescent="0.25">
      <c r="A70" s="9" t="s">
        <v>40</v>
      </c>
      <c r="B70" s="9" t="s">
        <v>881</v>
      </c>
      <c r="C70" s="9" t="s">
        <v>882</v>
      </c>
      <c r="D70" s="9" t="s">
        <v>905</v>
      </c>
      <c r="E70" s="9" t="s">
        <v>906</v>
      </c>
      <c r="F70" s="9" t="s">
        <v>907</v>
      </c>
      <c r="G70" s="9" t="s">
        <v>908</v>
      </c>
      <c r="L70" s="43">
        <f>$I$28*$L$28</f>
        <v>0</v>
      </c>
      <c r="M70" s="43">
        <f>$I$28*$M$28</f>
        <v>0</v>
      </c>
      <c r="N70" s="43">
        <f>$I$28*$N$28</f>
        <v>0</v>
      </c>
      <c r="O70" s="43">
        <f>$I$28*$O$28</f>
        <v>0</v>
      </c>
      <c r="P70" s="43">
        <f>$I$28*$P$28</f>
        <v>0</v>
      </c>
      <c r="Q70" s="43">
        <f>$I$28*$Q$28</f>
        <v>0</v>
      </c>
      <c r="R70" s="43">
        <f>$I$28*$R$28</f>
        <v>0</v>
      </c>
      <c r="S70" s="43">
        <f>$I$28*$S$28</f>
        <v>0</v>
      </c>
      <c r="T70" s="43">
        <f>$I$28*$T$28</f>
        <v>0</v>
      </c>
      <c r="U70" s="43">
        <f>$I$28*$U$28</f>
        <v>0</v>
      </c>
      <c r="W70" s="43">
        <f>$I$28*$W$28</f>
        <v>0</v>
      </c>
      <c r="X70" s="43">
        <f>$I$28*$X$28</f>
        <v>0</v>
      </c>
      <c r="Y70" s="43">
        <f>$I$28*$Y$28</f>
        <v>0</v>
      </c>
      <c r="Z70" s="43">
        <f>$I$28*$Z$28</f>
        <v>0</v>
      </c>
      <c r="AA70" s="43">
        <f>$I$28*$AA$28</f>
        <v>0</v>
      </c>
      <c r="AB70" s="43">
        <f>$I$28*$AB$28</f>
        <v>0</v>
      </c>
      <c r="AC70" s="43">
        <f>$I$28*$AC$28</f>
        <v>0</v>
      </c>
      <c r="AD70" s="43">
        <f>$I$28*$AD$28</f>
        <v>0</v>
      </c>
      <c r="AE70" s="43">
        <f>$I$28*$AE$28</f>
        <v>0</v>
      </c>
      <c r="AF70" s="43">
        <f>$I$28*$AF$28</f>
        <v>0</v>
      </c>
    </row>
    <row r="71" spans="1:32" ht="11.25" customHeight="1" x14ac:dyDescent="0.25">
      <c r="A71" s="9" t="s">
        <v>40</v>
      </c>
      <c r="B71" s="9" t="s">
        <v>881</v>
      </c>
      <c r="C71" s="9" t="s">
        <v>882</v>
      </c>
      <c r="D71" s="9" t="s">
        <v>905</v>
      </c>
      <c r="E71" s="9" t="s">
        <v>906</v>
      </c>
      <c r="F71" s="9" t="s">
        <v>907</v>
      </c>
      <c r="G71" s="9" t="s">
        <v>909</v>
      </c>
      <c r="L71" s="43">
        <f>$I$29*$L$29</f>
        <v>0</v>
      </c>
      <c r="M71" s="43">
        <f>$I$29*$M$29</f>
        <v>0</v>
      </c>
      <c r="N71" s="43">
        <f>$I$29*$N$29</f>
        <v>0</v>
      </c>
      <c r="O71" s="43">
        <f>$I$29*$O$29</f>
        <v>0</v>
      </c>
      <c r="P71" s="43">
        <f>$I$29*$P$29</f>
        <v>0</v>
      </c>
      <c r="Q71" s="43">
        <f>$I$29*$Q$29</f>
        <v>0</v>
      </c>
      <c r="R71" s="43">
        <f>$I$29*$R$29</f>
        <v>0</v>
      </c>
      <c r="S71" s="43">
        <f>$I$29*$S$29</f>
        <v>0</v>
      </c>
      <c r="T71" s="43">
        <f>$I$29*$T$29</f>
        <v>0</v>
      </c>
      <c r="U71" s="43">
        <f>$I$29*$U$29</f>
        <v>0</v>
      </c>
      <c r="W71" s="43">
        <f>$I$29*$W$29</f>
        <v>0</v>
      </c>
      <c r="X71" s="43">
        <f>$I$29*$X$29</f>
        <v>0</v>
      </c>
      <c r="Y71" s="43">
        <f>$I$29*$Y$29</f>
        <v>0</v>
      </c>
      <c r="Z71" s="43">
        <f>$I$29*$Z$29</f>
        <v>0</v>
      </c>
      <c r="AA71" s="43">
        <f>$I$29*$AA$29</f>
        <v>0</v>
      </c>
      <c r="AB71" s="43">
        <f>$I$29*$AB$29</f>
        <v>0</v>
      </c>
      <c r="AC71" s="43">
        <f>$I$29*$AC$29</f>
        <v>0</v>
      </c>
      <c r="AD71" s="43">
        <f>$I$29*$AD$29</f>
        <v>0</v>
      </c>
      <c r="AE71" s="43">
        <f>$I$29*$AE$29</f>
        <v>0</v>
      </c>
      <c r="AF71" s="43">
        <f>$I$29*$AF$29</f>
        <v>0</v>
      </c>
    </row>
    <row r="72" spans="1:32" ht="11.25" customHeight="1" x14ac:dyDescent="0.25">
      <c r="A72" s="9" t="s">
        <v>40</v>
      </c>
      <c r="B72" s="9" t="s">
        <v>881</v>
      </c>
      <c r="C72" s="9" t="s">
        <v>882</v>
      </c>
      <c r="D72" s="9" t="s">
        <v>905</v>
      </c>
      <c r="E72" s="9" t="s">
        <v>906</v>
      </c>
      <c r="F72" s="9" t="s">
        <v>907</v>
      </c>
      <c r="G72" s="9" t="s">
        <v>910</v>
      </c>
      <c r="L72" s="43">
        <f>$I$30*$L$30</f>
        <v>0</v>
      </c>
      <c r="M72" s="43">
        <f>$I$30*$M$30</f>
        <v>0</v>
      </c>
      <c r="N72" s="43">
        <f>$I$30*$N$30</f>
        <v>0</v>
      </c>
      <c r="O72" s="43">
        <f>$I$30*$O$30</f>
        <v>0</v>
      </c>
      <c r="P72" s="43">
        <f>$I$30*$P$30</f>
        <v>0</v>
      </c>
      <c r="Q72" s="43">
        <f>$I$30*$Q$30</f>
        <v>0</v>
      </c>
      <c r="R72" s="43">
        <f>$I$30*$R$30</f>
        <v>0</v>
      </c>
      <c r="S72" s="43">
        <f>$I$30*$S$30</f>
        <v>0</v>
      </c>
      <c r="T72" s="43">
        <f>$I$30*$T$30</f>
        <v>0</v>
      </c>
      <c r="U72" s="43">
        <f>$I$30*$U$30</f>
        <v>0</v>
      </c>
      <c r="W72" s="43">
        <f>$I$30*$W$30</f>
        <v>0</v>
      </c>
      <c r="X72" s="43">
        <f>$I$30*$X$30</f>
        <v>0</v>
      </c>
      <c r="Y72" s="43">
        <f>$I$30*$Y$30</f>
        <v>0</v>
      </c>
      <c r="Z72" s="43">
        <f>$I$30*$Z$30</f>
        <v>0</v>
      </c>
      <c r="AA72" s="43">
        <f>$I$30*$AA$30</f>
        <v>0</v>
      </c>
      <c r="AB72" s="43">
        <f>$I$30*$AB$30</f>
        <v>0</v>
      </c>
      <c r="AC72" s="43">
        <f>$I$30*$AC$30</f>
        <v>0</v>
      </c>
      <c r="AD72" s="43">
        <f>$I$30*$AD$30</f>
        <v>0</v>
      </c>
      <c r="AE72" s="43">
        <f>$I$30*$AE$30</f>
        <v>0</v>
      </c>
      <c r="AF72" s="43">
        <f>$I$30*$AF$30</f>
        <v>0</v>
      </c>
    </row>
    <row r="73" spans="1:32" ht="11.25" customHeight="1" x14ac:dyDescent="0.25">
      <c r="A73" s="9" t="s">
        <v>40</v>
      </c>
      <c r="B73" s="9" t="s">
        <v>889</v>
      </c>
      <c r="C73" s="9" t="s">
        <v>890</v>
      </c>
      <c r="D73" s="9" t="s">
        <v>911</v>
      </c>
      <c r="E73" s="9" t="s">
        <v>912</v>
      </c>
      <c r="F73" s="9" t="s">
        <v>913</v>
      </c>
      <c r="G73" s="9" t="s">
        <v>914</v>
      </c>
      <c r="L73" s="43">
        <f>$I$31*$L$31</f>
        <v>0</v>
      </c>
      <c r="M73" s="43">
        <f>$I$31*$M$31</f>
        <v>0</v>
      </c>
      <c r="N73" s="43">
        <f>$I$31*$N$31</f>
        <v>0</v>
      </c>
      <c r="O73" s="43">
        <f>$I$31*$O$31</f>
        <v>0</v>
      </c>
      <c r="P73" s="43">
        <f>$I$31*$P$31</f>
        <v>0</v>
      </c>
      <c r="Q73" s="43">
        <f>$I$31*$Q$31</f>
        <v>0</v>
      </c>
      <c r="R73" s="43">
        <f>$I$31*$R$31</f>
        <v>0</v>
      </c>
      <c r="S73" s="43">
        <f>$I$31*$S$31</f>
        <v>0</v>
      </c>
      <c r="T73" s="43">
        <f>$I$31*$T$31</f>
        <v>0</v>
      </c>
      <c r="U73" s="43">
        <f>$I$31*$U$31</f>
        <v>0</v>
      </c>
      <c r="W73" s="43">
        <f>$I$31*$W$31</f>
        <v>0</v>
      </c>
      <c r="X73" s="43">
        <f>$I$31*$X$31</f>
        <v>0</v>
      </c>
      <c r="Y73" s="43">
        <f>$I$31*$Y$31</f>
        <v>0</v>
      </c>
      <c r="Z73" s="43">
        <f>$I$31*$Z$31</f>
        <v>0</v>
      </c>
      <c r="AA73" s="43">
        <f>$I$31*$AA$31</f>
        <v>0</v>
      </c>
      <c r="AB73" s="43">
        <f>$I$31*$AB$31</f>
        <v>0</v>
      </c>
      <c r="AC73" s="43">
        <f>$I$31*$AC$31</f>
        <v>0</v>
      </c>
      <c r="AD73" s="43">
        <f>$I$31*$AD$31</f>
        <v>0</v>
      </c>
      <c r="AE73" s="43">
        <f>$I$31*$AE$31</f>
        <v>0</v>
      </c>
      <c r="AF73" s="43">
        <f>$I$31*$AF$31</f>
        <v>0</v>
      </c>
    </row>
    <row r="74" spans="1:32" ht="11.25" customHeight="1" x14ac:dyDescent="0.25">
      <c r="A74" s="9" t="s">
        <v>40</v>
      </c>
      <c r="B74" s="9" t="s">
        <v>915</v>
      </c>
      <c r="C74" s="9" t="s">
        <v>916</v>
      </c>
      <c r="D74" s="9" t="s">
        <v>917</v>
      </c>
      <c r="E74" s="9" t="s">
        <v>918</v>
      </c>
      <c r="F74" s="9" t="s">
        <v>919</v>
      </c>
      <c r="G74" s="9" t="s">
        <v>920</v>
      </c>
      <c r="L74" s="43">
        <f>$I$32*$L$32</f>
        <v>0</v>
      </c>
      <c r="M74" s="43">
        <f>$I$32*$M$32</f>
        <v>0</v>
      </c>
      <c r="N74" s="43">
        <f>$I$32*$N$32</f>
        <v>0</v>
      </c>
      <c r="O74" s="43">
        <f>$I$32*$O$32</f>
        <v>0</v>
      </c>
      <c r="P74" s="43">
        <f>$I$32*$P$32</f>
        <v>0</v>
      </c>
      <c r="Q74" s="43">
        <f>$I$32*$Q$32</f>
        <v>0</v>
      </c>
      <c r="R74" s="43">
        <f>$I$32*$R$32</f>
        <v>0</v>
      </c>
      <c r="S74" s="43">
        <f>$I$32*$S$32</f>
        <v>0</v>
      </c>
      <c r="T74" s="43">
        <f>$I$32*$T$32</f>
        <v>0</v>
      </c>
      <c r="U74" s="43">
        <f>$I$32*$U$32</f>
        <v>0</v>
      </c>
      <c r="W74" s="43">
        <f>$I$32*$W$32</f>
        <v>0</v>
      </c>
      <c r="X74" s="43">
        <f>$I$32*$X$32</f>
        <v>0</v>
      </c>
      <c r="Y74" s="43">
        <f>$I$32*$Y$32</f>
        <v>0</v>
      </c>
      <c r="Z74" s="43">
        <f>$I$32*$Z$32</f>
        <v>0</v>
      </c>
      <c r="AA74" s="43">
        <f>$I$32*$AA$32</f>
        <v>0</v>
      </c>
      <c r="AB74" s="43">
        <f>$I$32*$AB$32</f>
        <v>0</v>
      </c>
      <c r="AC74" s="43">
        <f>$I$32*$AC$32</f>
        <v>0</v>
      </c>
      <c r="AD74" s="43">
        <f>$I$32*$AD$32</f>
        <v>0</v>
      </c>
      <c r="AE74" s="43">
        <f>$I$32*$AE$32</f>
        <v>0</v>
      </c>
      <c r="AF74" s="43">
        <f>$I$32*$AF$32</f>
        <v>0</v>
      </c>
    </row>
    <row r="75" spans="1:32" ht="11.25" customHeight="1" x14ac:dyDescent="0.25">
      <c r="A75" s="9" t="s">
        <v>40</v>
      </c>
      <c r="B75" s="9" t="s">
        <v>915</v>
      </c>
      <c r="C75" s="9" t="s">
        <v>916</v>
      </c>
      <c r="D75" s="9" t="s">
        <v>921</v>
      </c>
      <c r="E75" s="9" t="s">
        <v>922</v>
      </c>
      <c r="F75" s="9" t="s">
        <v>923</v>
      </c>
      <c r="G75" s="9" t="s">
        <v>924</v>
      </c>
      <c r="L75" s="43">
        <f>$I$33*$L$33</f>
        <v>0</v>
      </c>
      <c r="M75" s="43">
        <f>$I$33*$M$33</f>
        <v>0</v>
      </c>
      <c r="N75" s="43">
        <f>$I$33*$N$33</f>
        <v>0</v>
      </c>
      <c r="O75" s="43">
        <f>$I$33*$O$33</f>
        <v>0</v>
      </c>
      <c r="P75" s="43">
        <f>$I$33*$P$33</f>
        <v>0</v>
      </c>
      <c r="Q75" s="43">
        <f>$I$33*$Q$33</f>
        <v>0</v>
      </c>
      <c r="R75" s="43">
        <f>$I$33*$R$33</f>
        <v>0</v>
      </c>
      <c r="S75" s="43">
        <f>$I$33*$S$33</f>
        <v>0</v>
      </c>
      <c r="T75" s="43">
        <f>$I$33*$T$33</f>
        <v>0</v>
      </c>
      <c r="U75" s="43">
        <f>$I$33*$U$33</f>
        <v>0</v>
      </c>
      <c r="W75" s="43">
        <f>$I$33*$W$33</f>
        <v>0</v>
      </c>
      <c r="X75" s="43">
        <f>$I$33*$X$33</f>
        <v>0</v>
      </c>
      <c r="Y75" s="43">
        <f>$I$33*$Y$33</f>
        <v>0</v>
      </c>
      <c r="Z75" s="43">
        <f>$I$33*$Z$33</f>
        <v>0</v>
      </c>
      <c r="AA75" s="43">
        <f>$I$33*$AA$33</f>
        <v>0</v>
      </c>
      <c r="AB75" s="43">
        <f>$I$33*$AB$33</f>
        <v>0</v>
      </c>
      <c r="AC75" s="43">
        <f>$I$33*$AC$33</f>
        <v>0</v>
      </c>
      <c r="AD75" s="43">
        <f>$I$33*$AD$33</f>
        <v>0</v>
      </c>
      <c r="AE75" s="43">
        <f>$I$33*$AE$33</f>
        <v>0</v>
      </c>
      <c r="AF75" s="43">
        <f>$I$33*$AF$33</f>
        <v>0</v>
      </c>
    </row>
    <row r="76" spans="1:32" ht="11.25" customHeight="1" x14ac:dyDescent="0.25">
      <c r="A76" s="9" t="s">
        <v>40</v>
      </c>
      <c r="B76" s="9" t="s">
        <v>915</v>
      </c>
      <c r="C76" s="9" t="s">
        <v>916</v>
      </c>
      <c r="D76" s="9" t="s">
        <v>925</v>
      </c>
      <c r="E76" s="9" t="s">
        <v>926</v>
      </c>
      <c r="F76" s="9" t="s">
        <v>927</v>
      </c>
      <c r="G76" s="9" t="s">
        <v>928</v>
      </c>
      <c r="L76" s="43">
        <f>$I$34*$L$34</f>
        <v>0</v>
      </c>
      <c r="M76" s="43">
        <f>$I$34*$M$34</f>
        <v>0</v>
      </c>
      <c r="N76" s="43">
        <f>$I$34*$N$34</f>
        <v>0</v>
      </c>
      <c r="O76" s="43">
        <f>$I$34*$O$34</f>
        <v>0</v>
      </c>
      <c r="P76" s="43">
        <f>$I$34*$P$34</f>
        <v>0</v>
      </c>
      <c r="Q76" s="43">
        <f>$I$34*$Q$34</f>
        <v>0</v>
      </c>
      <c r="R76" s="43">
        <f>$I$34*$R$34</f>
        <v>0</v>
      </c>
      <c r="S76" s="43">
        <f>$I$34*$S$34</f>
        <v>0</v>
      </c>
      <c r="T76" s="43">
        <f>$I$34*$T$34</f>
        <v>0</v>
      </c>
      <c r="U76" s="43">
        <f>$I$34*$U$34</f>
        <v>0</v>
      </c>
      <c r="W76" s="43">
        <f>$I$34*$W$34</f>
        <v>0</v>
      </c>
      <c r="X76" s="43">
        <f>$I$34*$X$34</f>
        <v>0</v>
      </c>
      <c r="Y76" s="43">
        <f>$I$34*$Y$34</f>
        <v>0</v>
      </c>
      <c r="Z76" s="43">
        <f>$I$34*$Z$34</f>
        <v>0</v>
      </c>
      <c r="AA76" s="43">
        <f>$I$34*$AA$34</f>
        <v>0</v>
      </c>
      <c r="AB76" s="43">
        <f>$I$34*$AB$34</f>
        <v>0</v>
      </c>
      <c r="AC76" s="43">
        <f>$I$34*$AC$34</f>
        <v>0</v>
      </c>
      <c r="AD76" s="43">
        <f>$I$34*$AD$34</f>
        <v>0</v>
      </c>
      <c r="AE76" s="43">
        <f>$I$34*$AE$34</f>
        <v>0</v>
      </c>
      <c r="AF76" s="43">
        <f>$I$34*$AF$34</f>
        <v>0</v>
      </c>
    </row>
    <row r="77" spans="1:32" ht="11.25" customHeight="1" x14ac:dyDescent="0.25">
      <c r="A77" s="9" t="s">
        <v>37</v>
      </c>
      <c r="B77" s="9" t="s">
        <v>929</v>
      </c>
      <c r="C77" s="9" t="s">
        <v>930</v>
      </c>
      <c r="D77" s="9" t="s">
        <v>931</v>
      </c>
      <c r="E77" s="9" t="s">
        <v>932</v>
      </c>
      <c r="F77" s="9" t="s">
        <v>933</v>
      </c>
      <c r="G77" s="9" t="s">
        <v>934</v>
      </c>
      <c r="L77" s="43">
        <f>$I$35*$L$35</f>
        <v>0</v>
      </c>
      <c r="M77" s="43">
        <f>$I$35*$M$35</f>
        <v>0</v>
      </c>
      <c r="N77" s="43">
        <f>$I$35*$N$35</f>
        <v>0</v>
      </c>
      <c r="O77" s="43">
        <f>$I$35*$O$35</f>
        <v>0</v>
      </c>
      <c r="P77" s="43">
        <f>$I$35*$P$35</f>
        <v>0</v>
      </c>
      <c r="Q77" s="43">
        <f>$I$35*$Q$35</f>
        <v>0</v>
      </c>
      <c r="R77" s="43">
        <f>$I$35*$R$35</f>
        <v>0</v>
      </c>
      <c r="S77" s="43">
        <f>$I$35*$S$35</f>
        <v>0</v>
      </c>
      <c r="T77" s="43">
        <f>$I$35*$T$35</f>
        <v>0</v>
      </c>
      <c r="U77" s="43">
        <f>$I$35*$U$35</f>
        <v>0</v>
      </c>
      <c r="W77" s="43">
        <f>$I$35*$W$35</f>
        <v>0</v>
      </c>
      <c r="X77" s="43">
        <f>$I$35*$X$35</f>
        <v>0</v>
      </c>
      <c r="Y77" s="43">
        <f>$I$35*$Y$35</f>
        <v>0</v>
      </c>
      <c r="Z77" s="43">
        <f>$I$35*$Z$35</f>
        <v>0</v>
      </c>
      <c r="AA77" s="43">
        <f>$I$35*$AA$35</f>
        <v>0</v>
      </c>
      <c r="AB77" s="43">
        <f>$I$35*$AB$35</f>
        <v>0</v>
      </c>
      <c r="AC77" s="43">
        <f>$I$35*$AC$35</f>
        <v>0</v>
      </c>
      <c r="AD77" s="43">
        <f>$I$35*$AD$35</f>
        <v>0</v>
      </c>
      <c r="AE77" s="43">
        <f>$I$35*$AE$35</f>
        <v>0</v>
      </c>
      <c r="AF77" s="43">
        <f>$I$35*$AF$35</f>
        <v>0</v>
      </c>
    </row>
    <row r="78" spans="1:32" ht="11.25" customHeight="1" x14ac:dyDescent="0.25">
      <c r="A78" s="9" t="s">
        <v>37</v>
      </c>
      <c r="B78" s="9" t="s">
        <v>929</v>
      </c>
      <c r="C78" s="9" t="s">
        <v>930</v>
      </c>
      <c r="D78" s="9" t="s">
        <v>931</v>
      </c>
      <c r="E78" s="9" t="s">
        <v>932</v>
      </c>
      <c r="F78" s="9" t="s">
        <v>933</v>
      </c>
      <c r="G78" s="9" t="s">
        <v>935</v>
      </c>
      <c r="L78" s="43">
        <f>$I$36*$L$36</f>
        <v>0</v>
      </c>
      <c r="M78" s="43">
        <f>$I$36*$M$36</f>
        <v>0</v>
      </c>
      <c r="N78" s="43">
        <f>$I$36*$N$36</f>
        <v>0</v>
      </c>
      <c r="O78" s="43">
        <f>$I$36*$O$36</f>
        <v>0</v>
      </c>
      <c r="P78" s="43">
        <f>$I$36*$P$36</f>
        <v>0</v>
      </c>
      <c r="Q78" s="43">
        <f>$I$36*$Q$36</f>
        <v>0</v>
      </c>
      <c r="R78" s="43">
        <f>$I$36*$R$36</f>
        <v>0</v>
      </c>
      <c r="S78" s="43">
        <f>$I$36*$S$36</f>
        <v>0</v>
      </c>
      <c r="T78" s="43">
        <f>$I$36*$T$36</f>
        <v>0</v>
      </c>
      <c r="U78" s="43">
        <f>$I$36*$U$36</f>
        <v>0</v>
      </c>
      <c r="W78" s="43">
        <f>$I$36*$W$36</f>
        <v>0</v>
      </c>
      <c r="X78" s="43">
        <f>$I$36*$X$36</f>
        <v>0</v>
      </c>
      <c r="Y78" s="43">
        <f>$I$36*$Y$36</f>
        <v>0</v>
      </c>
      <c r="Z78" s="43">
        <f>$I$36*$Z$36</f>
        <v>0</v>
      </c>
      <c r="AA78" s="43">
        <f>$I$36*$AA$36</f>
        <v>0</v>
      </c>
      <c r="AB78" s="43">
        <f>$I$36*$AB$36</f>
        <v>0</v>
      </c>
      <c r="AC78" s="43">
        <f>$I$36*$AC$36</f>
        <v>0</v>
      </c>
      <c r="AD78" s="43">
        <f>$I$36*$AD$36</f>
        <v>0</v>
      </c>
      <c r="AE78" s="43">
        <f>$I$36*$AE$36</f>
        <v>0</v>
      </c>
      <c r="AF78" s="43">
        <f>$I$36*$AF$36</f>
        <v>0</v>
      </c>
    </row>
    <row r="79" spans="1:32" ht="11.25" customHeight="1" x14ac:dyDescent="0.25">
      <c r="A79" s="9" t="s">
        <v>37</v>
      </c>
      <c r="B79" s="9" t="s">
        <v>929</v>
      </c>
      <c r="C79" s="9" t="s">
        <v>930</v>
      </c>
      <c r="D79" s="9" t="s">
        <v>931</v>
      </c>
      <c r="E79" s="9" t="s">
        <v>932</v>
      </c>
      <c r="F79" s="9" t="s">
        <v>933</v>
      </c>
      <c r="G79" s="9" t="s">
        <v>936</v>
      </c>
      <c r="L79" s="43">
        <f>$I$37*$L$37</f>
        <v>0</v>
      </c>
      <c r="M79" s="43">
        <f>$I$37*$M$37</f>
        <v>0</v>
      </c>
      <c r="N79" s="43">
        <f>$I$37*$N$37</f>
        <v>0</v>
      </c>
      <c r="O79" s="43">
        <f>$I$37*$O$37</f>
        <v>0</v>
      </c>
      <c r="P79" s="43">
        <f>$I$37*$P$37</f>
        <v>0</v>
      </c>
      <c r="Q79" s="43">
        <f>$I$37*$Q$37</f>
        <v>0</v>
      </c>
      <c r="R79" s="43">
        <f>$I$37*$R$37</f>
        <v>0</v>
      </c>
      <c r="S79" s="43">
        <f>$I$37*$S$37</f>
        <v>0</v>
      </c>
      <c r="T79" s="43">
        <f>$I$37*$T$37</f>
        <v>0</v>
      </c>
      <c r="U79" s="43">
        <f>$I$37*$U$37</f>
        <v>0</v>
      </c>
      <c r="W79" s="43">
        <f>$I$37*$W$37</f>
        <v>0</v>
      </c>
      <c r="X79" s="43">
        <f>$I$37*$X$37</f>
        <v>0</v>
      </c>
      <c r="Y79" s="43">
        <f>$I$37*$Y$37</f>
        <v>0</v>
      </c>
      <c r="Z79" s="43">
        <f>$I$37*$Z$37</f>
        <v>0</v>
      </c>
      <c r="AA79" s="43">
        <f>$I$37*$AA$37</f>
        <v>0</v>
      </c>
      <c r="AB79" s="43">
        <f>$I$37*$AB$37</f>
        <v>0</v>
      </c>
      <c r="AC79" s="43">
        <f>$I$37*$AC$37</f>
        <v>0</v>
      </c>
      <c r="AD79" s="43">
        <f>$I$37*$AD$37</f>
        <v>0</v>
      </c>
      <c r="AE79" s="43">
        <f>$I$37*$AE$37</f>
        <v>0</v>
      </c>
      <c r="AF79" s="43">
        <f>$I$37*$AF$37</f>
        <v>0</v>
      </c>
    </row>
    <row r="80" spans="1:32" ht="11.25" customHeight="1" x14ac:dyDescent="0.25">
      <c r="A80" s="9" t="s">
        <v>37</v>
      </c>
      <c r="B80" s="9" t="s">
        <v>937</v>
      </c>
      <c r="C80" s="9" t="s">
        <v>938</v>
      </c>
      <c r="D80" s="9" t="s">
        <v>939</v>
      </c>
      <c r="E80" s="9" t="s">
        <v>940</v>
      </c>
      <c r="F80" s="9" t="s">
        <v>941</v>
      </c>
      <c r="G80" s="9" t="s">
        <v>942</v>
      </c>
      <c r="L80" s="43">
        <f>$I$38*$L$38</f>
        <v>0</v>
      </c>
      <c r="M80" s="43">
        <f>$I$38*$M$38</f>
        <v>150024.47472226556</v>
      </c>
      <c r="N80" s="43">
        <f>$I$38*$N$38</f>
        <v>0</v>
      </c>
      <c r="O80" s="43">
        <f>$I$38*$O$38</f>
        <v>0</v>
      </c>
      <c r="P80" s="43">
        <f>$I$38*$P$38</f>
        <v>1902344.46206929</v>
      </c>
      <c r="Q80" s="43">
        <f>$I$38*$Q$38</f>
        <v>0</v>
      </c>
      <c r="R80" s="43">
        <f>$I$38*$R$38</f>
        <v>0</v>
      </c>
      <c r="S80" s="43">
        <f>$I$38*$S$38</f>
        <v>0</v>
      </c>
      <c r="T80" s="43">
        <f>$I$38*$T$38</f>
        <v>-17288.568251010543</v>
      </c>
      <c r="U80" s="43">
        <f>$I$38*$U$38</f>
        <v>0</v>
      </c>
      <c r="W80" s="43">
        <f>$I$38*$W$38</f>
        <v>0</v>
      </c>
      <c r="X80" s="43">
        <f>$I$38*$X$38</f>
        <v>0</v>
      </c>
      <c r="Y80" s="43">
        <f>$I$38*$Y$38</f>
        <v>0</v>
      </c>
      <c r="Z80" s="43">
        <f>$I$38*$Z$38</f>
        <v>0</v>
      </c>
      <c r="AA80" s="43">
        <f>$I$38*$AA$38</f>
        <v>2144899.1036991859</v>
      </c>
      <c r="AB80" s="43">
        <f>$I$38*$AB$38</f>
        <v>0</v>
      </c>
      <c r="AC80" s="43">
        <f>$I$38*$AC$38</f>
        <v>0</v>
      </c>
      <c r="AD80" s="43">
        <f>$I$38*$AD$38</f>
        <v>0</v>
      </c>
      <c r="AE80" s="43">
        <f>$I$38*$AE$38</f>
        <v>-52886.610135385235</v>
      </c>
      <c r="AF80" s="43">
        <f>$I$38*$AF$38</f>
        <v>0</v>
      </c>
    </row>
    <row r="81" spans="1:32" ht="11.25" customHeight="1" x14ac:dyDescent="0.25">
      <c r="A81" s="9" t="s">
        <v>37</v>
      </c>
      <c r="B81" s="9" t="s">
        <v>943</v>
      </c>
      <c r="C81" s="9" t="s">
        <v>944</v>
      </c>
      <c r="D81" s="9" t="s">
        <v>945</v>
      </c>
      <c r="E81" s="9" t="s">
        <v>946</v>
      </c>
      <c r="F81" s="9" t="s">
        <v>947</v>
      </c>
      <c r="G81" s="9" t="s">
        <v>948</v>
      </c>
      <c r="L81" s="43">
        <f>$I$39*$L$39</f>
        <v>0</v>
      </c>
      <c r="M81" s="43">
        <f>$I$39*$M$39</f>
        <v>0</v>
      </c>
      <c r="N81" s="43">
        <f>$I$39*$N$39</f>
        <v>0</v>
      </c>
      <c r="O81" s="43">
        <f>$I$39*$O$39</f>
        <v>0</v>
      </c>
      <c r="P81" s="43">
        <f>$I$39*$P$39</f>
        <v>0</v>
      </c>
      <c r="Q81" s="43">
        <f>$I$39*$Q$39</f>
        <v>0</v>
      </c>
      <c r="R81" s="43">
        <f>$I$39*$R$39</f>
        <v>0</v>
      </c>
      <c r="S81" s="43">
        <f>$I$39*$S$39</f>
        <v>0</v>
      </c>
      <c r="T81" s="43">
        <f>$I$39*$T$39</f>
        <v>0</v>
      </c>
      <c r="U81" s="43">
        <f>$I$39*$U$39</f>
        <v>0</v>
      </c>
      <c r="W81" s="43">
        <f>$I$39*$W$39</f>
        <v>0</v>
      </c>
      <c r="X81" s="43">
        <f>$I$39*$X$39</f>
        <v>0</v>
      </c>
      <c r="Y81" s="43">
        <f>$I$39*$Y$39</f>
        <v>0</v>
      </c>
      <c r="Z81" s="43">
        <f>$I$39*$Z$39</f>
        <v>0</v>
      </c>
      <c r="AA81" s="43">
        <f>$I$39*$AA$39</f>
        <v>0</v>
      </c>
      <c r="AB81" s="43">
        <f>$I$39*$AB$39</f>
        <v>0</v>
      </c>
      <c r="AC81" s="43">
        <f>$I$39*$AC$39</f>
        <v>0</v>
      </c>
      <c r="AD81" s="43">
        <f>$I$39*$AD$39</f>
        <v>0</v>
      </c>
      <c r="AE81" s="43">
        <f>$I$39*$AE$39</f>
        <v>0</v>
      </c>
      <c r="AF81" s="43">
        <f>$I$39*$AF$39</f>
        <v>0</v>
      </c>
    </row>
    <row r="82" spans="1:32" ht="11.25" customHeight="1" x14ac:dyDescent="0.25">
      <c r="A82" s="9" t="s">
        <v>44</v>
      </c>
      <c r="B82" s="9" t="s">
        <v>949</v>
      </c>
      <c r="C82" s="9" t="s">
        <v>950</v>
      </c>
      <c r="D82" s="9" t="s">
        <v>951</v>
      </c>
      <c r="E82" s="9" t="s">
        <v>952</v>
      </c>
      <c r="F82" s="9" t="s">
        <v>953</v>
      </c>
      <c r="G82" s="9" t="s">
        <v>954</v>
      </c>
      <c r="L82" s="43">
        <f>$I$40*$L$40</f>
        <v>0</v>
      </c>
      <c r="M82" s="43">
        <f>$I$40*$M$40</f>
        <v>1073.0750348018007</v>
      </c>
      <c r="N82" s="43">
        <f>$I$40*$N$40</f>
        <v>0</v>
      </c>
      <c r="O82" s="43">
        <f>$I$40*$O$40</f>
        <v>0</v>
      </c>
      <c r="P82" s="43">
        <f>$I$40*$P$40</f>
        <v>13606.835508800168</v>
      </c>
      <c r="Q82" s="43">
        <f>$I$40*$Q$40</f>
        <v>0</v>
      </c>
      <c r="R82" s="43">
        <f>$I$40*$R$40</f>
        <v>0</v>
      </c>
      <c r="S82" s="43">
        <f>$I$40*$S$40</f>
        <v>0</v>
      </c>
      <c r="T82" s="43">
        <f>$I$40*$T$40</f>
        <v>-123.65936299374424</v>
      </c>
      <c r="U82" s="43">
        <f>$I$40*$U$40</f>
        <v>0</v>
      </c>
      <c r="W82" s="43">
        <f>$I$40*$W$40</f>
        <v>0</v>
      </c>
      <c r="X82" s="43">
        <f>$I$40*$X$40</f>
        <v>0</v>
      </c>
      <c r="Y82" s="43">
        <f>$I$40*$Y$40</f>
        <v>0</v>
      </c>
      <c r="Z82" s="43">
        <f>$I$40*$Z$40</f>
        <v>0</v>
      </c>
      <c r="AA82" s="43">
        <f>$I$40*$AA$40</f>
        <v>15341.74796885158</v>
      </c>
      <c r="AB82" s="43">
        <f>$I$40*$AB$40</f>
        <v>0</v>
      </c>
      <c r="AC82" s="43">
        <f>$I$40*$AC$40</f>
        <v>0</v>
      </c>
      <c r="AD82" s="43">
        <f>$I$40*$AD$40</f>
        <v>0</v>
      </c>
      <c r="AE82" s="43">
        <f>$I$40*$AE$40</f>
        <v>-378.2802847111401</v>
      </c>
      <c r="AF82" s="43">
        <f>$I$40*$AF$40</f>
        <v>0</v>
      </c>
    </row>
    <row r="83" spans="1:32" ht="11.25" customHeight="1" x14ac:dyDescent="0.25">
      <c r="A83" s="9" t="s">
        <v>44</v>
      </c>
      <c r="B83" s="9" t="s">
        <v>949</v>
      </c>
      <c r="C83" s="9" t="s">
        <v>950</v>
      </c>
      <c r="D83" s="9" t="s">
        <v>955</v>
      </c>
      <c r="E83" s="9" t="s">
        <v>956</v>
      </c>
      <c r="F83" s="9" t="s">
        <v>957</v>
      </c>
      <c r="G83" s="9" t="s">
        <v>958</v>
      </c>
      <c r="L83" s="43">
        <f>$I$41*$L$41</f>
        <v>0</v>
      </c>
      <c r="M83" s="43">
        <f>$I$41*$M$41</f>
        <v>21378.238332510075</v>
      </c>
      <c r="N83" s="43">
        <f>$I$41*$N$41</f>
        <v>0</v>
      </c>
      <c r="O83" s="43">
        <f>$I$41*$O$41</f>
        <v>0</v>
      </c>
      <c r="P83" s="43">
        <f>$I$41*$P$41</f>
        <v>271080.92446873389</v>
      </c>
      <c r="Q83" s="43">
        <f>$I$41*$Q$41</f>
        <v>0</v>
      </c>
      <c r="R83" s="43">
        <f>$I$41*$R$41</f>
        <v>0</v>
      </c>
      <c r="S83" s="43">
        <f>$I$41*$S$41</f>
        <v>0</v>
      </c>
      <c r="T83" s="43">
        <f>$I$41*$T$41</f>
        <v>-2463.5922450799749</v>
      </c>
      <c r="U83" s="43">
        <f>$I$41*$U$41</f>
        <v>0</v>
      </c>
      <c r="W83" s="43">
        <f>$I$41*$W$41</f>
        <v>0</v>
      </c>
      <c r="X83" s="43">
        <f>$I$41*$X$41</f>
        <v>0</v>
      </c>
      <c r="Y83" s="43">
        <f>$I$41*$Y$41</f>
        <v>0</v>
      </c>
      <c r="Z83" s="43">
        <f>$I$41*$Z$41</f>
        <v>0</v>
      </c>
      <c r="AA83" s="43">
        <f>$I$41*$AA$41</f>
        <v>305644.5578160265</v>
      </c>
      <c r="AB83" s="43">
        <f>$I$41*$AB$41</f>
        <v>0</v>
      </c>
      <c r="AC83" s="43">
        <f>$I$41*$AC$41</f>
        <v>0</v>
      </c>
      <c r="AD83" s="43">
        <f>$I$41*$AD$41</f>
        <v>0</v>
      </c>
      <c r="AE83" s="43">
        <f>$I$41*$AE$41</f>
        <v>-7536.25405565249</v>
      </c>
      <c r="AF83" s="43">
        <f>$I$41*$AF$41</f>
        <v>0</v>
      </c>
    </row>
  </sheetData>
  <mergeCells count="69">
    <mergeCell ref="L43:U43"/>
    <mergeCell ref="W43:AF43"/>
    <mergeCell ref="L44:U44"/>
    <mergeCell ref="W44:AF44"/>
    <mergeCell ref="L45:O45"/>
    <mergeCell ref="Q45:S45"/>
    <mergeCell ref="W45:Z45"/>
    <mergeCell ref="AB45:AD45"/>
    <mergeCell ref="E35:E37"/>
    <mergeCell ref="F35:F37"/>
    <mergeCell ref="A40:A41"/>
    <mergeCell ref="B40:B41"/>
    <mergeCell ref="C40:C41"/>
    <mergeCell ref="A35:A39"/>
    <mergeCell ref="B35:B37"/>
    <mergeCell ref="C35:C37"/>
    <mergeCell ref="D35:D37"/>
    <mergeCell ref="W1:AF1"/>
    <mergeCell ref="W2:AF2"/>
    <mergeCell ref="W3:Z3"/>
    <mergeCell ref="AB3:AD3"/>
    <mergeCell ref="B32:B34"/>
    <mergeCell ref="C32:C34"/>
    <mergeCell ref="F24:F26"/>
    <mergeCell ref="B28:B30"/>
    <mergeCell ref="C28:C30"/>
    <mergeCell ref="D28:D30"/>
    <mergeCell ref="E28:E30"/>
    <mergeCell ref="F28:F30"/>
    <mergeCell ref="F20:F22"/>
    <mergeCell ref="F7:F9"/>
    <mergeCell ref="F5:F6"/>
    <mergeCell ref="G1:G4"/>
    <mergeCell ref="A20:A34"/>
    <mergeCell ref="B20:B22"/>
    <mergeCell ref="C20:C22"/>
    <mergeCell ref="D20:D22"/>
    <mergeCell ref="E20:E22"/>
    <mergeCell ref="B24:B26"/>
    <mergeCell ref="C24:C26"/>
    <mergeCell ref="D24:D26"/>
    <mergeCell ref="E24:E26"/>
    <mergeCell ref="A7:A19"/>
    <mergeCell ref="B7:B9"/>
    <mergeCell ref="C7:C9"/>
    <mergeCell ref="D7:D9"/>
    <mergeCell ref="E7:E9"/>
    <mergeCell ref="B10:B14"/>
    <mergeCell ref="C10:C14"/>
    <mergeCell ref="B15:B19"/>
    <mergeCell ref="C15:C19"/>
    <mergeCell ref="A5:A6"/>
    <mergeCell ref="B5:B6"/>
    <mergeCell ref="C5:C6"/>
    <mergeCell ref="D5:D6"/>
    <mergeCell ref="E5:E6"/>
    <mergeCell ref="H1:H4"/>
    <mergeCell ref="I1:I4"/>
    <mergeCell ref="J1:J4"/>
    <mergeCell ref="L1:U1"/>
    <mergeCell ref="L2:U2"/>
    <mergeCell ref="L3:O3"/>
    <mergeCell ref="Q3:S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6D912-AED3-4B86-9AC6-C8BFA384DE9D}">
  <sheetPr codeName="Planilha24"/>
  <dimension ref="A1:AG15"/>
  <sheetViews>
    <sheetView showGridLines="0" workbookViewId="0">
      <selection activeCell="J15" sqref="J15"/>
    </sheetView>
  </sheetViews>
  <sheetFormatPr defaultColWidth="9.140625" defaultRowHeight="11.25" x14ac:dyDescent="0.2"/>
  <cols>
    <col min="1" max="1" width="19.140625" style="15" bestFit="1" customWidth="1"/>
    <col min="2" max="2" width="12.42578125" style="15" bestFit="1" customWidth="1"/>
    <col min="3" max="6" width="10.28515625" style="15" bestFit="1" customWidth="1"/>
    <col min="7" max="7" width="10.85546875" style="15" bestFit="1" customWidth="1"/>
    <col min="8" max="8" width="10" style="15" bestFit="1" customWidth="1"/>
    <col min="9" max="9" width="8" style="15" bestFit="1" customWidth="1"/>
    <col min="10" max="10" width="7.28515625" style="15" bestFit="1" customWidth="1"/>
    <col min="11" max="11" width="7.140625" style="15" bestFit="1" customWidth="1"/>
    <col min="12" max="12" width="9.5703125" style="15" bestFit="1" customWidth="1"/>
    <col min="13" max="13" width="9.7109375" style="15" bestFit="1" customWidth="1"/>
    <col min="14" max="14" width="10.85546875" style="15" bestFit="1" customWidth="1"/>
    <col min="15" max="15" width="7.42578125" style="15" bestFit="1" customWidth="1"/>
    <col min="16" max="16" width="9.7109375" style="15" bestFit="1" customWidth="1"/>
    <col min="17" max="17" width="11" style="15" bestFit="1" customWidth="1"/>
    <col min="18" max="18" width="7.7109375" style="15" bestFit="1" customWidth="1"/>
    <col min="19" max="19" width="7.140625" style="15" bestFit="1" customWidth="1"/>
    <col min="20" max="20" width="14.5703125" style="15" bestFit="1" customWidth="1"/>
    <col min="21" max="21" width="17.7109375" style="15" bestFit="1" customWidth="1"/>
    <col min="22" max="22" width="18.42578125" style="15" bestFit="1" customWidth="1"/>
    <col min="23" max="23" width="6" style="15" bestFit="1" customWidth="1"/>
    <col min="24" max="24" width="10.85546875" style="15" bestFit="1" customWidth="1"/>
    <col min="25" max="26" width="9.140625" style="15"/>
    <col min="27" max="27" width="3" style="15" bestFit="1" customWidth="1"/>
    <col min="28" max="28" width="21.5703125" style="15" bestFit="1" customWidth="1"/>
    <col min="29" max="29" width="13.5703125" style="15" bestFit="1" customWidth="1"/>
    <col min="30" max="30" width="25.140625" style="15" bestFit="1" customWidth="1"/>
    <col min="31" max="33" width="10.28515625" style="15" bestFit="1" customWidth="1"/>
    <col min="34" max="16384" width="9.140625" style="15"/>
  </cols>
  <sheetData>
    <row r="1" spans="1:33" x14ac:dyDescent="0.2">
      <c r="A1" s="15" t="s">
        <v>63</v>
      </c>
      <c r="B1" s="15" t="s">
        <v>64</v>
      </c>
      <c r="C1" s="15" t="s">
        <v>65</v>
      </c>
      <c r="D1" s="15" t="s">
        <v>66</v>
      </c>
      <c r="E1" s="15" t="s">
        <v>67</v>
      </c>
      <c r="F1" s="15" t="s">
        <v>15</v>
      </c>
      <c r="G1" s="15" t="s">
        <v>69</v>
      </c>
      <c r="I1" s="15" t="s">
        <v>966</v>
      </c>
      <c r="AA1" s="15" t="s">
        <v>33</v>
      </c>
      <c r="AB1" s="15" t="s">
        <v>25</v>
      </c>
      <c r="AC1" s="15" t="s">
        <v>25</v>
      </c>
      <c r="AD1" s="15" t="s">
        <v>25</v>
      </c>
      <c r="AE1" s="15" t="s">
        <v>25</v>
      </c>
      <c r="AF1" s="15" t="s">
        <v>25</v>
      </c>
      <c r="AG1" s="15" t="s">
        <v>25</v>
      </c>
    </row>
    <row r="2" spans="1:33" x14ac:dyDescent="0.2">
      <c r="A2" s="15" t="s">
        <v>33</v>
      </c>
      <c r="B2" s="15" t="s">
        <v>25</v>
      </c>
      <c r="C2" s="15" t="s">
        <v>25</v>
      </c>
      <c r="D2" s="15" t="s">
        <v>25</v>
      </c>
      <c r="E2" s="15" t="s">
        <v>25</v>
      </c>
      <c r="F2" s="15" t="s">
        <v>25</v>
      </c>
      <c r="G2" s="15" t="s">
        <v>25</v>
      </c>
      <c r="I2" s="15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5" t="s">
        <v>82</v>
      </c>
      <c r="AB2" s="15" t="s">
        <v>43</v>
      </c>
      <c r="AC2" s="15" t="s">
        <v>24</v>
      </c>
      <c r="AD2" s="15" t="s">
        <v>24</v>
      </c>
      <c r="AE2" s="15" t="s">
        <v>80</v>
      </c>
      <c r="AG2" s="15" t="s">
        <v>77</v>
      </c>
    </row>
    <row r="3" spans="1:33" x14ac:dyDescent="0.2">
      <c r="AA3" s="15" t="s">
        <v>22</v>
      </c>
      <c r="AB3" s="15" t="s">
        <v>81</v>
      </c>
      <c r="AC3" s="15" t="s">
        <v>41</v>
      </c>
      <c r="AD3" s="15" t="s">
        <v>29</v>
      </c>
      <c r="AE3" s="15" t="s">
        <v>83</v>
      </c>
      <c r="AG3" s="15" t="s">
        <v>78</v>
      </c>
    </row>
    <row r="4" spans="1:33" x14ac:dyDescent="0.2">
      <c r="AA4" s="15" t="s">
        <v>40</v>
      </c>
      <c r="AB4" s="15" t="s">
        <v>34</v>
      </c>
      <c r="AC4" s="15" t="s">
        <v>45</v>
      </c>
      <c r="AD4" s="15" t="s">
        <v>30</v>
      </c>
      <c r="AE4" s="15" t="s">
        <v>84</v>
      </c>
      <c r="AG4" s="15" t="s">
        <v>79</v>
      </c>
    </row>
    <row r="5" spans="1:33" x14ac:dyDescent="0.2">
      <c r="A5" s="15" t="s">
        <v>959</v>
      </c>
      <c r="B5" s="15" t="str">
        <f>TUSD!$AI$4</f>
        <v>CDE Covid TUSD</v>
      </c>
      <c r="C5" s="15" t="str">
        <f>TUSD!$AJ$4</f>
        <v>TFSEE</v>
      </c>
      <c r="D5" s="15" t="str">
        <f>TUSD!$AK$4</f>
        <v>P&amp;D</v>
      </c>
      <c r="E5" s="15" t="str">
        <f>TUSD!$AL$4</f>
        <v>ONS</v>
      </c>
      <c r="F5" s="15" t="str">
        <f>TUSD!$AM$4</f>
        <v>CCC</v>
      </c>
      <c r="G5" s="15" t="str">
        <f>TUSD!$AN$4</f>
        <v>CDE</v>
      </c>
      <c r="H5" s="15" t="str">
        <f>TUSD!$AO$4</f>
        <v>PROINFA</v>
      </c>
      <c r="I5" s="15" t="str">
        <f>TUSD!$AP$4</f>
        <v>LIMINAR 1</v>
      </c>
      <c r="J5" s="15" t="str">
        <f>TUSD!$AQ$4</f>
        <v>TUSD RB</v>
      </c>
      <c r="K5" s="15" t="str">
        <f>TUSD!$AR$4</f>
        <v>TUSD FR</v>
      </c>
      <c r="L5" s="15" t="str">
        <f>TUSD!$AS$4</f>
        <v>CONEXAO T</v>
      </c>
      <c r="M5" s="15" t="str">
        <f>TUSD!$AT$4</f>
        <v>CONEXAO D</v>
      </c>
      <c r="N5" s="15" t="str">
        <f>TUSD!$AU$4</f>
        <v>CUSD</v>
      </c>
      <c r="O5" s="15" t="str">
        <f>TUSD!$AV$4</f>
        <v>TUSDG-T</v>
      </c>
      <c r="P5" s="15" t="str">
        <f>TUSD!$AW$4</f>
        <v>TUSDG-ONS</v>
      </c>
      <c r="Q5" s="15" t="str">
        <f>TUSD!$AX$4</f>
        <v>DISTRIBUICAO</v>
      </c>
      <c r="R5" s="15" t="str">
        <f>TUSD!$AY$4</f>
        <v>SUBSIDIO</v>
      </c>
      <c r="S5" s="15" t="str">
        <f>TUSD!$AZ$4</f>
        <v>OUTROS</v>
      </c>
      <c r="T5" s="15" t="str">
        <f>TUSD!$BA$4</f>
        <v>PERDAS TECNICAS</v>
      </c>
      <c r="U5" s="15" t="str">
        <f>TUSD!$BB$4</f>
        <v>PERDAS RB/ PERDAS D</v>
      </c>
      <c r="V5" s="15" t="str">
        <f>TUSD!$BC$4</f>
        <v>PERDAS NAO TECNICAS</v>
      </c>
      <c r="W5" s="15" t="str">
        <f>TUSD!$BD$4</f>
        <v>RI</v>
      </c>
      <c r="X5" s="15" t="s">
        <v>436</v>
      </c>
      <c r="AA5" s="15" t="s">
        <v>37</v>
      </c>
      <c r="AB5" s="15" t="s">
        <v>87</v>
      </c>
      <c r="AD5" s="15" t="s">
        <v>31</v>
      </c>
      <c r="AG5" s="15" t="s">
        <v>9</v>
      </c>
    </row>
    <row r="6" spans="1:33" x14ac:dyDescent="0.2">
      <c r="A6" s="15" t="s">
        <v>960</v>
      </c>
      <c r="B6" s="19">
        <f>SUM(TUSD!$AI$57:'TUSD'!$AI$103)</f>
        <v>0</v>
      </c>
      <c r="C6" s="19">
        <f>SUM(TUSD!$AJ$57:'TUSD'!$AJ$103)</f>
        <v>217259.00465576717</v>
      </c>
      <c r="D6" s="19">
        <f>SUM(TUSD!$AK$57:'TUSD'!$AK$103)</f>
        <v>0</v>
      </c>
      <c r="E6" s="19">
        <f>SUM(TUSD!$AL$57:'TUSD'!$AL$103)</f>
        <v>0</v>
      </c>
      <c r="F6" s="19">
        <f>SUM(TUSD!$AM$57:'TUSD'!$AM$103)</f>
        <v>0</v>
      </c>
      <c r="G6" s="19">
        <f>SUM(TUSD!$AN$57:'TUSD'!$AN$103)</f>
        <v>8790333.2916087694</v>
      </c>
      <c r="H6" s="19">
        <f>SUM(TUSD!$AO$57:'TUSD'!$AO$103)</f>
        <v>1505895.8865370594</v>
      </c>
      <c r="I6" s="19">
        <f>SUM(TUSD!$AP$57:'TUSD'!$AP$103)</f>
        <v>0</v>
      </c>
      <c r="J6" s="19">
        <f>SUM(TUSD!$AQ$57:'TUSD'!$AQ$103)</f>
        <v>0</v>
      </c>
      <c r="K6" s="19">
        <f>SUM(TUSD!$AR$57:'TUSD'!$AR$103)</f>
        <v>0</v>
      </c>
      <c r="L6" s="19">
        <f>SUM(TUSD!$AS$57:'TUSD'!$AS$103)</f>
        <v>0</v>
      </c>
      <c r="M6" s="19">
        <f>SUM(TUSD!$AT$57:'TUSD'!$AT$103)</f>
        <v>0</v>
      </c>
      <c r="N6" s="19">
        <f>SUM(TUSD!$AU$57:'TUSD'!$AU$103)</f>
        <v>20809982.77752652</v>
      </c>
      <c r="O6" s="19">
        <f>SUM(TUSD!$AV$57:'TUSD'!$AV$103)</f>
        <v>0</v>
      </c>
      <c r="P6" s="19">
        <f>SUM(TUSD!$AW$57:'TUSD'!$AW$103)</f>
        <v>0</v>
      </c>
      <c r="Q6" s="19">
        <f>SUM(TUSD!$AX$57:'TUSD'!$AX$103)</f>
        <v>29707907.099470295</v>
      </c>
      <c r="R6" s="19">
        <f>SUM(TUSD!$AY$57:'TUSD'!$AY$103)</f>
        <v>0</v>
      </c>
      <c r="S6" s="19">
        <f>SUM(TUSD!$AZ$57:'TUSD'!$AZ$103)</f>
        <v>0</v>
      </c>
      <c r="T6" s="19">
        <f>SUM(TUSD!$BA$57:'TUSD'!$BA$103)</f>
        <v>3887164.1904501906</v>
      </c>
      <c r="U6" s="19">
        <f>SUM(TUSD!$BB$57:'TUSD'!$BB$103)</f>
        <v>0</v>
      </c>
      <c r="V6" s="19">
        <f>SUM(TUSD!$BC$57:'TUSD'!$BC$103)</f>
        <v>0</v>
      </c>
      <c r="W6" s="19">
        <f>SUM(TUSD!$BD$57:'TUSD'!$BD$103)</f>
        <v>0</v>
      </c>
      <c r="X6" s="19">
        <f t="shared" ref="X6:X11" si="0">SUM(B6:W6)</f>
        <v>64918542.250248604</v>
      </c>
      <c r="AA6" s="15" t="s">
        <v>44</v>
      </c>
      <c r="AB6" s="15" t="s">
        <v>23</v>
      </c>
      <c r="AD6" s="15" t="s">
        <v>32</v>
      </c>
      <c r="AG6" s="15" t="s">
        <v>74</v>
      </c>
    </row>
    <row r="7" spans="1:33" x14ac:dyDescent="0.2">
      <c r="A7" s="15" t="s">
        <v>961</v>
      </c>
      <c r="B7" s="19">
        <f>SUM(TUSD!$L$57:'TUSD'!$L$103)</f>
        <v>0</v>
      </c>
      <c r="C7" s="19">
        <f>SUM(TUSD!$M$57:'TUSD'!$M$103)</f>
        <v>248863.0607469492</v>
      </c>
      <c r="D7" s="19">
        <f ca="1">SUM(TUSD!$N$57:'TUSD'!$N$103)</f>
        <v>0</v>
      </c>
      <c r="E7" s="19">
        <f>SUM(TUSD!$O$57:'TUSD'!$O$103)</f>
        <v>0</v>
      </c>
      <c r="F7" s="19">
        <f>SUM(TUSD!$P$57:'TUSD'!$P$103)</f>
        <v>0</v>
      </c>
      <c r="G7" s="19">
        <f>SUM(TUSD!$Q$57:'TUSD'!$Q$103)</f>
        <v>13258197.132087393</v>
      </c>
      <c r="H7" s="19">
        <f>SUM(TUSD!$R$57:'TUSD'!$R$103)</f>
        <v>2397789.7770719249</v>
      </c>
      <c r="I7" s="19">
        <f>SUM(TUSD!$S$57:'TUSD'!$S$103)</f>
        <v>0</v>
      </c>
      <c r="J7" s="19">
        <f>SUM(TUSD!$T$57:'TUSD'!$T$103)</f>
        <v>0</v>
      </c>
      <c r="K7" s="19">
        <f>SUM(TUSD!$U$57:'TUSD'!$U$103)</f>
        <v>0</v>
      </c>
      <c r="L7" s="19">
        <f>SUM(TUSD!$V$57:'TUSD'!$V$103)</f>
        <v>0</v>
      </c>
      <c r="M7" s="19">
        <f>SUM(TUSD!$W$57:'TUSD'!$W$103)</f>
        <v>0</v>
      </c>
      <c r="N7" s="19">
        <f>SUM(TUSD!$X$57:'TUSD'!$X$103)</f>
        <v>21409762.166984506</v>
      </c>
      <c r="O7" s="19">
        <f>SUM(TUSD!$Y$57:'TUSD'!$Y$103)</f>
        <v>0</v>
      </c>
      <c r="P7" s="19">
        <f>SUM(TUSD!$Z$57:'TUSD'!$Z$103)</f>
        <v>0</v>
      </c>
      <c r="Q7" s="19">
        <f>SUM(TUSD!$AA$57:'TUSD'!$AA$103)</f>
        <v>31085819.575857114</v>
      </c>
      <c r="R7" s="19">
        <f ca="1">SUM(TUSD!$AB$57:'TUSD'!$AB$103)</f>
        <v>1467976.8769748732</v>
      </c>
      <c r="S7" s="19">
        <f ca="1">SUM(TUSD!$AC$57:'TUSD'!$AC$103)</f>
        <v>0</v>
      </c>
      <c r="T7" s="19">
        <f>SUM(TUSD!$AD$57:'TUSD'!$AD$103)</f>
        <v>4777985.9520028038</v>
      </c>
      <c r="U7" s="19">
        <f>SUM(TUSD!$AE$57:'TUSD'!$AE$103)</f>
        <v>0</v>
      </c>
      <c r="V7" s="19">
        <f ca="1">SUM(TUSD!$AF$57:'TUSD'!$AF$103)</f>
        <v>0</v>
      </c>
      <c r="W7" s="19">
        <f ca="1">SUM(TUSD!$AG$57:'TUSD'!$AG$103)</f>
        <v>0</v>
      </c>
      <c r="X7" s="19">
        <f t="shared" ca="1" si="0"/>
        <v>74646394.541725561</v>
      </c>
      <c r="AB7" s="15" t="s">
        <v>89</v>
      </c>
      <c r="AD7" s="15" t="s">
        <v>90</v>
      </c>
      <c r="AG7" s="15" t="s">
        <v>75</v>
      </c>
    </row>
    <row r="8" spans="1:33" x14ac:dyDescent="0.2">
      <c r="A8" s="15" t="s">
        <v>964</v>
      </c>
      <c r="B8" s="19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0</v>
      </c>
      <c r="C8" s="19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81369.525863731469</v>
      </c>
      <c r="D8" s="19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0</v>
      </c>
      <c r="E8" s="19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19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19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4185663.2984690112</v>
      </c>
      <c r="H8" s="19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769456.03349927417</v>
      </c>
      <c r="I8" s="19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19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0</v>
      </c>
      <c r="K8" s="19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0</v>
      </c>
      <c r="L8" s="19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0</v>
      </c>
      <c r="M8" s="19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19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10222655.241413703</v>
      </c>
      <c r="O8" s="19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19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19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11438553.445707003</v>
      </c>
      <c r="R8" s="19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0</v>
      </c>
      <c r="S8" s="19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19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1291464.5892551525</v>
      </c>
      <c r="U8" s="19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0</v>
      </c>
      <c r="V8" s="19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0</v>
      </c>
      <c r="W8" s="19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0</v>
      </c>
      <c r="X8" s="19">
        <f t="shared" si="0"/>
        <v>27989162.134207875</v>
      </c>
      <c r="AD8" s="15" t="s">
        <v>91</v>
      </c>
      <c r="AG8" s="15" t="s">
        <v>85</v>
      </c>
    </row>
    <row r="9" spans="1:33" x14ac:dyDescent="0.2">
      <c r="A9" s="15" t="s">
        <v>965</v>
      </c>
      <c r="B9" s="19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0</v>
      </c>
      <c r="C9" s="19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93521.932056388978</v>
      </c>
      <c r="D9" s="19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0</v>
      </c>
      <c r="E9" s="19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19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19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6067894.6604795586</v>
      </c>
      <c r="H9" s="19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1201671.4338669593</v>
      </c>
      <c r="I9" s="19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19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0</v>
      </c>
      <c r="K9" s="19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0</v>
      </c>
      <c r="L9" s="19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0</v>
      </c>
      <c r="M9" s="19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19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10307658.023182448</v>
      </c>
      <c r="O9" s="19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19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19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11681950.296539124</v>
      </c>
      <c r="R9" s="19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606080.771659869</v>
      </c>
      <c r="S9" s="19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19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1546159.3736967279</v>
      </c>
      <c r="U9" s="19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0</v>
      </c>
      <c r="V9" s="19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0</v>
      </c>
      <c r="W9" s="19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0</v>
      </c>
      <c r="X9" s="19">
        <f t="shared" ca="1" si="0"/>
        <v>31504936.491481077</v>
      </c>
      <c r="AD9" s="15" t="s">
        <v>46</v>
      </c>
    </row>
    <row r="10" spans="1:33" x14ac:dyDescent="0.2">
      <c r="A10" s="15" t="s">
        <v>962</v>
      </c>
      <c r="B10" s="19">
        <f>SUMIF(TUSD!$A$57:'TUSD'!$A$103,$A$2,TUSD!$AI$57:'TUSD'!$AI$103)</f>
        <v>0</v>
      </c>
      <c r="C10" s="19">
        <f>SUMIF(TUSD!$A$57:'TUSD'!$A$103,$A$2,TUSD!$AJ$57:'TUSD'!$AJ$103)</f>
        <v>81369.525863731469</v>
      </c>
      <c r="D10" s="19">
        <f>SUMIF(TUSD!$A$57:'TUSD'!$A$103,$A$2,TUSD!$AK$57:'TUSD'!$AK$103)</f>
        <v>0</v>
      </c>
      <c r="E10" s="19">
        <f>SUMIF(TUSD!$A$57:'TUSD'!$A$103,$A$2,TUSD!$AL$57:'TUSD'!$AL$103)</f>
        <v>0</v>
      </c>
      <c r="F10" s="19">
        <f>SUMIF(TUSD!$A$57:'TUSD'!$A$103,$A$2,TUSD!$AM$57:'TUSD'!$AM$103)</f>
        <v>0</v>
      </c>
      <c r="G10" s="19">
        <f>SUMIF(TUSD!$A$57:'TUSD'!$A$103,$A$2,TUSD!$AN$57:'TUSD'!$AN$103)</f>
        <v>4185663.2984690112</v>
      </c>
      <c r="H10" s="19">
        <f>SUMIF(TUSD!$A$57:'TUSD'!$A$103,$A$2,TUSD!$AO$57:'TUSD'!$AO$103)</f>
        <v>769456.03349927417</v>
      </c>
      <c r="I10" s="19">
        <f>SUMIF(TUSD!$A$57:'TUSD'!$A$103,$A$2,TUSD!$AP$57:'TUSD'!$AP$103)</f>
        <v>0</v>
      </c>
      <c r="J10" s="19">
        <f>SUMIF(TUSD!$A$57:'TUSD'!$A$103,$A$2,TUSD!$AQ$57:'TUSD'!$AQ$103)</f>
        <v>0</v>
      </c>
      <c r="K10" s="19">
        <f>SUMIF(TUSD!$A$57:'TUSD'!$A$103,$A$2,TUSD!$AR$57:'TUSD'!$AR$103)</f>
        <v>0</v>
      </c>
      <c r="L10" s="19">
        <f>SUMIF(TUSD!$A$57:'TUSD'!$A$103,$A$2,TUSD!$AS$57:'TUSD'!$AS$103)</f>
        <v>0</v>
      </c>
      <c r="M10" s="19">
        <f>SUMIF(TUSD!$A$57:'TUSD'!$A$103,$A$2,TUSD!$AT$57:'TUSD'!$AT$103)</f>
        <v>0</v>
      </c>
      <c r="N10" s="19">
        <f>SUMIF(TUSD!$A$57:'TUSD'!$A$103,$A$2,TUSD!$AU$57:'TUSD'!$AU$103)</f>
        <v>10222655.241413703</v>
      </c>
      <c r="O10" s="19">
        <f>SUMIF(TUSD!$A$57:'TUSD'!$A$103,$A$2,TUSD!$AV$57:'TUSD'!$AV$103)</f>
        <v>0</v>
      </c>
      <c r="P10" s="19">
        <f>SUMIF(TUSD!$A$57:'TUSD'!$A$103,$A$2,TUSD!$AW$57:'TUSD'!$AW$103)</f>
        <v>0</v>
      </c>
      <c r="Q10" s="19">
        <f>SUMIF(TUSD!$A$57:'TUSD'!$A$103,$A$2,TUSD!$AX$57:'TUSD'!$AX$103)</f>
        <v>11438553.445707003</v>
      </c>
      <c r="R10" s="19">
        <f>SUMIF(TUSD!$A$57:'TUSD'!$A$103,$A$2,TUSD!$AY$57:'TUSD'!$AY$103)</f>
        <v>0</v>
      </c>
      <c r="S10" s="19">
        <f>SUMIF(TUSD!$A$57:'TUSD'!$A$103,$A$2,TUSD!$AZ$57:'TUSD'!$AZ$103)</f>
        <v>0</v>
      </c>
      <c r="T10" s="19">
        <f>SUMIF(TUSD!$A$57:'TUSD'!$A$103,$A$2,TUSD!$BA$57:'TUSD'!$BA$103)</f>
        <v>1291464.5892551525</v>
      </c>
      <c r="U10" s="19">
        <f>SUMIF(TUSD!$A$57:'TUSD'!$A$103,$A$2,TUSD!$BB$57:'TUSD'!$BB$103)</f>
        <v>0</v>
      </c>
      <c r="V10" s="19">
        <f>SUMIF(TUSD!$A$57:'TUSD'!$A$103,$A$2,TUSD!$BC$57:'TUSD'!$BC$103)</f>
        <v>0</v>
      </c>
      <c r="W10" s="19">
        <f>SUMIF(TUSD!$A$57:'TUSD'!$A$103,$A$2,TUSD!$BD$57:'TUSD'!$BD$103)</f>
        <v>0</v>
      </c>
      <c r="X10" s="19">
        <f t="shared" si="0"/>
        <v>27989162.134207875</v>
      </c>
      <c r="AD10" s="15" t="s">
        <v>47</v>
      </c>
    </row>
    <row r="11" spans="1:33" x14ac:dyDescent="0.2">
      <c r="A11" s="15" t="s">
        <v>963</v>
      </c>
      <c r="B11" s="19">
        <f>SUMIF(TUSD!$A$57:'TUSD'!$A$103,$A$2,TUSD!$L$57:'TUSD'!$L$103)</f>
        <v>0</v>
      </c>
      <c r="C11" s="19">
        <f>SUMIF(TUSD!$A$57:'TUSD'!$A$103,$A$2,TUSD!$M$57:'TUSD'!$M$103)</f>
        <v>93521.932056388978</v>
      </c>
      <c r="D11" s="19">
        <f ca="1">SUMIF(TUSD!$A$57:'TUSD'!$A$103,$A$2,TUSD!$N$57:'TUSD'!$N$103)</f>
        <v>0</v>
      </c>
      <c r="E11" s="19">
        <f>SUMIF(TUSD!$A$57:'TUSD'!$A$103,$A$2,TUSD!$O$57:'TUSD'!$O$103)</f>
        <v>0</v>
      </c>
      <c r="F11" s="19">
        <f>SUMIF(TUSD!$A$57:'TUSD'!$A$103,$A$2,TUSD!$P$57:'TUSD'!$P$103)</f>
        <v>0</v>
      </c>
      <c r="G11" s="19">
        <f>SUMIF(TUSD!$A$57:'TUSD'!$A$103,$A$2,TUSD!$Q$57:'TUSD'!$Q$103)</f>
        <v>6067894.6604795586</v>
      </c>
      <c r="H11" s="19">
        <f>SUMIF(TUSD!$A$57:'TUSD'!$A$103,$A$2,TUSD!$R$57:'TUSD'!$R$103)</f>
        <v>1201671.4338669593</v>
      </c>
      <c r="I11" s="19">
        <f>SUMIF(TUSD!$A$57:'TUSD'!$A$103,$A$2,TUSD!$S$57:'TUSD'!$S$103)</f>
        <v>0</v>
      </c>
      <c r="J11" s="19">
        <f>SUMIF(TUSD!$A$57:'TUSD'!$A$103,$A$2,TUSD!$T$57:'TUSD'!$T$103)</f>
        <v>0</v>
      </c>
      <c r="K11" s="19">
        <f>SUMIF(TUSD!$A$57:'TUSD'!$A$103,$A$2,TUSD!$U$57:'TUSD'!$U$103)</f>
        <v>0</v>
      </c>
      <c r="L11" s="19">
        <f>SUMIF(TUSD!$A$57:'TUSD'!$A$103,$A$2,TUSD!$V$57:'TUSD'!$V$103)</f>
        <v>0</v>
      </c>
      <c r="M11" s="19">
        <f>SUMIF(TUSD!$A$57:'TUSD'!$A$103,$A$2,TUSD!$W$57:'TUSD'!$W$103)</f>
        <v>0</v>
      </c>
      <c r="N11" s="19">
        <f>SUMIF(TUSD!$A$57:'TUSD'!$A$103,$A$2,TUSD!$X$57:'TUSD'!$X$103)</f>
        <v>10307658.023182448</v>
      </c>
      <c r="O11" s="19">
        <f>SUMIF(TUSD!$A$57:'TUSD'!$A$103,$A$2,TUSD!$Y$57:'TUSD'!$Y$103)</f>
        <v>0</v>
      </c>
      <c r="P11" s="19">
        <f>SUMIF(TUSD!$A$57:'TUSD'!$A$103,$A$2,TUSD!$Z$57:'TUSD'!$Z$103)</f>
        <v>0</v>
      </c>
      <c r="Q11" s="19">
        <f>SUMIF(TUSD!$A$57:'TUSD'!$A$103,$A$2,TUSD!$AA$57:'TUSD'!$AA$103)</f>
        <v>11681950.296539124</v>
      </c>
      <c r="R11" s="19">
        <f ca="1">SUMIF(TUSD!$A$57:'TUSD'!$A$103,$A$2,TUSD!$AB$57:'TUSD'!$AB$103)</f>
        <v>606080.771659869</v>
      </c>
      <c r="S11" s="19">
        <f ca="1">SUMIF(TUSD!$A$57:'TUSD'!$A$103,$A$2,TUSD!$AC$57:'TUSD'!$AC$103)</f>
        <v>0</v>
      </c>
      <c r="T11" s="19">
        <f>SUMIF(TUSD!$A$57:'TUSD'!$A$103,$A$2,TUSD!$AD$57:'TUSD'!$AD$103)</f>
        <v>1546159.3736967279</v>
      </c>
      <c r="U11" s="19">
        <f>SUMIF(TUSD!$A$57:'TUSD'!$A$103,$A$2,TUSD!$AE$57:'TUSD'!$AE$103)</f>
        <v>0</v>
      </c>
      <c r="V11" s="19">
        <f ca="1">SUMIF(TUSD!$A$57:'TUSD'!$A$103,$A$2,TUSD!$AF$57:'TUSD'!$AF$103)</f>
        <v>0</v>
      </c>
      <c r="W11" s="19">
        <f ca="1">SUMIF(TUSD!$A$57:'TUSD'!$A$103,$A$2,TUSD!$AG$57:'TUSD'!$AG$103)</f>
        <v>0</v>
      </c>
      <c r="X11" s="19">
        <f t="shared" ca="1" si="0"/>
        <v>31504936.491481077</v>
      </c>
    </row>
    <row r="13" spans="1:33" x14ac:dyDescent="0.2">
      <c r="A13" s="15" t="s">
        <v>967</v>
      </c>
      <c r="B13" s="30">
        <f t="shared" ref="B13:X13" si="1">IF($X$6&lt;&gt;0,(B$7-B$6)/$X$6,0)</f>
        <v>0</v>
      </c>
      <c r="C13" s="30">
        <f t="shared" si="1"/>
        <v>4.8682633644721117E-4</v>
      </c>
      <c r="D13" s="30">
        <f t="shared" ca="1" si="1"/>
        <v>0</v>
      </c>
      <c r="E13" s="30">
        <f t="shared" si="1"/>
        <v>0</v>
      </c>
      <c r="F13" s="30">
        <f t="shared" si="1"/>
        <v>0</v>
      </c>
      <c r="G13" s="30">
        <f t="shared" si="1"/>
        <v>6.8822615012762614E-2</v>
      </c>
      <c r="H13" s="30">
        <f t="shared" si="1"/>
        <v>1.373866170772573E-2</v>
      </c>
      <c r="I13" s="30">
        <f t="shared" si="1"/>
        <v>0</v>
      </c>
      <c r="J13" s="30">
        <f t="shared" si="1"/>
        <v>0</v>
      </c>
      <c r="K13" s="30">
        <f t="shared" si="1"/>
        <v>0</v>
      </c>
      <c r="L13" s="30">
        <f t="shared" si="1"/>
        <v>0</v>
      </c>
      <c r="M13" s="30">
        <f t="shared" si="1"/>
        <v>0</v>
      </c>
      <c r="N13" s="30">
        <f t="shared" si="1"/>
        <v>9.2389534433159407E-3</v>
      </c>
      <c r="O13" s="30">
        <f t="shared" si="1"/>
        <v>0</v>
      </c>
      <c r="P13" s="30">
        <f t="shared" si="1"/>
        <v>0</v>
      </c>
      <c r="Q13" s="30">
        <f t="shared" si="1"/>
        <v>2.1225252888076709E-2</v>
      </c>
      <c r="R13" s="30">
        <f t="shared" ca="1" si="1"/>
        <v>2.2612597666104427E-2</v>
      </c>
      <c r="S13" s="30">
        <f t="shared" ca="1" si="1"/>
        <v>0</v>
      </c>
      <c r="T13" s="30">
        <f t="shared" si="1"/>
        <v>1.3722146719171007E-2</v>
      </c>
      <c r="U13" s="30">
        <f t="shared" si="1"/>
        <v>0</v>
      </c>
      <c r="V13" s="30">
        <f t="shared" ca="1" si="1"/>
        <v>0</v>
      </c>
      <c r="W13" s="30">
        <f t="shared" ca="1" si="1"/>
        <v>0</v>
      </c>
      <c r="X13" s="30">
        <f t="shared" ca="1" si="1"/>
        <v>0.14984705377360358</v>
      </c>
    </row>
    <row r="14" spans="1:33" x14ac:dyDescent="0.2">
      <c r="A14" s="15" t="s">
        <v>968</v>
      </c>
      <c r="B14" s="30">
        <f t="shared" ref="B14:X14" si="2">IF($X$10&lt;&gt;0,(B$9-B$8)/$X$10,0)</f>
        <v>0</v>
      </c>
      <c r="C14" s="30">
        <f t="shared" si="2"/>
        <v>4.3418256446501647E-4</v>
      </c>
      <c r="D14" s="30">
        <f t="shared" ca="1" si="2"/>
        <v>0</v>
      </c>
      <c r="E14" s="30">
        <f t="shared" si="2"/>
        <v>0</v>
      </c>
      <c r="F14" s="30">
        <f t="shared" si="2"/>
        <v>0</v>
      </c>
      <c r="G14" s="30">
        <f t="shared" si="2"/>
        <v>6.7248578324183433E-2</v>
      </c>
      <c r="H14" s="30">
        <f t="shared" si="2"/>
        <v>1.5442241475297285E-2</v>
      </c>
      <c r="I14" s="30">
        <f t="shared" si="2"/>
        <v>0</v>
      </c>
      <c r="J14" s="30">
        <f t="shared" si="2"/>
        <v>0</v>
      </c>
      <c r="K14" s="30">
        <f t="shared" si="2"/>
        <v>0</v>
      </c>
      <c r="L14" s="30">
        <f t="shared" si="2"/>
        <v>0</v>
      </c>
      <c r="M14" s="30">
        <f t="shared" si="2"/>
        <v>0</v>
      </c>
      <c r="N14" s="30">
        <f t="shared" si="2"/>
        <v>3.0369891517708515E-3</v>
      </c>
      <c r="O14" s="30">
        <f t="shared" si="2"/>
        <v>0</v>
      </c>
      <c r="P14" s="30">
        <f t="shared" si="2"/>
        <v>0</v>
      </c>
      <c r="Q14" s="30">
        <f t="shared" si="2"/>
        <v>8.696110646865202E-3</v>
      </c>
      <c r="R14" s="30">
        <f t="shared" ca="1" si="2"/>
        <v>2.1654123433696056E-2</v>
      </c>
      <c r="S14" s="30">
        <f t="shared" ca="1" si="2"/>
        <v>0</v>
      </c>
      <c r="T14" s="30">
        <f t="shared" si="2"/>
        <v>9.0997645167195558E-3</v>
      </c>
      <c r="U14" s="30">
        <f t="shared" si="2"/>
        <v>0</v>
      </c>
      <c r="V14" s="30">
        <f t="shared" ca="1" si="2"/>
        <v>0</v>
      </c>
      <c r="W14" s="30">
        <f t="shared" ca="1" si="2"/>
        <v>0</v>
      </c>
      <c r="X14" s="30">
        <f t="shared" ca="1" si="2"/>
        <v>0.12561199011299745</v>
      </c>
    </row>
    <row r="15" spans="1:33" x14ac:dyDescent="0.2">
      <c r="A15" s="15" t="s">
        <v>969</v>
      </c>
      <c r="B15" s="30">
        <f t="shared" ref="B15:X15" si="3">IF($X$8&lt;&gt;0,(B$9-B$8)/$X$8,0)</f>
        <v>0</v>
      </c>
      <c r="C15" s="30">
        <f t="shared" si="3"/>
        <v>4.3418256446501647E-4</v>
      </c>
      <c r="D15" s="30">
        <f t="shared" ca="1" si="3"/>
        <v>0</v>
      </c>
      <c r="E15" s="30">
        <f t="shared" si="3"/>
        <v>0</v>
      </c>
      <c r="F15" s="30">
        <f t="shared" si="3"/>
        <v>0</v>
      </c>
      <c r="G15" s="30">
        <f t="shared" si="3"/>
        <v>6.7248578324183433E-2</v>
      </c>
      <c r="H15" s="30">
        <f t="shared" si="3"/>
        <v>1.5442241475297285E-2</v>
      </c>
      <c r="I15" s="30">
        <f t="shared" si="3"/>
        <v>0</v>
      </c>
      <c r="J15" s="30">
        <f t="shared" si="3"/>
        <v>0</v>
      </c>
      <c r="K15" s="30">
        <f t="shared" si="3"/>
        <v>0</v>
      </c>
      <c r="L15" s="30">
        <f t="shared" si="3"/>
        <v>0</v>
      </c>
      <c r="M15" s="30">
        <f t="shared" si="3"/>
        <v>0</v>
      </c>
      <c r="N15" s="30">
        <f t="shared" si="3"/>
        <v>3.0369891517708515E-3</v>
      </c>
      <c r="O15" s="30">
        <f t="shared" si="3"/>
        <v>0</v>
      </c>
      <c r="P15" s="30">
        <f t="shared" si="3"/>
        <v>0</v>
      </c>
      <c r="Q15" s="30">
        <f t="shared" si="3"/>
        <v>8.696110646865202E-3</v>
      </c>
      <c r="R15" s="30">
        <f t="shared" ca="1" si="3"/>
        <v>2.1654123433696056E-2</v>
      </c>
      <c r="S15" s="30">
        <f t="shared" ca="1" si="3"/>
        <v>0</v>
      </c>
      <c r="T15" s="30">
        <f t="shared" si="3"/>
        <v>9.0997645167195558E-3</v>
      </c>
      <c r="U15" s="30">
        <f t="shared" si="3"/>
        <v>0</v>
      </c>
      <c r="V15" s="30">
        <f t="shared" ca="1" si="3"/>
        <v>0</v>
      </c>
      <c r="W15" s="30">
        <f t="shared" ca="1" si="3"/>
        <v>0</v>
      </c>
      <c r="X15" s="30">
        <f t="shared" ca="1" si="3"/>
        <v>0.12561199011299745</v>
      </c>
    </row>
  </sheetData>
  <dataValidations count="6">
    <dataValidation type="list" allowBlank="1" showInputMessage="1" showErrorMessage="1" error="Deve-se selecionar grupo válido" sqref="A2" xr:uid="{011ED502-988C-4FC6-9DB0-17DE6589069F}">
      <formula1>AA1:AA6</formula1>
    </dataValidation>
    <dataValidation type="list" allowBlank="1" showInputMessage="1" showErrorMessage="1" error="Deve-se selecionar grupo válido" sqref="B2" xr:uid="{385C9967-7B59-46E7-9806-83494BC265B2}">
      <formula1>AB1:AB7</formula1>
    </dataValidation>
    <dataValidation type="list" allowBlank="1" showInputMessage="1" showErrorMessage="1" error="Deve-se selecionar grupo válido" sqref="C2 E2" xr:uid="{2BF5E304-C45D-415C-B750-F1D8A3440743}">
      <formula1>AC1:AC4</formula1>
    </dataValidation>
    <dataValidation type="list" allowBlank="1" showInputMessage="1" showErrorMessage="1" error="Deve-se selecionar grupo válido" sqref="D2" xr:uid="{4CF9C2C1-C705-43EE-B4D9-0E2F9B6A9FDC}">
      <formula1>AD1:AD10</formula1>
    </dataValidation>
    <dataValidation type="list" allowBlank="1" showInputMessage="1" showErrorMessage="1" error="Deve-se selecionar grupo válido" sqref="F2" xr:uid="{B9EBB558-E88F-445B-A530-5574AFB66632}">
      <formula1>AF1:AF1</formula1>
    </dataValidation>
    <dataValidation type="list" allowBlank="1" showInputMessage="1" showErrorMessage="1" error="Deve-se selecionar grupo válido" sqref="G2" xr:uid="{9989567D-1853-4D15-9E36-5321FBB0A4DD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F0605-20F4-4547-A8A0-3D794B518185}">
  <sheetPr codeName="Planilha25"/>
  <dimension ref="A1:AG15"/>
  <sheetViews>
    <sheetView showGridLines="0" workbookViewId="0">
      <selection activeCell="J15" sqref="J15"/>
    </sheetView>
  </sheetViews>
  <sheetFormatPr defaultColWidth="9.140625" defaultRowHeight="11.25" x14ac:dyDescent="0.2"/>
  <cols>
    <col min="1" max="1" width="19.140625" style="15" bestFit="1" customWidth="1"/>
    <col min="2" max="2" width="10.5703125" style="15" bestFit="1" customWidth="1"/>
    <col min="3" max="5" width="10.28515625" style="15" bestFit="1" customWidth="1"/>
    <col min="6" max="6" width="14.85546875" style="15" bestFit="1" customWidth="1"/>
    <col min="7" max="7" width="10.28515625" style="15" bestFit="1" customWidth="1"/>
    <col min="8" max="8" width="9.5703125" style="15" bestFit="1" customWidth="1"/>
    <col min="9" max="9" width="6.42578125" style="15" bestFit="1" customWidth="1"/>
    <col min="10" max="10" width="9.28515625" style="15" bestFit="1" customWidth="1"/>
    <col min="11" max="11" width="10.7109375" style="15" bestFit="1" customWidth="1"/>
    <col min="12" max="12" width="10.85546875" style="15" bestFit="1" customWidth="1"/>
    <col min="13" max="26" width="9.140625" style="15"/>
    <col min="27" max="27" width="3" style="15" bestFit="1" customWidth="1"/>
    <col min="28" max="28" width="27.140625" style="15" bestFit="1" customWidth="1"/>
    <col min="29" max="29" width="13.5703125" style="15" bestFit="1" customWidth="1"/>
    <col min="30" max="30" width="25.140625" style="15" bestFit="1" customWidth="1"/>
    <col min="31" max="33" width="10.28515625" style="15" bestFit="1" customWidth="1"/>
    <col min="34" max="16384" width="9.140625" style="15"/>
  </cols>
  <sheetData>
    <row r="1" spans="1:33" x14ac:dyDescent="0.2">
      <c r="A1" s="15" t="s">
        <v>63</v>
      </c>
      <c r="B1" s="15" t="s">
        <v>64</v>
      </c>
      <c r="C1" s="15" t="s">
        <v>65</v>
      </c>
      <c r="D1" s="15" t="s">
        <v>66</v>
      </c>
      <c r="E1" s="15" t="s">
        <v>67</v>
      </c>
      <c r="F1" s="15" t="s">
        <v>15</v>
      </c>
      <c r="G1" s="15" t="s">
        <v>69</v>
      </c>
      <c r="I1" s="15" t="s">
        <v>966</v>
      </c>
      <c r="AA1" s="15" t="s">
        <v>33</v>
      </c>
      <c r="AB1" s="15" t="s">
        <v>25</v>
      </c>
      <c r="AC1" s="15" t="s">
        <v>25</v>
      </c>
      <c r="AD1" s="15" t="s">
        <v>25</v>
      </c>
      <c r="AE1" s="15" t="s">
        <v>25</v>
      </c>
      <c r="AF1" s="15" t="s">
        <v>25</v>
      </c>
      <c r="AG1" s="15" t="s">
        <v>25</v>
      </c>
    </row>
    <row r="2" spans="1:33" x14ac:dyDescent="0.2">
      <c r="A2" s="15" t="s">
        <v>33</v>
      </c>
      <c r="B2" s="15" t="s">
        <v>25</v>
      </c>
      <c r="C2" s="15" t="s">
        <v>25</v>
      </c>
      <c r="D2" s="15" t="s">
        <v>25</v>
      </c>
      <c r="E2" s="15" t="s">
        <v>25</v>
      </c>
      <c r="F2" s="15" t="s">
        <v>25</v>
      </c>
      <c r="G2" s="15" t="s">
        <v>25</v>
      </c>
      <c r="I2" s="15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5" t="s">
        <v>22</v>
      </c>
      <c r="AB2" s="15" t="s">
        <v>72</v>
      </c>
      <c r="AC2" s="15" t="s">
        <v>24</v>
      </c>
      <c r="AD2" s="15" t="s">
        <v>24</v>
      </c>
      <c r="AG2" s="15" t="s">
        <v>74</v>
      </c>
    </row>
    <row r="3" spans="1:33" x14ac:dyDescent="0.2">
      <c r="AA3" s="15" t="s">
        <v>40</v>
      </c>
      <c r="AB3" s="15" t="s">
        <v>86</v>
      </c>
      <c r="AC3" s="15" t="s">
        <v>41</v>
      </c>
      <c r="AD3" s="15" t="s">
        <v>29</v>
      </c>
      <c r="AG3" s="15" t="s">
        <v>75</v>
      </c>
    </row>
    <row r="4" spans="1:33" x14ac:dyDescent="0.2">
      <c r="AA4" s="15" t="s">
        <v>37</v>
      </c>
      <c r="AB4" s="15" t="s">
        <v>88</v>
      </c>
      <c r="AC4" s="15" t="s">
        <v>45</v>
      </c>
      <c r="AD4" s="15" t="s">
        <v>30</v>
      </c>
      <c r="AG4" s="15" t="s">
        <v>85</v>
      </c>
    </row>
    <row r="5" spans="1:33" x14ac:dyDescent="0.2">
      <c r="A5" s="15" t="s">
        <v>959</v>
      </c>
      <c r="B5" s="15" t="str">
        <f>TE!$W$4</f>
        <v>P&amp;D</v>
      </c>
      <c r="C5" s="15" t="str">
        <f>TE!$X$4</f>
        <v>ESS/ERR</v>
      </c>
      <c r="D5" s="15" t="str">
        <f>TE!$Y$4</f>
        <v>CFURH</v>
      </c>
      <c r="E5" s="15" t="str">
        <f>TE!$Z$4</f>
        <v>CDE Covid TE</v>
      </c>
      <c r="F5" s="15" t="str">
        <f>TE!$AA$4</f>
        <v>ENERGIA REVENDA</v>
      </c>
      <c r="G5" s="15" t="str">
        <f>TE!$AB$4</f>
        <v>ITAIPU</v>
      </c>
      <c r="H5" s="15" t="str">
        <f>TE!$AC$4</f>
        <v>TUST ITAIPU</v>
      </c>
      <c r="I5" s="15" t="str">
        <f>TE!$AD$4</f>
        <v>TUST CI</v>
      </c>
      <c r="J5" s="15" t="str">
        <f>TE!$AE$4</f>
        <v>SUBSIDIO</v>
      </c>
      <c r="K5" s="15" t="str">
        <f>TE!$AF$4</f>
        <v>PERDAS RB/C</v>
      </c>
      <c r="L5" s="15" t="s">
        <v>436</v>
      </c>
      <c r="AA5" s="15" t="s">
        <v>44</v>
      </c>
      <c r="AD5" s="15" t="s">
        <v>31</v>
      </c>
      <c r="AG5" s="15" t="s">
        <v>79</v>
      </c>
    </row>
    <row r="6" spans="1:33" x14ac:dyDescent="0.2">
      <c r="A6" s="15" t="s">
        <v>960</v>
      </c>
      <c r="B6" s="19">
        <f>SUM(TE!$W$47:'TE'!$W$83)</f>
        <v>0</v>
      </c>
      <c r="C6" s="19">
        <f>SUM(TE!$X$47:'TE'!$X$83)</f>
        <v>0</v>
      </c>
      <c r="D6" s="19">
        <f>SUM(TE!$Y$47:'TE'!$Y$83)</f>
        <v>0</v>
      </c>
      <c r="E6" s="19">
        <f>SUM(TE!$Z$47:'TE'!$Z$83)</f>
        <v>0</v>
      </c>
      <c r="F6" s="19">
        <f>SUM(TE!$AA$47:'TE'!$AA$83)</f>
        <v>36942427.992555127</v>
      </c>
      <c r="G6" s="19">
        <f>SUM(TE!$AB$47:'TE'!$AB$83)</f>
        <v>0</v>
      </c>
      <c r="H6" s="19">
        <f>SUM(TE!$AC$47:'TE'!$AC$83)</f>
        <v>0</v>
      </c>
      <c r="I6" s="19">
        <f>SUM(TE!$AD$47:'TE'!$AD$83)</f>
        <v>0</v>
      </c>
      <c r="J6" s="19">
        <f>SUM(TE!$AE$47:'TE'!$AE$83)</f>
        <v>-910886.56959540385</v>
      </c>
      <c r="K6" s="19">
        <f>SUM(TE!$AF$47:'TE'!$AF$83)</f>
        <v>0</v>
      </c>
      <c r="L6" s="19">
        <f t="shared" ref="L6:L11" si="0">SUM(B6:K6)</f>
        <v>36031541.422959723</v>
      </c>
      <c r="AD6" s="15" t="s">
        <v>32</v>
      </c>
    </row>
    <row r="7" spans="1:33" x14ac:dyDescent="0.2">
      <c r="A7" s="15" t="s">
        <v>961</v>
      </c>
      <c r="B7" s="19">
        <f>SUM(TE!$L$47:'TE'!$L$83)</f>
        <v>0</v>
      </c>
      <c r="C7" s="19">
        <f>SUM(TE!$M$47:'TE'!$M$83)</f>
        <v>2637746.3972399519</v>
      </c>
      <c r="D7" s="19">
        <f>SUM(TE!$N$47:'TE'!$N$83)</f>
        <v>0</v>
      </c>
      <c r="E7" s="19">
        <f>SUM(TE!$O$47:'TE'!$O$83)</f>
        <v>0</v>
      </c>
      <c r="F7" s="19">
        <f>SUM(TE!$P$47:'TE'!$P$83)</f>
        <v>33447224.264054846</v>
      </c>
      <c r="G7" s="19">
        <f>SUM(TE!$Q$47:'TE'!$Q$83)</f>
        <v>0</v>
      </c>
      <c r="H7" s="19">
        <f>SUM(TE!$R$47:'TE'!$R$83)</f>
        <v>0</v>
      </c>
      <c r="I7" s="19">
        <f>SUM(TE!$S$47:'TE'!$S$83)</f>
        <v>0</v>
      </c>
      <c r="J7" s="19">
        <f>SUM(TE!$T$47:'TE'!$T$83)</f>
        <v>-303969.46032947523</v>
      </c>
      <c r="K7" s="19">
        <f>SUM(TE!$U$47:'TE'!$U$83)</f>
        <v>0</v>
      </c>
      <c r="L7" s="19">
        <f t="shared" si="0"/>
        <v>35781001.200965323</v>
      </c>
      <c r="AD7" s="15" t="s">
        <v>90</v>
      </c>
    </row>
    <row r="8" spans="1:33" x14ac:dyDescent="0.2">
      <c r="A8" s="15" t="s">
        <v>964</v>
      </c>
      <c r="B8" s="19">
        <f>IF($G$2&lt;&gt;"Não se aplica",SUMIF(TE!$G$47:'TE'!$G$83,$I$2,TE!$W$47:'TE'!$W$83),IF($F$2&lt;&gt;"Não se aplica",SUMIF(TE!$F$47:'TE'!$F$83,$I$2,TE!$W$47:'TE'!$W$83),IF($E$2&lt;&gt;"Não se aplica",SUMIF(TE!$E$47:'TE'!$E$83,$I$2,TE!$W$47:'TE'!$W$83),IF($D$2&lt;&gt;"Não se aplica",SUMIF(TE!$D$47:'TE'!$D$83,$I$2,TE!$W$47:'TE'!$W$83),IF($C$2&lt;&gt;"Não se aplica",SUMIF(TE!$C$47:'TE'!$C$83,$I$2,TE!$W$47:'TE'!$W$83),IF($B$2&lt;&gt;"Não se aplica",SUMIF(TE!$B$47:'TE'!$B$83,$I$2,TE!$W$47:'TE'!$W$83),SUMIF(TE!$A$47:'TE'!$A$83,$I$2,TE!$W$47:'TE'!$W$83)))))))</f>
        <v>0</v>
      </c>
      <c r="C8" s="19">
        <f>IF($G$2&lt;&gt;"Não se aplica",SUMIF(TE!$G$47:'TE'!$G$83,$I$2,TE!$X$47:'TE'!$X$83),IF($F$2&lt;&gt;"Não se aplica",SUMIF(TE!$F$47:'TE'!$F$83,$I$2,TE!$X$47:'TE'!$X$83),IF($E$2&lt;&gt;"Não se aplica",SUMIF(TE!$E$47:'TE'!$E$83,$I$2,TE!$X$47:'TE'!$X$83),IF($D$2&lt;&gt;"Não se aplica",SUMIF(TE!$D$47:'TE'!$D$83,$I$2,TE!$X$47:'TE'!$X$83),IF($C$2&lt;&gt;"Não se aplica",SUMIF(TE!$C$47:'TE'!$C$83,$I$2,TE!$X$47:'TE'!$X$83),IF($B$2&lt;&gt;"Não se aplica",SUMIF(TE!$B$47:'TE'!$B$83,$I$2,TE!$X$47:'TE'!$X$83),SUMIF(TE!$A$47:'TE'!$A$83,$I$2,TE!$X$47:'TE'!$X$83)))))))</f>
        <v>0</v>
      </c>
      <c r="D8" s="19">
        <f>IF($G$2&lt;&gt;"Não se aplica",SUMIF(TE!$G$47:'TE'!$G$83,$I$2,TE!$Y$47:'TE'!$Y$83),IF($F$2&lt;&gt;"Não se aplica",SUMIF(TE!$F$47:'TE'!$F$83,$I$2,TE!$Y$47:'TE'!$Y$83),IF($E$2&lt;&gt;"Não se aplica",SUMIF(TE!$E$47:'TE'!$E$83,$I$2,TE!$Y$47:'TE'!$Y$83),IF($D$2&lt;&gt;"Não se aplica",SUMIF(TE!$D$47:'TE'!$D$83,$I$2,TE!$Y$47:'TE'!$Y$83),IF($C$2&lt;&gt;"Não se aplica",SUMIF(TE!$C$47:'TE'!$C$83,$I$2,TE!$Y$47:'TE'!$Y$83),IF($B$2&lt;&gt;"Não se aplica",SUMIF(TE!$B$47:'TE'!$B$83,$I$2,TE!$Y$47:'TE'!$Y$83),SUMIF(TE!$A$47:'TE'!$A$83,$I$2,TE!$Y$47:'TE'!$Y$83)))))))</f>
        <v>0</v>
      </c>
      <c r="E8" s="19">
        <f>IF($G$2&lt;&gt;"Não se aplica",SUMIF(TE!$G$47:'TE'!$G$83,$I$2,TE!$Z$47:'TE'!$Z$83),IF($F$2&lt;&gt;"Não se aplica",SUMIF(TE!$F$47:'TE'!$F$83,$I$2,TE!$Z$47:'TE'!$Z$83),IF($E$2&lt;&gt;"Não se aplica",SUMIF(TE!$E$47:'TE'!$E$83,$I$2,TE!$Z$47:'TE'!$Z$83),IF($D$2&lt;&gt;"Não se aplica",SUMIF(TE!$D$47:'TE'!$D$83,$I$2,TE!$Z$47:'TE'!$Z$83),IF($C$2&lt;&gt;"Não se aplica",SUMIF(TE!$C$47:'TE'!$C$83,$I$2,TE!$Z$47:'TE'!$Z$83),IF($B$2&lt;&gt;"Não se aplica",SUMIF(TE!$B$47:'TE'!$B$83,$I$2,TE!$Z$47:'TE'!$Z$83),SUMIF(TE!$A$47:'TE'!$A$83,$I$2,TE!$Z$47:'TE'!$Z$83)))))))</f>
        <v>0</v>
      </c>
      <c r="F8" s="19">
        <f>IF($G$2&lt;&gt;"Não se aplica",SUMIF(TE!$G$47:'TE'!$G$83,$I$2,TE!$AA$47:'TE'!$AA$83),IF($F$2&lt;&gt;"Não se aplica",SUMIF(TE!$F$47:'TE'!$F$83,$I$2,TE!$AA$47:'TE'!$AA$83),IF($E$2&lt;&gt;"Não se aplica",SUMIF(TE!$E$47:'TE'!$E$83,$I$2,TE!$AA$47:'TE'!$AA$83),IF($D$2&lt;&gt;"Não se aplica",SUMIF(TE!$D$47:'TE'!$D$83,$I$2,TE!$AA$47:'TE'!$AA$83),IF($C$2&lt;&gt;"Não se aplica",SUMIF(TE!$C$47:'TE'!$C$83,$I$2,TE!$AA$47:'TE'!$AA$83),IF($B$2&lt;&gt;"Não se aplica",SUMIF(TE!$B$47:'TE'!$B$83,$I$2,TE!$AA$47:'TE'!$AA$83),SUMIF(TE!$A$47:'TE'!$A$83,$I$2,TE!$AA$47:'TE'!$AA$83)))))))</f>
        <v>17693290.168145292</v>
      </c>
      <c r="G8" s="19">
        <f>IF($G$2&lt;&gt;"Não se aplica",SUMIF(TE!$G$47:'TE'!$G$83,$I$2,TE!$AB$47:'TE'!$AB$83),IF($F$2&lt;&gt;"Não se aplica",SUMIF(TE!$F$47:'TE'!$F$83,$I$2,TE!$AB$47:'TE'!$AB$83),IF($E$2&lt;&gt;"Não se aplica",SUMIF(TE!$E$47:'TE'!$E$83,$I$2,TE!$AB$47:'TE'!$AB$83),IF($D$2&lt;&gt;"Não se aplica",SUMIF(TE!$D$47:'TE'!$D$83,$I$2,TE!$AB$47:'TE'!$AB$83),IF($C$2&lt;&gt;"Não se aplica",SUMIF(TE!$C$47:'TE'!$C$83,$I$2,TE!$AB$47:'TE'!$AB$83),IF($B$2&lt;&gt;"Não se aplica",SUMIF(TE!$B$47:'TE'!$B$83,$I$2,TE!$AB$47:'TE'!$AB$83),SUMIF(TE!$A$47:'TE'!$A$83,$I$2,TE!$AB$47:'TE'!$AB$83)))))))</f>
        <v>0</v>
      </c>
      <c r="H8" s="19">
        <f>IF($G$2&lt;&gt;"Não se aplica",SUMIF(TE!$G$47:'TE'!$G$83,$I$2,TE!$AC$47:'TE'!$AC$83),IF($F$2&lt;&gt;"Não se aplica",SUMIF(TE!$F$47:'TE'!$F$83,$I$2,TE!$AC$47:'TE'!$AC$83),IF($E$2&lt;&gt;"Não se aplica",SUMIF(TE!$E$47:'TE'!$E$83,$I$2,TE!$AC$47:'TE'!$AC$83),IF($D$2&lt;&gt;"Não se aplica",SUMIF(TE!$D$47:'TE'!$D$83,$I$2,TE!$AC$47:'TE'!$AC$83),IF($C$2&lt;&gt;"Não se aplica",SUMIF(TE!$C$47:'TE'!$C$83,$I$2,TE!$AC$47:'TE'!$AC$83),IF($B$2&lt;&gt;"Não se aplica",SUMIF(TE!$B$47:'TE'!$B$83,$I$2,TE!$AC$47:'TE'!$AC$83),SUMIF(TE!$A$47:'TE'!$A$83,$I$2,TE!$AC$47:'TE'!$AC$83)))))))</f>
        <v>0</v>
      </c>
      <c r="I8" s="19">
        <f>IF($G$2&lt;&gt;"Não se aplica",SUMIF(TE!$G$47:'TE'!$G$83,$I$2,TE!$AD$47:'TE'!$AD$83),IF($F$2&lt;&gt;"Não se aplica",SUMIF(TE!$F$47:'TE'!$F$83,$I$2,TE!$AD$47:'TE'!$AD$83),IF($E$2&lt;&gt;"Não se aplica",SUMIF(TE!$E$47:'TE'!$E$83,$I$2,TE!$AD$47:'TE'!$AD$83),IF($D$2&lt;&gt;"Não se aplica",SUMIF(TE!$D$47:'TE'!$D$83,$I$2,TE!$AD$47:'TE'!$AD$83),IF($C$2&lt;&gt;"Não se aplica",SUMIF(TE!$C$47:'TE'!$C$83,$I$2,TE!$AD$47:'TE'!$AD$83),IF($B$2&lt;&gt;"Não se aplica",SUMIF(TE!$B$47:'TE'!$B$83,$I$2,TE!$AD$47:'TE'!$AD$83),SUMIF(TE!$A$47:'TE'!$A$83,$I$2,TE!$AD$47:'TE'!$AD$83)))))))</f>
        <v>0</v>
      </c>
      <c r="J8" s="19">
        <f>IF($G$2&lt;&gt;"Não se aplica",SUMIF(TE!$G$47:'TE'!$G$83,$I$2,TE!$AE$47:'TE'!$AE$83),IF($F$2&lt;&gt;"Não se aplica",SUMIF(TE!$F$47:'TE'!$F$83,$I$2,TE!$AE$47:'TE'!$AE$83),IF($E$2&lt;&gt;"Não se aplica",SUMIF(TE!$E$47:'TE'!$E$83,$I$2,TE!$AE$47:'TE'!$AE$83),IF($D$2&lt;&gt;"Não se aplica",SUMIF(TE!$D$47:'TE'!$D$83,$I$2,TE!$AE$47:'TE'!$AE$83),IF($C$2&lt;&gt;"Não se aplica",SUMIF(TE!$C$47:'TE'!$C$83,$I$2,TE!$AE$47:'TE'!$AE$83),IF($B$2&lt;&gt;"Não se aplica",SUMIF(TE!$B$47:'TE'!$B$83,$I$2,TE!$AE$47:'TE'!$AE$83),SUMIF(TE!$A$47:'TE'!$A$83,$I$2,TE!$AE$47:'TE'!$AE$83)))))))</f>
        <v>-436262.07755932678</v>
      </c>
      <c r="K8" s="19">
        <f>IF($G$2&lt;&gt;"Não se aplica",SUMIF(TE!$G$47:'TE'!$G$83,$I$2,TE!$AF$47:'TE'!$AF$83),IF($F$2&lt;&gt;"Não se aplica",SUMIF(TE!$F$47:'TE'!$F$83,$I$2,TE!$AF$47:'TE'!$AF$83),IF($E$2&lt;&gt;"Não se aplica",SUMIF(TE!$E$47:'TE'!$E$83,$I$2,TE!$AF$47:'TE'!$AF$83),IF($D$2&lt;&gt;"Não se aplica",SUMIF(TE!$D$47:'TE'!$D$83,$I$2,TE!$AF$47:'TE'!$AF$83),IF($C$2&lt;&gt;"Não se aplica",SUMIF(TE!$C$47:'TE'!$C$83,$I$2,TE!$AF$47:'TE'!$AF$83),IF($B$2&lt;&gt;"Não se aplica",SUMIF(TE!$B$47:'TE'!$B$83,$I$2,TE!$AF$47:'TE'!$AF$83),SUMIF(TE!$A$47:'TE'!$A$83,$I$2,TE!$AF$47:'TE'!$AF$83)))))))</f>
        <v>0</v>
      </c>
      <c r="L8" s="19">
        <f t="shared" si="0"/>
        <v>17257028.090585966</v>
      </c>
      <c r="AD8" s="15" t="s">
        <v>91</v>
      </c>
    </row>
    <row r="9" spans="1:33" x14ac:dyDescent="0.2">
      <c r="A9" s="15" t="s">
        <v>965</v>
      </c>
      <c r="B9" s="19">
        <f>IF($G$2&lt;&gt;"Não se aplica",SUMIF(TE!$G$47:'TE'!$G$83,$I$2,TE!$L$47:'TE'!$L$83),IF($F$2&lt;&gt;"Não se aplica",SUMIF(TE!$F$47:'TE'!$F$83,$I$2,TE!$L$47:'TE'!$L$83),IF($E$2&lt;&gt;"Não se aplica",SUMIF(TE!$E$47:'TE'!$E$83,$I$2,TE!$L$47:'TE'!$L$83),IF($D$2&lt;&gt;"Não se aplica",SUMIF(TE!$D$47:'TE'!$D$83,$I$2,TE!$L$47:'TE'!$L$83),IF($C$2&lt;&gt;"Não se aplica",SUMIF(TE!$C$47:'TE'!$C$83,$I$2,TE!$L$47:'TE'!$L$83),IF($B$2&lt;&gt;"Não se aplica",SUMIF(TE!$B$47:'TE'!$B$83,$I$2,TE!$L$47:'TE'!$L$83),SUMIF(TE!$A$47:'TE'!$A$83,$I$2,TE!$L$47:'TE'!$L$83)))))))</f>
        <v>0</v>
      </c>
      <c r="C9" s="19">
        <f>IF($G$2&lt;&gt;"Não se aplica",SUMIF(TE!$G$47:'TE'!$G$83,$I$2,TE!$M$47:'TE'!$M$83),IF($F$2&lt;&gt;"Não se aplica",SUMIF(TE!$F$47:'TE'!$F$83,$I$2,TE!$M$47:'TE'!$M$83),IF($E$2&lt;&gt;"Não se aplica",SUMIF(TE!$E$47:'TE'!$E$83,$I$2,TE!$M$47:'TE'!$M$83),IF($D$2&lt;&gt;"Não se aplica",SUMIF(TE!$D$47:'TE'!$D$83,$I$2,TE!$M$47:'TE'!$M$83),IF($C$2&lt;&gt;"Não se aplica",SUMIF(TE!$C$47:'TE'!$C$83,$I$2,TE!$M$47:'TE'!$M$83),IF($B$2&lt;&gt;"Não se aplica",SUMIF(TE!$B$47:'TE'!$B$83,$I$2,TE!$M$47:'TE'!$M$83),SUMIF(TE!$A$47:'TE'!$A$83,$I$2,TE!$M$47:'TE'!$M$83)))))))</f>
        <v>1237553.1133407089</v>
      </c>
      <c r="D9" s="19">
        <f>IF($G$2&lt;&gt;"Não se aplica",SUMIF(TE!$G$47:'TE'!$G$83,$I$2,TE!$N$47:'TE'!$N$83),IF($F$2&lt;&gt;"Não se aplica",SUMIF(TE!$F$47:'TE'!$F$83,$I$2,TE!$N$47:'TE'!$N$83),IF($E$2&lt;&gt;"Não se aplica",SUMIF(TE!$E$47:'TE'!$E$83,$I$2,TE!$N$47:'TE'!$N$83),IF($D$2&lt;&gt;"Não se aplica",SUMIF(TE!$D$47:'TE'!$D$83,$I$2,TE!$N$47:'TE'!$N$83),IF($C$2&lt;&gt;"Não se aplica",SUMIF(TE!$C$47:'TE'!$C$83,$I$2,TE!$N$47:'TE'!$N$83),IF($B$2&lt;&gt;"Não se aplica",SUMIF(TE!$B$47:'TE'!$B$83,$I$2,TE!$N$47:'TE'!$N$83),SUMIF(TE!$A$47:'TE'!$A$83,$I$2,TE!$N$47:'TE'!$N$83)))))))</f>
        <v>0</v>
      </c>
      <c r="E9" s="19">
        <f>IF($G$2&lt;&gt;"Não se aplica",SUMIF(TE!$G$47:'TE'!$G$83,$I$2,TE!$O$47:'TE'!$O$83),IF($F$2&lt;&gt;"Não se aplica",SUMIF(TE!$F$47:'TE'!$F$83,$I$2,TE!$O$47:'TE'!$O$83),IF($E$2&lt;&gt;"Não se aplica",SUMIF(TE!$E$47:'TE'!$E$83,$I$2,TE!$O$47:'TE'!$O$83),IF($D$2&lt;&gt;"Não se aplica",SUMIF(TE!$D$47:'TE'!$D$83,$I$2,TE!$O$47:'TE'!$O$83),IF($C$2&lt;&gt;"Não se aplica",SUMIF(TE!$C$47:'TE'!$C$83,$I$2,TE!$O$47:'TE'!$O$83),IF($B$2&lt;&gt;"Não se aplica",SUMIF(TE!$B$47:'TE'!$B$83,$I$2,TE!$O$47:'TE'!$O$83),SUMIF(TE!$A$47:'TE'!$A$83,$I$2,TE!$O$47:'TE'!$O$83)))))))</f>
        <v>0</v>
      </c>
      <c r="F9" s="19">
        <f>IF($G$2&lt;&gt;"Não se aplica",SUMIF(TE!$G$47:'TE'!$G$83,$I$2,TE!$P$47:'TE'!$P$83),IF($F$2&lt;&gt;"Não se aplica",SUMIF(TE!$F$47:'TE'!$F$83,$I$2,TE!$P$47:'TE'!$P$83),IF($E$2&lt;&gt;"Não se aplica",SUMIF(TE!$E$47:'TE'!$E$83,$I$2,TE!$P$47:'TE'!$P$83),IF($D$2&lt;&gt;"Não se aplica",SUMIF(TE!$D$47:'TE'!$D$83,$I$2,TE!$P$47:'TE'!$P$83),IF($C$2&lt;&gt;"Não se aplica",SUMIF(TE!$C$47:'TE'!$C$83,$I$2,TE!$P$47:'TE'!$P$83),IF($B$2&lt;&gt;"Não se aplica",SUMIF(TE!$B$47:'TE'!$B$83,$I$2,TE!$P$47:'TE'!$P$83),SUMIF(TE!$A$47:'TE'!$A$83,$I$2,TE!$P$47:'TE'!$P$83)))))))</f>
        <v>15692454.954690831</v>
      </c>
      <c r="G9" s="19">
        <f>IF($G$2&lt;&gt;"Não se aplica",SUMIF(TE!$G$47:'TE'!$G$83,$I$2,TE!$Q$47:'TE'!$Q$83),IF($F$2&lt;&gt;"Não se aplica",SUMIF(TE!$F$47:'TE'!$F$83,$I$2,TE!$Q$47:'TE'!$Q$83),IF($E$2&lt;&gt;"Não se aplica",SUMIF(TE!$E$47:'TE'!$E$83,$I$2,TE!$Q$47:'TE'!$Q$83),IF($D$2&lt;&gt;"Não se aplica",SUMIF(TE!$D$47:'TE'!$D$83,$I$2,TE!$Q$47:'TE'!$Q$83),IF($C$2&lt;&gt;"Não se aplica",SUMIF(TE!$C$47:'TE'!$C$83,$I$2,TE!$Q$47:'TE'!$Q$83),IF($B$2&lt;&gt;"Não se aplica",SUMIF(TE!$B$47:'TE'!$B$83,$I$2,TE!$Q$47:'TE'!$Q$83),SUMIF(TE!$A$47:'TE'!$A$83,$I$2,TE!$Q$47:'TE'!$Q$83)))))))</f>
        <v>0</v>
      </c>
      <c r="H9" s="19">
        <f>IF($G$2&lt;&gt;"Não se aplica",SUMIF(TE!$G$47:'TE'!$G$83,$I$2,TE!$R$47:'TE'!$R$83),IF($F$2&lt;&gt;"Não se aplica",SUMIF(TE!$F$47:'TE'!$F$83,$I$2,TE!$R$47:'TE'!$R$83),IF($E$2&lt;&gt;"Não se aplica",SUMIF(TE!$E$47:'TE'!$E$83,$I$2,TE!$R$47:'TE'!$R$83),IF($D$2&lt;&gt;"Não se aplica",SUMIF(TE!$D$47:'TE'!$D$83,$I$2,TE!$R$47:'TE'!$R$83),IF($C$2&lt;&gt;"Não se aplica",SUMIF(TE!$C$47:'TE'!$C$83,$I$2,TE!$R$47:'TE'!$R$83),IF($B$2&lt;&gt;"Não se aplica",SUMIF(TE!$B$47:'TE'!$B$83,$I$2,TE!$R$47:'TE'!$R$83),SUMIF(TE!$A$47:'TE'!$A$83,$I$2,TE!$R$47:'TE'!$R$83)))))))</f>
        <v>0</v>
      </c>
      <c r="I9" s="19">
        <f>IF($G$2&lt;&gt;"Não se aplica",SUMIF(TE!$G$47:'TE'!$G$83,$I$2,TE!$S$47:'TE'!$S$83),IF($F$2&lt;&gt;"Não se aplica",SUMIF(TE!$F$47:'TE'!$F$83,$I$2,TE!$S$47:'TE'!$S$83),IF($E$2&lt;&gt;"Não se aplica",SUMIF(TE!$E$47:'TE'!$E$83,$I$2,TE!$S$47:'TE'!$S$83),IF($D$2&lt;&gt;"Não se aplica",SUMIF(TE!$D$47:'TE'!$D$83,$I$2,TE!$S$47:'TE'!$S$83),IF($C$2&lt;&gt;"Não se aplica",SUMIF(TE!$C$47:'TE'!$C$83,$I$2,TE!$S$47:'TE'!$S$83),IF($B$2&lt;&gt;"Não se aplica",SUMIF(TE!$B$47:'TE'!$B$83,$I$2,TE!$S$47:'TE'!$S$83),SUMIF(TE!$A$47:'TE'!$A$83,$I$2,TE!$S$47:'TE'!$S$83)))))))</f>
        <v>0</v>
      </c>
      <c r="J9" s="19">
        <f>IF($G$2&lt;&gt;"Não se aplica",SUMIF(TE!$G$47:'TE'!$G$83,$I$2,TE!$T$47:'TE'!$T$83),IF($F$2&lt;&gt;"Não se aplica",SUMIF(TE!$F$47:'TE'!$F$83,$I$2,TE!$T$47:'TE'!$T$83),IF($E$2&lt;&gt;"Não se aplica",SUMIF(TE!$E$47:'TE'!$E$83,$I$2,TE!$T$47:'TE'!$T$83),IF($D$2&lt;&gt;"Não se aplica",SUMIF(TE!$D$47:'TE'!$D$83,$I$2,TE!$T$47:'TE'!$T$83),IF($C$2&lt;&gt;"Não se aplica",SUMIF(TE!$C$47:'TE'!$C$83,$I$2,TE!$T$47:'TE'!$T$83),IF($B$2&lt;&gt;"Não se aplica",SUMIF(TE!$B$47:'TE'!$B$83,$I$2,TE!$T$47:'TE'!$T$83),SUMIF(TE!$A$47:'TE'!$A$83,$I$2,TE!$T$47:'TE'!$T$83)))))))</f>
        <v>-142613.5402496834</v>
      </c>
      <c r="K9" s="19">
        <f>IF($G$2&lt;&gt;"Não se aplica",SUMIF(TE!$G$47:'TE'!$G$83,$I$2,TE!$U$47:'TE'!$U$83),IF($F$2&lt;&gt;"Não se aplica",SUMIF(TE!$F$47:'TE'!$F$83,$I$2,TE!$U$47:'TE'!$U$83),IF($E$2&lt;&gt;"Não se aplica",SUMIF(TE!$E$47:'TE'!$E$83,$I$2,TE!$U$47:'TE'!$U$83),IF($D$2&lt;&gt;"Não se aplica",SUMIF(TE!$D$47:'TE'!$D$83,$I$2,TE!$U$47:'TE'!$U$83),IF($C$2&lt;&gt;"Não se aplica",SUMIF(TE!$C$47:'TE'!$C$83,$I$2,TE!$U$47:'TE'!$U$83),IF($B$2&lt;&gt;"Não se aplica",SUMIF(TE!$B$47:'TE'!$B$83,$I$2,TE!$U$47:'TE'!$U$83),SUMIF(TE!$A$47:'TE'!$A$83,$I$2,TE!$U$47:'TE'!$U$83)))))))</f>
        <v>0</v>
      </c>
      <c r="L9" s="19">
        <f t="shared" si="0"/>
        <v>16787394.527781855</v>
      </c>
      <c r="AD9" s="15" t="s">
        <v>46</v>
      </c>
    </row>
    <row r="10" spans="1:33" x14ac:dyDescent="0.2">
      <c r="A10" s="15" t="s">
        <v>962</v>
      </c>
      <c r="B10" s="19">
        <f>SUMIF(TE!$A$47:'TE'!$A$83,$A$2,TE!$W$47:'TE'!$W$83)</f>
        <v>0</v>
      </c>
      <c r="C10" s="19">
        <f>SUMIF(TE!$A$47:'TE'!$A$83,$A$2,TE!$X$47:'TE'!$X$83)</f>
        <v>0</v>
      </c>
      <c r="D10" s="19">
        <f>SUMIF(TE!$A$47:'TE'!$A$83,$A$2,TE!$Y$47:'TE'!$Y$83)</f>
        <v>0</v>
      </c>
      <c r="E10" s="19">
        <f>SUMIF(TE!$A$47:'TE'!$A$83,$A$2,TE!$Z$47:'TE'!$Z$83)</f>
        <v>0</v>
      </c>
      <c r="F10" s="19">
        <f>SUMIF(TE!$A$47:'TE'!$A$83,$A$2,TE!$AA$47:'TE'!$AA$83)</f>
        <v>17693290.168145292</v>
      </c>
      <c r="G10" s="19">
        <f>SUMIF(TE!$A$47:'TE'!$A$83,$A$2,TE!$AB$47:'TE'!$AB$83)</f>
        <v>0</v>
      </c>
      <c r="H10" s="19">
        <f>SUMIF(TE!$A$47:'TE'!$A$83,$A$2,TE!$AC$47:'TE'!$AC$83)</f>
        <v>0</v>
      </c>
      <c r="I10" s="19">
        <f>SUMIF(TE!$A$47:'TE'!$A$83,$A$2,TE!$AD$47:'TE'!$AD$83)</f>
        <v>0</v>
      </c>
      <c r="J10" s="19">
        <f>SUMIF(TE!$A$47:'TE'!$A$83,$A$2,TE!$AE$47:'TE'!$AE$83)</f>
        <v>-436262.07755932678</v>
      </c>
      <c r="K10" s="19">
        <f>SUMIF(TE!$A$47:'TE'!$A$83,$A$2,TE!$AF$47:'TE'!$AF$83)</f>
        <v>0</v>
      </c>
      <c r="L10" s="19">
        <f t="shared" si="0"/>
        <v>17257028.090585966</v>
      </c>
      <c r="AD10" s="15" t="s">
        <v>47</v>
      </c>
    </row>
    <row r="11" spans="1:33" x14ac:dyDescent="0.2">
      <c r="A11" s="15" t="s">
        <v>963</v>
      </c>
      <c r="B11" s="19">
        <f>SUMIF(TE!$A$47:'TE'!$A$83,$A$2,TE!$L$47:'TE'!$L$83)</f>
        <v>0</v>
      </c>
      <c r="C11" s="19">
        <f>SUMIF(TE!$A$47:'TE'!$A$83,$A$2,TE!$M$47:'TE'!$M$83)</f>
        <v>1237553.1133407089</v>
      </c>
      <c r="D11" s="19">
        <f>SUMIF(TE!$A$47:'TE'!$A$83,$A$2,TE!$N$47:'TE'!$N$83)</f>
        <v>0</v>
      </c>
      <c r="E11" s="19">
        <f>SUMIF(TE!$A$47:'TE'!$A$83,$A$2,TE!$O$47:'TE'!$O$83)</f>
        <v>0</v>
      </c>
      <c r="F11" s="19">
        <f>SUMIF(TE!$A$47:'TE'!$A$83,$A$2,TE!$P$47:'TE'!$P$83)</f>
        <v>15692454.954690831</v>
      </c>
      <c r="G11" s="19">
        <f>SUMIF(TE!$A$47:'TE'!$A$83,$A$2,TE!$Q$47:'TE'!$Q$83)</f>
        <v>0</v>
      </c>
      <c r="H11" s="19">
        <f>SUMIF(TE!$A$47:'TE'!$A$83,$A$2,TE!$R$47:'TE'!$R$83)</f>
        <v>0</v>
      </c>
      <c r="I11" s="19">
        <f>SUMIF(TE!$A$47:'TE'!$A$83,$A$2,TE!$S$47:'TE'!$S$83)</f>
        <v>0</v>
      </c>
      <c r="J11" s="19">
        <f>SUMIF(TE!$A$47:'TE'!$A$83,$A$2,TE!$T$47:'TE'!$T$83)</f>
        <v>-142613.5402496834</v>
      </c>
      <c r="K11" s="19">
        <f>SUMIF(TE!$A$47:'TE'!$A$83,$A$2,TE!$U$47:'TE'!$U$83)</f>
        <v>0</v>
      </c>
      <c r="L11" s="19">
        <f t="shared" si="0"/>
        <v>16787394.527781855</v>
      </c>
    </row>
    <row r="13" spans="1:33" x14ac:dyDescent="0.2">
      <c r="A13" s="15" t="s">
        <v>967</v>
      </c>
      <c r="B13" s="30">
        <f t="shared" ref="B13:L13" si="1">IF($L$6&lt;&gt;0,(B$7-B$6)/$L$6,0)</f>
        <v>0</v>
      </c>
      <c r="C13" s="30">
        <f t="shared" si="1"/>
        <v>7.3206593253297481E-2</v>
      </c>
      <c r="D13" s="30">
        <f t="shared" si="1"/>
        <v>0</v>
      </c>
      <c r="E13" s="30">
        <f t="shared" si="1"/>
        <v>0</v>
      </c>
      <c r="F13" s="30">
        <f t="shared" si="1"/>
        <v>-9.7004002339824841E-2</v>
      </c>
      <c r="G13" s="30">
        <f t="shared" si="1"/>
        <v>0</v>
      </c>
      <c r="H13" s="30">
        <f t="shared" si="1"/>
        <v>0</v>
      </c>
      <c r="I13" s="30">
        <f t="shared" si="1"/>
        <v>0</v>
      </c>
      <c r="J13" s="30">
        <f t="shared" si="1"/>
        <v>1.6844050664987481E-2</v>
      </c>
      <c r="K13" s="30">
        <f t="shared" si="1"/>
        <v>0</v>
      </c>
      <c r="L13" s="30">
        <f t="shared" si="1"/>
        <v>-6.95335842153988E-3</v>
      </c>
    </row>
    <row r="14" spans="1:33" x14ac:dyDescent="0.2">
      <c r="A14" s="15" t="s">
        <v>968</v>
      </c>
      <c r="B14" s="30">
        <f t="shared" ref="B14:L14" si="2">IF($L$10&lt;&gt;0,(B$9-B$8)/$L$10,0)</f>
        <v>0</v>
      </c>
      <c r="C14" s="30">
        <f t="shared" si="2"/>
        <v>7.1712991764544751E-2</v>
      </c>
      <c r="D14" s="30">
        <f t="shared" si="2"/>
        <v>0</v>
      </c>
      <c r="E14" s="30">
        <f t="shared" si="2"/>
        <v>0</v>
      </c>
      <c r="F14" s="30">
        <f t="shared" si="2"/>
        <v>-0.11594320893213091</v>
      </c>
      <c r="G14" s="30">
        <f t="shared" si="2"/>
        <v>0</v>
      </c>
      <c r="H14" s="30">
        <f t="shared" si="2"/>
        <v>0</v>
      </c>
      <c r="I14" s="30">
        <f t="shared" si="2"/>
        <v>0</v>
      </c>
      <c r="J14" s="30">
        <f t="shared" si="2"/>
        <v>1.7016170789559887E-2</v>
      </c>
      <c r="K14" s="30">
        <f t="shared" si="2"/>
        <v>0</v>
      </c>
      <c r="L14" s="30">
        <f t="shared" si="2"/>
        <v>-2.7214046378026373E-2</v>
      </c>
    </row>
    <row r="15" spans="1:33" x14ac:dyDescent="0.2">
      <c r="A15" s="15" t="s">
        <v>969</v>
      </c>
      <c r="B15" s="30">
        <f t="shared" ref="B15:L15" si="3">IF($L$8&lt;&gt;0,(B$9-B$8)/$L$8,0)</f>
        <v>0</v>
      </c>
      <c r="C15" s="30">
        <f t="shared" si="3"/>
        <v>7.1712991764544751E-2</v>
      </c>
      <c r="D15" s="30">
        <f t="shared" si="3"/>
        <v>0</v>
      </c>
      <c r="E15" s="30">
        <f t="shared" si="3"/>
        <v>0</v>
      </c>
      <c r="F15" s="30">
        <f t="shared" si="3"/>
        <v>-0.11594320893213091</v>
      </c>
      <c r="G15" s="30">
        <f t="shared" si="3"/>
        <v>0</v>
      </c>
      <c r="H15" s="30">
        <f t="shared" si="3"/>
        <v>0</v>
      </c>
      <c r="I15" s="30">
        <f t="shared" si="3"/>
        <v>0</v>
      </c>
      <c r="J15" s="30">
        <f t="shared" si="3"/>
        <v>1.7016170789559887E-2</v>
      </c>
      <c r="K15" s="30">
        <f t="shared" si="3"/>
        <v>0</v>
      </c>
      <c r="L15" s="30">
        <f t="shared" si="3"/>
        <v>-2.7214046378026373E-2</v>
      </c>
    </row>
  </sheetData>
  <dataValidations count="4">
    <dataValidation type="list" allowBlank="1" showInputMessage="1" showErrorMessage="1" sqref="A2 G2" xr:uid="{C6395F6D-82F1-486C-A6B0-FAF5D81A6EDA}">
      <formula1>AA1:AA5</formula1>
    </dataValidation>
    <dataValidation type="list" allowBlank="1" showInputMessage="1" showErrorMessage="1" sqref="B2 C2" xr:uid="{8CEC828B-A1BC-4D55-918A-79B50B222E28}">
      <formula1>AB1:AB4</formula1>
    </dataValidation>
    <dataValidation type="list" allowBlank="1" showInputMessage="1" showErrorMessage="1" sqref="D2" xr:uid="{C9B4F195-D341-43F3-84B5-B6D1A8288487}">
      <formula1>AD1:AD10</formula1>
    </dataValidation>
    <dataValidation type="list" allowBlank="1" showInputMessage="1" showErrorMessage="1" sqref="E2 F2" xr:uid="{50ED7947-B76C-4FFF-8391-FCCD2DA3971E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B8BD1-1D6B-43B0-A262-487B3B50D689}">
  <sheetPr codeName="Planilha26"/>
  <dimension ref="B1:U16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69" t="s">
        <v>581</v>
      </c>
      <c r="C1" s="69" t="s">
        <v>582</v>
      </c>
      <c r="D1" s="69" t="s">
        <v>583</v>
      </c>
      <c r="E1" s="69" t="s">
        <v>2</v>
      </c>
      <c r="F1" s="69" t="s">
        <v>584</v>
      </c>
      <c r="G1" s="69" t="s">
        <v>519</v>
      </c>
      <c r="H1" s="69" t="s">
        <v>3</v>
      </c>
      <c r="I1" s="69" t="s">
        <v>585</v>
      </c>
      <c r="J1" s="69" t="s">
        <v>5</v>
      </c>
      <c r="K1" s="69" t="s">
        <v>1</v>
      </c>
      <c r="L1" s="69" t="s">
        <v>586</v>
      </c>
      <c r="M1" s="69" t="s">
        <v>587</v>
      </c>
      <c r="N1" s="69" t="s">
        <v>588</v>
      </c>
      <c r="O1" s="69" t="s">
        <v>589</v>
      </c>
      <c r="P1" s="69" t="s">
        <v>590</v>
      </c>
      <c r="Q1" s="69" t="s">
        <v>591</v>
      </c>
      <c r="R1" s="69" t="s">
        <v>592</v>
      </c>
      <c r="S1" s="69" t="s">
        <v>593</v>
      </c>
      <c r="T1" s="69" t="s">
        <v>594</v>
      </c>
      <c r="U1" s="69" t="s">
        <v>595</v>
      </c>
    </row>
    <row r="2" spans="2:21" x14ac:dyDescent="0.25">
      <c r="B2" s="68" t="s">
        <v>579</v>
      </c>
      <c r="C2" s="68">
        <v>4918</v>
      </c>
      <c r="D2" s="68">
        <v>5378</v>
      </c>
      <c r="E2" s="68" t="s">
        <v>23</v>
      </c>
      <c r="F2" s="68">
        <v>1</v>
      </c>
      <c r="G2" s="68" t="s">
        <v>580</v>
      </c>
      <c r="H2" s="68" t="s">
        <v>41</v>
      </c>
      <c r="I2" s="68" t="s">
        <v>25</v>
      </c>
      <c r="J2" s="68" t="s">
        <v>41</v>
      </c>
      <c r="K2" s="68" t="s">
        <v>40</v>
      </c>
      <c r="L2" s="68">
        <v>0.3</v>
      </c>
      <c r="M2" s="68">
        <v>0.24</v>
      </c>
      <c r="N2" s="68">
        <v>0.18</v>
      </c>
      <c r="O2" s="68">
        <v>0.12</v>
      </c>
      <c r="P2" s="68">
        <v>0.06</v>
      </c>
      <c r="Q2" s="68">
        <v>0</v>
      </c>
      <c r="R2" s="68"/>
      <c r="S2" s="68"/>
      <c r="T2" s="68"/>
      <c r="U2" s="68">
        <v>3</v>
      </c>
    </row>
    <row r="3" spans="2:21" x14ac:dyDescent="0.25">
      <c r="B3" s="68" t="s">
        <v>1003</v>
      </c>
      <c r="C3" s="68">
        <v>6970</v>
      </c>
      <c r="D3" s="68">
        <v>5378</v>
      </c>
      <c r="E3" s="68" t="s">
        <v>1004</v>
      </c>
      <c r="F3" s="68">
        <v>1</v>
      </c>
      <c r="G3" s="68" t="s">
        <v>580</v>
      </c>
      <c r="H3" s="68" t="s">
        <v>48</v>
      </c>
      <c r="I3" s="68" t="s">
        <v>49</v>
      </c>
      <c r="J3" s="68" t="s">
        <v>1005</v>
      </c>
      <c r="K3" s="68" t="s">
        <v>33</v>
      </c>
      <c r="L3" s="68">
        <v>0.15</v>
      </c>
      <c r="M3" s="68">
        <v>0.12</v>
      </c>
      <c r="N3" s="68">
        <v>0.09</v>
      </c>
      <c r="O3" s="68">
        <v>0.06</v>
      </c>
      <c r="P3" s="68">
        <v>0.03</v>
      </c>
      <c r="Q3" s="68">
        <v>0</v>
      </c>
      <c r="R3" s="68"/>
      <c r="S3" s="68"/>
      <c r="T3" s="68"/>
      <c r="U3" s="68">
        <v>3</v>
      </c>
    </row>
    <row r="4" spans="2:21" x14ac:dyDescent="0.25">
      <c r="B4" s="68" t="s">
        <v>579</v>
      </c>
      <c r="C4" s="68">
        <v>6971</v>
      </c>
      <c r="D4" s="68">
        <v>5378</v>
      </c>
      <c r="E4" s="68" t="s">
        <v>23</v>
      </c>
      <c r="F4" s="68">
        <v>1</v>
      </c>
      <c r="G4" s="68" t="s">
        <v>580</v>
      </c>
      <c r="H4" s="68" t="s">
        <v>41</v>
      </c>
      <c r="I4" s="68" t="s">
        <v>25</v>
      </c>
      <c r="J4" s="68" t="s">
        <v>41</v>
      </c>
      <c r="K4" s="68" t="s">
        <v>40</v>
      </c>
      <c r="L4" s="68">
        <v>0.3</v>
      </c>
      <c r="M4" s="68">
        <v>0.24</v>
      </c>
      <c r="N4" s="68">
        <v>0.18</v>
      </c>
      <c r="O4" s="68">
        <v>0.12</v>
      </c>
      <c r="P4" s="68">
        <v>0.06</v>
      </c>
      <c r="Q4" s="68">
        <v>0</v>
      </c>
      <c r="R4" s="68"/>
      <c r="S4" s="68"/>
      <c r="T4" s="68"/>
      <c r="U4" s="68">
        <v>3</v>
      </c>
    </row>
    <row r="5" spans="2:21" x14ac:dyDescent="0.25">
      <c r="B5" s="68" t="s">
        <v>1006</v>
      </c>
      <c r="C5" s="68">
        <v>6972</v>
      </c>
      <c r="D5" s="68">
        <v>5378</v>
      </c>
      <c r="E5" s="68" t="s">
        <v>87</v>
      </c>
      <c r="F5" s="68">
        <v>1</v>
      </c>
      <c r="G5" s="68" t="s">
        <v>580</v>
      </c>
      <c r="H5" s="68" t="s">
        <v>41</v>
      </c>
      <c r="I5" s="68" t="s">
        <v>25</v>
      </c>
      <c r="J5" s="68" t="s">
        <v>41</v>
      </c>
      <c r="K5" s="68" t="s">
        <v>40</v>
      </c>
      <c r="L5" s="68">
        <v>0.3</v>
      </c>
      <c r="M5" s="68">
        <v>0.24</v>
      </c>
      <c r="N5" s="68">
        <v>0.18</v>
      </c>
      <c r="O5" s="68">
        <v>0.12</v>
      </c>
      <c r="P5" s="68">
        <v>0.06</v>
      </c>
      <c r="Q5" s="68">
        <v>0</v>
      </c>
      <c r="R5" s="68"/>
      <c r="S5" s="68"/>
      <c r="T5" s="68"/>
      <c r="U5" s="68">
        <v>3</v>
      </c>
    </row>
    <row r="6" spans="2:21" x14ac:dyDescent="0.25">
      <c r="B6" s="68" t="s">
        <v>1007</v>
      </c>
      <c r="C6" s="68">
        <v>6973</v>
      </c>
      <c r="D6" s="68">
        <v>5378</v>
      </c>
      <c r="E6" s="68" t="s">
        <v>23</v>
      </c>
      <c r="F6" s="68">
        <v>1</v>
      </c>
      <c r="G6" s="68" t="s">
        <v>580</v>
      </c>
      <c r="H6" s="68" t="s">
        <v>41</v>
      </c>
      <c r="I6" s="68" t="s">
        <v>90</v>
      </c>
      <c r="J6" s="68" t="s">
        <v>1005</v>
      </c>
      <c r="K6" s="68" t="s">
        <v>40</v>
      </c>
      <c r="L6" s="68">
        <v>0.3</v>
      </c>
      <c r="M6" s="68">
        <v>0.24</v>
      </c>
      <c r="N6" s="68">
        <v>0.18</v>
      </c>
      <c r="O6" s="68">
        <v>0.12</v>
      </c>
      <c r="P6" s="68">
        <v>0.06</v>
      </c>
      <c r="Q6" s="68">
        <v>0</v>
      </c>
      <c r="R6" s="68"/>
      <c r="S6" s="68"/>
      <c r="T6" s="68"/>
      <c r="U6" s="68">
        <v>3</v>
      </c>
    </row>
    <row r="7" spans="2:21" x14ac:dyDescent="0.25">
      <c r="B7" s="68" t="s">
        <v>1008</v>
      </c>
      <c r="C7" s="68">
        <v>6974</v>
      </c>
      <c r="D7" s="68">
        <v>5378</v>
      </c>
      <c r="E7" s="68" t="s">
        <v>1009</v>
      </c>
      <c r="F7" s="68">
        <v>1</v>
      </c>
      <c r="G7" s="68" t="s">
        <v>580</v>
      </c>
      <c r="H7" s="68" t="s">
        <v>41</v>
      </c>
      <c r="I7" s="68" t="s">
        <v>90</v>
      </c>
      <c r="J7" s="68" t="s">
        <v>1005</v>
      </c>
      <c r="K7" s="68" t="s">
        <v>40</v>
      </c>
      <c r="L7" s="68">
        <v>0.3</v>
      </c>
      <c r="M7" s="68">
        <v>0.24</v>
      </c>
      <c r="N7" s="68">
        <v>0.18</v>
      </c>
      <c r="O7" s="68">
        <v>0.12</v>
      </c>
      <c r="P7" s="68">
        <v>0.06</v>
      </c>
      <c r="Q7" s="68">
        <v>0</v>
      </c>
      <c r="R7" s="68"/>
      <c r="S7" s="68"/>
      <c r="T7" s="68"/>
      <c r="U7" s="68">
        <v>3</v>
      </c>
    </row>
    <row r="8" spans="2:21" x14ac:dyDescent="0.25">
      <c r="B8" s="68" t="s">
        <v>1010</v>
      </c>
      <c r="C8" s="68">
        <v>6975</v>
      </c>
      <c r="D8" s="68">
        <v>5378</v>
      </c>
      <c r="E8" s="68" t="s">
        <v>23</v>
      </c>
      <c r="F8" s="68">
        <v>1</v>
      </c>
      <c r="G8" s="68" t="s">
        <v>580</v>
      </c>
      <c r="H8" s="68" t="s">
        <v>41</v>
      </c>
      <c r="I8" s="68" t="s">
        <v>91</v>
      </c>
      <c r="J8" s="68" t="s">
        <v>1005</v>
      </c>
      <c r="K8" s="68" t="s">
        <v>40</v>
      </c>
      <c r="L8" s="68">
        <v>0.4</v>
      </c>
      <c r="M8" s="68">
        <v>0.32</v>
      </c>
      <c r="N8" s="68">
        <v>0.24</v>
      </c>
      <c r="O8" s="68">
        <v>0.16</v>
      </c>
      <c r="P8" s="68">
        <v>0.08</v>
      </c>
      <c r="Q8" s="68">
        <v>0</v>
      </c>
      <c r="R8" s="68"/>
      <c r="S8" s="68"/>
      <c r="T8" s="68"/>
      <c r="U8" s="68">
        <v>3</v>
      </c>
    </row>
    <row r="9" spans="2:21" x14ac:dyDescent="0.25">
      <c r="B9" s="68" t="s">
        <v>1011</v>
      </c>
      <c r="C9" s="68">
        <v>6976</v>
      </c>
      <c r="D9" s="68">
        <v>5378</v>
      </c>
      <c r="E9" s="68" t="s">
        <v>87</v>
      </c>
      <c r="F9" s="68">
        <v>1</v>
      </c>
      <c r="G9" s="68" t="s">
        <v>580</v>
      </c>
      <c r="H9" s="68" t="s">
        <v>41</v>
      </c>
      <c r="I9" s="68" t="s">
        <v>91</v>
      </c>
      <c r="J9" s="68" t="s">
        <v>1005</v>
      </c>
      <c r="K9" s="68" t="s">
        <v>40</v>
      </c>
      <c r="L9" s="68">
        <v>0.4</v>
      </c>
      <c r="M9" s="68">
        <v>0.32</v>
      </c>
      <c r="N9" s="68">
        <v>0.24</v>
      </c>
      <c r="O9" s="68">
        <v>0.16</v>
      </c>
      <c r="P9" s="68">
        <v>0.08</v>
      </c>
      <c r="Q9" s="68">
        <v>0</v>
      </c>
      <c r="R9" s="68"/>
      <c r="S9" s="68"/>
      <c r="T9" s="68"/>
      <c r="U9" s="68">
        <v>3</v>
      </c>
    </row>
    <row r="10" spans="2:21" x14ac:dyDescent="0.25">
      <c r="B10" s="68" t="s">
        <v>1012</v>
      </c>
      <c r="C10" s="68">
        <v>6977</v>
      </c>
      <c r="D10" s="68">
        <v>5378</v>
      </c>
      <c r="E10" s="68" t="s">
        <v>23</v>
      </c>
      <c r="F10" s="68">
        <v>1</v>
      </c>
      <c r="G10" s="68" t="s">
        <v>580</v>
      </c>
      <c r="H10" s="68" t="s">
        <v>48</v>
      </c>
      <c r="I10" s="68" t="s">
        <v>49</v>
      </c>
      <c r="J10" s="68" t="s">
        <v>1005</v>
      </c>
      <c r="K10" s="68" t="s">
        <v>37</v>
      </c>
      <c r="L10" s="68">
        <v>0.15</v>
      </c>
      <c r="M10" s="68">
        <v>0.12</v>
      </c>
      <c r="N10" s="68">
        <v>0.09</v>
      </c>
      <c r="O10" s="68">
        <v>0.06</v>
      </c>
      <c r="P10" s="68">
        <v>0.03</v>
      </c>
      <c r="Q10" s="68">
        <v>0</v>
      </c>
      <c r="R10" s="68"/>
      <c r="S10" s="68"/>
      <c r="T10" s="68"/>
      <c r="U10" s="68">
        <v>3</v>
      </c>
    </row>
    <row r="11" spans="2:21" x14ac:dyDescent="0.25">
      <c r="B11" s="68" t="s">
        <v>1013</v>
      </c>
      <c r="C11" s="68">
        <v>6978</v>
      </c>
      <c r="D11" s="68">
        <v>5378</v>
      </c>
      <c r="E11" s="68" t="s">
        <v>87</v>
      </c>
      <c r="F11" s="68">
        <v>1</v>
      </c>
      <c r="G11" s="68" t="s">
        <v>580</v>
      </c>
      <c r="H11" s="68" t="s">
        <v>48</v>
      </c>
      <c r="I11" s="68" t="s">
        <v>49</v>
      </c>
      <c r="J11" s="68" t="s">
        <v>1005</v>
      </c>
      <c r="K11" s="68" t="s">
        <v>37</v>
      </c>
      <c r="L11" s="68">
        <v>0.15</v>
      </c>
      <c r="M11" s="68">
        <v>0.12</v>
      </c>
      <c r="N11" s="68">
        <v>0.09</v>
      </c>
      <c r="O11" s="68">
        <v>0.06</v>
      </c>
      <c r="P11" s="68">
        <v>0.03</v>
      </c>
      <c r="Q11" s="68">
        <v>0</v>
      </c>
      <c r="R11" s="68"/>
      <c r="S11" s="68"/>
      <c r="T11" s="68"/>
      <c r="U11" s="68">
        <v>3</v>
      </c>
    </row>
    <row r="12" spans="2:21" x14ac:dyDescent="0.25">
      <c r="B12" s="68" t="s">
        <v>1014</v>
      </c>
      <c r="C12" s="68">
        <v>6965</v>
      </c>
      <c r="D12" s="68">
        <v>5378</v>
      </c>
      <c r="E12" s="68" t="s">
        <v>43</v>
      </c>
      <c r="F12" s="68">
        <v>1</v>
      </c>
      <c r="G12" s="68" t="s">
        <v>580</v>
      </c>
      <c r="H12" s="68" t="s">
        <v>41</v>
      </c>
      <c r="I12" s="68" t="s">
        <v>25</v>
      </c>
      <c r="J12" s="68" t="s">
        <v>1015</v>
      </c>
      <c r="K12" s="68" t="s">
        <v>33</v>
      </c>
      <c r="L12" s="68">
        <v>0.1</v>
      </c>
      <c r="M12" s="68">
        <v>0.08</v>
      </c>
      <c r="N12" s="68">
        <v>0.06</v>
      </c>
      <c r="O12" s="68">
        <v>0.04</v>
      </c>
      <c r="P12" s="68">
        <v>0.02</v>
      </c>
      <c r="Q12" s="68">
        <v>0</v>
      </c>
      <c r="R12" s="68"/>
      <c r="S12" s="68"/>
      <c r="T12" s="68"/>
      <c r="U12" s="68">
        <v>3</v>
      </c>
    </row>
    <row r="13" spans="2:21" x14ac:dyDescent="0.25">
      <c r="B13" s="68" t="s">
        <v>1016</v>
      </c>
      <c r="C13" s="68">
        <v>6966</v>
      </c>
      <c r="D13" s="68">
        <v>5378</v>
      </c>
      <c r="E13" s="68" t="s">
        <v>34</v>
      </c>
      <c r="F13" s="68">
        <v>1</v>
      </c>
      <c r="G13" s="68" t="s">
        <v>580</v>
      </c>
      <c r="H13" s="68" t="s">
        <v>41</v>
      </c>
      <c r="I13" s="68" t="s">
        <v>25</v>
      </c>
      <c r="J13" s="68" t="s">
        <v>1015</v>
      </c>
      <c r="K13" s="68" t="s">
        <v>33</v>
      </c>
      <c r="L13" s="68">
        <v>0.1</v>
      </c>
      <c r="M13" s="68">
        <v>0.08</v>
      </c>
      <c r="N13" s="68">
        <v>0.06</v>
      </c>
      <c r="O13" s="68">
        <v>0.04</v>
      </c>
      <c r="P13" s="68">
        <v>0.02</v>
      </c>
      <c r="Q13" s="68">
        <v>0</v>
      </c>
      <c r="R13" s="68"/>
      <c r="S13" s="68"/>
      <c r="T13" s="68"/>
      <c r="U13" s="68">
        <v>3</v>
      </c>
    </row>
    <row r="14" spans="2:21" x14ac:dyDescent="0.25">
      <c r="B14" s="68" t="s">
        <v>1017</v>
      </c>
      <c r="C14" s="68">
        <v>6967</v>
      </c>
      <c r="D14" s="68">
        <v>5378</v>
      </c>
      <c r="E14" s="68" t="s">
        <v>1004</v>
      </c>
      <c r="F14" s="68">
        <v>1</v>
      </c>
      <c r="G14" s="68" t="s">
        <v>580</v>
      </c>
      <c r="H14" s="68" t="s">
        <v>41</v>
      </c>
      <c r="I14" s="68" t="s">
        <v>25</v>
      </c>
      <c r="J14" s="68" t="s">
        <v>1015</v>
      </c>
      <c r="K14" s="68" t="s">
        <v>33</v>
      </c>
      <c r="L14" s="68">
        <v>0.1</v>
      </c>
      <c r="M14" s="68">
        <v>0.08</v>
      </c>
      <c r="N14" s="68">
        <v>0.06</v>
      </c>
      <c r="O14" s="68">
        <v>0.04</v>
      </c>
      <c r="P14" s="68">
        <v>0.02</v>
      </c>
      <c r="Q14" s="68">
        <v>0</v>
      </c>
      <c r="R14" s="68"/>
      <c r="S14" s="68"/>
      <c r="T14" s="68"/>
      <c r="U14" s="68">
        <v>3</v>
      </c>
    </row>
    <row r="15" spans="2:21" x14ac:dyDescent="0.25">
      <c r="B15" s="68" t="s">
        <v>1018</v>
      </c>
      <c r="C15" s="68">
        <v>6968</v>
      </c>
      <c r="D15" s="68">
        <v>5378</v>
      </c>
      <c r="E15" s="68" t="s">
        <v>43</v>
      </c>
      <c r="F15" s="68">
        <v>1</v>
      </c>
      <c r="G15" s="68" t="s">
        <v>580</v>
      </c>
      <c r="H15" s="68" t="s">
        <v>48</v>
      </c>
      <c r="I15" s="68" t="s">
        <v>49</v>
      </c>
      <c r="J15" s="68" t="s">
        <v>1005</v>
      </c>
      <c r="K15" s="68" t="s">
        <v>33</v>
      </c>
      <c r="L15" s="68">
        <v>0.15</v>
      </c>
      <c r="M15" s="68">
        <v>0.12</v>
      </c>
      <c r="N15" s="68">
        <v>0.09</v>
      </c>
      <c r="O15" s="68">
        <v>0.06</v>
      </c>
      <c r="P15" s="68">
        <v>0.03</v>
      </c>
      <c r="Q15" s="68">
        <v>0</v>
      </c>
      <c r="R15" s="68"/>
      <c r="S15" s="68"/>
      <c r="T15" s="68"/>
      <c r="U15" s="68">
        <v>3</v>
      </c>
    </row>
    <row r="16" spans="2:21" x14ac:dyDescent="0.25">
      <c r="B16" s="68" t="s">
        <v>1019</v>
      </c>
      <c r="C16" s="68">
        <v>6969</v>
      </c>
      <c r="D16" s="68">
        <v>5378</v>
      </c>
      <c r="E16" s="68" t="s">
        <v>34</v>
      </c>
      <c r="F16" s="68">
        <v>1</v>
      </c>
      <c r="G16" s="68" t="s">
        <v>580</v>
      </c>
      <c r="H16" s="68" t="s">
        <v>48</v>
      </c>
      <c r="I16" s="68" t="s">
        <v>49</v>
      </c>
      <c r="J16" s="68" t="s">
        <v>1005</v>
      </c>
      <c r="K16" s="68" t="s">
        <v>33</v>
      </c>
      <c r="L16" s="68">
        <v>0.15</v>
      </c>
      <c r="M16" s="68">
        <v>0.12</v>
      </c>
      <c r="N16" s="68">
        <v>0.09</v>
      </c>
      <c r="O16" s="68">
        <v>0.06</v>
      </c>
      <c r="P16" s="68">
        <v>0.03</v>
      </c>
      <c r="Q16" s="68">
        <v>0</v>
      </c>
      <c r="R16" s="68"/>
      <c r="S16" s="68"/>
      <c r="T16" s="68"/>
      <c r="U16" s="68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21C8E-2207-48F4-887B-A8495A8584AD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5" bestFit="1" customWidth="1"/>
    <col min="2" max="2" width="18.42578125" style="15" customWidth="1"/>
    <col min="3" max="12" width="11" style="15" customWidth="1"/>
    <col min="13" max="16384" width="9.140625" style="15"/>
  </cols>
  <sheetData>
    <row r="1" spans="1:12" ht="12" thickBot="1" x14ac:dyDescent="0.25">
      <c r="A1" s="98" t="s">
        <v>1034</v>
      </c>
      <c r="B1" s="98" t="s">
        <v>22</v>
      </c>
      <c r="C1" s="98" t="s">
        <v>1033</v>
      </c>
      <c r="D1" s="98" t="s">
        <v>1032</v>
      </c>
      <c r="E1" s="98" t="s">
        <v>37</v>
      </c>
      <c r="F1" s="98" t="s">
        <v>1031</v>
      </c>
      <c r="G1" s="98" t="s">
        <v>1030</v>
      </c>
      <c r="H1" s="98" t="s">
        <v>514</v>
      </c>
      <c r="I1" s="98" t="s">
        <v>33</v>
      </c>
      <c r="J1" s="98" t="s">
        <v>513</v>
      </c>
      <c r="K1" s="98" t="s">
        <v>512</v>
      </c>
      <c r="L1" s="98" t="s">
        <v>511</v>
      </c>
    </row>
    <row r="2" spans="1:12" x14ac:dyDescent="0.2">
      <c r="A2" s="94" t="s">
        <v>1029</v>
      </c>
      <c r="B2" s="100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292.80621485239823</v>
      </c>
      <c r="C2" s="100">
        <f t="shared" si="0"/>
        <v>275.17561631937303</v>
      </c>
      <c r="D2" s="100">
        <f t="shared" si="0"/>
        <v>269.29875014169801</v>
      </c>
      <c r="E2" s="100">
        <f t="shared" si="0"/>
        <v>292.80621485239823</v>
      </c>
      <c r="F2" s="100">
        <f t="shared" si="0"/>
        <v>161.09527287038674</v>
      </c>
      <c r="G2" s="100">
        <f t="shared" si="0"/>
        <v>175.61458930934862</v>
      </c>
      <c r="H2" s="100">
        <f t="shared" si="0"/>
        <v>0</v>
      </c>
      <c r="I2" s="100">
        <f t="shared" si="0"/>
        <v>736.9088031650175</v>
      </c>
      <c r="J2" s="100">
        <f t="shared" si="0"/>
        <v>0</v>
      </c>
      <c r="K2" s="100">
        <f t="shared" si="0"/>
        <v>0</v>
      </c>
      <c r="L2" s="100">
        <f t="shared" si="0"/>
        <v>0</v>
      </c>
    </row>
    <row r="3" spans="1:12" ht="12" thickBot="1" x14ac:dyDescent="0.25">
      <c r="A3" s="92" t="s">
        <v>1028</v>
      </c>
      <c r="B3" s="99">
        <v>8.4700000000000006</v>
      </c>
      <c r="C3" s="99">
        <v>7.96</v>
      </c>
      <c r="D3" s="99">
        <v>7.79</v>
      </c>
      <c r="E3" s="99">
        <v>8.4700000000000006</v>
      </c>
      <c r="F3" s="99">
        <v>4.66</v>
      </c>
      <c r="G3" s="99">
        <v>5.08</v>
      </c>
      <c r="H3" s="99">
        <v>0</v>
      </c>
      <c r="I3" s="99">
        <f>'TUSD BE'!$AC$6</f>
        <v>21.316547416707188</v>
      </c>
      <c r="J3" s="99">
        <v>0</v>
      </c>
      <c r="K3" s="99">
        <v>0</v>
      </c>
      <c r="L3" s="99">
        <v>0</v>
      </c>
    </row>
    <row r="5" spans="1:12" ht="12" thickBot="1" x14ac:dyDescent="0.25">
      <c r="A5" s="98" t="s">
        <v>1027</v>
      </c>
      <c r="B5" s="98" t="s">
        <v>1026</v>
      </c>
    </row>
    <row r="6" spans="1:12" x14ac:dyDescent="0.2">
      <c r="A6" s="94" t="s">
        <v>1025</v>
      </c>
      <c r="B6" s="97">
        <v>9.9700000000000011E-2</v>
      </c>
    </row>
    <row r="7" spans="1:12" x14ac:dyDescent="0.2">
      <c r="A7" s="96" t="s">
        <v>1024</v>
      </c>
      <c r="B7" s="95">
        <v>0</v>
      </c>
    </row>
    <row r="8" spans="1:12" x14ac:dyDescent="0.2">
      <c r="A8" s="94" t="s">
        <v>1023</v>
      </c>
      <c r="B8" s="93">
        <v>29793920.379999999</v>
      </c>
    </row>
    <row r="9" spans="1:12" x14ac:dyDescent="0.2">
      <c r="A9" s="96" t="s">
        <v>1022</v>
      </c>
      <c r="B9" s="95">
        <v>0.04</v>
      </c>
    </row>
    <row r="10" spans="1:12" x14ac:dyDescent="0.2">
      <c r="A10" s="94" t="s">
        <v>1021</v>
      </c>
      <c r="B10" s="93">
        <v>20359907.670000002</v>
      </c>
    </row>
    <row r="11" spans="1:12" ht="12" thickBot="1" x14ac:dyDescent="0.25">
      <c r="A11" s="92" t="s">
        <v>1020</v>
      </c>
      <c r="B11" s="91">
        <f>(1+$B$6)^(1/IF($B$9&lt;&gt;0,$B$9,1))*$B$6/IF((1+$B$6)^(1/IF($B$9&lt;&gt;0,$B$9,1))-1&lt;&gt;0,(1+$B$6)^(1/IF($B$9&lt;&gt;0,$B$9,1))-1,1)</f>
        <v>0.10991403975195672</v>
      </c>
    </row>
    <row r="18" spans="2:2" x14ac:dyDescent="0.2">
      <c r="B18" s="9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AB29E-F277-4A4A-8BC7-B5CB1690AEA6}">
  <dimension ref="B1:AQ49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9.85546875" bestFit="1" customWidth="1"/>
    <col min="36" max="36" width="12.5703125" bestFit="1" customWidth="1"/>
    <col min="37" max="37" width="12.28515625" bestFit="1" customWidth="1"/>
    <col min="38" max="38" width="14.140625" bestFit="1" customWidth="1"/>
    <col min="39" max="39" width="25.28515625" bestFit="1" customWidth="1"/>
    <col min="40" max="40" width="17.85546875" bestFit="1" customWidth="1"/>
    <col min="41" max="41" width="13.42578125" bestFit="1" customWidth="1"/>
    <col min="42" max="42" width="13.28515625" bestFit="1" customWidth="1"/>
    <col min="43" max="43" width="12.5703125" bestFit="1" customWidth="1"/>
  </cols>
  <sheetData>
    <row r="1" spans="2:43" ht="12" customHeight="1" x14ac:dyDescent="0.25">
      <c r="L1" s="149" t="s">
        <v>1071</v>
      </c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50"/>
      <c r="AH1" s="149" t="s">
        <v>1072</v>
      </c>
      <c r="AI1" s="149"/>
      <c r="AJ1" s="149"/>
      <c r="AK1" s="149"/>
      <c r="AL1" s="149"/>
      <c r="AM1" s="149"/>
      <c r="AN1" s="149"/>
      <c r="AO1" s="149"/>
      <c r="AP1" s="149"/>
      <c r="AQ1" s="149"/>
    </row>
    <row r="2" spans="2:43" ht="12" customHeight="1" x14ac:dyDescent="0.25">
      <c r="L2" s="151" t="s">
        <v>400</v>
      </c>
      <c r="M2" s="151"/>
      <c r="N2" s="151"/>
      <c r="O2" s="151"/>
      <c r="P2" s="151"/>
      <c r="Q2" s="151"/>
      <c r="R2" s="151"/>
      <c r="S2" s="152"/>
      <c r="T2" s="151" t="s">
        <v>409</v>
      </c>
      <c r="U2" s="151"/>
      <c r="V2" s="151"/>
      <c r="W2" s="151"/>
      <c r="X2" s="151"/>
      <c r="Y2" s="151"/>
      <c r="Z2" s="152"/>
      <c r="AA2" s="114" t="s">
        <v>417</v>
      </c>
      <c r="AB2" s="151" t="s">
        <v>25</v>
      </c>
      <c r="AC2" s="152"/>
      <c r="AD2" s="151" t="s">
        <v>1070</v>
      </c>
      <c r="AE2" s="151"/>
      <c r="AF2" s="151"/>
      <c r="AG2" s="152"/>
      <c r="AH2" s="151" t="s">
        <v>400</v>
      </c>
      <c r="AI2" s="151"/>
      <c r="AJ2" s="151"/>
      <c r="AK2" s="152"/>
      <c r="AL2" s="114" t="s">
        <v>430</v>
      </c>
      <c r="AM2" s="151" t="s">
        <v>409</v>
      </c>
      <c r="AN2" s="151"/>
      <c r="AO2" s="151"/>
      <c r="AP2" s="152"/>
      <c r="AQ2" s="113" t="s">
        <v>1070</v>
      </c>
    </row>
    <row r="3" spans="2:43" ht="12" customHeight="1" x14ac:dyDescent="0.25">
      <c r="B3" s="102" t="s">
        <v>63</v>
      </c>
      <c r="C3" s="103" t="s">
        <v>64</v>
      </c>
      <c r="D3" s="103" t="s">
        <v>65</v>
      </c>
      <c r="E3" s="103" t="s">
        <v>66</v>
      </c>
      <c r="F3" s="103" t="s">
        <v>67</v>
      </c>
      <c r="G3" s="103" t="s">
        <v>69</v>
      </c>
      <c r="H3" s="103" t="s">
        <v>70</v>
      </c>
      <c r="I3" s="103" t="s">
        <v>626</v>
      </c>
      <c r="J3" s="103" t="s">
        <v>1035</v>
      </c>
      <c r="K3" s="103" t="s">
        <v>1036</v>
      </c>
      <c r="L3" s="103" t="s">
        <v>1037</v>
      </c>
      <c r="M3" s="103" t="s">
        <v>1038</v>
      </c>
      <c r="N3" s="103" t="s">
        <v>1039</v>
      </c>
      <c r="O3" s="103" t="s">
        <v>1040</v>
      </c>
      <c r="P3" s="103" t="s">
        <v>1041</v>
      </c>
      <c r="Q3" s="103" t="s">
        <v>1042</v>
      </c>
      <c r="R3" s="103" t="s">
        <v>1043</v>
      </c>
      <c r="S3" s="103" t="s">
        <v>1044</v>
      </c>
      <c r="T3" s="103" t="s">
        <v>1045</v>
      </c>
      <c r="U3" s="103" t="s">
        <v>1046</v>
      </c>
      <c r="V3" s="103" t="s">
        <v>1047</v>
      </c>
      <c r="W3" s="103" t="s">
        <v>1048</v>
      </c>
      <c r="X3" s="103" t="s">
        <v>1049</v>
      </c>
      <c r="Y3" s="103" t="s">
        <v>1050</v>
      </c>
      <c r="Z3" s="103" t="s">
        <v>1051</v>
      </c>
      <c r="AA3" s="103" t="s">
        <v>1052</v>
      </c>
      <c r="AB3" s="103" t="s">
        <v>1053</v>
      </c>
      <c r="AC3" s="103" t="s">
        <v>1054</v>
      </c>
      <c r="AD3" s="103" t="s">
        <v>1055</v>
      </c>
      <c r="AE3" s="103" t="s">
        <v>1056</v>
      </c>
      <c r="AF3" s="103" t="s">
        <v>1057</v>
      </c>
      <c r="AG3" s="103" t="s">
        <v>1058</v>
      </c>
      <c r="AH3" s="103" t="s">
        <v>1059</v>
      </c>
      <c r="AI3" s="103" t="s">
        <v>1060</v>
      </c>
      <c r="AJ3" s="103" t="s">
        <v>1061</v>
      </c>
      <c r="AK3" s="103" t="s">
        <v>1062</v>
      </c>
      <c r="AL3" s="103" t="s">
        <v>1063</v>
      </c>
      <c r="AM3" s="103" t="s">
        <v>1064</v>
      </c>
      <c r="AN3" s="103" t="s">
        <v>1065</v>
      </c>
      <c r="AO3" s="103" t="s">
        <v>1066</v>
      </c>
      <c r="AP3" s="103" t="s">
        <v>1067</v>
      </c>
      <c r="AQ3" s="104" t="s">
        <v>1068</v>
      </c>
    </row>
    <row r="4" spans="2:43" ht="12" customHeight="1" x14ac:dyDescent="0.25">
      <c r="B4" s="105" t="s">
        <v>33</v>
      </c>
      <c r="C4" s="106" t="s">
        <v>43</v>
      </c>
      <c r="D4" s="106" t="s">
        <v>25</v>
      </c>
      <c r="E4" s="106" t="s">
        <v>25</v>
      </c>
      <c r="F4" s="106" t="s">
        <v>80</v>
      </c>
      <c r="G4" s="106" t="s">
        <v>35</v>
      </c>
      <c r="H4" s="106" t="s">
        <v>73</v>
      </c>
      <c r="I4" s="106" t="s">
        <v>25</v>
      </c>
      <c r="J4" s="106">
        <v>18.98</v>
      </c>
      <c r="K4" s="106">
        <v>0</v>
      </c>
      <c r="L4" s="106">
        <v>0</v>
      </c>
      <c r="M4" s="106">
        <v>1.0674538000643199</v>
      </c>
      <c r="N4" s="106">
        <v>0</v>
      </c>
      <c r="O4" s="106">
        <v>0</v>
      </c>
      <c r="P4" s="106">
        <v>0</v>
      </c>
      <c r="Q4" s="106">
        <v>0</v>
      </c>
      <c r="R4" s="106">
        <v>0</v>
      </c>
      <c r="S4" s="106">
        <v>0</v>
      </c>
      <c r="T4" s="106">
        <v>0</v>
      </c>
      <c r="U4" s="106">
        <v>0</v>
      </c>
      <c r="V4" s="106">
        <v>0</v>
      </c>
      <c r="W4" s="106">
        <v>0</v>
      </c>
      <c r="X4" s="106">
        <v>0</v>
      </c>
      <c r="Y4" s="106">
        <v>0</v>
      </c>
      <c r="Z4" s="106">
        <v>0</v>
      </c>
      <c r="AA4" s="106">
        <v>0</v>
      </c>
      <c r="AB4" s="106">
        <v>0.26641696689575201</v>
      </c>
      <c r="AC4" s="106">
        <v>0</v>
      </c>
      <c r="AD4" s="106">
        <v>17.647771626044801</v>
      </c>
      <c r="AE4" s="106">
        <v>0</v>
      </c>
      <c r="AF4" s="106">
        <v>0</v>
      </c>
      <c r="AG4" s="106">
        <v>0</v>
      </c>
      <c r="AH4" s="106">
        <v>0</v>
      </c>
      <c r="AI4" s="106">
        <v>0</v>
      </c>
      <c r="AJ4" s="106">
        <v>0</v>
      </c>
      <c r="AK4" s="106">
        <v>0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  <c r="AQ4" s="107">
        <v>0</v>
      </c>
    </row>
    <row r="5" spans="2:43" ht="12" customHeight="1" x14ac:dyDescent="0.25">
      <c r="B5" s="105" t="s">
        <v>33</v>
      </c>
      <c r="C5" s="106" t="s">
        <v>43</v>
      </c>
      <c r="D5" s="106" t="s">
        <v>25</v>
      </c>
      <c r="E5" s="106" t="s">
        <v>25</v>
      </c>
      <c r="F5" s="106" t="s">
        <v>80</v>
      </c>
      <c r="G5" s="106" t="s">
        <v>35</v>
      </c>
      <c r="H5" s="106" t="s">
        <v>76</v>
      </c>
      <c r="I5" s="106" t="s">
        <v>25</v>
      </c>
      <c r="J5" s="106">
        <v>94.44</v>
      </c>
      <c r="K5" s="106">
        <v>0</v>
      </c>
      <c r="L5" s="106">
        <v>0</v>
      </c>
      <c r="M5" s="106">
        <v>0</v>
      </c>
      <c r="N5" s="106">
        <v>0</v>
      </c>
      <c r="O5" s="106">
        <v>0</v>
      </c>
      <c r="P5" s="106">
        <v>0</v>
      </c>
      <c r="Q5" s="106">
        <v>0</v>
      </c>
      <c r="R5" s="106">
        <v>0</v>
      </c>
      <c r="S5" s="106">
        <v>0</v>
      </c>
      <c r="T5" s="106">
        <v>0</v>
      </c>
      <c r="U5" s="106">
        <v>0</v>
      </c>
      <c r="V5" s="106">
        <v>0</v>
      </c>
      <c r="W5" s="106">
        <v>0</v>
      </c>
      <c r="X5" s="106">
        <v>45.530732095690801</v>
      </c>
      <c r="Y5" s="106">
        <v>0</v>
      </c>
      <c r="Z5" s="106">
        <v>0</v>
      </c>
      <c r="AA5" s="106">
        <v>46.977220302823497</v>
      </c>
      <c r="AB5" s="106">
        <v>1.93197424087804</v>
      </c>
      <c r="AC5" s="106">
        <v>0</v>
      </c>
      <c r="AD5" s="106">
        <v>0</v>
      </c>
      <c r="AE5" s="106">
        <v>0</v>
      </c>
      <c r="AF5" s="106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7">
        <v>0</v>
      </c>
    </row>
    <row r="6" spans="2:43" ht="12" customHeight="1" x14ac:dyDescent="0.25">
      <c r="B6" s="105" t="s">
        <v>33</v>
      </c>
      <c r="C6" s="106" t="s">
        <v>43</v>
      </c>
      <c r="D6" s="106" t="s">
        <v>25</v>
      </c>
      <c r="E6" s="106" t="s">
        <v>25</v>
      </c>
      <c r="F6" s="106" t="s">
        <v>80</v>
      </c>
      <c r="G6" s="106" t="s">
        <v>36</v>
      </c>
      <c r="H6" s="106" t="s">
        <v>73</v>
      </c>
      <c r="I6" s="106" t="s">
        <v>25</v>
      </c>
      <c r="J6" s="106">
        <v>18.98</v>
      </c>
      <c r="K6" s="106">
        <v>0</v>
      </c>
      <c r="L6" s="106">
        <v>0</v>
      </c>
      <c r="M6" s="106">
        <v>1.0674538000643199</v>
      </c>
      <c r="N6" s="106">
        <v>0</v>
      </c>
      <c r="O6" s="106">
        <v>0</v>
      </c>
      <c r="P6" s="106">
        <v>0</v>
      </c>
      <c r="Q6" s="106">
        <v>0</v>
      </c>
      <c r="R6" s="106">
        <v>0</v>
      </c>
      <c r="S6" s="106">
        <v>0</v>
      </c>
      <c r="T6" s="106">
        <v>0</v>
      </c>
      <c r="U6" s="106">
        <v>0</v>
      </c>
      <c r="V6" s="106">
        <v>0</v>
      </c>
      <c r="W6" s="106">
        <v>0</v>
      </c>
      <c r="X6" s="106">
        <v>0</v>
      </c>
      <c r="Y6" s="106">
        <v>0</v>
      </c>
      <c r="Z6" s="106">
        <v>0</v>
      </c>
      <c r="AA6" s="106">
        <v>0</v>
      </c>
      <c r="AB6" s="106">
        <v>0.26641696689575201</v>
      </c>
      <c r="AC6" s="106">
        <v>0</v>
      </c>
      <c r="AD6" s="106">
        <v>17.647771626044801</v>
      </c>
      <c r="AE6" s="106">
        <v>0</v>
      </c>
      <c r="AF6" s="106">
        <v>0</v>
      </c>
      <c r="AG6" s="106">
        <v>0</v>
      </c>
      <c r="AH6" s="106">
        <v>0</v>
      </c>
      <c r="AI6" s="106">
        <v>0</v>
      </c>
      <c r="AJ6" s="106">
        <v>0</v>
      </c>
      <c r="AK6" s="106">
        <v>0</v>
      </c>
      <c r="AL6" s="106">
        <v>0</v>
      </c>
      <c r="AM6" s="106">
        <v>0</v>
      </c>
      <c r="AN6" s="106">
        <v>0</v>
      </c>
      <c r="AO6" s="106">
        <v>0</v>
      </c>
      <c r="AP6" s="106">
        <v>0</v>
      </c>
      <c r="AQ6" s="107">
        <v>0</v>
      </c>
    </row>
    <row r="7" spans="2:43" ht="12" customHeight="1" x14ac:dyDescent="0.25">
      <c r="B7" s="105" t="s">
        <v>33</v>
      </c>
      <c r="C7" s="106" t="s">
        <v>43</v>
      </c>
      <c r="D7" s="106" t="s">
        <v>25</v>
      </c>
      <c r="E7" s="106" t="s">
        <v>25</v>
      </c>
      <c r="F7" s="106" t="s">
        <v>80</v>
      </c>
      <c r="G7" s="106" t="s">
        <v>36</v>
      </c>
      <c r="H7" s="106" t="s">
        <v>76</v>
      </c>
      <c r="I7" s="106" t="s">
        <v>25</v>
      </c>
      <c r="J7" s="106">
        <v>24.27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10.899591688204101</v>
      </c>
      <c r="Y7" s="106">
        <v>0</v>
      </c>
      <c r="Z7" s="106">
        <v>0</v>
      </c>
      <c r="AA7" s="106">
        <v>12.8638364386118</v>
      </c>
      <c r="AB7" s="106">
        <v>0.50449059646654804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0</v>
      </c>
      <c r="AK7" s="106">
        <v>0</v>
      </c>
      <c r="AL7" s="106">
        <v>0</v>
      </c>
      <c r="AM7" s="106">
        <v>0</v>
      </c>
      <c r="AN7" s="106">
        <v>0</v>
      </c>
      <c r="AO7" s="106">
        <v>0</v>
      </c>
      <c r="AP7" s="106">
        <v>0</v>
      </c>
      <c r="AQ7" s="107">
        <v>0</v>
      </c>
    </row>
    <row r="8" spans="2:43" ht="12" customHeight="1" x14ac:dyDescent="0.25">
      <c r="B8" s="105" t="s">
        <v>33</v>
      </c>
      <c r="C8" s="106" t="s">
        <v>43</v>
      </c>
      <c r="D8" s="106" t="s">
        <v>25</v>
      </c>
      <c r="E8" s="106" t="s">
        <v>25</v>
      </c>
      <c r="F8" s="106" t="s">
        <v>25</v>
      </c>
      <c r="G8" s="106" t="s">
        <v>35</v>
      </c>
      <c r="H8" s="106" t="s">
        <v>73</v>
      </c>
      <c r="I8" s="106" t="s">
        <v>25</v>
      </c>
      <c r="J8" s="106">
        <v>103.31</v>
      </c>
      <c r="K8" s="106">
        <v>217.63</v>
      </c>
      <c r="L8" s="106">
        <v>0</v>
      </c>
      <c r="M8" s="106">
        <v>1.0674538000643199</v>
      </c>
      <c r="N8" s="106">
        <v>0</v>
      </c>
      <c r="O8" s="106">
        <v>0</v>
      </c>
      <c r="P8" s="106">
        <v>0</v>
      </c>
      <c r="Q8" s="106">
        <v>69.258590699489105</v>
      </c>
      <c r="R8" s="106">
        <v>13.715806659518099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1.61543639065744</v>
      </c>
      <c r="AC8" s="106">
        <v>0</v>
      </c>
      <c r="AD8" s="106">
        <v>17.647771626044801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16.043462855204801</v>
      </c>
      <c r="AK8" s="106">
        <v>0</v>
      </c>
      <c r="AL8" s="106">
        <v>203.43475803874</v>
      </c>
      <c r="AM8" s="106">
        <v>0</v>
      </c>
      <c r="AN8" s="106">
        <v>0</v>
      </c>
      <c r="AO8" s="106">
        <v>0</v>
      </c>
      <c r="AP8" s="106">
        <v>-1.84882168771624</v>
      </c>
      <c r="AQ8" s="107">
        <v>0</v>
      </c>
    </row>
    <row r="9" spans="2:43" ht="12" customHeight="1" x14ac:dyDescent="0.25">
      <c r="B9" s="105" t="s">
        <v>33</v>
      </c>
      <c r="C9" s="106" t="s">
        <v>43</v>
      </c>
      <c r="D9" s="106" t="s">
        <v>25</v>
      </c>
      <c r="E9" s="106" t="s">
        <v>25</v>
      </c>
      <c r="F9" s="106" t="s">
        <v>25</v>
      </c>
      <c r="G9" s="106" t="s">
        <v>35</v>
      </c>
      <c r="H9" s="106" t="s">
        <v>76</v>
      </c>
      <c r="I9" s="106" t="s">
        <v>25</v>
      </c>
      <c r="J9" s="106">
        <v>94.44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45.530732095690801</v>
      </c>
      <c r="Y9" s="106">
        <v>0</v>
      </c>
      <c r="Z9" s="106">
        <v>0</v>
      </c>
      <c r="AA9" s="106">
        <v>46.977220302823497</v>
      </c>
      <c r="AB9" s="106">
        <v>1.93197424087804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7">
        <v>0</v>
      </c>
    </row>
    <row r="10" spans="2:43" ht="12" customHeight="1" x14ac:dyDescent="0.25">
      <c r="B10" s="105" t="s">
        <v>33</v>
      </c>
      <c r="C10" s="106" t="s">
        <v>43</v>
      </c>
      <c r="D10" s="106" t="s">
        <v>25</v>
      </c>
      <c r="E10" s="106" t="s">
        <v>25</v>
      </c>
      <c r="F10" s="106" t="s">
        <v>25</v>
      </c>
      <c r="G10" s="106" t="s">
        <v>36</v>
      </c>
      <c r="H10" s="106" t="s">
        <v>73</v>
      </c>
      <c r="I10" s="106" t="s">
        <v>25</v>
      </c>
      <c r="J10" s="106">
        <v>103.31</v>
      </c>
      <c r="K10" s="106">
        <v>217.63</v>
      </c>
      <c r="L10" s="106">
        <v>0</v>
      </c>
      <c r="M10" s="106">
        <v>1.0674538000643199</v>
      </c>
      <c r="N10" s="106">
        <v>0</v>
      </c>
      <c r="O10" s="106">
        <v>0</v>
      </c>
      <c r="P10" s="106">
        <v>0</v>
      </c>
      <c r="Q10" s="106">
        <v>69.258590699489105</v>
      </c>
      <c r="R10" s="106">
        <v>13.715806659518099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1.61543639065744</v>
      </c>
      <c r="AC10" s="106">
        <v>0</v>
      </c>
      <c r="AD10" s="106">
        <v>17.647771626044801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16.043462855204801</v>
      </c>
      <c r="AK10" s="106">
        <v>0</v>
      </c>
      <c r="AL10" s="106">
        <v>203.43475803874</v>
      </c>
      <c r="AM10" s="106">
        <v>0</v>
      </c>
      <c r="AN10" s="106">
        <v>0</v>
      </c>
      <c r="AO10" s="106">
        <v>0</v>
      </c>
      <c r="AP10" s="106">
        <v>-1.84882168771624</v>
      </c>
      <c r="AQ10" s="107">
        <v>0</v>
      </c>
    </row>
    <row r="11" spans="2:43" ht="12" customHeight="1" x14ac:dyDescent="0.25">
      <c r="B11" s="105" t="s">
        <v>33</v>
      </c>
      <c r="C11" s="106" t="s">
        <v>43</v>
      </c>
      <c r="D11" s="106" t="s">
        <v>25</v>
      </c>
      <c r="E11" s="106" t="s">
        <v>25</v>
      </c>
      <c r="F11" s="106" t="s">
        <v>25</v>
      </c>
      <c r="G11" s="106" t="s">
        <v>36</v>
      </c>
      <c r="H11" s="106" t="s">
        <v>76</v>
      </c>
      <c r="I11" s="106" t="s">
        <v>25</v>
      </c>
      <c r="J11" s="106">
        <v>24.27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10.899591688204101</v>
      </c>
      <c r="Y11" s="106">
        <v>0</v>
      </c>
      <c r="Z11" s="106">
        <v>0</v>
      </c>
      <c r="AA11" s="106">
        <v>12.8638364386118</v>
      </c>
      <c r="AB11" s="106">
        <v>0.50449059646654804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  <c r="AO11" s="106">
        <v>0</v>
      </c>
      <c r="AP11" s="106">
        <v>0</v>
      </c>
      <c r="AQ11" s="107">
        <v>0</v>
      </c>
    </row>
    <row r="12" spans="2:43" ht="12" customHeight="1" x14ac:dyDescent="0.25">
      <c r="B12" s="105" t="s">
        <v>33</v>
      </c>
      <c r="C12" s="106" t="s">
        <v>81</v>
      </c>
      <c r="D12" s="106" t="s">
        <v>25</v>
      </c>
      <c r="E12" s="106" t="s">
        <v>25</v>
      </c>
      <c r="F12" s="106" t="s">
        <v>25</v>
      </c>
      <c r="G12" s="106" t="s">
        <v>25</v>
      </c>
      <c r="H12" s="106" t="s">
        <v>76</v>
      </c>
      <c r="I12" s="106" t="s">
        <v>25</v>
      </c>
      <c r="J12" s="106">
        <v>8.5500000000000007</v>
      </c>
      <c r="K12" s="106">
        <v>0</v>
      </c>
      <c r="L12" s="106">
        <v>0</v>
      </c>
      <c r="M12" s="106">
        <v>1.66423593284418E-2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8.3163797183192294</v>
      </c>
      <c r="AB12" s="106">
        <v>0.21613265912863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7">
        <v>0</v>
      </c>
    </row>
    <row r="13" spans="2:43" ht="12" customHeight="1" x14ac:dyDescent="0.25">
      <c r="B13" s="105" t="s">
        <v>33</v>
      </c>
      <c r="C13" s="106" t="s">
        <v>34</v>
      </c>
      <c r="D13" s="106" t="s">
        <v>25</v>
      </c>
      <c r="E13" s="106" t="s">
        <v>25</v>
      </c>
      <c r="F13" s="106" t="s">
        <v>80</v>
      </c>
      <c r="G13" s="106" t="s">
        <v>35</v>
      </c>
      <c r="H13" s="106" t="s">
        <v>73</v>
      </c>
      <c r="I13" s="106" t="s">
        <v>25</v>
      </c>
      <c r="J13" s="106">
        <v>2289.35</v>
      </c>
      <c r="K13" s="106">
        <v>0</v>
      </c>
      <c r="L13" s="106">
        <v>0</v>
      </c>
      <c r="M13" s="106">
        <v>1.0674538000643199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1094.1219651731301</v>
      </c>
      <c r="Y13" s="106">
        <v>0</v>
      </c>
      <c r="Z13" s="106">
        <v>0</v>
      </c>
      <c r="AA13" s="106">
        <v>1129.7990060004299</v>
      </c>
      <c r="AB13" s="106">
        <v>46.716352181240097</v>
      </c>
      <c r="AC13" s="106">
        <v>0</v>
      </c>
      <c r="AD13" s="106">
        <v>17.647771626044801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106">
        <v>0</v>
      </c>
      <c r="AL13" s="106">
        <v>0</v>
      </c>
      <c r="AM13" s="106">
        <v>0</v>
      </c>
      <c r="AN13" s="106">
        <v>0</v>
      </c>
      <c r="AO13" s="106">
        <v>0</v>
      </c>
      <c r="AP13" s="106">
        <v>0</v>
      </c>
      <c r="AQ13" s="107">
        <v>0</v>
      </c>
    </row>
    <row r="14" spans="2:43" ht="12" customHeight="1" x14ac:dyDescent="0.25">
      <c r="B14" s="105" t="s">
        <v>33</v>
      </c>
      <c r="C14" s="106" t="s">
        <v>34</v>
      </c>
      <c r="D14" s="106" t="s">
        <v>25</v>
      </c>
      <c r="E14" s="106" t="s">
        <v>25</v>
      </c>
      <c r="F14" s="106" t="s">
        <v>80</v>
      </c>
      <c r="G14" s="106" t="s">
        <v>25</v>
      </c>
      <c r="H14" s="106" t="s">
        <v>76</v>
      </c>
      <c r="I14" s="106" t="s">
        <v>25</v>
      </c>
      <c r="J14" s="106">
        <v>24.27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10.899591688204101</v>
      </c>
      <c r="Y14" s="106">
        <v>0</v>
      </c>
      <c r="Z14" s="106">
        <v>0</v>
      </c>
      <c r="AA14" s="106">
        <v>12.8638364386118</v>
      </c>
      <c r="AB14" s="106">
        <v>0.50449059646654804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</v>
      </c>
      <c r="AK14" s="106">
        <v>0</v>
      </c>
      <c r="AL14" s="106">
        <v>0</v>
      </c>
      <c r="AM14" s="106">
        <v>0</v>
      </c>
      <c r="AN14" s="106">
        <v>0</v>
      </c>
      <c r="AO14" s="106">
        <v>0</v>
      </c>
      <c r="AP14" s="106">
        <v>0</v>
      </c>
      <c r="AQ14" s="107">
        <v>0</v>
      </c>
    </row>
    <row r="15" spans="2:43" ht="12" customHeight="1" x14ac:dyDescent="0.25">
      <c r="B15" s="105" t="s">
        <v>33</v>
      </c>
      <c r="C15" s="106" t="s">
        <v>34</v>
      </c>
      <c r="D15" s="106" t="s">
        <v>25</v>
      </c>
      <c r="E15" s="106" t="s">
        <v>25</v>
      </c>
      <c r="F15" s="106" t="s">
        <v>80</v>
      </c>
      <c r="G15" s="106" t="s">
        <v>36</v>
      </c>
      <c r="H15" s="106" t="s">
        <v>73</v>
      </c>
      <c r="I15" s="106" t="s">
        <v>25</v>
      </c>
      <c r="J15" s="106">
        <v>18.98</v>
      </c>
      <c r="K15" s="106">
        <v>0</v>
      </c>
      <c r="L15" s="106">
        <v>0</v>
      </c>
      <c r="M15" s="106">
        <v>1.0674538000643199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0.26641696689575201</v>
      </c>
      <c r="AC15" s="106">
        <v>0</v>
      </c>
      <c r="AD15" s="106">
        <v>17.647771626044801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</v>
      </c>
      <c r="AK15" s="106">
        <v>0</v>
      </c>
      <c r="AL15" s="106">
        <v>0</v>
      </c>
      <c r="AM15" s="106">
        <v>0</v>
      </c>
      <c r="AN15" s="106">
        <v>0</v>
      </c>
      <c r="AO15" s="106">
        <v>0</v>
      </c>
      <c r="AP15" s="106">
        <v>0</v>
      </c>
      <c r="AQ15" s="107">
        <v>0</v>
      </c>
    </row>
    <row r="16" spans="2:43" ht="12" customHeight="1" x14ac:dyDescent="0.25">
      <c r="B16" s="105" t="s">
        <v>33</v>
      </c>
      <c r="C16" s="106" t="s">
        <v>34</v>
      </c>
      <c r="D16" s="106" t="s">
        <v>25</v>
      </c>
      <c r="E16" s="106" t="s">
        <v>25</v>
      </c>
      <c r="F16" s="106" t="s">
        <v>25</v>
      </c>
      <c r="G16" s="106" t="s">
        <v>35</v>
      </c>
      <c r="H16" s="106" t="s">
        <v>73</v>
      </c>
      <c r="I16" s="106" t="s">
        <v>25</v>
      </c>
      <c r="J16" s="106">
        <v>2373.6799999999998</v>
      </c>
      <c r="K16" s="106">
        <v>217.63</v>
      </c>
      <c r="L16" s="106">
        <v>0</v>
      </c>
      <c r="M16" s="106">
        <v>1.0674538000643199</v>
      </c>
      <c r="N16" s="106">
        <v>0</v>
      </c>
      <c r="O16" s="106">
        <v>0</v>
      </c>
      <c r="P16" s="106">
        <v>0</v>
      </c>
      <c r="Q16" s="106">
        <v>69.258590699489105</v>
      </c>
      <c r="R16" s="106">
        <v>13.715806659518099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1094.1219651731301</v>
      </c>
      <c r="Y16" s="106">
        <v>0</v>
      </c>
      <c r="Z16" s="106">
        <v>0</v>
      </c>
      <c r="AA16" s="106">
        <v>1129.7990060004299</v>
      </c>
      <c r="AB16" s="106">
        <v>48.065371605001801</v>
      </c>
      <c r="AC16" s="106">
        <v>0</v>
      </c>
      <c r="AD16" s="106">
        <v>17.647771626044801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16.043462855204801</v>
      </c>
      <c r="AK16" s="106">
        <v>0</v>
      </c>
      <c r="AL16" s="106">
        <v>203.43475803874</v>
      </c>
      <c r="AM16" s="106">
        <v>0</v>
      </c>
      <c r="AN16" s="106">
        <v>0</v>
      </c>
      <c r="AO16" s="106">
        <v>0</v>
      </c>
      <c r="AP16" s="106">
        <v>-1.84882168771624</v>
      </c>
      <c r="AQ16" s="107">
        <v>0</v>
      </c>
    </row>
    <row r="17" spans="2:43" ht="12" customHeight="1" x14ac:dyDescent="0.25">
      <c r="B17" s="105" t="s">
        <v>33</v>
      </c>
      <c r="C17" s="106" t="s">
        <v>34</v>
      </c>
      <c r="D17" s="106" t="s">
        <v>25</v>
      </c>
      <c r="E17" s="106" t="s">
        <v>25</v>
      </c>
      <c r="F17" s="106" t="s">
        <v>25</v>
      </c>
      <c r="G17" s="106" t="s">
        <v>25</v>
      </c>
      <c r="H17" s="106" t="s">
        <v>76</v>
      </c>
      <c r="I17" s="106" t="s">
        <v>25</v>
      </c>
      <c r="J17" s="106">
        <v>24.27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10.899591688204101</v>
      </c>
      <c r="Y17" s="106">
        <v>0</v>
      </c>
      <c r="Z17" s="106">
        <v>0</v>
      </c>
      <c r="AA17" s="106">
        <v>12.8638364386118</v>
      </c>
      <c r="AB17" s="106">
        <v>0.50449059646654804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  <c r="AO17" s="106">
        <v>0</v>
      </c>
      <c r="AP17" s="106">
        <v>0</v>
      </c>
      <c r="AQ17" s="107">
        <v>0</v>
      </c>
    </row>
    <row r="18" spans="2:43" ht="12" customHeight="1" x14ac:dyDescent="0.25">
      <c r="B18" s="105" t="s">
        <v>33</v>
      </c>
      <c r="C18" s="106" t="s">
        <v>34</v>
      </c>
      <c r="D18" s="106" t="s">
        <v>25</v>
      </c>
      <c r="E18" s="106" t="s">
        <v>25</v>
      </c>
      <c r="F18" s="106" t="s">
        <v>25</v>
      </c>
      <c r="G18" s="106" t="s">
        <v>36</v>
      </c>
      <c r="H18" s="106" t="s">
        <v>73</v>
      </c>
      <c r="I18" s="106" t="s">
        <v>25</v>
      </c>
      <c r="J18" s="106">
        <v>103.31</v>
      </c>
      <c r="K18" s="106">
        <v>217.63</v>
      </c>
      <c r="L18" s="106">
        <v>0</v>
      </c>
      <c r="M18" s="106">
        <v>1.0674538000643199</v>
      </c>
      <c r="N18" s="106">
        <v>0</v>
      </c>
      <c r="O18" s="106">
        <v>0</v>
      </c>
      <c r="P18" s="106">
        <v>0</v>
      </c>
      <c r="Q18" s="106">
        <v>69.258590699489105</v>
      </c>
      <c r="R18" s="106">
        <v>13.715806659518099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1.61543639065744</v>
      </c>
      <c r="AC18" s="106">
        <v>0</v>
      </c>
      <c r="AD18" s="106">
        <v>17.647771626044801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16.043462855204801</v>
      </c>
      <c r="AK18" s="106">
        <v>0</v>
      </c>
      <c r="AL18" s="106">
        <v>203.43475803874</v>
      </c>
      <c r="AM18" s="106">
        <v>0</v>
      </c>
      <c r="AN18" s="106">
        <v>0</v>
      </c>
      <c r="AO18" s="106">
        <v>0</v>
      </c>
      <c r="AP18" s="106">
        <v>-1.84882168771624</v>
      </c>
      <c r="AQ18" s="107">
        <v>0</v>
      </c>
    </row>
    <row r="19" spans="2:43" ht="12" customHeight="1" x14ac:dyDescent="0.25">
      <c r="B19" s="105" t="s">
        <v>82</v>
      </c>
      <c r="C19" s="106" t="s">
        <v>81</v>
      </c>
      <c r="D19" s="106" t="s">
        <v>25</v>
      </c>
      <c r="E19" s="106" t="s">
        <v>25</v>
      </c>
      <c r="F19" s="106" t="s">
        <v>83</v>
      </c>
      <c r="G19" s="106" t="s">
        <v>25</v>
      </c>
      <c r="H19" s="106" t="s">
        <v>76</v>
      </c>
      <c r="I19" s="106" t="s">
        <v>25</v>
      </c>
      <c r="J19" s="106">
        <v>5.29</v>
      </c>
      <c r="K19" s="106">
        <v>0</v>
      </c>
      <c r="L19" s="106">
        <v>0</v>
      </c>
      <c r="M19" s="106">
        <v>8.7994083805554395E-3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5.1476359160479497</v>
      </c>
      <c r="AB19" s="106">
        <v>0.13375608054115701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  <c r="AO19" s="106">
        <v>0</v>
      </c>
      <c r="AP19" s="106">
        <v>0</v>
      </c>
      <c r="AQ19" s="107">
        <v>0</v>
      </c>
    </row>
    <row r="20" spans="2:43" ht="12" customHeight="1" x14ac:dyDescent="0.25">
      <c r="B20" s="105" t="s">
        <v>82</v>
      </c>
      <c r="C20" s="106" t="s">
        <v>81</v>
      </c>
      <c r="D20" s="106" t="s">
        <v>25</v>
      </c>
      <c r="E20" s="106" t="s">
        <v>25</v>
      </c>
      <c r="F20" s="106" t="s">
        <v>84</v>
      </c>
      <c r="G20" s="106" t="s">
        <v>25</v>
      </c>
      <c r="H20" s="106" t="s">
        <v>76</v>
      </c>
      <c r="I20" s="106" t="s">
        <v>25</v>
      </c>
      <c r="J20" s="106">
        <v>17.75</v>
      </c>
      <c r="K20" s="106">
        <v>0</v>
      </c>
      <c r="L20" s="106">
        <v>0</v>
      </c>
      <c r="M20" s="106">
        <v>8.7994083805554395E-3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17.288066395133502</v>
      </c>
      <c r="AB20" s="106">
        <v>0.44887071135561102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  <c r="AO20" s="106">
        <v>0</v>
      </c>
      <c r="AP20" s="106">
        <v>0</v>
      </c>
      <c r="AQ20" s="107">
        <v>0</v>
      </c>
    </row>
    <row r="21" spans="2:43" ht="12" customHeight="1" x14ac:dyDescent="0.25">
      <c r="B21" s="105" t="s">
        <v>22</v>
      </c>
      <c r="C21" s="106" t="s">
        <v>87</v>
      </c>
      <c r="D21" s="106" t="s">
        <v>24</v>
      </c>
      <c r="E21" s="106" t="s">
        <v>24</v>
      </c>
      <c r="F21" s="106" t="s">
        <v>25</v>
      </c>
      <c r="G21" s="106" t="s">
        <v>35</v>
      </c>
      <c r="H21" s="106" t="s">
        <v>73</v>
      </c>
      <c r="I21" s="106" t="s">
        <v>25</v>
      </c>
      <c r="J21" s="106">
        <v>941.02</v>
      </c>
      <c r="K21" s="106">
        <v>217.63</v>
      </c>
      <c r="L21" s="106">
        <v>0</v>
      </c>
      <c r="M21" s="106">
        <v>1.7799040008907301</v>
      </c>
      <c r="N21" s="106">
        <v>0</v>
      </c>
      <c r="O21" s="106">
        <v>0</v>
      </c>
      <c r="P21" s="106">
        <v>0</v>
      </c>
      <c r="Q21" s="106">
        <v>82.4507032136775</v>
      </c>
      <c r="R21" s="106">
        <v>13.715806659518099</v>
      </c>
      <c r="S21" s="106">
        <v>0</v>
      </c>
      <c r="T21" s="106">
        <v>0</v>
      </c>
      <c r="U21" s="106">
        <v>0</v>
      </c>
      <c r="V21" s="106">
        <v>0</v>
      </c>
      <c r="W21" s="106">
        <v>0</v>
      </c>
      <c r="X21" s="106">
        <v>286.21860479879899</v>
      </c>
      <c r="Y21" s="106">
        <v>0</v>
      </c>
      <c r="Z21" s="106">
        <v>0</v>
      </c>
      <c r="AA21" s="106">
        <v>500.24274433061498</v>
      </c>
      <c r="AB21" s="106">
        <v>19.579106220830599</v>
      </c>
      <c r="AC21" s="106">
        <v>0</v>
      </c>
      <c r="AD21" s="106">
        <v>37.030380205171902</v>
      </c>
      <c r="AE21" s="106">
        <v>0</v>
      </c>
      <c r="AF21" s="106">
        <v>0</v>
      </c>
      <c r="AG21" s="106">
        <v>0</v>
      </c>
      <c r="AH21" s="106">
        <v>0</v>
      </c>
      <c r="AI21" s="106">
        <v>0</v>
      </c>
      <c r="AJ21" s="106">
        <v>16.043462855204801</v>
      </c>
      <c r="AK21" s="106">
        <v>0</v>
      </c>
      <c r="AL21" s="106">
        <v>203.43475803874</v>
      </c>
      <c r="AM21" s="106">
        <v>0</v>
      </c>
      <c r="AN21" s="106">
        <v>0</v>
      </c>
      <c r="AO21" s="106">
        <v>0</v>
      </c>
      <c r="AP21" s="106">
        <v>-1.84882168771624</v>
      </c>
      <c r="AQ21" s="107">
        <v>0</v>
      </c>
    </row>
    <row r="22" spans="2:43" ht="12" customHeight="1" x14ac:dyDescent="0.25">
      <c r="B22" s="105" t="s">
        <v>22</v>
      </c>
      <c r="C22" s="106" t="s">
        <v>87</v>
      </c>
      <c r="D22" s="106" t="s">
        <v>24</v>
      </c>
      <c r="E22" s="106" t="s">
        <v>24</v>
      </c>
      <c r="F22" s="106" t="s">
        <v>25</v>
      </c>
      <c r="G22" s="106" t="s">
        <v>523</v>
      </c>
      <c r="H22" s="106" t="s">
        <v>73</v>
      </c>
      <c r="I22" s="106" t="s">
        <v>25</v>
      </c>
      <c r="J22" s="106">
        <v>262.14999999999998</v>
      </c>
      <c r="K22" s="106">
        <v>217.63</v>
      </c>
      <c r="L22" s="106">
        <v>0</v>
      </c>
      <c r="M22" s="106">
        <v>1.7799040008907301</v>
      </c>
      <c r="N22" s="106">
        <v>0</v>
      </c>
      <c r="O22" s="106">
        <v>0</v>
      </c>
      <c r="P22" s="106">
        <v>0</v>
      </c>
      <c r="Q22" s="106">
        <v>82.4507032136775</v>
      </c>
      <c r="R22" s="106">
        <v>13.715806659518099</v>
      </c>
      <c r="S22" s="106">
        <v>0</v>
      </c>
      <c r="T22" s="106">
        <v>0</v>
      </c>
      <c r="U22" s="106">
        <v>0</v>
      </c>
      <c r="V22" s="106">
        <v>0</v>
      </c>
      <c r="W22" s="106">
        <v>0</v>
      </c>
      <c r="X22" s="106">
        <v>44.529783617470997</v>
      </c>
      <c r="Y22" s="106">
        <v>0</v>
      </c>
      <c r="Z22" s="106">
        <v>0</v>
      </c>
      <c r="AA22" s="106">
        <v>77.815561066963696</v>
      </c>
      <c r="AB22" s="106">
        <v>4.83177849222551</v>
      </c>
      <c r="AC22" s="106">
        <v>0</v>
      </c>
      <c r="AD22" s="106">
        <v>37.030380205171902</v>
      </c>
      <c r="AE22" s="106">
        <v>0</v>
      </c>
      <c r="AF22" s="106">
        <v>0</v>
      </c>
      <c r="AG22" s="106">
        <v>0</v>
      </c>
      <c r="AH22" s="106">
        <v>0</v>
      </c>
      <c r="AI22" s="106">
        <v>0</v>
      </c>
      <c r="AJ22" s="106">
        <v>16.043462855204801</v>
      </c>
      <c r="AK22" s="106">
        <v>0</v>
      </c>
      <c r="AL22" s="106">
        <v>203.43475803874</v>
      </c>
      <c r="AM22" s="106">
        <v>0</v>
      </c>
      <c r="AN22" s="106">
        <v>0</v>
      </c>
      <c r="AO22" s="106">
        <v>0</v>
      </c>
      <c r="AP22" s="106">
        <v>-1.84882168771624</v>
      </c>
      <c r="AQ22" s="107">
        <v>0</v>
      </c>
    </row>
    <row r="23" spans="2:43" ht="12" customHeight="1" x14ac:dyDescent="0.25">
      <c r="B23" s="105" t="s">
        <v>22</v>
      </c>
      <c r="C23" s="106" t="s">
        <v>87</v>
      </c>
      <c r="D23" s="106" t="s">
        <v>24</v>
      </c>
      <c r="E23" s="106" t="s">
        <v>24</v>
      </c>
      <c r="F23" s="106" t="s">
        <v>25</v>
      </c>
      <c r="G23" s="106" t="s">
        <v>36</v>
      </c>
      <c r="H23" s="106" t="s">
        <v>73</v>
      </c>
      <c r="I23" s="106" t="s">
        <v>25</v>
      </c>
      <c r="J23" s="106">
        <v>351.48</v>
      </c>
      <c r="K23" s="106">
        <v>217.63</v>
      </c>
      <c r="L23" s="106">
        <v>0</v>
      </c>
      <c r="M23" s="106">
        <v>1.7799040008907301</v>
      </c>
      <c r="N23" s="106">
        <v>0</v>
      </c>
      <c r="O23" s="106">
        <v>0</v>
      </c>
      <c r="P23" s="106">
        <v>0</v>
      </c>
      <c r="Q23" s="106">
        <v>82.4507032136775</v>
      </c>
      <c r="R23" s="106">
        <v>13.715806659518099</v>
      </c>
      <c r="S23" s="106">
        <v>0</v>
      </c>
      <c r="T23" s="106">
        <v>0</v>
      </c>
      <c r="U23" s="106">
        <v>0</v>
      </c>
      <c r="V23" s="106">
        <v>0</v>
      </c>
      <c r="W23" s="106">
        <v>0</v>
      </c>
      <c r="X23" s="106">
        <v>76.331805371838598</v>
      </c>
      <c r="Y23" s="106">
        <v>0</v>
      </c>
      <c r="Z23" s="106">
        <v>0</v>
      </c>
      <c r="AA23" s="106">
        <v>133.39816027724501</v>
      </c>
      <c r="AB23" s="106">
        <v>6.77223177787367</v>
      </c>
      <c r="AC23" s="106">
        <v>0</v>
      </c>
      <c r="AD23" s="106">
        <v>37.030380205171902</v>
      </c>
      <c r="AE23" s="106">
        <v>0</v>
      </c>
      <c r="AF23" s="106">
        <v>0</v>
      </c>
      <c r="AG23" s="106">
        <v>0</v>
      </c>
      <c r="AH23" s="106">
        <v>0</v>
      </c>
      <c r="AI23" s="106">
        <v>0</v>
      </c>
      <c r="AJ23" s="106">
        <v>16.043462855204801</v>
      </c>
      <c r="AK23" s="106">
        <v>0</v>
      </c>
      <c r="AL23" s="106">
        <v>203.43475803874</v>
      </c>
      <c r="AM23" s="106">
        <v>0</v>
      </c>
      <c r="AN23" s="106">
        <v>0</v>
      </c>
      <c r="AO23" s="106">
        <v>0</v>
      </c>
      <c r="AP23" s="106">
        <v>-1.84882168771624</v>
      </c>
      <c r="AQ23" s="107">
        <v>0</v>
      </c>
    </row>
    <row r="24" spans="2:43" ht="12" customHeight="1" x14ac:dyDescent="0.25">
      <c r="B24" s="105" t="s">
        <v>22</v>
      </c>
      <c r="C24" s="106" t="s">
        <v>23</v>
      </c>
      <c r="D24" s="106" t="s">
        <v>24</v>
      </c>
      <c r="E24" s="106" t="s">
        <v>1069</v>
      </c>
      <c r="F24" s="106" t="s">
        <v>25</v>
      </c>
      <c r="G24" s="106" t="s">
        <v>25</v>
      </c>
      <c r="H24" s="106" t="s">
        <v>73</v>
      </c>
      <c r="I24" s="106" t="s">
        <v>25</v>
      </c>
      <c r="J24" s="106">
        <v>396.66</v>
      </c>
      <c r="K24" s="106">
        <v>217.63</v>
      </c>
      <c r="L24" s="106">
        <v>0</v>
      </c>
      <c r="M24" s="106">
        <v>1.7799040008907301</v>
      </c>
      <c r="N24" s="106">
        <v>0</v>
      </c>
      <c r="O24" s="106">
        <v>0</v>
      </c>
      <c r="P24" s="106">
        <v>0</v>
      </c>
      <c r="Q24" s="106">
        <v>0</v>
      </c>
      <c r="R24" s="106">
        <v>0</v>
      </c>
      <c r="S24" s="106">
        <v>0</v>
      </c>
      <c r="T24" s="106">
        <v>0</v>
      </c>
      <c r="U24" s="106">
        <v>0</v>
      </c>
      <c r="V24" s="106">
        <v>0</v>
      </c>
      <c r="W24" s="106">
        <v>0</v>
      </c>
      <c r="X24" s="106">
        <v>127.208291522216</v>
      </c>
      <c r="Y24" s="106">
        <v>0</v>
      </c>
      <c r="Z24" s="106">
        <v>0</v>
      </c>
      <c r="AA24" s="106">
        <v>222.33020227255</v>
      </c>
      <c r="AB24" s="106">
        <v>8.3132531328667199</v>
      </c>
      <c r="AC24" s="106">
        <v>0</v>
      </c>
      <c r="AD24" s="106">
        <v>37.030380205171902</v>
      </c>
      <c r="AE24" s="106">
        <v>0</v>
      </c>
      <c r="AF24" s="106">
        <v>0</v>
      </c>
      <c r="AG24" s="106">
        <v>0</v>
      </c>
      <c r="AH24" s="106">
        <v>0</v>
      </c>
      <c r="AI24" s="106">
        <v>0</v>
      </c>
      <c r="AJ24" s="106">
        <v>16.043462855204801</v>
      </c>
      <c r="AK24" s="106">
        <v>0</v>
      </c>
      <c r="AL24" s="106">
        <v>203.43475803874</v>
      </c>
      <c r="AM24" s="106">
        <v>0</v>
      </c>
      <c r="AN24" s="106">
        <v>0</v>
      </c>
      <c r="AO24" s="106">
        <v>0</v>
      </c>
      <c r="AP24" s="106">
        <v>-1.84882168771624</v>
      </c>
      <c r="AQ24" s="107">
        <v>0</v>
      </c>
    </row>
    <row r="25" spans="2:43" ht="12" customHeight="1" x14ac:dyDescent="0.25">
      <c r="B25" s="105" t="s">
        <v>22</v>
      </c>
      <c r="C25" s="106" t="s">
        <v>23</v>
      </c>
      <c r="D25" s="106" t="s">
        <v>24</v>
      </c>
      <c r="E25" s="106" t="s">
        <v>24</v>
      </c>
      <c r="F25" s="106" t="s">
        <v>25</v>
      </c>
      <c r="G25" s="106" t="s">
        <v>25</v>
      </c>
      <c r="H25" s="106" t="s">
        <v>73</v>
      </c>
      <c r="I25" s="106" t="s">
        <v>25</v>
      </c>
      <c r="J25" s="106">
        <v>494.39</v>
      </c>
      <c r="K25" s="106">
        <v>217.63</v>
      </c>
      <c r="L25" s="106">
        <v>0</v>
      </c>
      <c r="M25" s="106">
        <v>1.7799040008907301</v>
      </c>
      <c r="N25" s="106">
        <v>0</v>
      </c>
      <c r="O25" s="106">
        <v>0</v>
      </c>
      <c r="P25" s="106">
        <v>0</v>
      </c>
      <c r="Q25" s="106">
        <v>82.4507032136775</v>
      </c>
      <c r="R25" s="106">
        <v>13.715806659518099</v>
      </c>
      <c r="S25" s="106">
        <v>0</v>
      </c>
      <c r="T25" s="106">
        <v>0</v>
      </c>
      <c r="U25" s="106">
        <v>0</v>
      </c>
      <c r="V25" s="106">
        <v>0</v>
      </c>
      <c r="W25" s="106">
        <v>0</v>
      </c>
      <c r="X25" s="106">
        <v>127.208291522216</v>
      </c>
      <c r="Y25" s="106">
        <v>0</v>
      </c>
      <c r="Z25" s="106">
        <v>0</v>
      </c>
      <c r="AA25" s="106">
        <v>222.33020227255</v>
      </c>
      <c r="AB25" s="106">
        <v>9.8768483754628296</v>
      </c>
      <c r="AC25" s="106">
        <v>0</v>
      </c>
      <c r="AD25" s="106">
        <v>37.030380205171902</v>
      </c>
      <c r="AE25" s="106">
        <v>0</v>
      </c>
      <c r="AF25" s="106">
        <v>0</v>
      </c>
      <c r="AG25" s="106">
        <v>0</v>
      </c>
      <c r="AH25" s="106">
        <v>0</v>
      </c>
      <c r="AI25" s="106">
        <v>0</v>
      </c>
      <c r="AJ25" s="106">
        <v>16.043462855204801</v>
      </c>
      <c r="AK25" s="106">
        <v>0</v>
      </c>
      <c r="AL25" s="106">
        <v>203.43475803874</v>
      </c>
      <c r="AM25" s="106">
        <v>0</v>
      </c>
      <c r="AN25" s="106">
        <v>0</v>
      </c>
      <c r="AO25" s="106">
        <v>0</v>
      </c>
      <c r="AP25" s="106">
        <v>-1.84882168771624</v>
      </c>
      <c r="AQ25" s="107">
        <v>0</v>
      </c>
    </row>
    <row r="26" spans="2:43" ht="12" customHeight="1" x14ac:dyDescent="0.25">
      <c r="B26" s="105" t="s">
        <v>22</v>
      </c>
      <c r="C26" s="106" t="s">
        <v>89</v>
      </c>
      <c r="D26" s="106" t="s">
        <v>24</v>
      </c>
      <c r="E26" s="106" t="s">
        <v>1069</v>
      </c>
      <c r="F26" s="106" t="s">
        <v>25</v>
      </c>
      <c r="G26" s="106" t="s">
        <v>25</v>
      </c>
      <c r="H26" s="106" t="s">
        <v>73</v>
      </c>
      <c r="I26" s="106" t="s">
        <v>25</v>
      </c>
      <c r="J26" s="106">
        <v>396.66</v>
      </c>
      <c r="K26" s="106">
        <v>217.63</v>
      </c>
      <c r="L26" s="106">
        <v>0</v>
      </c>
      <c r="M26" s="106">
        <v>1.7799040008907301</v>
      </c>
      <c r="N26" s="106">
        <v>0</v>
      </c>
      <c r="O26" s="106">
        <v>0</v>
      </c>
      <c r="P26" s="106">
        <v>0</v>
      </c>
      <c r="Q26" s="106">
        <v>0</v>
      </c>
      <c r="R26" s="106">
        <v>0</v>
      </c>
      <c r="S26" s="106">
        <v>0</v>
      </c>
      <c r="T26" s="106">
        <v>0</v>
      </c>
      <c r="U26" s="106">
        <v>0</v>
      </c>
      <c r="V26" s="106">
        <v>0</v>
      </c>
      <c r="W26" s="106">
        <v>0</v>
      </c>
      <c r="X26" s="106">
        <v>127.208291522216</v>
      </c>
      <c r="Y26" s="106">
        <v>0</v>
      </c>
      <c r="Z26" s="106">
        <v>0</v>
      </c>
      <c r="AA26" s="106">
        <v>222.33020227255</v>
      </c>
      <c r="AB26" s="106">
        <v>8.3132531328667199</v>
      </c>
      <c r="AC26" s="106">
        <v>0</v>
      </c>
      <c r="AD26" s="106">
        <v>37.030380205171902</v>
      </c>
      <c r="AE26" s="106">
        <v>0</v>
      </c>
      <c r="AF26" s="106">
        <v>0</v>
      </c>
      <c r="AG26" s="106">
        <v>0</v>
      </c>
      <c r="AH26" s="106">
        <v>0</v>
      </c>
      <c r="AI26" s="106">
        <v>0</v>
      </c>
      <c r="AJ26" s="106">
        <v>16.043462855204801</v>
      </c>
      <c r="AK26" s="106">
        <v>0</v>
      </c>
      <c r="AL26" s="106">
        <v>203.43475803874</v>
      </c>
      <c r="AM26" s="106">
        <v>0</v>
      </c>
      <c r="AN26" s="106">
        <v>0</v>
      </c>
      <c r="AO26" s="106">
        <v>0</v>
      </c>
      <c r="AP26" s="106">
        <v>-1.84882168771624</v>
      </c>
      <c r="AQ26" s="107">
        <v>0</v>
      </c>
    </row>
    <row r="27" spans="2:43" ht="12" customHeight="1" x14ac:dyDescent="0.25">
      <c r="B27" s="105" t="s">
        <v>22</v>
      </c>
      <c r="C27" s="106" t="s">
        <v>89</v>
      </c>
      <c r="D27" s="106" t="s">
        <v>24</v>
      </c>
      <c r="E27" s="106" t="s">
        <v>24</v>
      </c>
      <c r="F27" s="106" t="s">
        <v>25</v>
      </c>
      <c r="G27" s="106" t="s">
        <v>25</v>
      </c>
      <c r="H27" s="106" t="s">
        <v>73</v>
      </c>
      <c r="I27" s="106" t="s">
        <v>25</v>
      </c>
      <c r="J27" s="106">
        <v>494.39</v>
      </c>
      <c r="K27" s="106">
        <v>217.63</v>
      </c>
      <c r="L27" s="106">
        <v>0</v>
      </c>
      <c r="M27" s="106">
        <v>1.7799040008907301</v>
      </c>
      <c r="N27" s="106">
        <v>0</v>
      </c>
      <c r="O27" s="106">
        <v>0</v>
      </c>
      <c r="P27" s="106">
        <v>0</v>
      </c>
      <c r="Q27" s="106">
        <v>82.4507032136775</v>
      </c>
      <c r="R27" s="106">
        <v>13.715806659518099</v>
      </c>
      <c r="S27" s="106">
        <v>0</v>
      </c>
      <c r="T27" s="106">
        <v>0</v>
      </c>
      <c r="U27" s="106">
        <v>0</v>
      </c>
      <c r="V27" s="106">
        <v>0</v>
      </c>
      <c r="W27" s="106">
        <v>0</v>
      </c>
      <c r="X27" s="106">
        <v>127.208291522216</v>
      </c>
      <c r="Y27" s="106">
        <v>0</v>
      </c>
      <c r="Z27" s="106">
        <v>0</v>
      </c>
      <c r="AA27" s="106">
        <v>222.33020227255</v>
      </c>
      <c r="AB27" s="106">
        <v>9.8768483754628296</v>
      </c>
      <c r="AC27" s="106">
        <v>0</v>
      </c>
      <c r="AD27" s="106">
        <v>37.030380205171902</v>
      </c>
      <c r="AE27" s="106">
        <v>0</v>
      </c>
      <c r="AF27" s="106">
        <v>0</v>
      </c>
      <c r="AG27" s="106">
        <v>0</v>
      </c>
      <c r="AH27" s="106">
        <v>0</v>
      </c>
      <c r="AI27" s="106">
        <v>0</v>
      </c>
      <c r="AJ27" s="106">
        <v>16.043462855204801</v>
      </c>
      <c r="AK27" s="106">
        <v>0</v>
      </c>
      <c r="AL27" s="106">
        <v>203.43475803874</v>
      </c>
      <c r="AM27" s="106">
        <v>0</v>
      </c>
      <c r="AN27" s="106">
        <v>0</v>
      </c>
      <c r="AO27" s="106">
        <v>0</v>
      </c>
      <c r="AP27" s="106">
        <v>-1.84882168771624</v>
      </c>
      <c r="AQ27" s="107">
        <v>0</v>
      </c>
    </row>
    <row r="28" spans="2:43" ht="12" customHeight="1" x14ac:dyDescent="0.25">
      <c r="B28" s="105" t="s">
        <v>40</v>
      </c>
      <c r="C28" s="106" t="s">
        <v>87</v>
      </c>
      <c r="D28" s="106" t="s">
        <v>41</v>
      </c>
      <c r="E28" s="106" t="s">
        <v>90</v>
      </c>
      <c r="F28" s="106" t="s">
        <v>25</v>
      </c>
      <c r="G28" s="106" t="s">
        <v>35</v>
      </c>
      <c r="H28" s="106" t="s">
        <v>73</v>
      </c>
      <c r="I28" s="106" t="s">
        <v>25</v>
      </c>
      <c r="J28" s="106">
        <v>954.1</v>
      </c>
      <c r="K28" s="106">
        <v>204.57</v>
      </c>
      <c r="L28" s="106">
        <v>0</v>
      </c>
      <c r="M28" s="106">
        <v>1.67310976083728</v>
      </c>
      <c r="N28" s="106">
        <v>0</v>
      </c>
      <c r="O28" s="106">
        <v>0</v>
      </c>
      <c r="P28" s="106">
        <v>0</v>
      </c>
      <c r="Q28" s="106">
        <v>77.503661020856796</v>
      </c>
      <c r="R28" s="106">
        <v>12.892858259946999</v>
      </c>
      <c r="S28" s="106">
        <v>0</v>
      </c>
      <c r="T28" s="106">
        <v>0</v>
      </c>
      <c r="U28" s="106">
        <v>0</v>
      </c>
      <c r="V28" s="106">
        <v>0</v>
      </c>
      <c r="W28" s="106">
        <v>0</v>
      </c>
      <c r="X28" s="106">
        <v>293.82133866943099</v>
      </c>
      <c r="Y28" s="106">
        <v>0</v>
      </c>
      <c r="Z28" s="106">
        <v>0</v>
      </c>
      <c r="AA28" s="106">
        <v>513.48924267582095</v>
      </c>
      <c r="AB28" s="106">
        <v>19.915024781661501</v>
      </c>
      <c r="AC28" s="106">
        <v>0</v>
      </c>
      <c r="AD28" s="106">
        <v>34.808557392861601</v>
      </c>
      <c r="AE28" s="106">
        <v>0</v>
      </c>
      <c r="AF28" s="106">
        <v>0</v>
      </c>
      <c r="AG28" s="106">
        <v>0</v>
      </c>
      <c r="AH28" s="106">
        <v>0</v>
      </c>
      <c r="AI28" s="106">
        <v>0</v>
      </c>
      <c r="AJ28" s="106">
        <v>15.0808550838925</v>
      </c>
      <c r="AK28" s="106">
        <v>0</v>
      </c>
      <c r="AL28" s="106">
        <v>191.228672556416</v>
      </c>
      <c r="AM28" s="106">
        <v>0</v>
      </c>
      <c r="AN28" s="106">
        <v>0</v>
      </c>
      <c r="AO28" s="106">
        <v>0</v>
      </c>
      <c r="AP28" s="106">
        <v>-1.7378923864532601</v>
      </c>
      <c r="AQ28" s="107">
        <v>0</v>
      </c>
    </row>
    <row r="29" spans="2:43" ht="12" customHeight="1" x14ac:dyDescent="0.25">
      <c r="B29" s="105" t="s">
        <v>40</v>
      </c>
      <c r="C29" s="106" t="s">
        <v>87</v>
      </c>
      <c r="D29" s="106" t="s">
        <v>41</v>
      </c>
      <c r="E29" s="106" t="s">
        <v>90</v>
      </c>
      <c r="F29" s="106" t="s">
        <v>25</v>
      </c>
      <c r="G29" s="106" t="s">
        <v>523</v>
      </c>
      <c r="H29" s="106" t="s">
        <v>73</v>
      </c>
      <c r="I29" s="106" t="s">
        <v>25</v>
      </c>
      <c r="J29" s="106">
        <v>623.98</v>
      </c>
      <c r="K29" s="106">
        <v>204.57</v>
      </c>
      <c r="L29" s="106">
        <v>0</v>
      </c>
      <c r="M29" s="106">
        <v>1.67310976083728</v>
      </c>
      <c r="N29" s="106">
        <v>0</v>
      </c>
      <c r="O29" s="106">
        <v>0</v>
      </c>
      <c r="P29" s="106">
        <v>0</v>
      </c>
      <c r="Q29" s="106">
        <v>77.503661020856796</v>
      </c>
      <c r="R29" s="106">
        <v>12.892858259946999</v>
      </c>
      <c r="S29" s="106">
        <v>0</v>
      </c>
      <c r="T29" s="106">
        <v>0</v>
      </c>
      <c r="U29" s="106">
        <v>0</v>
      </c>
      <c r="V29" s="106">
        <v>0</v>
      </c>
      <c r="W29" s="106">
        <v>0</v>
      </c>
      <c r="X29" s="106">
        <v>176.26679387908101</v>
      </c>
      <c r="Y29" s="106">
        <v>0</v>
      </c>
      <c r="Z29" s="106">
        <v>0</v>
      </c>
      <c r="AA29" s="106">
        <v>308.09364314920498</v>
      </c>
      <c r="AB29" s="106">
        <v>12.743864248249</v>
      </c>
      <c r="AC29" s="106">
        <v>0</v>
      </c>
      <c r="AD29" s="106">
        <v>34.808557392861601</v>
      </c>
      <c r="AE29" s="106">
        <v>0</v>
      </c>
      <c r="AF29" s="106">
        <v>0</v>
      </c>
      <c r="AG29" s="106">
        <v>0</v>
      </c>
      <c r="AH29" s="106">
        <v>0</v>
      </c>
      <c r="AI29" s="106">
        <v>0</v>
      </c>
      <c r="AJ29" s="106">
        <v>15.0808550838925</v>
      </c>
      <c r="AK29" s="106">
        <v>0</v>
      </c>
      <c r="AL29" s="106">
        <v>191.228672556416</v>
      </c>
      <c r="AM29" s="106">
        <v>0</v>
      </c>
      <c r="AN29" s="106">
        <v>0</v>
      </c>
      <c r="AO29" s="106">
        <v>0</v>
      </c>
      <c r="AP29" s="106">
        <v>-1.7378923864532601</v>
      </c>
      <c r="AQ29" s="107">
        <v>0</v>
      </c>
    </row>
    <row r="30" spans="2:43" ht="12" customHeight="1" x14ac:dyDescent="0.25">
      <c r="B30" s="105" t="s">
        <v>40</v>
      </c>
      <c r="C30" s="106" t="s">
        <v>87</v>
      </c>
      <c r="D30" s="106" t="s">
        <v>41</v>
      </c>
      <c r="E30" s="106" t="s">
        <v>90</v>
      </c>
      <c r="F30" s="106" t="s">
        <v>25</v>
      </c>
      <c r="G30" s="106" t="s">
        <v>36</v>
      </c>
      <c r="H30" s="106" t="s">
        <v>73</v>
      </c>
      <c r="I30" s="106" t="s">
        <v>25</v>
      </c>
      <c r="J30" s="106">
        <v>293.89</v>
      </c>
      <c r="K30" s="106">
        <v>204.57</v>
      </c>
      <c r="L30" s="106">
        <v>0</v>
      </c>
      <c r="M30" s="106">
        <v>1.67310976083728</v>
      </c>
      <c r="N30" s="106">
        <v>0</v>
      </c>
      <c r="O30" s="106">
        <v>0</v>
      </c>
      <c r="P30" s="106">
        <v>0</v>
      </c>
      <c r="Q30" s="106">
        <v>77.503661020856796</v>
      </c>
      <c r="R30" s="106">
        <v>12.892858259946999</v>
      </c>
      <c r="S30" s="106">
        <v>0</v>
      </c>
      <c r="T30" s="106">
        <v>0</v>
      </c>
      <c r="U30" s="106">
        <v>0</v>
      </c>
      <c r="V30" s="106">
        <v>0</v>
      </c>
      <c r="W30" s="106">
        <v>0</v>
      </c>
      <c r="X30" s="106">
        <v>58.744544478184302</v>
      </c>
      <c r="Y30" s="106">
        <v>0</v>
      </c>
      <c r="Z30" s="106">
        <v>0</v>
      </c>
      <c r="AA30" s="106">
        <v>102.69786072812801</v>
      </c>
      <c r="AB30" s="106">
        <v>5.5732044520578503</v>
      </c>
      <c r="AC30" s="106">
        <v>0</v>
      </c>
      <c r="AD30" s="106">
        <v>34.808557392861601</v>
      </c>
      <c r="AE30" s="106">
        <v>0</v>
      </c>
      <c r="AF30" s="106">
        <v>0</v>
      </c>
      <c r="AG30" s="106">
        <v>0</v>
      </c>
      <c r="AH30" s="106">
        <v>0</v>
      </c>
      <c r="AI30" s="106">
        <v>0</v>
      </c>
      <c r="AJ30" s="106">
        <v>15.0808550838925</v>
      </c>
      <c r="AK30" s="106">
        <v>0</v>
      </c>
      <c r="AL30" s="106">
        <v>191.228672556416</v>
      </c>
      <c r="AM30" s="106">
        <v>0</v>
      </c>
      <c r="AN30" s="106">
        <v>0</v>
      </c>
      <c r="AO30" s="106">
        <v>0</v>
      </c>
      <c r="AP30" s="106">
        <v>-1.7378923864532601</v>
      </c>
      <c r="AQ30" s="107">
        <v>0</v>
      </c>
    </row>
    <row r="31" spans="2:43" ht="12" customHeight="1" x14ac:dyDescent="0.25">
      <c r="B31" s="105" t="s">
        <v>40</v>
      </c>
      <c r="C31" s="106" t="s">
        <v>87</v>
      </c>
      <c r="D31" s="106" t="s">
        <v>41</v>
      </c>
      <c r="E31" s="106" t="s">
        <v>25</v>
      </c>
      <c r="F31" s="106" t="s">
        <v>25</v>
      </c>
      <c r="G31" s="106" t="s">
        <v>35</v>
      </c>
      <c r="H31" s="106" t="s">
        <v>73</v>
      </c>
      <c r="I31" s="106" t="s">
        <v>25</v>
      </c>
      <c r="J31" s="106">
        <v>954.1</v>
      </c>
      <c r="K31" s="106">
        <v>204.57</v>
      </c>
      <c r="L31" s="106">
        <v>0</v>
      </c>
      <c r="M31" s="106">
        <v>1.67310976083728</v>
      </c>
      <c r="N31" s="106">
        <v>0</v>
      </c>
      <c r="O31" s="106">
        <v>0</v>
      </c>
      <c r="P31" s="106">
        <v>0</v>
      </c>
      <c r="Q31" s="106">
        <v>77.503661020856796</v>
      </c>
      <c r="R31" s="106">
        <v>12.892858259946999</v>
      </c>
      <c r="S31" s="106">
        <v>0</v>
      </c>
      <c r="T31" s="106">
        <v>0</v>
      </c>
      <c r="U31" s="106">
        <v>0</v>
      </c>
      <c r="V31" s="106">
        <v>0</v>
      </c>
      <c r="W31" s="106">
        <v>0</v>
      </c>
      <c r="X31" s="106">
        <v>293.82133866943099</v>
      </c>
      <c r="Y31" s="106">
        <v>0</v>
      </c>
      <c r="Z31" s="106">
        <v>0</v>
      </c>
      <c r="AA31" s="106">
        <v>513.48924267582095</v>
      </c>
      <c r="AB31" s="106">
        <v>19.915024781661501</v>
      </c>
      <c r="AC31" s="106">
        <v>0</v>
      </c>
      <c r="AD31" s="106">
        <v>34.808557392861601</v>
      </c>
      <c r="AE31" s="106">
        <v>0</v>
      </c>
      <c r="AF31" s="106">
        <v>0</v>
      </c>
      <c r="AG31" s="106">
        <v>0</v>
      </c>
      <c r="AH31" s="106">
        <v>0</v>
      </c>
      <c r="AI31" s="106">
        <v>0</v>
      </c>
      <c r="AJ31" s="106">
        <v>15.0808550838925</v>
      </c>
      <c r="AK31" s="106">
        <v>0</v>
      </c>
      <c r="AL31" s="106">
        <v>191.228672556416</v>
      </c>
      <c r="AM31" s="106">
        <v>0</v>
      </c>
      <c r="AN31" s="106">
        <v>0</v>
      </c>
      <c r="AO31" s="106">
        <v>0</v>
      </c>
      <c r="AP31" s="106">
        <v>-1.7378923864532601</v>
      </c>
      <c r="AQ31" s="107">
        <v>0</v>
      </c>
    </row>
    <row r="32" spans="2:43" ht="12" customHeight="1" x14ac:dyDescent="0.25">
      <c r="B32" s="105" t="s">
        <v>40</v>
      </c>
      <c r="C32" s="106" t="s">
        <v>87</v>
      </c>
      <c r="D32" s="106" t="s">
        <v>41</v>
      </c>
      <c r="E32" s="106" t="s">
        <v>25</v>
      </c>
      <c r="F32" s="106" t="s">
        <v>25</v>
      </c>
      <c r="G32" s="106" t="s">
        <v>523</v>
      </c>
      <c r="H32" s="106" t="s">
        <v>73</v>
      </c>
      <c r="I32" s="106" t="s">
        <v>25</v>
      </c>
      <c r="J32" s="106">
        <v>623.98</v>
      </c>
      <c r="K32" s="106">
        <v>204.57</v>
      </c>
      <c r="L32" s="106">
        <v>0</v>
      </c>
      <c r="M32" s="106">
        <v>1.67310976083728</v>
      </c>
      <c r="N32" s="106">
        <v>0</v>
      </c>
      <c r="O32" s="106">
        <v>0</v>
      </c>
      <c r="P32" s="106">
        <v>0</v>
      </c>
      <c r="Q32" s="106">
        <v>77.503661020856796</v>
      </c>
      <c r="R32" s="106">
        <v>12.892858259946999</v>
      </c>
      <c r="S32" s="106">
        <v>0</v>
      </c>
      <c r="T32" s="106">
        <v>0</v>
      </c>
      <c r="U32" s="106">
        <v>0</v>
      </c>
      <c r="V32" s="106">
        <v>0</v>
      </c>
      <c r="W32" s="106">
        <v>0</v>
      </c>
      <c r="X32" s="106">
        <v>176.26679387908101</v>
      </c>
      <c r="Y32" s="106">
        <v>0</v>
      </c>
      <c r="Z32" s="106">
        <v>0</v>
      </c>
      <c r="AA32" s="106">
        <v>308.09364314920498</v>
      </c>
      <c r="AB32" s="106">
        <v>12.743864248249</v>
      </c>
      <c r="AC32" s="106">
        <v>0</v>
      </c>
      <c r="AD32" s="106">
        <v>34.808557392861601</v>
      </c>
      <c r="AE32" s="106">
        <v>0</v>
      </c>
      <c r="AF32" s="106">
        <v>0</v>
      </c>
      <c r="AG32" s="106">
        <v>0</v>
      </c>
      <c r="AH32" s="106">
        <v>0</v>
      </c>
      <c r="AI32" s="106">
        <v>0</v>
      </c>
      <c r="AJ32" s="106">
        <v>15.0808550838925</v>
      </c>
      <c r="AK32" s="106">
        <v>0</v>
      </c>
      <c r="AL32" s="106">
        <v>191.228672556416</v>
      </c>
      <c r="AM32" s="106">
        <v>0</v>
      </c>
      <c r="AN32" s="106">
        <v>0</v>
      </c>
      <c r="AO32" s="106">
        <v>0</v>
      </c>
      <c r="AP32" s="106">
        <v>-1.7378923864532601</v>
      </c>
      <c r="AQ32" s="107">
        <v>0</v>
      </c>
    </row>
    <row r="33" spans="2:43" ht="12" customHeight="1" x14ac:dyDescent="0.25">
      <c r="B33" s="105" t="s">
        <v>40</v>
      </c>
      <c r="C33" s="106" t="s">
        <v>87</v>
      </c>
      <c r="D33" s="106" t="s">
        <v>41</v>
      </c>
      <c r="E33" s="106" t="s">
        <v>25</v>
      </c>
      <c r="F33" s="106" t="s">
        <v>25</v>
      </c>
      <c r="G33" s="106" t="s">
        <v>36</v>
      </c>
      <c r="H33" s="106" t="s">
        <v>73</v>
      </c>
      <c r="I33" s="106" t="s">
        <v>25</v>
      </c>
      <c r="J33" s="106">
        <v>293.89</v>
      </c>
      <c r="K33" s="106">
        <v>204.57</v>
      </c>
      <c r="L33" s="106">
        <v>0</v>
      </c>
      <c r="M33" s="106">
        <v>1.67310976083728</v>
      </c>
      <c r="N33" s="106">
        <v>0</v>
      </c>
      <c r="O33" s="106">
        <v>0</v>
      </c>
      <c r="P33" s="106">
        <v>0</v>
      </c>
      <c r="Q33" s="106">
        <v>77.503661020856796</v>
      </c>
      <c r="R33" s="106">
        <v>12.892858259946999</v>
      </c>
      <c r="S33" s="106">
        <v>0</v>
      </c>
      <c r="T33" s="106">
        <v>0</v>
      </c>
      <c r="U33" s="106">
        <v>0</v>
      </c>
      <c r="V33" s="106">
        <v>0</v>
      </c>
      <c r="W33" s="106">
        <v>0</v>
      </c>
      <c r="X33" s="106">
        <v>58.744544478184302</v>
      </c>
      <c r="Y33" s="106">
        <v>0</v>
      </c>
      <c r="Z33" s="106">
        <v>0</v>
      </c>
      <c r="AA33" s="106">
        <v>102.69786072812801</v>
      </c>
      <c r="AB33" s="106">
        <v>5.5732044520578503</v>
      </c>
      <c r="AC33" s="106">
        <v>0</v>
      </c>
      <c r="AD33" s="106">
        <v>34.808557392861601</v>
      </c>
      <c r="AE33" s="106">
        <v>0</v>
      </c>
      <c r="AF33" s="106">
        <v>0</v>
      </c>
      <c r="AG33" s="106">
        <v>0</v>
      </c>
      <c r="AH33" s="106">
        <v>0</v>
      </c>
      <c r="AI33" s="106">
        <v>0</v>
      </c>
      <c r="AJ33" s="106">
        <v>15.0808550838925</v>
      </c>
      <c r="AK33" s="106">
        <v>0</v>
      </c>
      <c r="AL33" s="106">
        <v>191.228672556416</v>
      </c>
      <c r="AM33" s="106">
        <v>0</v>
      </c>
      <c r="AN33" s="106">
        <v>0</v>
      </c>
      <c r="AO33" s="106">
        <v>0</v>
      </c>
      <c r="AP33" s="106">
        <v>-1.7378923864532601</v>
      </c>
      <c r="AQ33" s="107">
        <v>0</v>
      </c>
    </row>
    <row r="34" spans="2:43" ht="12" customHeight="1" x14ac:dyDescent="0.25">
      <c r="B34" s="105" t="s">
        <v>40</v>
      </c>
      <c r="C34" s="106" t="s">
        <v>87</v>
      </c>
      <c r="D34" s="106" t="s">
        <v>41</v>
      </c>
      <c r="E34" s="106" t="s">
        <v>91</v>
      </c>
      <c r="F34" s="106" t="s">
        <v>25</v>
      </c>
      <c r="G34" s="106" t="s">
        <v>35</v>
      </c>
      <c r="H34" s="106" t="s">
        <v>73</v>
      </c>
      <c r="I34" s="106" t="s">
        <v>25</v>
      </c>
      <c r="J34" s="106">
        <v>933.8</v>
      </c>
      <c r="K34" s="106">
        <v>200.22</v>
      </c>
      <c r="L34" s="106">
        <v>0</v>
      </c>
      <c r="M34" s="106">
        <v>1.6375116808194701</v>
      </c>
      <c r="N34" s="106">
        <v>0</v>
      </c>
      <c r="O34" s="106">
        <v>0</v>
      </c>
      <c r="P34" s="106">
        <v>0</v>
      </c>
      <c r="Q34" s="106">
        <v>75.854646956583295</v>
      </c>
      <c r="R34" s="106">
        <v>12.618542126756701</v>
      </c>
      <c r="S34" s="106">
        <v>0</v>
      </c>
      <c r="T34" s="106">
        <v>0</v>
      </c>
      <c r="U34" s="106">
        <v>0</v>
      </c>
      <c r="V34" s="106">
        <v>0</v>
      </c>
      <c r="W34" s="106">
        <v>0</v>
      </c>
      <c r="X34" s="106">
        <v>287.569820825401</v>
      </c>
      <c r="Y34" s="106">
        <v>0</v>
      </c>
      <c r="Z34" s="106">
        <v>0</v>
      </c>
      <c r="AA34" s="106">
        <v>502.56393964016502</v>
      </c>
      <c r="AB34" s="106">
        <v>19.491300850136799</v>
      </c>
      <c r="AC34" s="106">
        <v>0</v>
      </c>
      <c r="AD34" s="106">
        <v>34.067949788758199</v>
      </c>
      <c r="AE34" s="106">
        <v>0</v>
      </c>
      <c r="AF34" s="106">
        <v>0</v>
      </c>
      <c r="AG34" s="106">
        <v>0</v>
      </c>
      <c r="AH34" s="106">
        <v>0</v>
      </c>
      <c r="AI34" s="106">
        <v>0</v>
      </c>
      <c r="AJ34" s="106">
        <v>14.7599858267884</v>
      </c>
      <c r="AK34" s="106">
        <v>0</v>
      </c>
      <c r="AL34" s="106">
        <v>187.15997739564099</v>
      </c>
      <c r="AM34" s="106">
        <v>0</v>
      </c>
      <c r="AN34" s="106">
        <v>0</v>
      </c>
      <c r="AO34" s="106">
        <v>0</v>
      </c>
      <c r="AP34" s="106">
        <v>-1.7009159526989399</v>
      </c>
      <c r="AQ34" s="107">
        <v>0</v>
      </c>
    </row>
    <row r="35" spans="2:43" ht="12" customHeight="1" x14ac:dyDescent="0.25">
      <c r="B35" s="105" t="s">
        <v>40</v>
      </c>
      <c r="C35" s="106" t="s">
        <v>87</v>
      </c>
      <c r="D35" s="106" t="s">
        <v>41</v>
      </c>
      <c r="E35" s="106" t="s">
        <v>91</v>
      </c>
      <c r="F35" s="106" t="s">
        <v>25</v>
      </c>
      <c r="G35" s="106" t="s">
        <v>523</v>
      </c>
      <c r="H35" s="106" t="s">
        <v>73</v>
      </c>
      <c r="I35" s="106" t="s">
        <v>25</v>
      </c>
      <c r="J35" s="106">
        <v>610.71</v>
      </c>
      <c r="K35" s="106">
        <v>200.22</v>
      </c>
      <c r="L35" s="106">
        <v>0</v>
      </c>
      <c r="M35" s="106">
        <v>1.6375116808194701</v>
      </c>
      <c r="N35" s="106">
        <v>0</v>
      </c>
      <c r="O35" s="106">
        <v>0</v>
      </c>
      <c r="P35" s="106">
        <v>0</v>
      </c>
      <c r="Q35" s="106">
        <v>75.854646956583295</v>
      </c>
      <c r="R35" s="106">
        <v>12.618542126756701</v>
      </c>
      <c r="S35" s="106">
        <v>0</v>
      </c>
      <c r="T35" s="106">
        <v>0</v>
      </c>
      <c r="U35" s="106">
        <v>0</v>
      </c>
      <c r="V35" s="106">
        <v>0</v>
      </c>
      <c r="W35" s="106">
        <v>0</v>
      </c>
      <c r="X35" s="106">
        <v>172.51643656250499</v>
      </c>
      <c r="Y35" s="106">
        <v>0</v>
      </c>
      <c r="Z35" s="106">
        <v>0</v>
      </c>
      <c r="AA35" s="106">
        <v>301.53845925241302</v>
      </c>
      <c r="AB35" s="106">
        <v>12.472718200413899</v>
      </c>
      <c r="AC35" s="106">
        <v>0</v>
      </c>
      <c r="AD35" s="106">
        <v>34.067949788758199</v>
      </c>
      <c r="AE35" s="106">
        <v>0</v>
      </c>
      <c r="AF35" s="106">
        <v>0</v>
      </c>
      <c r="AG35" s="106">
        <v>0</v>
      </c>
      <c r="AH35" s="106">
        <v>0</v>
      </c>
      <c r="AI35" s="106">
        <v>0</v>
      </c>
      <c r="AJ35" s="106">
        <v>14.7599858267884</v>
      </c>
      <c r="AK35" s="106">
        <v>0</v>
      </c>
      <c r="AL35" s="106">
        <v>187.15997739564099</v>
      </c>
      <c r="AM35" s="106">
        <v>0</v>
      </c>
      <c r="AN35" s="106">
        <v>0</v>
      </c>
      <c r="AO35" s="106">
        <v>0</v>
      </c>
      <c r="AP35" s="106">
        <v>-1.7009159526989399</v>
      </c>
      <c r="AQ35" s="107">
        <v>0</v>
      </c>
    </row>
    <row r="36" spans="2:43" ht="12" customHeight="1" x14ac:dyDescent="0.25">
      <c r="B36" s="105" t="s">
        <v>40</v>
      </c>
      <c r="C36" s="106" t="s">
        <v>87</v>
      </c>
      <c r="D36" s="106" t="s">
        <v>41</v>
      </c>
      <c r="E36" s="106" t="s">
        <v>91</v>
      </c>
      <c r="F36" s="106" t="s">
        <v>25</v>
      </c>
      <c r="G36" s="106" t="s">
        <v>36</v>
      </c>
      <c r="H36" s="106" t="s">
        <v>73</v>
      </c>
      <c r="I36" s="106" t="s">
        <v>25</v>
      </c>
      <c r="J36" s="106">
        <v>287.64</v>
      </c>
      <c r="K36" s="106">
        <v>200.22</v>
      </c>
      <c r="L36" s="106">
        <v>0</v>
      </c>
      <c r="M36" s="106">
        <v>1.6375116808194701</v>
      </c>
      <c r="N36" s="106">
        <v>0</v>
      </c>
      <c r="O36" s="106">
        <v>0</v>
      </c>
      <c r="P36" s="106">
        <v>0</v>
      </c>
      <c r="Q36" s="106">
        <v>75.854646956583295</v>
      </c>
      <c r="R36" s="106">
        <v>12.618542126756701</v>
      </c>
      <c r="S36" s="106">
        <v>0</v>
      </c>
      <c r="T36" s="106">
        <v>0</v>
      </c>
      <c r="U36" s="106">
        <v>0</v>
      </c>
      <c r="V36" s="106">
        <v>0</v>
      </c>
      <c r="W36" s="106">
        <v>0</v>
      </c>
      <c r="X36" s="106">
        <v>57.494660553116503</v>
      </c>
      <c r="Y36" s="106">
        <v>0</v>
      </c>
      <c r="Z36" s="106">
        <v>0</v>
      </c>
      <c r="AA36" s="106">
        <v>100.51279986157201</v>
      </c>
      <c r="AB36" s="106">
        <v>5.45462563392896</v>
      </c>
      <c r="AC36" s="106">
        <v>0</v>
      </c>
      <c r="AD36" s="106">
        <v>34.067949788758199</v>
      </c>
      <c r="AE36" s="106">
        <v>0</v>
      </c>
      <c r="AF36" s="106">
        <v>0</v>
      </c>
      <c r="AG36" s="106">
        <v>0</v>
      </c>
      <c r="AH36" s="106">
        <v>0</v>
      </c>
      <c r="AI36" s="106">
        <v>0</v>
      </c>
      <c r="AJ36" s="106">
        <v>14.7599858267884</v>
      </c>
      <c r="AK36" s="106">
        <v>0</v>
      </c>
      <c r="AL36" s="106">
        <v>187.15997739564099</v>
      </c>
      <c r="AM36" s="106">
        <v>0</v>
      </c>
      <c r="AN36" s="106">
        <v>0</v>
      </c>
      <c r="AO36" s="106">
        <v>0</v>
      </c>
      <c r="AP36" s="106">
        <v>-1.7009159526989399</v>
      </c>
      <c r="AQ36" s="107">
        <v>0</v>
      </c>
    </row>
    <row r="37" spans="2:43" ht="12" customHeight="1" x14ac:dyDescent="0.25">
      <c r="B37" s="105" t="s">
        <v>40</v>
      </c>
      <c r="C37" s="106" t="s">
        <v>23</v>
      </c>
      <c r="D37" s="106" t="s">
        <v>41</v>
      </c>
      <c r="E37" s="106" t="s">
        <v>90</v>
      </c>
      <c r="F37" s="106" t="s">
        <v>25</v>
      </c>
      <c r="G37" s="106" t="s">
        <v>25</v>
      </c>
      <c r="H37" s="106" t="s">
        <v>73</v>
      </c>
      <c r="I37" s="106" t="s">
        <v>25</v>
      </c>
      <c r="J37" s="106">
        <v>464.73</v>
      </c>
      <c r="K37" s="106">
        <v>204.57</v>
      </c>
      <c r="L37" s="106">
        <v>0</v>
      </c>
      <c r="M37" s="106">
        <v>1.67310976083728</v>
      </c>
      <c r="N37" s="106">
        <v>0</v>
      </c>
      <c r="O37" s="106">
        <v>0</v>
      </c>
      <c r="P37" s="106">
        <v>0</v>
      </c>
      <c r="Q37" s="106">
        <v>77.503661020856796</v>
      </c>
      <c r="R37" s="106">
        <v>12.892858259946999</v>
      </c>
      <c r="S37" s="106">
        <v>0</v>
      </c>
      <c r="T37" s="106">
        <v>0</v>
      </c>
      <c r="U37" s="106">
        <v>0</v>
      </c>
      <c r="V37" s="106">
        <v>0</v>
      </c>
      <c r="W37" s="106">
        <v>0</v>
      </c>
      <c r="X37" s="106">
        <v>119.575794030883</v>
      </c>
      <c r="Y37" s="106">
        <v>0</v>
      </c>
      <c r="Z37" s="106">
        <v>0</v>
      </c>
      <c r="AA37" s="106">
        <v>208.99039013619699</v>
      </c>
      <c r="AB37" s="106">
        <v>9.2842374729350592</v>
      </c>
      <c r="AC37" s="106">
        <v>0</v>
      </c>
      <c r="AD37" s="106">
        <v>34.808557392861601</v>
      </c>
      <c r="AE37" s="106">
        <v>0</v>
      </c>
      <c r="AF37" s="106">
        <v>0</v>
      </c>
      <c r="AG37" s="106">
        <v>0</v>
      </c>
      <c r="AH37" s="106">
        <v>0</v>
      </c>
      <c r="AI37" s="106">
        <v>0</v>
      </c>
      <c r="AJ37" s="106">
        <v>15.0808550838925</v>
      </c>
      <c r="AK37" s="106">
        <v>0</v>
      </c>
      <c r="AL37" s="106">
        <v>191.228672556416</v>
      </c>
      <c r="AM37" s="106">
        <v>0</v>
      </c>
      <c r="AN37" s="106">
        <v>0</v>
      </c>
      <c r="AO37" s="106">
        <v>0</v>
      </c>
      <c r="AP37" s="106">
        <v>-1.7378923864532601</v>
      </c>
      <c r="AQ37" s="107">
        <v>0</v>
      </c>
    </row>
    <row r="38" spans="2:43" ht="12" customHeight="1" x14ac:dyDescent="0.25">
      <c r="B38" s="105" t="s">
        <v>40</v>
      </c>
      <c r="C38" s="106" t="s">
        <v>23</v>
      </c>
      <c r="D38" s="106" t="s">
        <v>41</v>
      </c>
      <c r="E38" s="106" t="s">
        <v>25</v>
      </c>
      <c r="F38" s="106" t="s">
        <v>25</v>
      </c>
      <c r="G38" s="106" t="s">
        <v>25</v>
      </c>
      <c r="H38" s="106" t="s">
        <v>73</v>
      </c>
      <c r="I38" s="106" t="s">
        <v>25</v>
      </c>
      <c r="J38" s="106">
        <v>464.73</v>
      </c>
      <c r="K38" s="106">
        <v>204.57</v>
      </c>
      <c r="L38" s="106">
        <v>0</v>
      </c>
      <c r="M38" s="106">
        <v>1.67310976083728</v>
      </c>
      <c r="N38" s="106">
        <v>0</v>
      </c>
      <c r="O38" s="106">
        <v>0</v>
      </c>
      <c r="P38" s="106">
        <v>0</v>
      </c>
      <c r="Q38" s="106">
        <v>77.503661020856796</v>
      </c>
      <c r="R38" s="106">
        <v>12.892858259946999</v>
      </c>
      <c r="S38" s="106">
        <v>0</v>
      </c>
      <c r="T38" s="106">
        <v>0</v>
      </c>
      <c r="U38" s="106">
        <v>0</v>
      </c>
      <c r="V38" s="106">
        <v>0</v>
      </c>
      <c r="W38" s="106">
        <v>0</v>
      </c>
      <c r="X38" s="106">
        <v>119.575794030883</v>
      </c>
      <c r="Y38" s="106">
        <v>0</v>
      </c>
      <c r="Z38" s="106">
        <v>0</v>
      </c>
      <c r="AA38" s="106">
        <v>208.99039013619699</v>
      </c>
      <c r="AB38" s="106">
        <v>9.2842374729350592</v>
      </c>
      <c r="AC38" s="106">
        <v>0</v>
      </c>
      <c r="AD38" s="106">
        <v>34.808557392861601</v>
      </c>
      <c r="AE38" s="106">
        <v>0</v>
      </c>
      <c r="AF38" s="106">
        <v>0</v>
      </c>
      <c r="AG38" s="106">
        <v>0</v>
      </c>
      <c r="AH38" s="106">
        <v>0</v>
      </c>
      <c r="AI38" s="106">
        <v>0</v>
      </c>
      <c r="AJ38" s="106">
        <v>15.0808550838925</v>
      </c>
      <c r="AK38" s="106">
        <v>0</v>
      </c>
      <c r="AL38" s="106">
        <v>191.228672556416</v>
      </c>
      <c r="AM38" s="106">
        <v>0</v>
      </c>
      <c r="AN38" s="106">
        <v>0</v>
      </c>
      <c r="AO38" s="106">
        <v>0</v>
      </c>
      <c r="AP38" s="106">
        <v>-1.7378923864532601</v>
      </c>
      <c r="AQ38" s="107">
        <v>0</v>
      </c>
    </row>
    <row r="39" spans="2:43" ht="12" customHeight="1" x14ac:dyDescent="0.25">
      <c r="B39" s="105" t="s">
        <v>40</v>
      </c>
      <c r="C39" s="106" t="s">
        <v>23</v>
      </c>
      <c r="D39" s="106" t="s">
        <v>41</v>
      </c>
      <c r="E39" s="106" t="s">
        <v>91</v>
      </c>
      <c r="F39" s="106" t="s">
        <v>25</v>
      </c>
      <c r="G39" s="106" t="s">
        <v>25</v>
      </c>
      <c r="H39" s="106" t="s">
        <v>73</v>
      </c>
      <c r="I39" s="106" t="s">
        <v>25</v>
      </c>
      <c r="J39" s="106">
        <v>454.84</v>
      </c>
      <c r="K39" s="106">
        <v>200.22</v>
      </c>
      <c r="L39" s="106">
        <v>0</v>
      </c>
      <c r="M39" s="106">
        <v>1.6375116808194701</v>
      </c>
      <c r="N39" s="106">
        <v>0</v>
      </c>
      <c r="O39" s="106">
        <v>0</v>
      </c>
      <c r="P39" s="106">
        <v>0</v>
      </c>
      <c r="Q39" s="106">
        <v>75.854646956583295</v>
      </c>
      <c r="R39" s="106">
        <v>12.618542126756701</v>
      </c>
      <c r="S39" s="106">
        <v>0</v>
      </c>
      <c r="T39" s="106">
        <v>0</v>
      </c>
      <c r="U39" s="106">
        <v>0</v>
      </c>
      <c r="V39" s="106">
        <v>0</v>
      </c>
      <c r="W39" s="106">
        <v>0</v>
      </c>
      <c r="X39" s="106">
        <v>117.031628200439</v>
      </c>
      <c r="Y39" s="106">
        <v>0</v>
      </c>
      <c r="Z39" s="106">
        <v>0</v>
      </c>
      <c r="AA39" s="106">
        <v>204.54378609074601</v>
      </c>
      <c r="AB39" s="106">
        <v>9.0867005054257994</v>
      </c>
      <c r="AC39" s="106">
        <v>0</v>
      </c>
      <c r="AD39" s="106">
        <v>34.067949788758199</v>
      </c>
      <c r="AE39" s="106">
        <v>0</v>
      </c>
      <c r="AF39" s="106">
        <v>0</v>
      </c>
      <c r="AG39" s="106">
        <v>0</v>
      </c>
      <c r="AH39" s="106">
        <v>0</v>
      </c>
      <c r="AI39" s="106">
        <v>0</v>
      </c>
      <c r="AJ39" s="106">
        <v>14.7599858267884</v>
      </c>
      <c r="AK39" s="106">
        <v>0</v>
      </c>
      <c r="AL39" s="106">
        <v>187.15997739564099</v>
      </c>
      <c r="AM39" s="106">
        <v>0</v>
      </c>
      <c r="AN39" s="106">
        <v>0</v>
      </c>
      <c r="AO39" s="106">
        <v>0</v>
      </c>
      <c r="AP39" s="106">
        <v>-1.7009159526989399</v>
      </c>
      <c r="AQ39" s="107">
        <v>0</v>
      </c>
    </row>
    <row r="40" spans="2:43" ht="12" customHeight="1" x14ac:dyDescent="0.25">
      <c r="B40" s="105" t="s">
        <v>40</v>
      </c>
      <c r="C40" s="106" t="s">
        <v>89</v>
      </c>
      <c r="D40" s="106" t="s">
        <v>41</v>
      </c>
      <c r="E40" s="106" t="s">
        <v>90</v>
      </c>
      <c r="F40" s="106" t="s">
        <v>25</v>
      </c>
      <c r="G40" s="106" t="s">
        <v>25</v>
      </c>
      <c r="H40" s="106" t="s">
        <v>73</v>
      </c>
      <c r="I40" s="106" t="s">
        <v>25</v>
      </c>
      <c r="J40" s="106">
        <v>464.73</v>
      </c>
      <c r="K40" s="106">
        <v>204.57</v>
      </c>
      <c r="L40" s="106">
        <v>0</v>
      </c>
      <c r="M40" s="106">
        <v>1.67310976083728</v>
      </c>
      <c r="N40" s="106">
        <v>0</v>
      </c>
      <c r="O40" s="106">
        <v>0</v>
      </c>
      <c r="P40" s="106">
        <v>0</v>
      </c>
      <c r="Q40" s="106">
        <v>77.503661020856796</v>
      </c>
      <c r="R40" s="106">
        <v>12.892858259946999</v>
      </c>
      <c r="S40" s="106">
        <v>0</v>
      </c>
      <c r="T40" s="106">
        <v>0</v>
      </c>
      <c r="U40" s="106">
        <v>0</v>
      </c>
      <c r="V40" s="106">
        <v>0</v>
      </c>
      <c r="W40" s="106">
        <v>0</v>
      </c>
      <c r="X40" s="106">
        <v>119.575794030883</v>
      </c>
      <c r="Y40" s="106">
        <v>0</v>
      </c>
      <c r="Z40" s="106">
        <v>0</v>
      </c>
      <c r="AA40" s="106">
        <v>208.99039013619699</v>
      </c>
      <c r="AB40" s="106">
        <v>9.2842374729350592</v>
      </c>
      <c r="AC40" s="106">
        <v>0</v>
      </c>
      <c r="AD40" s="106">
        <v>34.808557392861601</v>
      </c>
      <c r="AE40" s="106">
        <v>0</v>
      </c>
      <c r="AF40" s="106">
        <v>0</v>
      </c>
      <c r="AG40" s="106">
        <v>0</v>
      </c>
      <c r="AH40" s="106">
        <v>0</v>
      </c>
      <c r="AI40" s="106">
        <v>0</v>
      </c>
      <c r="AJ40" s="106">
        <v>15.0808550838925</v>
      </c>
      <c r="AK40" s="106">
        <v>0</v>
      </c>
      <c r="AL40" s="106">
        <v>191.228672556416</v>
      </c>
      <c r="AM40" s="106">
        <v>0</v>
      </c>
      <c r="AN40" s="106">
        <v>0</v>
      </c>
      <c r="AO40" s="106">
        <v>0</v>
      </c>
      <c r="AP40" s="106">
        <v>-1.7378923864532601</v>
      </c>
      <c r="AQ40" s="107">
        <v>0</v>
      </c>
    </row>
    <row r="41" spans="2:43" ht="12" customHeight="1" x14ac:dyDescent="0.25">
      <c r="B41" s="105" t="s">
        <v>40</v>
      </c>
      <c r="C41" s="106" t="s">
        <v>89</v>
      </c>
      <c r="D41" s="106" t="s">
        <v>41</v>
      </c>
      <c r="E41" s="106" t="s">
        <v>25</v>
      </c>
      <c r="F41" s="106" t="s">
        <v>25</v>
      </c>
      <c r="G41" s="106" t="s">
        <v>25</v>
      </c>
      <c r="H41" s="106" t="s">
        <v>73</v>
      </c>
      <c r="I41" s="106" t="s">
        <v>25</v>
      </c>
      <c r="J41" s="106">
        <v>464.73</v>
      </c>
      <c r="K41" s="106">
        <v>204.57</v>
      </c>
      <c r="L41" s="106">
        <v>0</v>
      </c>
      <c r="M41" s="106">
        <v>1.67310976083728</v>
      </c>
      <c r="N41" s="106">
        <v>0</v>
      </c>
      <c r="O41" s="106">
        <v>0</v>
      </c>
      <c r="P41" s="106">
        <v>0</v>
      </c>
      <c r="Q41" s="106">
        <v>77.503661020856796</v>
      </c>
      <c r="R41" s="106">
        <v>12.892858259946999</v>
      </c>
      <c r="S41" s="106">
        <v>0</v>
      </c>
      <c r="T41" s="106">
        <v>0</v>
      </c>
      <c r="U41" s="106">
        <v>0</v>
      </c>
      <c r="V41" s="106">
        <v>0</v>
      </c>
      <c r="W41" s="106">
        <v>0</v>
      </c>
      <c r="X41" s="106">
        <v>119.575794030883</v>
      </c>
      <c r="Y41" s="106">
        <v>0</v>
      </c>
      <c r="Z41" s="106">
        <v>0</v>
      </c>
      <c r="AA41" s="106">
        <v>208.99039013619699</v>
      </c>
      <c r="AB41" s="106">
        <v>9.2842374729350592</v>
      </c>
      <c r="AC41" s="106">
        <v>0</v>
      </c>
      <c r="AD41" s="106">
        <v>34.808557392861601</v>
      </c>
      <c r="AE41" s="106">
        <v>0</v>
      </c>
      <c r="AF41" s="106">
        <v>0</v>
      </c>
      <c r="AG41" s="106">
        <v>0</v>
      </c>
      <c r="AH41" s="106">
        <v>0</v>
      </c>
      <c r="AI41" s="106">
        <v>0</v>
      </c>
      <c r="AJ41" s="106">
        <v>15.0808550838925</v>
      </c>
      <c r="AK41" s="106">
        <v>0</v>
      </c>
      <c r="AL41" s="106">
        <v>191.228672556416</v>
      </c>
      <c r="AM41" s="106">
        <v>0</v>
      </c>
      <c r="AN41" s="106">
        <v>0</v>
      </c>
      <c r="AO41" s="106">
        <v>0</v>
      </c>
      <c r="AP41" s="106">
        <v>-1.7378923864532601</v>
      </c>
      <c r="AQ41" s="107">
        <v>0</v>
      </c>
    </row>
    <row r="42" spans="2:43" ht="12" customHeight="1" x14ac:dyDescent="0.25">
      <c r="B42" s="105" t="s">
        <v>40</v>
      </c>
      <c r="C42" s="106" t="s">
        <v>89</v>
      </c>
      <c r="D42" s="106" t="s">
        <v>41</v>
      </c>
      <c r="E42" s="106" t="s">
        <v>91</v>
      </c>
      <c r="F42" s="106" t="s">
        <v>25</v>
      </c>
      <c r="G42" s="106" t="s">
        <v>25</v>
      </c>
      <c r="H42" s="106" t="s">
        <v>73</v>
      </c>
      <c r="I42" s="106" t="s">
        <v>25</v>
      </c>
      <c r="J42" s="106">
        <v>454.84</v>
      </c>
      <c r="K42" s="106">
        <v>200.22</v>
      </c>
      <c r="L42" s="106">
        <v>0</v>
      </c>
      <c r="M42" s="106">
        <v>1.6375116808194701</v>
      </c>
      <c r="N42" s="106">
        <v>0</v>
      </c>
      <c r="O42" s="106">
        <v>0</v>
      </c>
      <c r="P42" s="106">
        <v>0</v>
      </c>
      <c r="Q42" s="106">
        <v>75.854646956583295</v>
      </c>
      <c r="R42" s="106">
        <v>12.618542126756701</v>
      </c>
      <c r="S42" s="106">
        <v>0</v>
      </c>
      <c r="T42" s="106">
        <v>0</v>
      </c>
      <c r="U42" s="106">
        <v>0</v>
      </c>
      <c r="V42" s="106">
        <v>0</v>
      </c>
      <c r="W42" s="106">
        <v>0</v>
      </c>
      <c r="X42" s="106">
        <v>117.031628200439</v>
      </c>
      <c r="Y42" s="106">
        <v>0</v>
      </c>
      <c r="Z42" s="106">
        <v>0</v>
      </c>
      <c r="AA42" s="106">
        <v>204.54378609074601</v>
      </c>
      <c r="AB42" s="106">
        <v>9.0867005054257994</v>
      </c>
      <c r="AC42" s="106">
        <v>0</v>
      </c>
      <c r="AD42" s="106">
        <v>34.067949788758199</v>
      </c>
      <c r="AE42" s="106">
        <v>0</v>
      </c>
      <c r="AF42" s="106">
        <v>0</v>
      </c>
      <c r="AG42" s="106">
        <v>0</v>
      </c>
      <c r="AH42" s="106">
        <v>0</v>
      </c>
      <c r="AI42" s="106">
        <v>0</v>
      </c>
      <c r="AJ42" s="106">
        <v>14.7599858267884</v>
      </c>
      <c r="AK42" s="106">
        <v>0</v>
      </c>
      <c r="AL42" s="106">
        <v>187.15997739564099</v>
      </c>
      <c r="AM42" s="106">
        <v>0</v>
      </c>
      <c r="AN42" s="106">
        <v>0</v>
      </c>
      <c r="AO42" s="106">
        <v>0</v>
      </c>
      <c r="AP42" s="106">
        <v>-1.7009159526989399</v>
      </c>
      <c r="AQ42" s="107">
        <v>0</v>
      </c>
    </row>
    <row r="43" spans="2:43" ht="12" customHeight="1" x14ac:dyDescent="0.25">
      <c r="B43" s="105" t="s">
        <v>37</v>
      </c>
      <c r="C43" s="106" t="s">
        <v>87</v>
      </c>
      <c r="D43" s="106" t="s">
        <v>25</v>
      </c>
      <c r="E43" s="106" t="s">
        <v>25</v>
      </c>
      <c r="F43" s="106" t="s">
        <v>25</v>
      </c>
      <c r="G43" s="106" t="s">
        <v>35</v>
      </c>
      <c r="H43" s="106" t="s">
        <v>73</v>
      </c>
      <c r="I43" s="106" t="s">
        <v>25</v>
      </c>
      <c r="J43" s="106">
        <v>1304.3800000000001</v>
      </c>
      <c r="K43" s="106">
        <v>217.63</v>
      </c>
      <c r="L43" s="106">
        <v>0</v>
      </c>
      <c r="M43" s="106">
        <v>1.7799040008907301</v>
      </c>
      <c r="N43" s="106">
        <v>0</v>
      </c>
      <c r="O43" s="106">
        <v>0</v>
      </c>
      <c r="P43" s="106">
        <v>0</v>
      </c>
      <c r="Q43" s="106">
        <v>82.4507032136775</v>
      </c>
      <c r="R43" s="106">
        <v>13.715806659518099</v>
      </c>
      <c r="S43" s="106">
        <v>0</v>
      </c>
      <c r="T43" s="106">
        <v>0</v>
      </c>
      <c r="U43" s="106">
        <v>0</v>
      </c>
      <c r="V43" s="106">
        <v>0</v>
      </c>
      <c r="W43" s="106">
        <v>0</v>
      </c>
      <c r="X43" s="106">
        <v>415.57572993729701</v>
      </c>
      <c r="Y43" s="106">
        <v>0</v>
      </c>
      <c r="Z43" s="106">
        <v>0</v>
      </c>
      <c r="AA43" s="106">
        <v>726.35250601659004</v>
      </c>
      <c r="AB43" s="106">
        <v>27.4726523578586</v>
      </c>
      <c r="AC43" s="106">
        <v>0</v>
      </c>
      <c r="AD43" s="106">
        <v>37.030380205171902</v>
      </c>
      <c r="AE43" s="106">
        <v>0</v>
      </c>
      <c r="AF43" s="106">
        <v>0</v>
      </c>
      <c r="AG43" s="106">
        <v>0</v>
      </c>
      <c r="AH43" s="106">
        <v>0</v>
      </c>
      <c r="AI43" s="106">
        <v>0</v>
      </c>
      <c r="AJ43" s="106">
        <v>16.043462855204801</v>
      </c>
      <c r="AK43" s="106">
        <v>0</v>
      </c>
      <c r="AL43" s="106">
        <v>203.43475803874</v>
      </c>
      <c r="AM43" s="106">
        <v>0</v>
      </c>
      <c r="AN43" s="106">
        <v>0</v>
      </c>
      <c r="AO43" s="106">
        <v>0</v>
      </c>
      <c r="AP43" s="106">
        <v>-1.84882168771624</v>
      </c>
      <c r="AQ43" s="107">
        <v>0</v>
      </c>
    </row>
    <row r="44" spans="2:43" ht="12" customHeight="1" x14ac:dyDescent="0.25">
      <c r="B44" s="105" t="s">
        <v>37</v>
      </c>
      <c r="C44" s="106" t="s">
        <v>87</v>
      </c>
      <c r="D44" s="106" t="s">
        <v>25</v>
      </c>
      <c r="E44" s="106" t="s">
        <v>25</v>
      </c>
      <c r="F44" s="106" t="s">
        <v>25</v>
      </c>
      <c r="G44" s="106" t="s">
        <v>523</v>
      </c>
      <c r="H44" s="106" t="s">
        <v>73</v>
      </c>
      <c r="I44" s="106" t="s">
        <v>25</v>
      </c>
      <c r="J44" s="106">
        <v>837.45</v>
      </c>
      <c r="K44" s="106">
        <v>217.63</v>
      </c>
      <c r="L44" s="106">
        <v>0</v>
      </c>
      <c r="M44" s="106">
        <v>1.7799040008907301</v>
      </c>
      <c r="N44" s="106">
        <v>0</v>
      </c>
      <c r="O44" s="106">
        <v>0</v>
      </c>
      <c r="P44" s="106">
        <v>0</v>
      </c>
      <c r="Q44" s="106">
        <v>82.4507032136775</v>
      </c>
      <c r="R44" s="106">
        <v>13.715806659518099</v>
      </c>
      <c r="S44" s="106">
        <v>0</v>
      </c>
      <c r="T44" s="106">
        <v>0</v>
      </c>
      <c r="U44" s="106">
        <v>0</v>
      </c>
      <c r="V44" s="106">
        <v>0</v>
      </c>
      <c r="W44" s="106">
        <v>0</v>
      </c>
      <c r="X44" s="106">
        <v>249.33157254061501</v>
      </c>
      <c r="Y44" s="106">
        <v>0</v>
      </c>
      <c r="Z44" s="106">
        <v>0</v>
      </c>
      <c r="AA44" s="106">
        <v>435.811425782524</v>
      </c>
      <c r="AB44" s="106">
        <v>17.329387207232099</v>
      </c>
      <c r="AC44" s="106">
        <v>0</v>
      </c>
      <c r="AD44" s="106">
        <v>37.030380205171902</v>
      </c>
      <c r="AE44" s="106">
        <v>0</v>
      </c>
      <c r="AF44" s="106">
        <v>0</v>
      </c>
      <c r="AG44" s="106">
        <v>0</v>
      </c>
      <c r="AH44" s="106">
        <v>0</v>
      </c>
      <c r="AI44" s="106">
        <v>0</v>
      </c>
      <c r="AJ44" s="106">
        <v>16.043462855204801</v>
      </c>
      <c r="AK44" s="106">
        <v>0</v>
      </c>
      <c r="AL44" s="106">
        <v>203.43475803874</v>
      </c>
      <c r="AM44" s="106">
        <v>0</v>
      </c>
      <c r="AN44" s="106">
        <v>0</v>
      </c>
      <c r="AO44" s="106">
        <v>0</v>
      </c>
      <c r="AP44" s="106">
        <v>-1.84882168771624</v>
      </c>
      <c r="AQ44" s="107">
        <v>0</v>
      </c>
    </row>
    <row r="45" spans="2:43" ht="12" customHeight="1" x14ac:dyDescent="0.25">
      <c r="B45" s="105" t="s">
        <v>37</v>
      </c>
      <c r="C45" s="106" t="s">
        <v>87</v>
      </c>
      <c r="D45" s="106" t="s">
        <v>25</v>
      </c>
      <c r="E45" s="106" t="s">
        <v>25</v>
      </c>
      <c r="F45" s="106" t="s">
        <v>25</v>
      </c>
      <c r="G45" s="106" t="s">
        <v>36</v>
      </c>
      <c r="H45" s="106" t="s">
        <v>73</v>
      </c>
      <c r="I45" s="106" t="s">
        <v>25</v>
      </c>
      <c r="J45" s="106">
        <v>370.52</v>
      </c>
      <c r="K45" s="106">
        <v>217.63</v>
      </c>
      <c r="L45" s="106">
        <v>0</v>
      </c>
      <c r="M45" s="106">
        <v>1.7799040008907301</v>
      </c>
      <c r="N45" s="106">
        <v>0</v>
      </c>
      <c r="O45" s="106">
        <v>0</v>
      </c>
      <c r="P45" s="106">
        <v>0</v>
      </c>
      <c r="Q45" s="106">
        <v>82.4507032136775</v>
      </c>
      <c r="R45" s="106">
        <v>13.715806659518099</v>
      </c>
      <c r="S45" s="106">
        <v>0</v>
      </c>
      <c r="T45" s="106">
        <v>0</v>
      </c>
      <c r="U45" s="106">
        <v>0</v>
      </c>
      <c r="V45" s="106">
        <v>0</v>
      </c>
      <c r="W45" s="106">
        <v>0</v>
      </c>
      <c r="X45" s="106">
        <v>83.087824153423298</v>
      </c>
      <c r="Y45" s="106">
        <v>0</v>
      </c>
      <c r="Z45" s="106">
        <v>0</v>
      </c>
      <c r="AA45" s="106">
        <v>145.27041040464999</v>
      </c>
      <c r="AB45" s="106">
        <v>7.1861301417781602</v>
      </c>
      <c r="AC45" s="106">
        <v>0</v>
      </c>
      <c r="AD45" s="106">
        <v>37.030380205171902</v>
      </c>
      <c r="AE45" s="106">
        <v>0</v>
      </c>
      <c r="AF45" s="106">
        <v>0</v>
      </c>
      <c r="AG45" s="106">
        <v>0</v>
      </c>
      <c r="AH45" s="106">
        <v>0</v>
      </c>
      <c r="AI45" s="106">
        <v>0</v>
      </c>
      <c r="AJ45" s="106">
        <v>16.043462855204801</v>
      </c>
      <c r="AK45" s="106">
        <v>0</v>
      </c>
      <c r="AL45" s="106">
        <v>203.43475803874</v>
      </c>
      <c r="AM45" s="106">
        <v>0</v>
      </c>
      <c r="AN45" s="106">
        <v>0</v>
      </c>
      <c r="AO45" s="106">
        <v>0</v>
      </c>
      <c r="AP45" s="106">
        <v>-1.84882168771624</v>
      </c>
      <c r="AQ45" s="107">
        <v>0</v>
      </c>
    </row>
    <row r="46" spans="2:43" ht="12" customHeight="1" x14ac:dyDescent="0.25">
      <c r="B46" s="105" t="s">
        <v>37</v>
      </c>
      <c r="C46" s="106" t="s">
        <v>23</v>
      </c>
      <c r="D46" s="106" t="s">
        <v>25</v>
      </c>
      <c r="E46" s="106" t="s">
        <v>25</v>
      </c>
      <c r="F46" s="106" t="s">
        <v>25</v>
      </c>
      <c r="G46" s="106" t="s">
        <v>25</v>
      </c>
      <c r="H46" s="106" t="s">
        <v>73</v>
      </c>
      <c r="I46" s="106" t="s">
        <v>25</v>
      </c>
      <c r="J46" s="106">
        <v>494.39</v>
      </c>
      <c r="K46" s="106">
        <v>217.63</v>
      </c>
      <c r="L46" s="106">
        <v>0</v>
      </c>
      <c r="M46" s="106">
        <v>1.7799040008907301</v>
      </c>
      <c r="N46" s="106">
        <v>0</v>
      </c>
      <c r="O46" s="106">
        <v>0</v>
      </c>
      <c r="P46" s="106">
        <v>0</v>
      </c>
      <c r="Q46" s="106">
        <v>82.4507032136775</v>
      </c>
      <c r="R46" s="106">
        <v>13.715806659518099</v>
      </c>
      <c r="S46" s="106">
        <v>0</v>
      </c>
      <c r="T46" s="106">
        <v>0</v>
      </c>
      <c r="U46" s="106">
        <v>0</v>
      </c>
      <c r="V46" s="106">
        <v>0</v>
      </c>
      <c r="W46" s="106">
        <v>0</v>
      </c>
      <c r="X46" s="106">
        <v>127.208291522216</v>
      </c>
      <c r="Y46" s="106">
        <v>0</v>
      </c>
      <c r="Z46" s="106">
        <v>0</v>
      </c>
      <c r="AA46" s="106">
        <v>222.33020227255</v>
      </c>
      <c r="AB46" s="106">
        <v>9.8768483754628296</v>
      </c>
      <c r="AC46" s="106">
        <v>0</v>
      </c>
      <c r="AD46" s="106">
        <v>37.030380205171902</v>
      </c>
      <c r="AE46" s="106">
        <v>0</v>
      </c>
      <c r="AF46" s="106">
        <v>0</v>
      </c>
      <c r="AG46" s="106">
        <v>0</v>
      </c>
      <c r="AH46" s="106">
        <v>0</v>
      </c>
      <c r="AI46" s="106">
        <v>0</v>
      </c>
      <c r="AJ46" s="106">
        <v>16.043462855204801</v>
      </c>
      <c r="AK46" s="106">
        <v>0</v>
      </c>
      <c r="AL46" s="106">
        <v>203.43475803874</v>
      </c>
      <c r="AM46" s="106">
        <v>0</v>
      </c>
      <c r="AN46" s="106">
        <v>0</v>
      </c>
      <c r="AO46" s="106">
        <v>0</v>
      </c>
      <c r="AP46" s="106">
        <v>-1.84882168771624</v>
      </c>
      <c r="AQ46" s="107">
        <v>0</v>
      </c>
    </row>
    <row r="47" spans="2:43" ht="12" customHeight="1" x14ac:dyDescent="0.25">
      <c r="B47" s="105" t="s">
        <v>37</v>
      </c>
      <c r="C47" s="106" t="s">
        <v>89</v>
      </c>
      <c r="D47" s="106" t="s">
        <v>25</v>
      </c>
      <c r="E47" s="106" t="s">
        <v>25</v>
      </c>
      <c r="F47" s="106" t="s">
        <v>25</v>
      </c>
      <c r="G47" s="106" t="s">
        <v>25</v>
      </c>
      <c r="H47" s="106" t="s">
        <v>73</v>
      </c>
      <c r="I47" s="106" t="s">
        <v>25</v>
      </c>
      <c r="J47" s="106">
        <v>494.39</v>
      </c>
      <c r="K47" s="106">
        <v>217.63</v>
      </c>
      <c r="L47" s="106">
        <v>0</v>
      </c>
      <c r="M47" s="106">
        <v>1.7799040008907301</v>
      </c>
      <c r="N47" s="106">
        <v>0</v>
      </c>
      <c r="O47" s="106">
        <v>0</v>
      </c>
      <c r="P47" s="106">
        <v>0</v>
      </c>
      <c r="Q47" s="106">
        <v>82.4507032136775</v>
      </c>
      <c r="R47" s="106">
        <v>13.715806659518099</v>
      </c>
      <c r="S47" s="106">
        <v>0</v>
      </c>
      <c r="T47" s="106">
        <v>0</v>
      </c>
      <c r="U47" s="106">
        <v>0</v>
      </c>
      <c r="V47" s="106">
        <v>0</v>
      </c>
      <c r="W47" s="106">
        <v>0</v>
      </c>
      <c r="X47" s="106">
        <v>127.208291522216</v>
      </c>
      <c r="Y47" s="106">
        <v>0</v>
      </c>
      <c r="Z47" s="106">
        <v>0</v>
      </c>
      <c r="AA47" s="106">
        <v>222.33020227255</v>
      </c>
      <c r="AB47" s="106">
        <v>9.8768483754628296</v>
      </c>
      <c r="AC47" s="106">
        <v>0</v>
      </c>
      <c r="AD47" s="106">
        <v>37.030380205171902</v>
      </c>
      <c r="AE47" s="106">
        <v>0</v>
      </c>
      <c r="AF47" s="106">
        <v>0</v>
      </c>
      <c r="AG47" s="106">
        <v>0</v>
      </c>
      <c r="AH47" s="106">
        <v>0</v>
      </c>
      <c r="AI47" s="106">
        <v>0</v>
      </c>
      <c r="AJ47" s="106">
        <v>16.043462855204801</v>
      </c>
      <c r="AK47" s="106">
        <v>0</v>
      </c>
      <c r="AL47" s="106">
        <v>203.43475803874</v>
      </c>
      <c r="AM47" s="106">
        <v>0</v>
      </c>
      <c r="AN47" s="106">
        <v>0</v>
      </c>
      <c r="AO47" s="106">
        <v>0</v>
      </c>
      <c r="AP47" s="106">
        <v>-1.84882168771624</v>
      </c>
      <c r="AQ47" s="107">
        <v>0</v>
      </c>
    </row>
    <row r="48" spans="2:43" ht="12" customHeight="1" x14ac:dyDescent="0.25">
      <c r="B48" s="105" t="s">
        <v>44</v>
      </c>
      <c r="C48" s="106" t="s">
        <v>23</v>
      </c>
      <c r="D48" s="106" t="s">
        <v>45</v>
      </c>
      <c r="E48" s="106" t="s">
        <v>46</v>
      </c>
      <c r="F48" s="106" t="s">
        <v>25</v>
      </c>
      <c r="G48" s="106" t="s">
        <v>25</v>
      </c>
      <c r="H48" s="106" t="s">
        <v>73</v>
      </c>
      <c r="I48" s="106" t="s">
        <v>25</v>
      </c>
      <c r="J48" s="106">
        <v>271.92</v>
      </c>
      <c r="K48" s="106">
        <v>119.7</v>
      </c>
      <c r="L48" s="106">
        <v>0</v>
      </c>
      <c r="M48" s="106">
        <v>0.97894720048990003</v>
      </c>
      <c r="N48" s="106">
        <v>0</v>
      </c>
      <c r="O48" s="106">
        <v>0</v>
      </c>
      <c r="P48" s="106">
        <v>0</v>
      </c>
      <c r="Q48" s="106">
        <v>45.347886767522603</v>
      </c>
      <c r="R48" s="106">
        <v>7.5436936627349596</v>
      </c>
      <c r="S48" s="106">
        <v>0</v>
      </c>
      <c r="T48" s="106">
        <v>0</v>
      </c>
      <c r="U48" s="106">
        <v>0</v>
      </c>
      <c r="V48" s="106">
        <v>0</v>
      </c>
      <c r="W48" s="106">
        <v>0</v>
      </c>
      <c r="X48" s="106">
        <v>69.9645603372187</v>
      </c>
      <c r="Y48" s="106">
        <v>0</v>
      </c>
      <c r="Z48" s="106">
        <v>0</v>
      </c>
      <c r="AA48" s="106">
        <v>122.281611249902</v>
      </c>
      <c r="AB48" s="106">
        <v>5.4322666065045597</v>
      </c>
      <c r="AC48" s="106">
        <v>0</v>
      </c>
      <c r="AD48" s="106">
        <v>20.3667091128446</v>
      </c>
      <c r="AE48" s="106">
        <v>0</v>
      </c>
      <c r="AF48" s="106">
        <v>0</v>
      </c>
      <c r="AG48" s="106">
        <v>0</v>
      </c>
      <c r="AH48" s="106">
        <v>0</v>
      </c>
      <c r="AI48" s="106">
        <v>0</v>
      </c>
      <c r="AJ48" s="106">
        <v>8.8239045703626395</v>
      </c>
      <c r="AK48" s="106">
        <v>0</v>
      </c>
      <c r="AL48" s="106">
        <v>111.88911692130699</v>
      </c>
      <c r="AM48" s="106">
        <v>0</v>
      </c>
      <c r="AN48" s="106">
        <v>0</v>
      </c>
      <c r="AO48" s="106">
        <v>0</v>
      </c>
      <c r="AP48" s="106">
        <v>-1.0168519282439299</v>
      </c>
      <c r="AQ48" s="107">
        <v>0</v>
      </c>
    </row>
    <row r="49" spans="2:43" ht="12" customHeight="1" x14ac:dyDescent="0.25">
      <c r="B49" s="108" t="s">
        <v>44</v>
      </c>
      <c r="C49" s="109" t="s">
        <v>23</v>
      </c>
      <c r="D49" s="109" t="s">
        <v>45</v>
      </c>
      <c r="E49" s="109" t="s">
        <v>47</v>
      </c>
      <c r="F49" s="109" t="s">
        <v>25</v>
      </c>
      <c r="G49" s="109" t="s">
        <v>25</v>
      </c>
      <c r="H49" s="109" t="s">
        <v>73</v>
      </c>
      <c r="I49" s="109" t="s">
        <v>25</v>
      </c>
      <c r="J49" s="109">
        <v>296.64</v>
      </c>
      <c r="K49" s="109">
        <v>130.58000000000001</v>
      </c>
      <c r="L49" s="109">
        <v>0</v>
      </c>
      <c r="M49" s="109">
        <v>1.06794240053444</v>
      </c>
      <c r="N49" s="109">
        <v>0</v>
      </c>
      <c r="O49" s="109">
        <v>0</v>
      </c>
      <c r="P49" s="109">
        <v>0</v>
      </c>
      <c r="Q49" s="109">
        <v>49.470421928206498</v>
      </c>
      <c r="R49" s="109">
        <v>8.2294839957108703</v>
      </c>
      <c r="S49" s="109">
        <v>0</v>
      </c>
      <c r="T49" s="109">
        <v>0</v>
      </c>
      <c r="U49" s="109">
        <v>0</v>
      </c>
      <c r="V49" s="109">
        <v>0</v>
      </c>
      <c r="W49" s="109">
        <v>0</v>
      </c>
      <c r="X49" s="109">
        <v>76.324974913329498</v>
      </c>
      <c r="Y49" s="109">
        <v>0</v>
      </c>
      <c r="Z49" s="109">
        <v>0</v>
      </c>
      <c r="AA49" s="109">
        <v>133.39812136353001</v>
      </c>
      <c r="AB49" s="109">
        <v>5.9261090252777002</v>
      </c>
      <c r="AC49" s="109">
        <v>0</v>
      </c>
      <c r="AD49" s="109">
        <v>22.218228123103099</v>
      </c>
      <c r="AE49" s="109">
        <v>0</v>
      </c>
      <c r="AF49" s="109">
        <v>0</v>
      </c>
      <c r="AG49" s="109">
        <v>0</v>
      </c>
      <c r="AH49" s="109">
        <v>0</v>
      </c>
      <c r="AI49" s="109">
        <v>0</v>
      </c>
      <c r="AJ49" s="109">
        <v>9.6260777131228803</v>
      </c>
      <c r="AK49" s="109">
        <v>0</v>
      </c>
      <c r="AL49" s="109">
        <v>122.060854823244</v>
      </c>
      <c r="AM49" s="109">
        <v>0</v>
      </c>
      <c r="AN49" s="109">
        <v>0</v>
      </c>
      <c r="AO49" s="109">
        <v>0</v>
      </c>
      <c r="AP49" s="109">
        <v>-1.10929301262974</v>
      </c>
      <c r="AQ49" s="110">
        <v>0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DF6D5-1EC4-4122-8300-7E179FE7EFC0}">
  <dimension ref="B1:AQ49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9.85546875" bestFit="1" customWidth="1"/>
    <col min="36" max="36" width="12.5703125" bestFit="1" customWidth="1"/>
    <col min="37" max="37" width="12.28515625" bestFit="1" customWidth="1"/>
    <col min="38" max="38" width="14.140625" bestFit="1" customWidth="1"/>
    <col min="39" max="39" width="25.28515625" bestFit="1" customWidth="1"/>
    <col min="40" max="40" width="17.85546875" bestFit="1" customWidth="1"/>
    <col min="41" max="41" width="13.42578125" bestFit="1" customWidth="1"/>
    <col min="42" max="42" width="13.28515625" bestFit="1" customWidth="1"/>
    <col min="43" max="43" width="12.5703125" bestFit="1" customWidth="1"/>
  </cols>
  <sheetData>
    <row r="1" spans="2:43" ht="12" customHeight="1" x14ac:dyDescent="0.25">
      <c r="L1" s="149" t="s">
        <v>1071</v>
      </c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50"/>
      <c r="AH1" s="149" t="s">
        <v>1072</v>
      </c>
      <c r="AI1" s="149"/>
      <c r="AJ1" s="149"/>
      <c r="AK1" s="149"/>
      <c r="AL1" s="149"/>
      <c r="AM1" s="149"/>
      <c r="AN1" s="149"/>
      <c r="AO1" s="149"/>
      <c r="AP1" s="149"/>
      <c r="AQ1" s="149"/>
    </row>
    <row r="2" spans="2:43" ht="12" customHeight="1" x14ac:dyDescent="0.25">
      <c r="L2" s="151" t="s">
        <v>400</v>
      </c>
      <c r="M2" s="151"/>
      <c r="N2" s="151"/>
      <c r="O2" s="151"/>
      <c r="P2" s="151"/>
      <c r="Q2" s="151"/>
      <c r="R2" s="151"/>
      <c r="S2" s="152"/>
      <c r="T2" s="151" t="s">
        <v>409</v>
      </c>
      <c r="U2" s="151"/>
      <c r="V2" s="151"/>
      <c r="W2" s="151"/>
      <c r="X2" s="151"/>
      <c r="Y2" s="151"/>
      <c r="Z2" s="152"/>
      <c r="AA2" s="114" t="s">
        <v>417</v>
      </c>
      <c r="AB2" s="151" t="s">
        <v>25</v>
      </c>
      <c r="AC2" s="152"/>
      <c r="AD2" s="151" t="s">
        <v>1070</v>
      </c>
      <c r="AE2" s="151"/>
      <c r="AF2" s="151"/>
      <c r="AG2" s="152"/>
      <c r="AH2" s="151" t="s">
        <v>400</v>
      </c>
      <c r="AI2" s="151"/>
      <c r="AJ2" s="151"/>
      <c r="AK2" s="152"/>
      <c r="AL2" s="114" t="s">
        <v>430</v>
      </c>
      <c r="AM2" s="151" t="s">
        <v>409</v>
      </c>
      <c r="AN2" s="151"/>
      <c r="AO2" s="151"/>
      <c r="AP2" s="152"/>
      <c r="AQ2" s="113" t="s">
        <v>1070</v>
      </c>
    </row>
    <row r="3" spans="2:43" ht="12" customHeight="1" x14ac:dyDescent="0.25">
      <c r="B3" s="102" t="s">
        <v>63</v>
      </c>
      <c r="C3" s="103" t="s">
        <v>64</v>
      </c>
      <c r="D3" s="103" t="s">
        <v>65</v>
      </c>
      <c r="E3" s="103" t="s">
        <v>66</v>
      </c>
      <c r="F3" s="103" t="s">
        <v>67</v>
      </c>
      <c r="G3" s="103" t="s">
        <v>69</v>
      </c>
      <c r="H3" s="103" t="s">
        <v>70</v>
      </c>
      <c r="I3" s="103" t="s">
        <v>626</v>
      </c>
      <c r="J3" s="103" t="s">
        <v>1035</v>
      </c>
      <c r="K3" s="103" t="s">
        <v>1036</v>
      </c>
      <c r="L3" s="103" t="s">
        <v>1037</v>
      </c>
      <c r="M3" s="103" t="s">
        <v>1038</v>
      </c>
      <c r="N3" s="103" t="s">
        <v>1039</v>
      </c>
      <c r="O3" s="103" t="s">
        <v>1040</v>
      </c>
      <c r="P3" s="103" t="s">
        <v>1041</v>
      </c>
      <c r="Q3" s="103" t="s">
        <v>1042</v>
      </c>
      <c r="R3" s="103" t="s">
        <v>1043</v>
      </c>
      <c r="S3" s="103" t="s">
        <v>1044</v>
      </c>
      <c r="T3" s="103" t="s">
        <v>1045</v>
      </c>
      <c r="U3" s="103" t="s">
        <v>1046</v>
      </c>
      <c r="V3" s="103" t="s">
        <v>1047</v>
      </c>
      <c r="W3" s="103" t="s">
        <v>1048</v>
      </c>
      <c r="X3" s="103" t="s">
        <v>1049</v>
      </c>
      <c r="Y3" s="103" t="s">
        <v>1050</v>
      </c>
      <c r="Z3" s="103" t="s">
        <v>1051</v>
      </c>
      <c r="AA3" s="103" t="s">
        <v>1052</v>
      </c>
      <c r="AB3" s="103" t="s">
        <v>1053</v>
      </c>
      <c r="AC3" s="103" t="s">
        <v>1054</v>
      </c>
      <c r="AD3" s="103" t="s">
        <v>1055</v>
      </c>
      <c r="AE3" s="103" t="s">
        <v>1056</v>
      </c>
      <c r="AF3" s="103" t="s">
        <v>1057</v>
      </c>
      <c r="AG3" s="103" t="s">
        <v>1058</v>
      </c>
      <c r="AH3" s="103" t="s">
        <v>1059</v>
      </c>
      <c r="AI3" s="103" t="s">
        <v>1060</v>
      </c>
      <c r="AJ3" s="103" t="s">
        <v>1061</v>
      </c>
      <c r="AK3" s="103" t="s">
        <v>1062</v>
      </c>
      <c r="AL3" s="103" t="s">
        <v>1063</v>
      </c>
      <c r="AM3" s="103" t="s">
        <v>1064</v>
      </c>
      <c r="AN3" s="103" t="s">
        <v>1065</v>
      </c>
      <c r="AO3" s="103" t="s">
        <v>1066</v>
      </c>
      <c r="AP3" s="103" t="s">
        <v>1067</v>
      </c>
      <c r="AQ3" s="104" t="s">
        <v>1068</v>
      </c>
    </row>
    <row r="4" spans="2:43" ht="12" customHeight="1" x14ac:dyDescent="0.25">
      <c r="B4" s="105" t="s">
        <v>33</v>
      </c>
      <c r="C4" s="106" t="s">
        <v>43</v>
      </c>
      <c r="D4" s="106" t="s">
        <v>25</v>
      </c>
      <c r="E4" s="106" t="s">
        <v>25</v>
      </c>
      <c r="F4" s="106" t="s">
        <v>80</v>
      </c>
      <c r="G4" s="106" t="s">
        <v>35</v>
      </c>
      <c r="H4" s="106" t="s">
        <v>73</v>
      </c>
      <c r="I4" s="106" t="s">
        <v>25</v>
      </c>
      <c r="J4" s="106">
        <v>17.010000000000002</v>
      </c>
      <c r="K4" s="106">
        <v>0</v>
      </c>
      <c r="L4" s="106">
        <v>0</v>
      </c>
      <c r="M4" s="106">
        <v>1.1233993432342799</v>
      </c>
      <c r="N4" s="106">
        <v>0</v>
      </c>
      <c r="O4" s="106">
        <v>0</v>
      </c>
      <c r="P4" s="106">
        <v>0</v>
      </c>
      <c r="Q4" s="106">
        <v>0</v>
      </c>
      <c r="R4" s="106">
        <v>0</v>
      </c>
      <c r="S4" s="106">
        <v>0</v>
      </c>
      <c r="T4" s="106">
        <v>0</v>
      </c>
      <c r="U4" s="106">
        <v>0</v>
      </c>
      <c r="V4" s="106">
        <v>0</v>
      </c>
      <c r="W4" s="106">
        <v>0</v>
      </c>
      <c r="X4" s="106">
        <v>0</v>
      </c>
      <c r="Y4" s="106">
        <v>0</v>
      </c>
      <c r="Z4" s="106">
        <v>0</v>
      </c>
      <c r="AA4" s="106">
        <v>0</v>
      </c>
      <c r="AB4" s="106">
        <v>0</v>
      </c>
      <c r="AC4" s="106">
        <v>0</v>
      </c>
      <c r="AD4" s="106">
        <v>15.885403735833499</v>
      </c>
      <c r="AE4" s="106">
        <v>0</v>
      </c>
      <c r="AF4" s="106">
        <v>0</v>
      </c>
      <c r="AG4" s="106">
        <v>0</v>
      </c>
      <c r="AH4" s="106">
        <v>0</v>
      </c>
      <c r="AI4" s="106">
        <v>0</v>
      </c>
      <c r="AJ4" s="106">
        <v>0</v>
      </c>
      <c r="AK4" s="106">
        <v>0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  <c r="AQ4" s="107">
        <v>0</v>
      </c>
    </row>
    <row r="5" spans="2:43" ht="12" customHeight="1" x14ac:dyDescent="0.25">
      <c r="B5" s="105" t="s">
        <v>33</v>
      </c>
      <c r="C5" s="106" t="s">
        <v>43</v>
      </c>
      <c r="D5" s="106" t="s">
        <v>25</v>
      </c>
      <c r="E5" s="106" t="s">
        <v>25</v>
      </c>
      <c r="F5" s="106" t="s">
        <v>80</v>
      </c>
      <c r="G5" s="106" t="s">
        <v>35</v>
      </c>
      <c r="H5" s="106" t="s">
        <v>76</v>
      </c>
      <c r="I5" s="106" t="s">
        <v>25</v>
      </c>
      <c r="J5" s="106">
        <v>123.34</v>
      </c>
      <c r="K5" s="106">
        <v>0</v>
      </c>
      <c r="L5" s="106">
        <v>0</v>
      </c>
      <c r="M5" s="106">
        <v>0</v>
      </c>
      <c r="N5" s="106">
        <v>0</v>
      </c>
      <c r="O5" s="106">
        <v>0</v>
      </c>
      <c r="P5" s="106">
        <v>0</v>
      </c>
      <c r="Q5" s="106">
        <v>0</v>
      </c>
      <c r="R5" s="106">
        <v>0</v>
      </c>
      <c r="S5" s="106">
        <v>0</v>
      </c>
      <c r="T5" s="106">
        <v>0</v>
      </c>
      <c r="U5" s="106">
        <v>0</v>
      </c>
      <c r="V5" s="106">
        <v>0</v>
      </c>
      <c r="W5" s="106">
        <v>0</v>
      </c>
      <c r="X5" s="106">
        <v>45.497101819165202</v>
      </c>
      <c r="Y5" s="106">
        <v>0</v>
      </c>
      <c r="Z5" s="106">
        <v>0</v>
      </c>
      <c r="AA5" s="106">
        <v>77.845528343666103</v>
      </c>
      <c r="AB5" s="106">
        <v>0</v>
      </c>
      <c r="AC5" s="106">
        <v>0</v>
      </c>
      <c r="AD5" s="106">
        <v>0</v>
      </c>
      <c r="AE5" s="106">
        <v>0</v>
      </c>
      <c r="AF5" s="106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7">
        <v>0</v>
      </c>
    </row>
    <row r="6" spans="2:43" ht="12" customHeight="1" x14ac:dyDescent="0.25">
      <c r="B6" s="105" t="s">
        <v>33</v>
      </c>
      <c r="C6" s="106" t="s">
        <v>43</v>
      </c>
      <c r="D6" s="106" t="s">
        <v>25</v>
      </c>
      <c r="E6" s="106" t="s">
        <v>25</v>
      </c>
      <c r="F6" s="106" t="s">
        <v>80</v>
      </c>
      <c r="G6" s="106" t="s">
        <v>36</v>
      </c>
      <c r="H6" s="106" t="s">
        <v>73</v>
      </c>
      <c r="I6" s="106" t="s">
        <v>25</v>
      </c>
      <c r="J6" s="106">
        <v>17.010000000000002</v>
      </c>
      <c r="K6" s="106">
        <v>0</v>
      </c>
      <c r="L6" s="106">
        <v>0</v>
      </c>
      <c r="M6" s="106">
        <v>1.1233993432342799</v>
      </c>
      <c r="N6" s="106">
        <v>0</v>
      </c>
      <c r="O6" s="106">
        <v>0</v>
      </c>
      <c r="P6" s="106">
        <v>0</v>
      </c>
      <c r="Q6" s="106">
        <v>0</v>
      </c>
      <c r="R6" s="106">
        <v>0</v>
      </c>
      <c r="S6" s="106">
        <v>0</v>
      </c>
      <c r="T6" s="106">
        <v>0</v>
      </c>
      <c r="U6" s="106">
        <v>0</v>
      </c>
      <c r="V6" s="106">
        <v>0</v>
      </c>
      <c r="W6" s="106">
        <v>0</v>
      </c>
      <c r="X6" s="106">
        <v>0</v>
      </c>
      <c r="Y6" s="106">
        <v>0</v>
      </c>
      <c r="Z6" s="106">
        <v>0</v>
      </c>
      <c r="AA6" s="106">
        <v>0</v>
      </c>
      <c r="AB6" s="106">
        <v>0</v>
      </c>
      <c r="AC6" s="106">
        <v>0</v>
      </c>
      <c r="AD6" s="106">
        <v>15.885403735833499</v>
      </c>
      <c r="AE6" s="106">
        <v>0</v>
      </c>
      <c r="AF6" s="106">
        <v>0</v>
      </c>
      <c r="AG6" s="106">
        <v>0</v>
      </c>
      <c r="AH6" s="106">
        <v>0</v>
      </c>
      <c r="AI6" s="106">
        <v>0</v>
      </c>
      <c r="AJ6" s="106">
        <v>0</v>
      </c>
      <c r="AK6" s="106">
        <v>0</v>
      </c>
      <c r="AL6" s="106">
        <v>0</v>
      </c>
      <c r="AM6" s="106">
        <v>0</v>
      </c>
      <c r="AN6" s="106">
        <v>0</v>
      </c>
      <c r="AO6" s="106">
        <v>0</v>
      </c>
      <c r="AP6" s="106">
        <v>0</v>
      </c>
      <c r="AQ6" s="107">
        <v>0</v>
      </c>
    </row>
    <row r="7" spans="2:43" ht="12" customHeight="1" x14ac:dyDescent="0.25">
      <c r="B7" s="105" t="s">
        <v>33</v>
      </c>
      <c r="C7" s="106" t="s">
        <v>43</v>
      </c>
      <c r="D7" s="106" t="s">
        <v>25</v>
      </c>
      <c r="E7" s="106" t="s">
        <v>25</v>
      </c>
      <c r="F7" s="106" t="s">
        <v>80</v>
      </c>
      <c r="G7" s="106" t="s">
        <v>36</v>
      </c>
      <c r="H7" s="106" t="s">
        <v>76</v>
      </c>
      <c r="I7" s="106" t="s">
        <v>25</v>
      </c>
      <c r="J7" s="106">
        <v>32.21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10.891540943891</v>
      </c>
      <c r="Y7" s="106">
        <v>0</v>
      </c>
      <c r="Z7" s="106">
        <v>0</v>
      </c>
      <c r="AA7" s="106">
        <v>21.316547416707198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0</v>
      </c>
      <c r="AK7" s="106">
        <v>0</v>
      </c>
      <c r="AL7" s="106">
        <v>0</v>
      </c>
      <c r="AM7" s="106">
        <v>0</v>
      </c>
      <c r="AN7" s="106">
        <v>0</v>
      </c>
      <c r="AO7" s="106">
        <v>0</v>
      </c>
      <c r="AP7" s="106">
        <v>0</v>
      </c>
      <c r="AQ7" s="107">
        <v>0</v>
      </c>
    </row>
    <row r="8" spans="2:43" ht="12" customHeight="1" x14ac:dyDescent="0.25">
      <c r="B8" s="105" t="s">
        <v>33</v>
      </c>
      <c r="C8" s="106" t="s">
        <v>43</v>
      </c>
      <c r="D8" s="106" t="s">
        <v>25</v>
      </c>
      <c r="E8" s="106" t="s">
        <v>25</v>
      </c>
      <c r="F8" s="106" t="s">
        <v>25</v>
      </c>
      <c r="G8" s="106" t="s">
        <v>35</v>
      </c>
      <c r="H8" s="106" t="s">
        <v>73</v>
      </c>
      <c r="I8" s="106" t="s">
        <v>25</v>
      </c>
      <c r="J8" s="106">
        <v>103.13</v>
      </c>
      <c r="K8" s="106">
        <v>199.16</v>
      </c>
      <c r="L8" s="106">
        <v>0</v>
      </c>
      <c r="M8" s="106">
        <v>1.1233993432342799</v>
      </c>
      <c r="N8" s="106">
        <v>0</v>
      </c>
      <c r="O8" s="106">
        <v>0</v>
      </c>
      <c r="P8" s="106">
        <v>0</v>
      </c>
      <c r="Q8" s="106">
        <v>71.920377015403204</v>
      </c>
      <c r="R8" s="106">
        <v>14.2047898459791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15.885403735833499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16.043462855204801</v>
      </c>
      <c r="AK8" s="106">
        <v>0</v>
      </c>
      <c r="AL8" s="106">
        <v>183.11905513201901</v>
      </c>
      <c r="AM8" s="106">
        <v>0</v>
      </c>
      <c r="AN8" s="106">
        <v>0</v>
      </c>
      <c r="AO8" s="106">
        <v>0</v>
      </c>
      <c r="AP8" s="106">
        <v>0</v>
      </c>
      <c r="AQ8" s="107">
        <v>0</v>
      </c>
    </row>
    <row r="9" spans="2:43" ht="12" customHeight="1" x14ac:dyDescent="0.25">
      <c r="B9" s="105" t="s">
        <v>33</v>
      </c>
      <c r="C9" s="106" t="s">
        <v>43</v>
      </c>
      <c r="D9" s="106" t="s">
        <v>25</v>
      </c>
      <c r="E9" s="106" t="s">
        <v>25</v>
      </c>
      <c r="F9" s="106" t="s">
        <v>25</v>
      </c>
      <c r="G9" s="106" t="s">
        <v>35</v>
      </c>
      <c r="H9" s="106" t="s">
        <v>76</v>
      </c>
      <c r="I9" s="106" t="s">
        <v>25</v>
      </c>
      <c r="J9" s="106">
        <v>123.34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45.497101819165202</v>
      </c>
      <c r="Y9" s="106">
        <v>0</v>
      </c>
      <c r="Z9" s="106">
        <v>0</v>
      </c>
      <c r="AA9" s="106">
        <v>77.845528343666103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7">
        <v>0</v>
      </c>
    </row>
    <row r="10" spans="2:43" ht="12" customHeight="1" x14ac:dyDescent="0.25">
      <c r="B10" s="105" t="s">
        <v>33</v>
      </c>
      <c r="C10" s="106" t="s">
        <v>43</v>
      </c>
      <c r="D10" s="106" t="s">
        <v>25</v>
      </c>
      <c r="E10" s="106" t="s">
        <v>25</v>
      </c>
      <c r="F10" s="106" t="s">
        <v>25</v>
      </c>
      <c r="G10" s="106" t="s">
        <v>36</v>
      </c>
      <c r="H10" s="106" t="s">
        <v>73</v>
      </c>
      <c r="I10" s="106" t="s">
        <v>25</v>
      </c>
      <c r="J10" s="106">
        <v>103.13</v>
      </c>
      <c r="K10" s="106">
        <v>199.16</v>
      </c>
      <c r="L10" s="106">
        <v>0</v>
      </c>
      <c r="M10" s="106">
        <v>1.1233993432342799</v>
      </c>
      <c r="N10" s="106">
        <v>0</v>
      </c>
      <c r="O10" s="106">
        <v>0</v>
      </c>
      <c r="P10" s="106">
        <v>0</v>
      </c>
      <c r="Q10" s="106">
        <v>71.920377015403204</v>
      </c>
      <c r="R10" s="106">
        <v>14.2047898459791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15.885403735833499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16.043462855204801</v>
      </c>
      <c r="AK10" s="106">
        <v>0</v>
      </c>
      <c r="AL10" s="106">
        <v>183.11905513201901</v>
      </c>
      <c r="AM10" s="106">
        <v>0</v>
      </c>
      <c r="AN10" s="106">
        <v>0</v>
      </c>
      <c r="AO10" s="106">
        <v>0</v>
      </c>
      <c r="AP10" s="106">
        <v>0</v>
      </c>
      <c r="AQ10" s="107">
        <v>0</v>
      </c>
    </row>
    <row r="11" spans="2:43" ht="12" customHeight="1" x14ac:dyDescent="0.25">
      <c r="B11" s="105" t="s">
        <v>33</v>
      </c>
      <c r="C11" s="106" t="s">
        <v>43</v>
      </c>
      <c r="D11" s="106" t="s">
        <v>25</v>
      </c>
      <c r="E11" s="106" t="s">
        <v>25</v>
      </c>
      <c r="F11" s="106" t="s">
        <v>25</v>
      </c>
      <c r="G11" s="106" t="s">
        <v>36</v>
      </c>
      <c r="H11" s="106" t="s">
        <v>76</v>
      </c>
      <c r="I11" s="106" t="s">
        <v>25</v>
      </c>
      <c r="J11" s="106">
        <v>32.21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10.891540943891</v>
      </c>
      <c r="Y11" s="106">
        <v>0</v>
      </c>
      <c r="Z11" s="106">
        <v>0</v>
      </c>
      <c r="AA11" s="106">
        <v>21.316547416707198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  <c r="AO11" s="106">
        <v>0</v>
      </c>
      <c r="AP11" s="106">
        <v>0</v>
      </c>
      <c r="AQ11" s="107">
        <v>0</v>
      </c>
    </row>
    <row r="12" spans="2:43" ht="12" customHeight="1" x14ac:dyDescent="0.25">
      <c r="B12" s="105" t="s">
        <v>33</v>
      </c>
      <c r="C12" s="106" t="s">
        <v>81</v>
      </c>
      <c r="D12" s="106" t="s">
        <v>25</v>
      </c>
      <c r="E12" s="106" t="s">
        <v>25</v>
      </c>
      <c r="F12" s="106" t="s">
        <v>25</v>
      </c>
      <c r="G12" s="106" t="s">
        <v>25</v>
      </c>
      <c r="H12" s="106" t="s">
        <v>76</v>
      </c>
      <c r="I12" s="106" t="s">
        <v>25</v>
      </c>
      <c r="J12" s="106">
        <v>13.8</v>
      </c>
      <c r="K12" s="106">
        <v>0</v>
      </c>
      <c r="L12" s="106">
        <v>0</v>
      </c>
      <c r="M12" s="106">
        <v>1.7514589894489101E-2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13.780997873137199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7">
        <v>0</v>
      </c>
    </row>
    <row r="13" spans="2:43" ht="12" customHeight="1" x14ac:dyDescent="0.25">
      <c r="B13" s="105" t="s">
        <v>33</v>
      </c>
      <c r="C13" s="106" t="s">
        <v>34</v>
      </c>
      <c r="D13" s="106" t="s">
        <v>25</v>
      </c>
      <c r="E13" s="106" t="s">
        <v>25</v>
      </c>
      <c r="F13" s="106" t="s">
        <v>80</v>
      </c>
      <c r="G13" s="106" t="s">
        <v>35</v>
      </c>
      <c r="H13" s="106" t="s">
        <v>73</v>
      </c>
      <c r="I13" s="106" t="s">
        <v>25</v>
      </c>
      <c r="J13" s="106">
        <v>2982.5</v>
      </c>
      <c r="K13" s="106">
        <v>0</v>
      </c>
      <c r="L13" s="106">
        <v>0</v>
      </c>
      <c r="M13" s="106">
        <v>1.1233993432342799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1093.3138159836101</v>
      </c>
      <c r="Y13" s="106">
        <v>0</v>
      </c>
      <c r="Z13" s="106">
        <v>0</v>
      </c>
      <c r="AA13" s="106">
        <v>1872.1797496172001</v>
      </c>
      <c r="AB13" s="106">
        <v>0</v>
      </c>
      <c r="AC13" s="106">
        <v>0</v>
      </c>
      <c r="AD13" s="106">
        <v>15.885403735833499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106">
        <v>0</v>
      </c>
      <c r="AL13" s="106">
        <v>0</v>
      </c>
      <c r="AM13" s="106">
        <v>0</v>
      </c>
      <c r="AN13" s="106">
        <v>0</v>
      </c>
      <c r="AO13" s="106">
        <v>0</v>
      </c>
      <c r="AP13" s="106">
        <v>0</v>
      </c>
      <c r="AQ13" s="107">
        <v>0</v>
      </c>
    </row>
    <row r="14" spans="2:43" ht="12" customHeight="1" x14ac:dyDescent="0.25">
      <c r="B14" s="105" t="s">
        <v>33</v>
      </c>
      <c r="C14" s="106" t="s">
        <v>34</v>
      </c>
      <c r="D14" s="106" t="s">
        <v>25</v>
      </c>
      <c r="E14" s="106" t="s">
        <v>25</v>
      </c>
      <c r="F14" s="106" t="s">
        <v>80</v>
      </c>
      <c r="G14" s="106" t="s">
        <v>25</v>
      </c>
      <c r="H14" s="106" t="s">
        <v>76</v>
      </c>
      <c r="I14" s="106" t="s">
        <v>25</v>
      </c>
      <c r="J14" s="106">
        <v>32.21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10.891540943891</v>
      </c>
      <c r="Y14" s="106">
        <v>0</v>
      </c>
      <c r="Z14" s="106">
        <v>0</v>
      </c>
      <c r="AA14" s="106">
        <v>21.316547416707198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</v>
      </c>
      <c r="AK14" s="106">
        <v>0</v>
      </c>
      <c r="AL14" s="106">
        <v>0</v>
      </c>
      <c r="AM14" s="106">
        <v>0</v>
      </c>
      <c r="AN14" s="106">
        <v>0</v>
      </c>
      <c r="AO14" s="106">
        <v>0</v>
      </c>
      <c r="AP14" s="106">
        <v>0</v>
      </c>
      <c r="AQ14" s="107">
        <v>0</v>
      </c>
    </row>
    <row r="15" spans="2:43" ht="12" customHeight="1" x14ac:dyDescent="0.25">
      <c r="B15" s="105" t="s">
        <v>33</v>
      </c>
      <c r="C15" s="106" t="s">
        <v>34</v>
      </c>
      <c r="D15" s="106" t="s">
        <v>25</v>
      </c>
      <c r="E15" s="106" t="s">
        <v>25</v>
      </c>
      <c r="F15" s="106" t="s">
        <v>80</v>
      </c>
      <c r="G15" s="106" t="s">
        <v>36</v>
      </c>
      <c r="H15" s="106" t="s">
        <v>73</v>
      </c>
      <c r="I15" s="106" t="s">
        <v>25</v>
      </c>
      <c r="J15" s="106">
        <v>17.010000000000002</v>
      </c>
      <c r="K15" s="106">
        <v>0</v>
      </c>
      <c r="L15" s="106">
        <v>0</v>
      </c>
      <c r="M15" s="106">
        <v>1.1233993432342799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15.885403735833499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</v>
      </c>
      <c r="AK15" s="106">
        <v>0</v>
      </c>
      <c r="AL15" s="106">
        <v>0</v>
      </c>
      <c r="AM15" s="106">
        <v>0</v>
      </c>
      <c r="AN15" s="106">
        <v>0</v>
      </c>
      <c r="AO15" s="106">
        <v>0</v>
      </c>
      <c r="AP15" s="106">
        <v>0</v>
      </c>
      <c r="AQ15" s="107">
        <v>0</v>
      </c>
    </row>
    <row r="16" spans="2:43" ht="12" customHeight="1" x14ac:dyDescent="0.25">
      <c r="B16" s="105" t="s">
        <v>33</v>
      </c>
      <c r="C16" s="106" t="s">
        <v>34</v>
      </c>
      <c r="D16" s="106" t="s">
        <v>25</v>
      </c>
      <c r="E16" s="106" t="s">
        <v>25</v>
      </c>
      <c r="F16" s="106" t="s">
        <v>25</v>
      </c>
      <c r="G16" s="106" t="s">
        <v>35</v>
      </c>
      <c r="H16" s="106" t="s">
        <v>73</v>
      </c>
      <c r="I16" s="106" t="s">
        <v>25</v>
      </c>
      <c r="J16" s="106">
        <v>3068.63</v>
      </c>
      <c r="K16" s="106">
        <v>199.16</v>
      </c>
      <c r="L16" s="106">
        <v>0</v>
      </c>
      <c r="M16" s="106">
        <v>1.1233993432342799</v>
      </c>
      <c r="N16" s="106">
        <v>0</v>
      </c>
      <c r="O16" s="106">
        <v>0</v>
      </c>
      <c r="P16" s="106">
        <v>0</v>
      </c>
      <c r="Q16" s="106">
        <v>71.920377015403204</v>
      </c>
      <c r="R16" s="106">
        <v>14.2047898459791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1093.3138159836101</v>
      </c>
      <c r="Y16" s="106">
        <v>0</v>
      </c>
      <c r="Z16" s="106">
        <v>0</v>
      </c>
      <c r="AA16" s="106">
        <v>1872.1797496172001</v>
      </c>
      <c r="AB16" s="106">
        <v>0</v>
      </c>
      <c r="AC16" s="106">
        <v>0</v>
      </c>
      <c r="AD16" s="106">
        <v>15.885403735833499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16.043462855204801</v>
      </c>
      <c r="AK16" s="106">
        <v>0</v>
      </c>
      <c r="AL16" s="106">
        <v>183.11905513201901</v>
      </c>
      <c r="AM16" s="106">
        <v>0</v>
      </c>
      <c r="AN16" s="106">
        <v>0</v>
      </c>
      <c r="AO16" s="106">
        <v>0</v>
      </c>
      <c r="AP16" s="106">
        <v>0</v>
      </c>
      <c r="AQ16" s="107">
        <v>0</v>
      </c>
    </row>
    <row r="17" spans="2:43" ht="12" customHeight="1" x14ac:dyDescent="0.25">
      <c r="B17" s="105" t="s">
        <v>33</v>
      </c>
      <c r="C17" s="106" t="s">
        <v>34</v>
      </c>
      <c r="D17" s="106" t="s">
        <v>25</v>
      </c>
      <c r="E17" s="106" t="s">
        <v>25</v>
      </c>
      <c r="F17" s="106" t="s">
        <v>25</v>
      </c>
      <c r="G17" s="106" t="s">
        <v>25</v>
      </c>
      <c r="H17" s="106" t="s">
        <v>76</v>
      </c>
      <c r="I17" s="106" t="s">
        <v>25</v>
      </c>
      <c r="J17" s="106">
        <v>32.21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10.891540943891</v>
      </c>
      <c r="Y17" s="106">
        <v>0</v>
      </c>
      <c r="Z17" s="106">
        <v>0</v>
      </c>
      <c r="AA17" s="106">
        <v>21.316547416707198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  <c r="AO17" s="106">
        <v>0</v>
      </c>
      <c r="AP17" s="106">
        <v>0</v>
      </c>
      <c r="AQ17" s="107">
        <v>0</v>
      </c>
    </row>
    <row r="18" spans="2:43" ht="12" customHeight="1" x14ac:dyDescent="0.25">
      <c r="B18" s="105" t="s">
        <v>33</v>
      </c>
      <c r="C18" s="106" t="s">
        <v>34</v>
      </c>
      <c r="D18" s="106" t="s">
        <v>25</v>
      </c>
      <c r="E18" s="106" t="s">
        <v>25</v>
      </c>
      <c r="F18" s="106" t="s">
        <v>25</v>
      </c>
      <c r="G18" s="106" t="s">
        <v>36</v>
      </c>
      <c r="H18" s="106" t="s">
        <v>73</v>
      </c>
      <c r="I18" s="106" t="s">
        <v>25</v>
      </c>
      <c r="J18" s="106">
        <v>103.13</v>
      </c>
      <c r="K18" s="106">
        <v>199.16</v>
      </c>
      <c r="L18" s="106">
        <v>0</v>
      </c>
      <c r="M18" s="106">
        <v>1.1233993432342799</v>
      </c>
      <c r="N18" s="106">
        <v>0</v>
      </c>
      <c r="O18" s="106">
        <v>0</v>
      </c>
      <c r="P18" s="106">
        <v>0</v>
      </c>
      <c r="Q18" s="106">
        <v>71.920377015403204</v>
      </c>
      <c r="R18" s="106">
        <v>14.2047898459791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15.885403735833499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16.043462855204801</v>
      </c>
      <c r="AK18" s="106">
        <v>0</v>
      </c>
      <c r="AL18" s="106">
        <v>183.11905513201901</v>
      </c>
      <c r="AM18" s="106">
        <v>0</v>
      </c>
      <c r="AN18" s="106">
        <v>0</v>
      </c>
      <c r="AO18" s="106">
        <v>0</v>
      </c>
      <c r="AP18" s="106">
        <v>0</v>
      </c>
      <c r="AQ18" s="107">
        <v>0</v>
      </c>
    </row>
    <row r="19" spans="2:43" ht="12" customHeight="1" x14ac:dyDescent="0.25">
      <c r="B19" s="105" t="s">
        <v>82</v>
      </c>
      <c r="C19" s="106" t="s">
        <v>81</v>
      </c>
      <c r="D19" s="106" t="s">
        <v>25</v>
      </c>
      <c r="E19" s="106" t="s">
        <v>25</v>
      </c>
      <c r="F19" s="106" t="s">
        <v>83</v>
      </c>
      <c r="G19" s="106" t="s">
        <v>25</v>
      </c>
      <c r="H19" s="106" t="s">
        <v>76</v>
      </c>
      <c r="I19" s="106" t="s">
        <v>25</v>
      </c>
      <c r="J19" s="106">
        <v>8.5399999999999991</v>
      </c>
      <c r="K19" s="106">
        <v>0</v>
      </c>
      <c r="L19" s="106">
        <v>0</v>
      </c>
      <c r="M19" s="106">
        <v>9.26058776030457E-3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8.5301010792564895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  <c r="AO19" s="106">
        <v>0</v>
      </c>
      <c r="AP19" s="106">
        <v>0</v>
      </c>
      <c r="AQ19" s="107">
        <v>0</v>
      </c>
    </row>
    <row r="20" spans="2:43" ht="12" customHeight="1" x14ac:dyDescent="0.25">
      <c r="B20" s="105" t="s">
        <v>82</v>
      </c>
      <c r="C20" s="106" t="s">
        <v>81</v>
      </c>
      <c r="D20" s="106" t="s">
        <v>25</v>
      </c>
      <c r="E20" s="106" t="s">
        <v>25</v>
      </c>
      <c r="F20" s="106" t="s">
        <v>84</v>
      </c>
      <c r="G20" s="106" t="s">
        <v>25</v>
      </c>
      <c r="H20" s="106" t="s">
        <v>76</v>
      </c>
      <c r="I20" s="106" t="s">
        <v>25</v>
      </c>
      <c r="J20" s="106">
        <v>28.66</v>
      </c>
      <c r="K20" s="106">
        <v>0</v>
      </c>
      <c r="L20" s="106">
        <v>0</v>
      </c>
      <c r="M20" s="106">
        <v>9.26058776030457E-3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28.647899000713199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  <c r="AO20" s="106">
        <v>0</v>
      </c>
      <c r="AP20" s="106">
        <v>0</v>
      </c>
      <c r="AQ20" s="107">
        <v>0</v>
      </c>
    </row>
    <row r="21" spans="2:43" ht="12" customHeight="1" x14ac:dyDescent="0.25">
      <c r="B21" s="105" t="s">
        <v>22</v>
      </c>
      <c r="C21" s="106" t="s">
        <v>87</v>
      </c>
      <c r="D21" s="106" t="s">
        <v>24</v>
      </c>
      <c r="E21" s="106" t="s">
        <v>24</v>
      </c>
      <c r="F21" s="106" t="s">
        <v>25</v>
      </c>
      <c r="G21" s="106" t="s">
        <v>35</v>
      </c>
      <c r="H21" s="106" t="s">
        <v>73</v>
      </c>
      <c r="I21" s="106" t="s">
        <v>25</v>
      </c>
      <c r="J21" s="106">
        <v>1249.98</v>
      </c>
      <c r="K21" s="106">
        <v>199.16</v>
      </c>
      <c r="L21" s="106">
        <v>0</v>
      </c>
      <c r="M21" s="106">
        <v>1.8731892523125899</v>
      </c>
      <c r="N21" s="106">
        <v>0</v>
      </c>
      <c r="O21" s="106">
        <v>0</v>
      </c>
      <c r="P21" s="106">
        <v>0</v>
      </c>
      <c r="Q21" s="106">
        <v>85.619496446908499</v>
      </c>
      <c r="R21" s="106">
        <v>14.2047898459791</v>
      </c>
      <c r="S21" s="106">
        <v>0</v>
      </c>
      <c r="T21" s="106">
        <v>0</v>
      </c>
      <c r="U21" s="106">
        <v>0</v>
      </c>
      <c r="V21" s="106">
        <v>0</v>
      </c>
      <c r="W21" s="106">
        <v>0</v>
      </c>
      <c r="X21" s="106">
        <v>286.00719570469698</v>
      </c>
      <c r="Y21" s="106">
        <v>0</v>
      </c>
      <c r="Z21" s="106">
        <v>0</v>
      </c>
      <c r="AA21" s="106">
        <v>828.94774278846899</v>
      </c>
      <c r="AB21" s="106">
        <v>0</v>
      </c>
      <c r="AC21" s="106">
        <v>0</v>
      </c>
      <c r="AD21" s="106">
        <v>33.332397569245302</v>
      </c>
      <c r="AE21" s="106">
        <v>0</v>
      </c>
      <c r="AF21" s="106">
        <v>0</v>
      </c>
      <c r="AG21" s="106">
        <v>0</v>
      </c>
      <c r="AH21" s="106">
        <v>0</v>
      </c>
      <c r="AI21" s="106">
        <v>0</v>
      </c>
      <c r="AJ21" s="106">
        <v>16.043462855204801</v>
      </c>
      <c r="AK21" s="106">
        <v>0</v>
      </c>
      <c r="AL21" s="106">
        <v>183.11905513201901</v>
      </c>
      <c r="AM21" s="106">
        <v>0</v>
      </c>
      <c r="AN21" s="106">
        <v>0</v>
      </c>
      <c r="AO21" s="106">
        <v>0</v>
      </c>
      <c r="AP21" s="106">
        <v>0</v>
      </c>
      <c r="AQ21" s="107">
        <v>0</v>
      </c>
    </row>
    <row r="22" spans="2:43" ht="12" customHeight="1" x14ac:dyDescent="0.25">
      <c r="B22" s="105" t="s">
        <v>22</v>
      </c>
      <c r="C22" s="106" t="s">
        <v>87</v>
      </c>
      <c r="D22" s="106" t="s">
        <v>24</v>
      </c>
      <c r="E22" s="106" t="s">
        <v>24</v>
      </c>
      <c r="F22" s="106" t="s">
        <v>25</v>
      </c>
      <c r="G22" s="106" t="s">
        <v>523</v>
      </c>
      <c r="H22" s="106" t="s">
        <v>73</v>
      </c>
      <c r="I22" s="106" t="s">
        <v>25</v>
      </c>
      <c r="J22" s="106">
        <v>308.47000000000003</v>
      </c>
      <c r="K22" s="106">
        <v>199.16</v>
      </c>
      <c r="L22" s="106">
        <v>0</v>
      </c>
      <c r="M22" s="106">
        <v>1.8731892523125899</v>
      </c>
      <c r="N22" s="106">
        <v>0</v>
      </c>
      <c r="O22" s="106">
        <v>0</v>
      </c>
      <c r="P22" s="106">
        <v>0</v>
      </c>
      <c r="Q22" s="106">
        <v>85.619496446908499</v>
      </c>
      <c r="R22" s="106">
        <v>14.2047898459791</v>
      </c>
      <c r="S22" s="106">
        <v>0</v>
      </c>
      <c r="T22" s="106">
        <v>0</v>
      </c>
      <c r="U22" s="106">
        <v>0</v>
      </c>
      <c r="V22" s="106">
        <v>0</v>
      </c>
      <c r="W22" s="106">
        <v>0</v>
      </c>
      <c r="X22" s="106">
        <v>44.4968926695826</v>
      </c>
      <c r="Y22" s="106">
        <v>0</v>
      </c>
      <c r="Z22" s="106">
        <v>0</v>
      </c>
      <c r="AA22" s="106">
        <v>128.94746486846799</v>
      </c>
      <c r="AB22" s="106">
        <v>0</v>
      </c>
      <c r="AC22" s="106">
        <v>0</v>
      </c>
      <c r="AD22" s="106">
        <v>33.332397569245302</v>
      </c>
      <c r="AE22" s="106">
        <v>0</v>
      </c>
      <c r="AF22" s="106">
        <v>0</v>
      </c>
      <c r="AG22" s="106">
        <v>0</v>
      </c>
      <c r="AH22" s="106">
        <v>0</v>
      </c>
      <c r="AI22" s="106">
        <v>0</v>
      </c>
      <c r="AJ22" s="106">
        <v>16.043462855204801</v>
      </c>
      <c r="AK22" s="106">
        <v>0</v>
      </c>
      <c r="AL22" s="106">
        <v>183.11905513201901</v>
      </c>
      <c r="AM22" s="106">
        <v>0</v>
      </c>
      <c r="AN22" s="106">
        <v>0</v>
      </c>
      <c r="AO22" s="106">
        <v>0</v>
      </c>
      <c r="AP22" s="106">
        <v>0</v>
      </c>
      <c r="AQ22" s="107">
        <v>0</v>
      </c>
    </row>
    <row r="23" spans="2:43" ht="12" customHeight="1" x14ac:dyDescent="0.25">
      <c r="B23" s="105" t="s">
        <v>22</v>
      </c>
      <c r="C23" s="106" t="s">
        <v>87</v>
      </c>
      <c r="D23" s="106" t="s">
        <v>24</v>
      </c>
      <c r="E23" s="106" t="s">
        <v>24</v>
      </c>
      <c r="F23" s="106" t="s">
        <v>25</v>
      </c>
      <c r="G23" s="106" t="s">
        <v>36</v>
      </c>
      <c r="H23" s="106" t="s">
        <v>73</v>
      </c>
      <c r="I23" s="106" t="s">
        <v>25</v>
      </c>
      <c r="J23" s="106">
        <v>432.36</v>
      </c>
      <c r="K23" s="106">
        <v>199.16</v>
      </c>
      <c r="L23" s="106">
        <v>0</v>
      </c>
      <c r="M23" s="106">
        <v>1.8731892523125899</v>
      </c>
      <c r="N23" s="106">
        <v>0</v>
      </c>
      <c r="O23" s="106">
        <v>0</v>
      </c>
      <c r="P23" s="106">
        <v>0</v>
      </c>
      <c r="Q23" s="106">
        <v>85.619496446908499</v>
      </c>
      <c r="R23" s="106">
        <v>14.2047898459791</v>
      </c>
      <c r="S23" s="106">
        <v>0</v>
      </c>
      <c r="T23" s="106">
        <v>0</v>
      </c>
      <c r="U23" s="106">
        <v>0</v>
      </c>
      <c r="V23" s="106">
        <v>0</v>
      </c>
      <c r="W23" s="106">
        <v>0</v>
      </c>
      <c r="X23" s="106">
        <v>76.275424558172801</v>
      </c>
      <c r="Y23" s="106">
        <v>0</v>
      </c>
      <c r="Z23" s="106">
        <v>0</v>
      </c>
      <c r="AA23" s="106">
        <v>221.05288903675401</v>
      </c>
      <c r="AB23" s="106">
        <v>0</v>
      </c>
      <c r="AC23" s="106">
        <v>0</v>
      </c>
      <c r="AD23" s="106">
        <v>33.332397569245302</v>
      </c>
      <c r="AE23" s="106">
        <v>0</v>
      </c>
      <c r="AF23" s="106">
        <v>0</v>
      </c>
      <c r="AG23" s="106">
        <v>0</v>
      </c>
      <c r="AH23" s="106">
        <v>0</v>
      </c>
      <c r="AI23" s="106">
        <v>0</v>
      </c>
      <c r="AJ23" s="106">
        <v>16.043462855204801</v>
      </c>
      <c r="AK23" s="106">
        <v>0</v>
      </c>
      <c r="AL23" s="106">
        <v>183.11905513201901</v>
      </c>
      <c r="AM23" s="106">
        <v>0</v>
      </c>
      <c r="AN23" s="106">
        <v>0</v>
      </c>
      <c r="AO23" s="106">
        <v>0</v>
      </c>
      <c r="AP23" s="106">
        <v>0</v>
      </c>
      <c r="AQ23" s="107">
        <v>0</v>
      </c>
    </row>
    <row r="24" spans="2:43" ht="12" customHeight="1" x14ac:dyDescent="0.25">
      <c r="B24" s="105" t="s">
        <v>22</v>
      </c>
      <c r="C24" s="106" t="s">
        <v>23</v>
      </c>
      <c r="D24" s="106" t="s">
        <v>24</v>
      </c>
      <c r="E24" s="106" t="s">
        <v>1069</v>
      </c>
      <c r="F24" s="106" t="s">
        <v>25</v>
      </c>
      <c r="G24" s="106" t="s">
        <v>25</v>
      </c>
      <c r="H24" s="106" t="s">
        <v>73</v>
      </c>
      <c r="I24" s="106" t="s">
        <v>25</v>
      </c>
      <c r="J24" s="106">
        <v>530.74</v>
      </c>
      <c r="K24" s="106">
        <v>199.16</v>
      </c>
      <c r="L24" s="106">
        <v>0</v>
      </c>
      <c r="M24" s="106">
        <v>1.8731892523125899</v>
      </c>
      <c r="N24" s="106">
        <v>0</v>
      </c>
      <c r="O24" s="106">
        <v>0</v>
      </c>
      <c r="P24" s="106">
        <v>0</v>
      </c>
      <c r="Q24" s="106">
        <v>0</v>
      </c>
      <c r="R24" s="106">
        <v>0</v>
      </c>
      <c r="S24" s="106">
        <v>0</v>
      </c>
      <c r="T24" s="106">
        <v>0</v>
      </c>
      <c r="U24" s="106">
        <v>0</v>
      </c>
      <c r="V24" s="106">
        <v>0</v>
      </c>
      <c r="W24" s="106">
        <v>0</v>
      </c>
      <c r="X24" s="106">
        <v>127.114331908054</v>
      </c>
      <c r="Y24" s="106">
        <v>0</v>
      </c>
      <c r="Z24" s="106">
        <v>0</v>
      </c>
      <c r="AA24" s="106">
        <v>368.421374255312</v>
      </c>
      <c r="AB24" s="106">
        <v>0</v>
      </c>
      <c r="AC24" s="106">
        <v>0</v>
      </c>
      <c r="AD24" s="106">
        <v>33.332397569245302</v>
      </c>
      <c r="AE24" s="106">
        <v>0</v>
      </c>
      <c r="AF24" s="106">
        <v>0</v>
      </c>
      <c r="AG24" s="106">
        <v>0</v>
      </c>
      <c r="AH24" s="106">
        <v>0</v>
      </c>
      <c r="AI24" s="106">
        <v>0</v>
      </c>
      <c r="AJ24" s="106">
        <v>16.043462855204801</v>
      </c>
      <c r="AK24" s="106">
        <v>0</v>
      </c>
      <c r="AL24" s="106">
        <v>183.11905513201901</v>
      </c>
      <c r="AM24" s="106">
        <v>0</v>
      </c>
      <c r="AN24" s="106">
        <v>0</v>
      </c>
      <c r="AO24" s="106">
        <v>0</v>
      </c>
      <c r="AP24" s="106">
        <v>0</v>
      </c>
      <c r="AQ24" s="107">
        <v>0</v>
      </c>
    </row>
    <row r="25" spans="2:43" ht="12" customHeight="1" x14ac:dyDescent="0.25">
      <c r="B25" s="105" t="s">
        <v>22</v>
      </c>
      <c r="C25" s="106" t="s">
        <v>23</v>
      </c>
      <c r="D25" s="106" t="s">
        <v>24</v>
      </c>
      <c r="E25" s="106" t="s">
        <v>24</v>
      </c>
      <c r="F25" s="106" t="s">
        <v>25</v>
      </c>
      <c r="G25" s="106" t="s">
        <v>25</v>
      </c>
      <c r="H25" s="106" t="s">
        <v>73</v>
      </c>
      <c r="I25" s="106" t="s">
        <v>25</v>
      </c>
      <c r="J25" s="106">
        <v>630.57000000000005</v>
      </c>
      <c r="K25" s="106">
        <v>199.16</v>
      </c>
      <c r="L25" s="106">
        <v>0</v>
      </c>
      <c r="M25" s="106">
        <v>1.8731892523125899</v>
      </c>
      <c r="N25" s="106">
        <v>0</v>
      </c>
      <c r="O25" s="106">
        <v>0</v>
      </c>
      <c r="P25" s="106">
        <v>0</v>
      </c>
      <c r="Q25" s="106">
        <v>85.619496446908499</v>
      </c>
      <c r="R25" s="106">
        <v>14.2047898459791</v>
      </c>
      <c r="S25" s="106">
        <v>0</v>
      </c>
      <c r="T25" s="106">
        <v>0</v>
      </c>
      <c r="U25" s="106">
        <v>0</v>
      </c>
      <c r="V25" s="106">
        <v>0</v>
      </c>
      <c r="W25" s="106">
        <v>0</v>
      </c>
      <c r="X25" s="106">
        <v>127.114331908054</v>
      </c>
      <c r="Y25" s="106">
        <v>0</v>
      </c>
      <c r="Z25" s="106">
        <v>0</v>
      </c>
      <c r="AA25" s="106">
        <v>368.421374255312</v>
      </c>
      <c r="AB25" s="106">
        <v>0</v>
      </c>
      <c r="AC25" s="106">
        <v>0</v>
      </c>
      <c r="AD25" s="106">
        <v>33.332397569245302</v>
      </c>
      <c r="AE25" s="106">
        <v>0</v>
      </c>
      <c r="AF25" s="106">
        <v>0</v>
      </c>
      <c r="AG25" s="106">
        <v>0</v>
      </c>
      <c r="AH25" s="106">
        <v>0</v>
      </c>
      <c r="AI25" s="106">
        <v>0</v>
      </c>
      <c r="AJ25" s="106">
        <v>16.043462855204801</v>
      </c>
      <c r="AK25" s="106">
        <v>0</v>
      </c>
      <c r="AL25" s="106">
        <v>183.11905513201901</v>
      </c>
      <c r="AM25" s="106">
        <v>0</v>
      </c>
      <c r="AN25" s="106">
        <v>0</v>
      </c>
      <c r="AO25" s="106">
        <v>0</v>
      </c>
      <c r="AP25" s="106">
        <v>0</v>
      </c>
      <c r="AQ25" s="107">
        <v>0</v>
      </c>
    </row>
    <row r="26" spans="2:43" ht="12" customHeight="1" x14ac:dyDescent="0.25">
      <c r="B26" s="105" t="s">
        <v>22</v>
      </c>
      <c r="C26" s="106" t="s">
        <v>89</v>
      </c>
      <c r="D26" s="106" t="s">
        <v>24</v>
      </c>
      <c r="E26" s="106" t="s">
        <v>1069</v>
      </c>
      <c r="F26" s="106" t="s">
        <v>25</v>
      </c>
      <c r="G26" s="106" t="s">
        <v>25</v>
      </c>
      <c r="H26" s="106" t="s">
        <v>73</v>
      </c>
      <c r="I26" s="106" t="s">
        <v>25</v>
      </c>
      <c r="J26" s="106">
        <v>530.74</v>
      </c>
      <c r="K26" s="106">
        <v>199.16</v>
      </c>
      <c r="L26" s="106">
        <v>0</v>
      </c>
      <c r="M26" s="106">
        <v>1.8731892523125899</v>
      </c>
      <c r="N26" s="106">
        <v>0</v>
      </c>
      <c r="O26" s="106">
        <v>0</v>
      </c>
      <c r="P26" s="106">
        <v>0</v>
      </c>
      <c r="Q26" s="106">
        <v>0</v>
      </c>
      <c r="R26" s="106">
        <v>0</v>
      </c>
      <c r="S26" s="106">
        <v>0</v>
      </c>
      <c r="T26" s="106">
        <v>0</v>
      </c>
      <c r="U26" s="106">
        <v>0</v>
      </c>
      <c r="V26" s="106">
        <v>0</v>
      </c>
      <c r="W26" s="106">
        <v>0</v>
      </c>
      <c r="X26" s="106">
        <v>127.114331908054</v>
      </c>
      <c r="Y26" s="106">
        <v>0</v>
      </c>
      <c r="Z26" s="106">
        <v>0</v>
      </c>
      <c r="AA26" s="106">
        <v>368.421374255312</v>
      </c>
      <c r="AB26" s="106">
        <v>0</v>
      </c>
      <c r="AC26" s="106">
        <v>0</v>
      </c>
      <c r="AD26" s="106">
        <v>33.332397569245302</v>
      </c>
      <c r="AE26" s="106">
        <v>0</v>
      </c>
      <c r="AF26" s="106">
        <v>0</v>
      </c>
      <c r="AG26" s="106">
        <v>0</v>
      </c>
      <c r="AH26" s="106">
        <v>0</v>
      </c>
      <c r="AI26" s="106">
        <v>0</v>
      </c>
      <c r="AJ26" s="106">
        <v>16.043462855204801</v>
      </c>
      <c r="AK26" s="106">
        <v>0</v>
      </c>
      <c r="AL26" s="106">
        <v>183.11905513201901</v>
      </c>
      <c r="AM26" s="106">
        <v>0</v>
      </c>
      <c r="AN26" s="106">
        <v>0</v>
      </c>
      <c r="AO26" s="106">
        <v>0</v>
      </c>
      <c r="AP26" s="106">
        <v>0</v>
      </c>
      <c r="AQ26" s="107">
        <v>0</v>
      </c>
    </row>
    <row r="27" spans="2:43" ht="12" customHeight="1" x14ac:dyDescent="0.25">
      <c r="B27" s="105" t="s">
        <v>22</v>
      </c>
      <c r="C27" s="106" t="s">
        <v>89</v>
      </c>
      <c r="D27" s="106" t="s">
        <v>24</v>
      </c>
      <c r="E27" s="106" t="s">
        <v>24</v>
      </c>
      <c r="F27" s="106" t="s">
        <v>25</v>
      </c>
      <c r="G27" s="106" t="s">
        <v>25</v>
      </c>
      <c r="H27" s="106" t="s">
        <v>73</v>
      </c>
      <c r="I27" s="106" t="s">
        <v>25</v>
      </c>
      <c r="J27" s="106">
        <v>630.57000000000005</v>
      </c>
      <c r="K27" s="106">
        <v>199.16</v>
      </c>
      <c r="L27" s="106">
        <v>0</v>
      </c>
      <c r="M27" s="106">
        <v>1.8731892523125899</v>
      </c>
      <c r="N27" s="106">
        <v>0</v>
      </c>
      <c r="O27" s="106">
        <v>0</v>
      </c>
      <c r="P27" s="106">
        <v>0</v>
      </c>
      <c r="Q27" s="106">
        <v>85.619496446908499</v>
      </c>
      <c r="R27" s="106">
        <v>14.2047898459791</v>
      </c>
      <c r="S27" s="106">
        <v>0</v>
      </c>
      <c r="T27" s="106">
        <v>0</v>
      </c>
      <c r="U27" s="106">
        <v>0</v>
      </c>
      <c r="V27" s="106">
        <v>0</v>
      </c>
      <c r="W27" s="106">
        <v>0</v>
      </c>
      <c r="X27" s="106">
        <v>127.114331908054</v>
      </c>
      <c r="Y27" s="106">
        <v>0</v>
      </c>
      <c r="Z27" s="106">
        <v>0</v>
      </c>
      <c r="AA27" s="106">
        <v>368.421374255312</v>
      </c>
      <c r="AB27" s="106">
        <v>0</v>
      </c>
      <c r="AC27" s="106">
        <v>0</v>
      </c>
      <c r="AD27" s="106">
        <v>33.332397569245302</v>
      </c>
      <c r="AE27" s="106">
        <v>0</v>
      </c>
      <c r="AF27" s="106">
        <v>0</v>
      </c>
      <c r="AG27" s="106">
        <v>0</v>
      </c>
      <c r="AH27" s="106">
        <v>0</v>
      </c>
      <c r="AI27" s="106">
        <v>0</v>
      </c>
      <c r="AJ27" s="106">
        <v>16.043462855204801</v>
      </c>
      <c r="AK27" s="106">
        <v>0</v>
      </c>
      <c r="AL27" s="106">
        <v>183.11905513201901</v>
      </c>
      <c r="AM27" s="106">
        <v>0</v>
      </c>
      <c r="AN27" s="106">
        <v>0</v>
      </c>
      <c r="AO27" s="106">
        <v>0</v>
      </c>
      <c r="AP27" s="106">
        <v>0</v>
      </c>
      <c r="AQ27" s="107">
        <v>0</v>
      </c>
    </row>
    <row r="28" spans="2:43" ht="12" customHeight="1" x14ac:dyDescent="0.25">
      <c r="B28" s="105" t="s">
        <v>40</v>
      </c>
      <c r="C28" s="106" t="s">
        <v>87</v>
      </c>
      <c r="D28" s="106" t="s">
        <v>41</v>
      </c>
      <c r="E28" s="106" t="s">
        <v>90</v>
      </c>
      <c r="F28" s="106" t="s">
        <v>25</v>
      </c>
      <c r="G28" s="106" t="s">
        <v>35</v>
      </c>
      <c r="H28" s="106" t="s">
        <v>73</v>
      </c>
      <c r="I28" s="106" t="s">
        <v>25</v>
      </c>
      <c r="J28" s="106">
        <v>1271.43</v>
      </c>
      <c r="K28" s="106">
        <v>187.21</v>
      </c>
      <c r="L28" s="106">
        <v>0</v>
      </c>
      <c r="M28" s="106">
        <v>1.7607978971738401</v>
      </c>
      <c r="N28" s="106">
        <v>0</v>
      </c>
      <c r="O28" s="106">
        <v>0</v>
      </c>
      <c r="P28" s="106">
        <v>0</v>
      </c>
      <c r="Q28" s="106">
        <v>80.482326660094003</v>
      </c>
      <c r="R28" s="106">
        <v>13.3525024552203</v>
      </c>
      <c r="S28" s="106">
        <v>0</v>
      </c>
      <c r="T28" s="106">
        <v>0</v>
      </c>
      <c r="U28" s="106">
        <v>0</v>
      </c>
      <c r="V28" s="106">
        <v>0</v>
      </c>
      <c r="W28" s="106">
        <v>0</v>
      </c>
      <c r="X28" s="106">
        <v>293.60431398272499</v>
      </c>
      <c r="Y28" s="106">
        <v>0</v>
      </c>
      <c r="Z28" s="106">
        <v>0</v>
      </c>
      <c r="AA28" s="106">
        <v>850.89839580154501</v>
      </c>
      <c r="AB28" s="106">
        <v>0</v>
      </c>
      <c r="AC28" s="106">
        <v>0</v>
      </c>
      <c r="AD28" s="106">
        <v>31.332453715090502</v>
      </c>
      <c r="AE28" s="106">
        <v>0</v>
      </c>
      <c r="AF28" s="106">
        <v>0</v>
      </c>
      <c r="AG28" s="106">
        <v>0</v>
      </c>
      <c r="AH28" s="106">
        <v>0</v>
      </c>
      <c r="AI28" s="106">
        <v>0</v>
      </c>
      <c r="AJ28" s="106">
        <v>15.0808550838925</v>
      </c>
      <c r="AK28" s="106">
        <v>0</v>
      </c>
      <c r="AL28" s="106">
        <v>172.13191182409801</v>
      </c>
      <c r="AM28" s="106">
        <v>0</v>
      </c>
      <c r="AN28" s="106">
        <v>0</v>
      </c>
      <c r="AO28" s="106">
        <v>0</v>
      </c>
      <c r="AP28" s="106">
        <v>0</v>
      </c>
      <c r="AQ28" s="107">
        <v>0</v>
      </c>
    </row>
    <row r="29" spans="2:43" ht="12" customHeight="1" x14ac:dyDescent="0.25">
      <c r="B29" s="105" t="s">
        <v>40</v>
      </c>
      <c r="C29" s="106" t="s">
        <v>87</v>
      </c>
      <c r="D29" s="106" t="s">
        <v>41</v>
      </c>
      <c r="E29" s="106" t="s">
        <v>90</v>
      </c>
      <c r="F29" s="106" t="s">
        <v>25</v>
      </c>
      <c r="G29" s="106" t="s">
        <v>523</v>
      </c>
      <c r="H29" s="106" t="s">
        <v>73</v>
      </c>
      <c r="I29" s="106" t="s">
        <v>25</v>
      </c>
      <c r="J29" s="106">
        <v>813.6</v>
      </c>
      <c r="K29" s="106">
        <v>187.21</v>
      </c>
      <c r="L29" s="106">
        <v>0</v>
      </c>
      <c r="M29" s="106">
        <v>1.7607978971738401</v>
      </c>
      <c r="N29" s="106">
        <v>0</v>
      </c>
      <c r="O29" s="106">
        <v>0</v>
      </c>
      <c r="P29" s="106">
        <v>0</v>
      </c>
      <c r="Q29" s="106">
        <v>80.482326660094003</v>
      </c>
      <c r="R29" s="106">
        <v>13.3525024552203</v>
      </c>
      <c r="S29" s="106">
        <v>0</v>
      </c>
      <c r="T29" s="106">
        <v>0</v>
      </c>
      <c r="U29" s="106">
        <v>0</v>
      </c>
      <c r="V29" s="106">
        <v>0</v>
      </c>
      <c r="W29" s="106">
        <v>0</v>
      </c>
      <c r="X29" s="106">
        <v>176.136598278273</v>
      </c>
      <c r="Y29" s="106">
        <v>0</v>
      </c>
      <c r="Z29" s="106">
        <v>0</v>
      </c>
      <c r="AA29" s="106">
        <v>510.53919911973298</v>
      </c>
      <c r="AB29" s="106">
        <v>0</v>
      </c>
      <c r="AC29" s="106">
        <v>0</v>
      </c>
      <c r="AD29" s="106">
        <v>31.332453715090502</v>
      </c>
      <c r="AE29" s="106">
        <v>0</v>
      </c>
      <c r="AF29" s="106">
        <v>0</v>
      </c>
      <c r="AG29" s="106">
        <v>0</v>
      </c>
      <c r="AH29" s="106">
        <v>0</v>
      </c>
      <c r="AI29" s="106">
        <v>0</v>
      </c>
      <c r="AJ29" s="106">
        <v>15.0808550838925</v>
      </c>
      <c r="AK29" s="106">
        <v>0</v>
      </c>
      <c r="AL29" s="106">
        <v>172.13191182409801</v>
      </c>
      <c r="AM29" s="106">
        <v>0</v>
      </c>
      <c r="AN29" s="106">
        <v>0</v>
      </c>
      <c r="AO29" s="106">
        <v>0</v>
      </c>
      <c r="AP29" s="106">
        <v>0</v>
      </c>
      <c r="AQ29" s="107">
        <v>0</v>
      </c>
    </row>
    <row r="30" spans="2:43" ht="12" customHeight="1" x14ac:dyDescent="0.25">
      <c r="B30" s="105" t="s">
        <v>40</v>
      </c>
      <c r="C30" s="106" t="s">
        <v>87</v>
      </c>
      <c r="D30" s="106" t="s">
        <v>41</v>
      </c>
      <c r="E30" s="106" t="s">
        <v>90</v>
      </c>
      <c r="F30" s="106" t="s">
        <v>25</v>
      </c>
      <c r="G30" s="106" t="s">
        <v>36</v>
      </c>
      <c r="H30" s="106" t="s">
        <v>73</v>
      </c>
      <c r="I30" s="106" t="s">
        <v>25</v>
      </c>
      <c r="J30" s="106">
        <v>355.81</v>
      </c>
      <c r="K30" s="106">
        <v>187.21</v>
      </c>
      <c r="L30" s="106">
        <v>0</v>
      </c>
      <c r="M30" s="106">
        <v>1.7607978971738401</v>
      </c>
      <c r="N30" s="106">
        <v>0</v>
      </c>
      <c r="O30" s="106">
        <v>0</v>
      </c>
      <c r="P30" s="106">
        <v>0</v>
      </c>
      <c r="Q30" s="106">
        <v>80.482326660094003</v>
      </c>
      <c r="R30" s="106">
        <v>13.3525024552203</v>
      </c>
      <c r="S30" s="106">
        <v>0</v>
      </c>
      <c r="T30" s="106">
        <v>0</v>
      </c>
      <c r="U30" s="106">
        <v>0</v>
      </c>
      <c r="V30" s="106">
        <v>0</v>
      </c>
      <c r="W30" s="106">
        <v>0</v>
      </c>
      <c r="X30" s="106">
        <v>58.701154108993201</v>
      </c>
      <c r="Y30" s="106">
        <v>0</v>
      </c>
      <c r="Z30" s="106">
        <v>0</v>
      </c>
      <c r="AA30" s="106">
        <v>170.17969936515999</v>
      </c>
      <c r="AB30" s="106">
        <v>0</v>
      </c>
      <c r="AC30" s="106">
        <v>0</v>
      </c>
      <c r="AD30" s="106">
        <v>31.332453715090502</v>
      </c>
      <c r="AE30" s="106">
        <v>0</v>
      </c>
      <c r="AF30" s="106">
        <v>0</v>
      </c>
      <c r="AG30" s="106">
        <v>0</v>
      </c>
      <c r="AH30" s="106">
        <v>0</v>
      </c>
      <c r="AI30" s="106">
        <v>0</v>
      </c>
      <c r="AJ30" s="106">
        <v>15.0808550838925</v>
      </c>
      <c r="AK30" s="106">
        <v>0</v>
      </c>
      <c r="AL30" s="106">
        <v>172.13191182409801</v>
      </c>
      <c r="AM30" s="106">
        <v>0</v>
      </c>
      <c r="AN30" s="106">
        <v>0</v>
      </c>
      <c r="AO30" s="106">
        <v>0</v>
      </c>
      <c r="AP30" s="106">
        <v>0</v>
      </c>
      <c r="AQ30" s="107">
        <v>0</v>
      </c>
    </row>
    <row r="31" spans="2:43" ht="12" customHeight="1" x14ac:dyDescent="0.25">
      <c r="B31" s="105" t="s">
        <v>40</v>
      </c>
      <c r="C31" s="106" t="s">
        <v>87</v>
      </c>
      <c r="D31" s="106" t="s">
        <v>41</v>
      </c>
      <c r="E31" s="106" t="s">
        <v>25</v>
      </c>
      <c r="F31" s="106" t="s">
        <v>25</v>
      </c>
      <c r="G31" s="106" t="s">
        <v>35</v>
      </c>
      <c r="H31" s="106" t="s">
        <v>73</v>
      </c>
      <c r="I31" s="106" t="s">
        <v>25</v>
      </c>
      <c r="J31" s="106">
        <v>1271.43</v>
      </c>
      <c r="K31" s="106">
        <v>187.21</v>
      </c>
      <c r="L31" s="106">
        <v>0</v>
      </c>
      <c r="M31" s="106">
        <v>1.7607978971738401</v>
      </c>
      <c r="N31" s="106">
        <v>0</v>
      </c>
      <c r="O31" s="106">
        <v>0</v>
      </c>
      <c r="P31" s="106">
        <v>0</v>
      </c>
      <c r="Q31" s="106">
        <v>80.482326660094003</v>
      </c>
      <c r="R31" s="106">
        <v>13.3525024552203</v>
      </c>
      <c r="S31" s="106">
        <v>0</v>
      </c>
      <c r="T31" s="106">
        <v>0</v>
      </c>
      <c r="U31" s="106">
        <v>0</v>
      </c>
      <c r="V31" s="106">
        <v>0</v>
      </c>
      <c r="W31" s="106">
        <v>0</v>
      </c>
      <c r="X31" s="106">
        <v>293.60431398272499</v>
      </c>
      <c r="Y31" s="106">
        <v>0</v>
      </c>
      <c r="Z31" s="106">
        <v>0</v>
      </c>
      <c r="AA31" s="106">
        <v>850.89839580154501</v>
      </c>
      <c r="AB31" s="106">
        <v>0</v>
      </c>
      <c r="AC31" s="106">
        <v>0</v>
      </c>
      <c r="AD31" s="106">
        <v>31.332453715090502</v>
      </c>
      <c r="AE31" s="106">
        <v>0</v>
      </c>
      <c r="AF31" s="106">
        <v>0</v>
      </c>
      <c r="AG31" s="106">
        <v>0</v>
      </c>
      <c r="AH31" s="106">
        <v>0</v>
      </c>
      <c r="AI31" s="106">
        <v>0</v>
      </c>
      <c r="AJ31" s="106">
        <v>15.0808550838925</v>
      </c>
      <c r="AK31" s="106">
        <v>0</v>
      </c>
      <c r="AL31" s="106">
        <v>172.13191182409801</v>
      </c>
      <c r="AM31" s="106">
        <v>0</v>
      </c>
      <c r="AN31" s="106">
        <v>0</v>
      </c>
      <c r="AO31" s="106">
        <v>0</v>
      </c>
      <c r="AP31" s="106">
        <v>0</v>
      </c>
      <c r="AQ31" s="107">
        <v>0</v>
      </c>
    </row>
    <row r="32" spans="2:43" ht="12" customHeight="1" x14ac:dyDescent="0.25">
      <c r="B32" s="105" t="s">
        <v>40</v>
      </c>
      <c r="C32" s="106" t="s">
        <v>87</v>
      </c>
      <c r="D32" s="106" t="s">
        <v>41</v>
      </c>
      <c r="E32" s="106" t="s">
        <v>25</v>
      </c>
      <c r="F32" s="106" t="s">
        <v>25</v>
      </c>
      <c r="G32" s="106" t="s">
        <v>523</v>
      </c>
      <c r="H32" s="106" t="s">
        <v>73</v>
      </c>
      <c r="I32" s="106" t="s">
        <v>25</v>
      </c>
      <c r="J32" s="106">
        <v>813.6</v>
      </c>
      <c r="K32" s="106">
        <v>187.21</v>
      </c>
      <c r="L32" s="106">
        <v>0</v>
      </c>
      <c r="M32" s="106">
        <v>1.7607978971738401</v>
      </c>
      <c r="N32" s="106">
        <v>0</v>
      </c>
      <c r="O32" s="106">
        <v>0</v>
      </c>
      <c r="P32" s="106">
        <v>0</v>
      </c>
      <c r="Q32" s="106">
        <v>80.482326660094003</v>
      </c>
      <c r="R32" s="106">
        <v>13.3525024552203</v>
      </c>
      <c r="S32" s="106">
        <v>0</v>
      </c>
      <c r="T32" s="106">
        <v>0</v>
      </c>
      <c r="U32" s="106">
        <v>0</v>
      </c>
      <c r="V32" s="106">
        <v>0</v>
      </c>
      <c r="W32" s="106">
        <v>0</v>
      </c>
      <c r="X32" s="106">
        <v>176.136598278273</v>
      </c>
      <c r="Y32" s="106">
        <v>0</v>
      </c>
      <c r="Z32" s="106">
        <v>0</v>
      </c>
      <c r="AA32" s="106">
        <v>510.53919911973298</v>
      </c>
      <c r="AB32" s="106">
        <v>0</v>
      </c>
      <c r="AC32" s="106">
        <v>0</v>
      </c>
      <c r="AD32" s="106">
        <v>31.332453715090502</v>
      </c>
      <c r="AE32" s="106">
        <v>0</v>
      </c>
      <c r="AF32" s="106">
        <v>0</v>
      </c>
      <c r="AG32" s="106">
        <v>0</v>
      </c>
      <c r="AH32" s="106">
        <v>0</v>
      </c>
      <c r="AI32" s="106">
        <v>0</v>
      </c>
      <c r="AJ32" s="106">
        <v>15.0808550838925</v>
      </c>
      <c r="AK32" s="106">
        <v>0</v>
      </c>
      <c r="AL32" s="106">
        <v>172.13191182409801</v>
      </c>
      <c r="AM32" s="106">
        <v>0</v>
      </c>
      <c r="AN32" s="106">
        <v>0</v>
      </c>
      <c r="AO32" s="106">
        <v>0</v>
      </c>
      <c r="AP32" s="106">
        <v>0</v>
      </c>
      <c r="AQ32" s="107">
        <v>0</v>
      </c>
    </row>
    <row r="33" spans="2:43" ht="12" customHeight="1" x14ac:dyDescent="0.25">
      <c r="B33" s="105" t="s">
        <v>40</v>
      </c>
      <c r="C33" s="106" t="s">
        <v>87</v>
      </c>
      <c r="D33" s="106" t="s">
        <v>41</v>
      </c>
      <c r="E33" s="106" t="s">
        <v>25</v>
      </c>
      <c r="F33" s="106" t="s">
        <v>25</v>
      </c>
      <c r="G33" s="106" t="s">
        <v>36</v>
      </c>
      <c r="H33" s="106" t="s">
        <v>73</v>
      </c>
      <c r="I33" s="106" t="s">
        <v>25</v>
      </c>
      <c r="J33" s="106">
        <v>355.81</v>
      </c>
      <c r="K33" s="106">
        <v>187.21</v>
      </c>
      <c r="L33" s="106">
        <v>0</v>
      </c>
      <c r="M33" s="106">
        <v>1.7607978971738401</v>
      </c>
      <c r="N33" s="106">
        <v>0</v>
      </c>
      <c r="O33" s="106">
        <v>0</v>
      </c>
      <c r="P33" s="106">
        <v>0</v>
      </c>
      <c r="Q33" s="106">
        <v>80.482326660094003</v>
      </c>
      <c r="R33" s="106">
        <v>13.3525024552203</v>
      </c>
      <c r="S33" s="106">
        <v>0</v>
      </c>
      <c r="T33" s="106">
        <v>0</v>
      </c>
      <c r="U33" s="106">
        <v>0</v>
      </c>
      <c r="V33" s="106">
        <v>0</v>
      </c>
      <c r="W33" s="106">
        <v>0</v>
      </c>
      <c r="X33" s="106">
        <v>58.701154108993201</v>
      </c>
      <c r="Y33" s="106">
        <v>0</v>
      </c>
      <c r="Z33" s="106">
        <v>0</v>
      </c>
      <c r="AA33" s="106">
        <v>170.17969936515999</v>
      </c>
      <c r="AB33" s="106">
        <v>0</v>
      </c>
      <c r="AC33" s="106">
        <v>0</v>
      </c>
      <c r="AD33" s="106">
        <v>31.332453715090502</v>
      </c>
      <c r="AE33" s="106">
        <v>0</v>
      </c>
      <c r="AF33" s="106">
        <v>0</v>
      </c>
      <c r="AG33" s="106">
        <v>0</v>
      </c>
      <c r="AH33" s="106">
        <v>0</v>
      </c>
      <c r="AI33" s="106">
        <v>0</v>
      </c>
      <c r="AJ33" s="106">
        <v>15.0808550838925</v>
      </c>
      <c r="AK33" s="106">
        <v>0</v>
      </c>
      <c r="AL33" s="106">
        <v>172.13191182409801</v>
      </c>
      <c r="AM33" s="106">
        <v>0</v>
      </c>
      <c r="AN33" s="106">
        <v>0</v>
      </c>
      <c r="AO33" s="106">
        <v>0</v>
      </c>
      <c r="AP33" s="106">
        <v>0</v>
      </c>
      <c r="AQ33" s="107">
        <v>0</v>
      </c>
    </row>
    <row r="34" spans="2:43" ht="12" customHeight="1" x14ac:dyDescent="0.25">
      <c r="B34" s="105" t="s">
        <v>40</v>
      </c>
      <c r="C34" s="106" t="s">
        <v>87</v>
      </c>
      <c r="D34" s="106" t="s">
        <v>41</v>
      </c>
      <c r="E34" s="106" t="s">
        <v>91</v>
      </c>
      <c r="F34" s="106" t="s">
        <v>25</v>
      </c>
      <c r="G34" s="106" t="s">
        <v>35</v>
      </c>
      <c r="H34" s="106" t="s">
        <v>73</v>
      </c>
      <c r="I34" s="106" t="s">
        <v>25</v>
      </c>
      <c r="J34" s="106">
        <v>1244.3800000000001</v>
      </c>
      <c r="K34" s="106">
        <v>183.23</v>
      </c>
      <c r="L34" s="106">
        <v>0</v>
      </c>
      <c r="M34" s="106">
        <v>1.72333411212759</v>
      </c>
      <c r="N34" s="106">
        <v>0</v>
      </c>
      <c r="O34" s="106">
        <v>0</v>
      </c>
      <c r="P34" s="106">
        <v>0</v>
      </c>
      <c r="Q34" s="106">
        <v>78.769936731155894</v>
      </c>
      <c r="R34" s="106">
        <v>13.0684066583008</v>
      </c>
      <c r="S34" s="106">
        <v>0</v>
      </c>
      <c r="T34" s="106">
        <v>0</v>
      </c>
      <c r="U34" s="106">
        <v>0</v>
      </c>
      <c r="V34" s="106">
        <v>0</v>
      </c>
      <c r="W34" s="106">
        <v>0</v>
      </c>
      <c r="X34" s="106">
        <v>287.35741368522002</v>
      </c>
      <c r="Y34" s="106">
        <v>0</v>
      </c>
      <c r="Z34" s="106">
        <v>0</v>
      </c>
      <c r="AA34" s="106">
        <v>832.79417461427795</v>
      </c>
      <c r="AB34" s="106">
        <v>0</v>
      </c>
      <c r="AC34" s="106">
        <v>0</v>
      </c>
      <c r="AD34" s="106">
        <v>30.665805763705599</v>
      </c>
      <c r="AE34" s="106">
        <v>0</v>
      </c>
      <c r="AF34" s="106">
        <v>0</v>
      </c>
      <c r="AG34" s="106">
        <v>0</v>
      </c>
      <c r="AH34" s="106">
        <v>0</v>
      </c>
      <c r="AI34" s="106">
        <v>0</v>
      </c>
      <c r="AJ34" s="106">
        <v>14.7599858267884</v>
      </c>
      <c r="AK34" s="106">
        <v>0</v>
      </c>
      <c r="AL34" s="106">
        <v>168.469530721458</v>
      </c>
      <c r="AM34" s="106">
        <v>0</v>
      </c>
      <c r="AN34" s="106">
        <v>0</v>
      </c>
      <c r="AO34" s="106">
        <v>0</v>
      </c>
      <c r="AP34" s="106">
        <v>0</v>
      </c>
      <c r="AQ34" s="107">
        <v>0</v>
      </c>
    </row>
    <row r="35" spans="2:43" ht="12" customHeight="1" x14ac:dyDescent="0.25">
      <c r="B35" s="105" t="s">
        <v>40</v>
      </c>
      <c r="C35" s="106" t="s">
        <v>87</v>
      </c>
      <c r="D35" s="106" t="s">
        <v>41</v>
      </c>
      <c r="E35" s="106" t="s">
        <v>91</v>
      </c>
      <c r="F35" s="106" t="s">
        <v>25</v>
      </c>
      <c r="G35" s="106" t="s">
        <v>523</v>
      </c>
      <c r="H35" s="106" t="s">
        <v>73</v>
      </c>
      <c r="I35" s="106" t="s">
        <v>25</v>
      </c>
      <c r="J35" s="106">
        <v>796.29</v>
      </c>
      <c r="K35" s="106">
        <v>183.23</v>
      </c>
      <c r="L35" s="106">
        <v>0</v>
      </c>
      <c r="M35" s="106">
        <v>1.72333411212759</v>
      </c>
      <c r="N35" s="106">
        <v>0</v>
      </c>
      <c r="O35" s="106">
        <v>0</v>
      </c>
      <c r="P35" s="106">
        <v>0</v>
      </c>
      <c r="Q35" s="106">
        <v>78.769936731155894</v>
      </c>
      <c r="R35" s="106">
        <v>13.0684066583008</v>
      </c>
      <c r="S35" s="106">
        <v>0</v>
      </c>
      <c r="T35" s="106">
        <v>0</v>
      </c>
      <c r="U35" s="106">
        <v>0</v>
      </c>
      <c r="V35" s="106">
        <v>0</v>
      </c>
      <c r="W35" s="106">
        <v>0</v>
      </c>
      <c r="X35" s="106">
        <v>172.38901108086301</v>
      </c>
      <c r="Y35" s="106">
        <v>0</v>
      </c>
      <c r="Z35" s="106">
        <v>0</v>
      </c>
      <c r="AA35" s="106">
        <v>499.67666296824899</v>
      </c>
      <c r="AB35" s="106">
        <v>0</v>
      </c>
      <c r="AC35" s="106">
        <v>0</v>
      </c>
      <c r="AD35" s="106">
        <v>30.665805763705599</v>
      </c>
      <c r="AE35" s="106">
        <v>0</v>
      </c>
      <c r="AF35" s="106">
        <v>0</v>
      </c>
      <c r="AG35" s="106">
        <v>0</v>
      </c>
      <c r="AH35" s="106">
        <v>0</v>
      </c>
      <c r="AI35" s="106">
        <v>0</v>
      </c>
      <c r="AJ35" s="106">
        <v>14.7599858267884</v>
      </c>
      <c r="AK35" s="106">
        <v>0</v>
      </c>
      <c r="AL35" s="106">
        <v>168.469530721458</v>
      </c>
      <c r="AM35" s="106">
        <v>0</v>
      </c>
      <c r="AN35" s="106">
        <v>0</v>
      </c>
      <c r="AO35" s="106">
        <v>0</v>
      </c>
      <c r="AP35" s="106">
        <v>0</v>
      </c>
      <c r="AQ35" s="107">
        <v>0</v>
      </c>
    </row>
    <row r="36" spans="2:43" ht="12" customHeight="1" x14ac:dyDescent="0.25">
      <c r="B36" s="105" t="s">
        <v>40</v>
      </c>
      <c r="C36" s="106" t="s">
        <v>87</v>
      </c>
      <c r="D36" s="106" t="s">
        <v>41</v>
      </c>
      <c r="E36" s="106" t="s">
        <v>91</v>
      </c>
      <c r="F36" s="106" t="s">
        <v>25</v>
      </c>
      <c r="G36" s="106" t="s">
        <v>36</v>
      </c>
      <c r="H36" s="106" t="s">
        <v>73</v>
      </c>
      <c r="I36" s="106" t="s">
        <v>25</v>
      </c>
      <c r="J36" s="106">
        <v>348.24</v>
      </c>
      <c r="K36" s="106">
        <v>183.23</v>
      </c>
      <c r="L36" s="106">
        <v>0</v>
      </c>
      <c r="M36" s="106">
        <v>1.72333411212759</v>
      </c>
      <c r="N36" s="106">
        <v>0</v>
      </c>
      <c r="O36" s="106">
        <v>0</v>
      </c>
      <c r="P36" s="106">
        <v>0</v>
      </c>
      <c r="Q36" s="106">
        <v>78.769936731155894</v>
      </c>
      <c r="R36" s="106">
        <v>13.0684066583008</v>
      </c>
      <c r="S36" s="106">
        <v>0</v>
      </c>
      <c r="T36" s="106">
        <v>0</v>
      </c>
      <c r="U36" s="106">
        <v>0</v>
      </c>
      <c r="V36" s="106">
        <v>0</v>
      </c>
      <c r="W36" s="106">
        <v>0</v>
      </c>
      <c r="X36" s="106">
        <v>57.45219338327</v>
      </c>
      <c r="Y36" s="106">
        <v>0</v>
      </c>
      <c r="Z36" s="106">
        <v>0</v>
      </c>
      <c r="AA36" s="106">
        <v>166.558854697816</v>
      </c>
      <c r="AB36" s="106">
        <v>0</v>
      </c>
      <c r="AC36" s="106">
        <v>0</v>
      </c>
      <c r="AD36" s="106">
        <v>30.665805763705599</v>
      </c>
      <c r="AE36" s="106">
        <v>0</v>
      </c>
      <c r="AF36" s="106">
        <v>0</v>
      </c>
      <c r="AG36" s="106">
        <v>0</v>
      </c>
      <c r="AH36" s="106">
        <v>0</v>
      </c>
      <c r="AI36" s="106">
        <v>0</v>
      </c>
      <c r="AJ36" s="106">
        <v>14.7599858267884</v>
      </c>
      <c r="AK36" s="106">
        <v>0</v>
      </c>
      <c r="AL36" s="106">
        <v>168.469530721458</v>
      </c>
      <c r="AM36" s="106">
        <v>0</v>
      </c>
      <c r="AN36" s="106">
        <v>0</v>
      </c>
      <c r="AO36" s="106">
        <v>0</v>
      </c>
      <c r="AP36" s="106">
        <v>0</v>
      </c>
      <c r="AQ36" s="107">
        <v>0</v>
      </c>
    </row>
    <row r="37" spans="2:43" ht="12" customHeight="1" x14ac:dyDescent="0.25">
      <c r="B37" s="105" t="s">
        <v>40</v>
      </c>
      <c r="C37" s="106" t="s">
        <v>23</v>
      </c>
      <c r="D37" s="106" t="s">
        <v>41</v>
      </c>
      <c r="E37" s="106" t="s">
        <v>90</v>
      </c>
      <c r="F37" s="106" t="s">
        <v>25</v>
      </c>
      <c r="G37" s="106" t="s">
        <v>25</v>
      </c>
      <c r="H37" s="106" t="s">
        <v>73</v>
      </c>
      <c r="I37" s="106" t="s">
        <v>25</v>
      </c>
      <c r="J37" s="106">
        <v>592.73</v>
      </c>
      <c r="K37" s="106">
        <v>187.21</v>
      </c>
      <c r="L37" s="106">
        <v>0</v>
      </c>
      <c r="M37" s="106">
        <v>1.7607978971738401</v>
      </c>
      <c r="N37" s="106">
        <v>0</v>
      </c>
      <c r="O37" s="106">
        <v>0</v>
      </c>
      <c r="P37" s="106">
        <v>0</v>
      </c>
      <c r="Q37" s="106">
        <v>80.482326660094003</v>
      </c>
      <c r="R37" s="106">
        <v>13.3525024552203</v>
      </c>
      <c r="S37" s="106">
        <v>0</v>
      </c>
      <c r="T37" s="106">
        <v>0</v>
      </c>
      <c r="U37" s="106">
        <v>0</v>
      </c>
      <c r="V37" s="106">
        <v>0</v>
      </c>
      <c r="W37" s="106">
        <v>0</v>
      </c>
      <c r="X37" s="106">
        <v>119.48747199357</v>
      </c>
      <c r="Y37" s="106">
        <v>0</v>
      </c>
      <c r="Z37" s="106">
        <v>0</v>
      </c>
      <c r="AA37" s="106">
        <v>346.31609179999401</v>
      </c>
      <c r="AB37" s="106">
        <v>0</v>
      </c>
      <c r="AC37" s="106">
        <v>0</v>
      </c>
      <c r="AD37" s="106">
        <v>31.332453715090502</v>
      </c>
      <c r="AE37" s="106">
        <v>0</v>
      </c>
      <c r="AF37" s="106">
        <v>0</v>
      </c>
      <c r="AG37" s="106">
        <v>0</v>
      </c>
      <c r="AH37" s="106">
        <v>0</v>
      </c>
      <c r="AI37" s="106">
        <v>0</v>
      </c>
      <c r="AJ37" s="106">
        <v>15.0808550838925</v>
      </c>
      <c r="AK37" s="106">
        <v>0</v>
      </c>
      <c r="AL37" s="106">
        <v>172.13191182409801</v>
      </c>
      <c r="AM37" s="106">
        <v>0</v>
      </c>
      <c r="AN37" s="106">
        <v>0</v>
      </c>
      <c r="AO37" s="106">
        <v>0</v>
      </c>
      <c r="AP37" s="106">
        <v>0</v>
      </c>
      <c r="AQ37" s="107">
        <v>0</v>
      </c>
    </row>
    <row r="38" spans="2:43" ht="12" customHeight="1" x14ac:dyDescent="0.25">
      <c r="B38" s="105" t="s">
        <v>40</v>
      </c>
      <c r="C38" s="106" t="s">
        <v>23</v>
      </c>
      <c r="D38" s="106" t="s">
        <v>41</v>
      </c>
      <c r="E38" s="106" t="s">
        <v>25</v>
      </c>
      <c r="F38" s="106" t="s">
        <v>25</v>
      </c>
      <c r="G38" s="106" t="s">
        <v>25</v>
      </c>
      <c r="H38" s="106" t="s">
        <v>73</v>
      </c>
      <c r="I38" s="106" t="s">
        <v>25</v>
      </c>
      <c r="J38" s="106">
        <v>592.73</v>
      </c>
      <c r="K38" s="106">
        <v>187.21</v>
      </c>
      <c r="L38" s="106">
        <v>0</v>
      </c>
      <c r="M38" s="106">
        <v>1.7607978971738401</v>
      </c>
      <c r="N38" s="106">
        <v>0</v>
      </c>
      <c r="O38" s="106">
        <v>0</v>
      </c>
      <c r="P38" s="106">
        <v>0</v>
      </c>
      <c r="Q38" s="106">
        <v>80.482326660094003</v>
      </c>
      <c r="R38" s="106">
        <v>13.3525024552203</v>
      </c>
      <c r="S38" s="106">
        <v>0</v>
      </c>
      <c r="T38" s="106">
        <v>0</v>
      </c>
      <c r="U38" s="106">
        <v>0</v>
      </c>
      <c r="V38" s="106">
        <v>0</v>
      </c>
      <c r="W38" s="106">
        <v>0</v>
      </c>
      <c r="X38" s="106">
        <v>119.48747199357</v>
      </c>
      <c r="Y38" s="106">
        <v>0</v>
      </c>
      <c r="Z38" s="106">
        <v>0</v>
      </c>
      <c r="AA38" s="106">
        <v>346.31609179999401</v>
      </c>
      <c r="AB38" s="106">
        <v>0</v>
      </c>
      <c r="AC38" s="106">
        <v>0</v>
      </c>
      <c r="AD38" s="106">
        <v>31.332453715090502</v>
      </c>
      <c r="AE38" s="106">
        <v>0</v>
      </c>
      <c r="AF38" s="106">
        <v>0</v>
      </c>
      <c r="AG38" s="106">
        <v>0</v>
      </c>
      <c r="AH38" s="106">
        <v>0</v>
      </c>
      <c r="AI38" s="106">
        <v>0</v>
      </c>
      <c r="AJ38" s="106">
        <v>15.0808550838925</v>
      </c>
      <c r="AK38" s="106">
        <v>0</v>
      </c>
      <c r="AL38" s="106">
        <v>172.13191182409801</v>
      </c>
      <c r="AM38" s="106">
        <v>0</v>
      </c>
      <c r="AN38" s="106">
        <v>0</v>
      </c>
      <c r="AO38" s="106">
        <v>0</v>
      </c>
      <c r="AP38" s="106">
        <v>0</v>
      </c>
      <c r="AQ38" s="107">
        <v>0</v>
      </c>
    </row>
    <row r="39" spans="2:43" ht="12" customHeight="1" x14ac:dyDescent="0.25">
      <c r="B39" s="105" t="s">
        <v>40</v>
      </c>
      <c r="C39" s="106" t="s">
        <v>23</v>
      </c>
      <c r="D39" s="106" t="s">
        <v>41</v>
      </c>
      <c r="E39" s="106" t="s">
        <v>91</v>
      </c>
      <c r="F39" s="106" t="s">
        <v>25</v>
      </c>
      <c r="G39" s="106" t="s">
        <v>25</v>
      </c>
      <c r="H39" s="106" t="s">
        <v>73</v>
      </c>
      <c r="I39" s="106" t="s">
        <v>25</v>
      </c>
      <c r="J39" s="106">
        <v>580.12</v>
      </c>
      <c r="K39" s="106">
        <v>183.23</v>
      </c>
      <c r="L39" s="106">
        <v>0</v>
      </c>
      <c r="M39" s="106">
        <v>1.72333411212759</v>
      </c>
      <c r="N39" s="106">
        <v>0</v>
      </c>
      <c r="O39" s="106">
        <v>0</v>
      </c>
      <c r="P39" s="106">
        <v>0</v>
      </c>
      <c r="Q39" s="106">
        <v>78.769936731155894</v>
      </c>
      <c r="R39" s="106">
        <v>13.0684066583008</v>
      </c>
      <c r="S39" s="106">
        <v>0</v>
      </c>
      <c r="T39" s="106">
        <v>0</v>
      </c>
      <c r="U39" s="106">
        <v>0</v>
      </c>
      <c r="V39" s="106">
        <v>0</v>
      </c>
      <c r="W39" s="106">
        <v>0</v>
      </c>
      <c r="X39" s="106">
        <v>116.945185355409</v>
      </c>
      <c r="Y39" s="106">
        <v>0</v>
      </c>
      <c r="Z39" s="106">
        <v>0</v>
      </c>
      <c r="AA39" s="106">
        <v>338.94766431488699</v>
      </c>
      <c r="AB39" s="106">
        <v>0</v>
      </c>
      <c r="AC39" s="106">
        <v>0</v>
      </c>
      <c r="AD39" s="106">
        <v>30.665805763705599</v>
      </c>
      <c r="AE39" s="106">
        <v>0</v>
      </c>
      <c r="AF39" s="106">
        <v>0</v>
      </c>
      <c r="AG39" s="106">
        <v>0</v>
      </c>
      <c r="AH39" s="106">
        <v>0</v>
      </c>
      <c r="AI39" s="106">
        <v>0</v>
      </c>
      <c r="AJ39" s="106">
        <v>14.7599858267884</v>
      </c>
      <c r="AK39" s="106">
        <v>0</v>
      </c>
      <c r="AL39" s="106">
        <v>168.469530721458</v>
      </c>
      <c r="AM39" s="106">
        <v>0</v>
      </c>
      <c r="AN39" s="106">
        <v>0</v>
      </c>
      <c r="AO39" s="106">
        <v>0</v>
      </c>
      <c r="AP39" s="106">
        <v>0</v>
      </c>
      <c r="AQ39" s="107">
        <v>0</v>
      </c>
    </row>
    <row r="40" spans="2:43" ht="12" customHeight="1" x14ac:dyDescent="0.25">
      <c r="B40" s="105" t="s">
        <v>40</v>
      </c>
      <c r="C40" s="106" t="s">
        <v>89</v>
      </c>
      <c r="D40" s="106" t="s">
        <v>41</v>
      </c>
      <c r="E40" s="106" t="s">
        <v>90</v>
      </c>
      <c r="F40" s="106" t="s">
        <v>25</v>
      </c>
      <c r="G40" s="106" t="s">
        <v>25</v>
      </c>
      <c r="H40" s="106" t="s">
        <v>73</v>
      </c>
      <c r="I40" s="106" t="s">
        <v>25</v>
      </c>
      <c r="J40" s="106">
        <v>592.73</v>
      </c>
      <c r="K40" s="106">
        <v>187.21</v>
      </c>
      <c r="L40" s="106">
        <v>0</v>
      </c>
      <c r="M40" s="106">
        <v>1.7607978971738401</v>
      </c>
      <c r="N40" s="106">
        <v>0</v>
      </c>
      <c r="O40" s="106">
        <v>0</v>
      </c>
      <c r="P40" s="106">
        <v>0</v>
      </c>
      <c r="Q40" s="106">
        <v>80.482326660094003</v>
      </c>
      <c r="R40" s="106">
        <v>13.3525024552203</v>
      </c>
      <c r="S40" s="106">
        <v>0</v>
      </c>
      <c r="T40" s="106">
        <v>0</v>
      </c>
      <c r="U40" s="106">
        <v>0</v>
      </c>
      <c r="V40" s="106">
        <v>0</v>
      </c>
      <c r="W40" s="106">
        <v>0</v>
      </c>
      <c r="X40" s="106">
        <v>119.48747199357</v>
      </c>
      <c r="Y40" s="106">
        <v>0</v>
      </c>
      <c r="Z40" s="106">
        <v>0</v>
      </c>
      <c r="AA40" s="106">
        <v>346.31609179999401</v>
      </c>
      <c r="AB40" s="106">
        <v>0</v>
      </c>
      <c r="AC40" s="106">
        <v>0</v>
      </c>
      <c r="AD40" s="106">
        <v>31.332453715090502</v>
      </c>
      <c r="AE40" s="106">
        <v>0</v>
      </c>
      <c r="AF40" s="106">
        <v>0</v>
      </c>
      <c r="AG40" s="106">
        <v>0</v>
      </c>
      <c r="AH40" s="106">
        <v>0</v>
      </c>
      <c r="AI40" s="106">
        <v>0</v>
      </c>
      <c r="AJ40" s="106">
        <v>15.0808550838925</v>
      </c>
      <c r="AK40" s="106">
        <v>0</v>
      </c>
      <c r="AL40" s="106">
        <v>172.13191182409801</v>
      </c>
      <c r="AM40" s="106">
        <v>0</v>
      </c>
      <c r="AN40" s="106">
        <v>0</v>
      </c>
      <c r="AO40" s="106">
        <v>0</v>
      </c>
      <c r="AP40" s="106">
        <v>0</v>
      </c>
      <c r="AQ40" s="107">
        <v>0</v>
      </c>
    </row>
    <row r="41" spans="2:43" ht="12" customHeight="1" x14ac:dyDescent="0.25">
      <c r="B41" s="105" t="s">
        <v>40</v>
      </c>
      <c r="C41" s="106" t="s">
        <v>89</v>
      </c>
      <c r="D41" s="106" t="s">
        <v>41</v>
      </c>
      <c r="E41" s="106" t="s">
        <v>25</v>
      </c>
      <c r="F41" s="106" t="s">
        <v>25</v>
      </c>
      <c r="G41" s="106" t="s">
        <v>25</v>
      </c>
      <c r="H41" s="106" t="s">
        <v>73</v>
      </c>
      <c r="I41" s="106" t="s">
        <v>25</v>
      </c>
      <c r="J41" s="106">
        <v>592.73</v>
      </c>
      <c r="K41" s="106">
        <v>187.21</v>
      </c>
      <c r="L41" s="106">
        <v>0</v>
      </c>
      <c r="M41" s="106">
        <v>1.7607978971738401</v>
      </c>
      <c r="N41" s="106">
        <v>0</v>
      </c>
      <c r="O41" s="106">
        <v>0</v>
      </c>
      <c r="P41" s="106">
        <v>0</v>
      </c>
      <c r="Q41" s="106">
        <v>80.482326660094003</v>
      </c>
      <c r="R41" s="106">
        <v>13.3525024552203</v>
      </c>
      <c r="S41" s="106">
        <v>0</v>
      </c>
      <c r="T41" s="106">
        <v>0</v>
      </c>
      <c r="U41" s="106">
        <v>0</v>
      </c>
      <c r="V41" s="106">
        <v>0</v>
      </c>
      <c r="W41" s="106">
        <v>0</v>
      </c>
      <c r="X41" s="106">
        <v>119.48747199357</v>
      </c>
      <c r="Y41" s="106">
        <v>0</v>
      </c>
      <c r="Z41" s="106">
        <v>0</v>
      </c>
      <c r="AA41" s="106">
        <v>346.31609179999401</v>
      </c>
      <c r="AB41" s="106">
        <v>0</v>
      </c>
      <c r="AC41" s="106">
        <v>0</v>
      </c>
      <c r="AD41" s="106">
        <v>31.332453715090502</v>
      </c>
      <c r="AE41" s="106">
        <v>0</v>
      </c>
      <c r="AF41" s="106">
        <v>0</v>
      </c>
      <c r="AG41" s="106">
        <v>0</v>
      </c>
      <c r="AH41" s="106">
        <v>0</v>
      </c>
      <c r="AI41" s="106">
        <v>0</v>
      </c>
      <c r="AJ41" s="106">
        <v>15.0808550838925</v>
      </c>
      <c r="AK41" s="106">
        <v>0</v>
      </c>
      <c r="AL41" s="106">
        <v>172.13191182409801</v>
      </c>
      <c r="AM41" s="106">
        <v>0</v>
      </c>
      <c r="AN41" s="106">
        <v>0</v>
      </c>
      <c r="AO41" s="106">
        <v>0</v>
      </c>
      <c r="AP41" s="106">
        <v>0</v>
      </c>
      <c r="AQ41" s="107">
        <v>0</v>
      </c>
    </row>
    <row r="42" spans="2:43" ht="12" customHeight="1" x14ac:dyDescent="0.25">
      <c r="B42" s="105" t="s">
        <v>40</v>
      </c>
      <c r="C42" s="106" t="s">
        <v>89</v>
      </c>
      <c r="D42" s="106" t="s">
        <v>41</v>
      </c>
      <c r="E42" s="106" t="s">
        <v>91</v>
      </c>
      <c r="F42" s="106" t="s">
        <v>25</v>
      </c>
      <c r="G42" s="106" t="s">
        <v>25</v>
      </c>
      <c r="H42" s="106" t="s">
        <v>73</v>
      </c>
      <c r="I42" s="106" t="s">
        <v>25</v>
      </c>
      <c r="J42" s="106">
        <v>580.12</v>
      </c>
      <c r="K42" s="106">
        <v>183.23</v>
      </c>
      <c r="L42" s="106">
        <v>0</v>
      </c>
      <c r="M42" s="106">
        <v>1.72333411212759</v>
      </c>
      <c r="N42" s="106">
        <v>0</v>
      </c>
      <c r="O42" s="106">
        <v>0</v>
      </c>
      <c r="P42" s="106">
        <v>0</v>
      </c>
      <c r="Q42" s="106">
        <v>78.769936731155894</v>
      </c>
      <c r="R42" s="106">
        <v>13.0684066583008</v>
      </c>
      <c r="S42" s="106">
        <v>0</v>
      </c>
      <c r="T42" s="106">
        <v>0</v>
      </c>
      <c r="U42" s="106">
        <v>0</v>
      </c>
      <c r="V42" s="106">
        <v>0</v>
      </c>
      <c r="W42" s="106">
        <v>0</v>
      </c>
      <c r="X42" s="106">
        <v>116.945185355409</v>
      </c>
      <c r="Y42" s="106">
        <v>0</v>
      </c>
      <c r="Z42" s="106">
        <v>0</v>
      </c>
      <c r="AA42" s="106">
        <v>338.94766431488699</v>
      </c>
      <c r="AB42" s="106">
        <v>0</v>
      </c>
      <c r="AC42" s="106">
        <v>0</v>
      </c>
      <c r="AD42" s="106">
        <v>30.665805763705599</v>
      </c>
      <c r="AE42" s="106">
        <v>0</v>
      </c>
      <c r="AF42" s="106">
        <v>0</v>
      </c>
      <c r="AG42" s="106">
        <v>0</v>
      </c>
      <c r="AH42" s="106">
        <v>0</v>
      </c>
      <c r="AI42" s="106">
        <v>0</v>
      </c>
      <c r="AJ42" s="106">
        <v>14.7599858267884</v>
      </c>
      <c r="AK42" s="106">
        <v>0</v>
      </c>
      <c r="AL42" s="106">
        <v>168.469530721458</v>
      </c>
      <c r="AM42" s="106">
        <v>0</v>
      </c>
      <c r="AN42" s="106">
        <v>0</v>
      </c>
      <c r="AO42" s="106">
        <v>0</v>
      </c>
      <c r="AP42" s="106">
        <v>0</v>
      </c>
      <c r="AQ42" s="107">
        <v>0</v>
      </c>
    </row>
    <row r="43" spans="2:43" ht="12" customHeight="1" x14ac:dyDescent="0.25">
      <c r="B43" s="105" t="s">
        <v>37</v>
      </c>
      <c r="C43" s="106" t="s">
        <v>87</v>
      </c>
      <c r="D43" s="106" t="s">
        <v>25</v>
      </c>
      <c r="E43" s="106" t="s">
        <v>25</v>
      </c>
      <c r="F43" s="106" t="s">
        <v>25</v>
      </c>
      <c r="G43" s="106" t="s">
        <v>35</v>
      </c>
      <c r="H43" s="106" t="s">
        <v>73</v>
      </c>
      <c r="I43" s="106" t="s">
        <v>25</v>
      </c>
      <c r="J43" s="106">
        <v>1753.93</v>
      </c>
      <c r="K43" s="106">
        <v>199.16</v>
      </c>
      <c r="L43" s="106">
        <v>0</v>
      </c>
      <c r="M43" s="106">
        <v>1.8731892523125899</v>
      </c>
      <c r="N43" s="106">
        <v>0</v>
      </c>
      <c r="O43" s="106">
        <v>0</v>
      </c>
      <c r="P43" s="106">
        <v>0</v>
      </c>
      <c r="Q43" s="106">
        <v>85.619496446908499</v>
      </c>
      <c r="R43" s="106">
        <v>14.2047898459791</v>
      </c>
      <c r="S43" s="106">
        <v>0</v>
      </c>
      <c r="T43" s="106">
        <v>0</v>
      </c>
      <c r="U43" s="106">
        <v>0</v>
      </c>
      <c r="V43" s="106">
        <v>0</v>
      </c>
      <c r="W43" s="106">
        <v>0</v>
      </c>
      <c r="X43" s="106">
        <v>415.26877404021798</v>
      </c>
      <c r="Y43" s="106">
        <v>0</v>
      </c>
      <c r="Z43" s="106">
        <v>0</v>
      </c>
      <c r="AA43" s="106">
        <v>1203.63219088144</v>
      </c>
      <c r="AB43" s="106">
        <v>0</v>
      </c>
      <c r="AC43" s="106">
        <v>0</v>
      </c>
      <c r="AD43" s="106">
        <v>33.332397569245302</v>
      </c>
      <c r="AE43" s="106">
        <v>0</v>
      </c>
      <c r="AF43" s="106">
        <v>0</v>
      </c>
      <c r="AG43" s="106">
        <v>0</v>
      </c>
      <c r="AH43" s="106">
        <v>0</v>
      </c>
      <c r="AI43" s="106">
        <v>0</v>
      </c>
      <c r="AJ43" s="106">
        <v>16.043462855204801</v>
      </c>
      <c r="AK43" s="106">
        <v>0</v>
      </c>
      <c r="AL43" s="106">
        <v>183.11905513201901</v>
      </c>
      <c r="AM43" s="106">
        <v>0</v>
      </c>
      <c r="AN43" s="106">
        <v>0</v>
      </c>
      <c r="AO43" s="106">
        <v>0</v>
      </c>
      <c r="AP43" s="106">
        <v>0</v>
      </c>
      <c r="AQ43" s="107">
        <v>0</v>
      </c>
    </row>
    <row r="44" spans="2:43" ht="12" customHeight="1" x14ac:dyDescent="0.25">
      <c r="B44" s="105" t="s">
        <v>37</v>
      </c>
      <c r="C44" s="106" t="s">
        <v>87</v>
      </c>
      <c r="D44" s="106" t="s">
        <v>25</v>
      </c>
      <c r="E44" s="106" t="s">
        <v>25</v>
      </c>
      <c r="F44" s="106" t="s">
        <v>25</v>
      </c>
      <c r="G44" s="106" t="s">
        <v>523</v>
      </c>
      <c r="H44" s="106" t="s">
        <v>73</v>
      </c>
      <c r="I44" s="106" t="s">
        <v>25</v>
      </c>
      <c r="J44" s="106">
        <v>1106.3599999999999</v>
      </c>
      <c r="K44" s="106">
        <v>199.16</v>
      </c>
      <c r="L44" s="106">
        <v>0</v>
      </c>
      <c r="M44" s="106">
        <v>1.8731892523125899</v>
      </c>
      <c r="N44" s="106">
        <v>0</v>
      </c>
      <c r="O44" s="106">
        <v>0</v>
      </c>
      <c r="P44" s="106">
        <v>0</v>
      </c>
      <c r="Q44" s="106">
        <v>85.619496446908499</v>
      </c>
      <c r="R44" s="106">
        <v>14.2047898459791</v>
      </c>
      <c r="S44" s="106">
        <v>0</v>
      </c>
      <c r="T44" s="106">
        <v>0</v>
      </c>
      <c r="U44" s="106">
        <v>0</v>
      </c>
      <c r="V44" s="106">
        <v>0</v>
      </c>
      <c r="W44" s="106">
        <v>0</v>
      </c>
      <c r="X44" s="106">
        <v>249.14740924375701</v>
      </c>
      <c r="Y44" s="106">
        <v>0</v>
      </c>
      <c r="Z44" s="106">
        <v>0</v>
      </c>
      <c r="AA44" s="106">
        <v>722.17918556173004</v>
      </c>
      <c r="AB44" s="106">
        <v>0</v>
      </c>
      <c r="AC44" s="106">
        <v>0</v>
      </c>
      <c r="AD44" s="106">
        <v>33.332397569245302</v>
      </c>
      <c r="AE44" s="106">
        <v>0</v>
      </c>
      <c r="AF44" s="106">
        <v>0</v>
      </c>
      <c r="AG44" s="106">
        <v>0</v>
      </c>
      <c r="AH44" s="106">
        <v>0</v>
      </c>
      <c r="AI44" s="106">
        <v>0</v>
      </c>
      <c r="AJ44" s="106">
        <v>16.043462855204801</v>
      </c>
      <c r="AK44" s="106">
        <v>0</v>
      </c>
      <c r="AL44" s="106">
        <v>183.11905513201901</v>
      </c>
      <c r="AM44" s="106">
        <v>0</v>
      </c>
      <c r="AN44" s="106">
        <v>0</v>
      </c>
      <c r="AO44" s="106">
        <v>0</v>
      </c>
      <c r="AP44" s="106">
        <v>0</v>
      </c>
      <c r="AQ44" s="107">
        <v>0</v>
      </c>
    </row>
    <row r="45" spans="2:43" ht="12" customHeight="1" x14ac:dyDescent="0.25">
      <c r="B45" s="105" t="s">
        <v>37</v>
      </c>
      <c r="C45" s="106" t="s">
        <v>87</v>
      </c>
      <c r="D45" s="106" t="s">
        <v>25</v>
      </c>
      <c r="E45" s="106" t="s">
        <v>25</v>
      </c>
      <c r="F45" s="106" t="s">
        <v>25</v>
      </c>
      <c r="G45" s="106" t="s">
        <v>36</v>
      </c>
      <c r="H45" s="106" t="s">
        <v>73</v>
      </c>
      <c r="I45" s="106" t="s">
        <v>25</v>
      </c>
      <c r="J45" s="106">
        <v>458.78</v>
      </c>
      <c r="K45" s="106">
        <v>199.16</v>
      </c>
      <c r="L45" s="106">
        <v>0</v>
      </c>
      <c r="M45" s="106">
        <v>1.8731892523125899</v>
      </c>
      <c r="N45" s="106">
        <v>0</v>
      </c>
      <c r="O45" s="106">
        <v>0</v>
      </c>
      <c r="P45" s="106">
        <v>0</v>
      </c>
      <c r="Q45" s="106">
        <v>85.619496446908499</v>
      </c>
      <c r="R45" s="106">
        <v>14.2047898459791</v>
      </c>
      <c r="S45" s="106">
        <v>0</v>
      </c>
      <c r="T45" s="106">
        <v>0</v>
      </c>
      <c r="U45" s="106">
        <v>0</v>
      </c>
      <c r="V45" s="106">
        <v>0</v>
      </c>
      <c r="W45" s="106">
        <v>0</v>
      </c>
      <c r="X45" s="106">
        <v>83.026453154680794</v>
      </c>
      <c r="Y45" s="106">
        <v>0</v>
      </c>
      <c r="Z45" s="106">
        <v>0</v>
      </c>
      <c r="AA45" s="106">
        <v>240.726287714633</v>
      </c>
      <c r="AB45" s="106">
        <v>0</v>
      </c>
      <c r="AC45" s="106">
        <v>0</v>
      </c>
      <c r="AD45" s="106">
        <v>33.332397569245302</v>
      </c>
      <c r="AE45" s="106">
        <v>0</v>
      </c>
      <c r="AF45" s="106">
        <v>0</v>
      </c>
      <c r="AG45" s="106">
        <v>0</v>
      </c>
      <c r="AH45" s="106">
        <v>0</v>
      </c>
      <c r="AI45" s="106">
        <v>0</v>
      </c>
      <c r="AJ45" s="106">
        <v>16.043462855204801</v>
      </c>
      <c r="AK45" s="106">
        <v>0</v>
      </c>
      <c r="AL45" s="106">
        <v>183.11905513201901</v>
      </c>
      <c r="AM45" s="106">
        <v>0</v>
      </c>
      <c r="AN45" s="106">
        <v>0</v>
      </c>
      <c r="AO45" s="106">
        <v>0</v>
      </c>
      <c r="AP45" s="106">
        <v>0</v>
      </c>
      <c r="AQ45" s="107">
        <v>0</v>
      </c>
    </row>
    <row r="46" spans="2:43" ht="12" customHeight="1" x14ac:dyDescent="0.25">
      <c r="B46" s="105" t="s">
        <v>37</v>
      </c>
      <c r="C46" s="106" t="s">
        <v>23</v>
      </c>
      <c r="D46" s="106" t="s">
        <v>25</v>
      </c>
      <c r="E46" s="106" t="s">
        <v>25</v>
      </c>
      <c r="F46" s="106" t="s">
        <v>25</v>
      </c>
      <c r="G46" s="106" t="s">
        <v>25</v>
      </c>
      <c r="H46" s="106" t="s">
        <v>73</v>
      </c>
      <c r="I46" s="106" t="s">
        <v>25</v>
      </c>
      <c r="J46" s="106">
        <v>630.57000000000005</v>
      </c>
      <c r="K46" s="106">
        <v>199.16</v>
      </c>
      <c r="L46" s="106">
        <v>0</v>
      </c>
      <c r="M46" s="106">
        <v>1.8731892523125899</v>
      </c>
      <c r="N46" s="106">
        <v>0</v>
      </c>
      <c r="O46" s="106">
        <v>0</v>
      </c>
      <c r="P46" s="106">
        <v>0</v>
      </c>
      <c r="Q46" s="106">
        <v>85.619496446908499</v>
      </c>
      <c r="R46" s="106">
        <v>14.2047898459791</v>
      </c>
      <c r="S46" s="106">
        <v>0</v>
      </c>
      <c r="T46" s="106">
        <v>0</v>
      </c>
      <c r="U46" s="106">
        <v>0</v>
      </c>
      <c r="V46" s="106">
        <v>0</v>
      </c>
      <c r="W46" s="106">
        <v>0</v>
      </c>
      <c r="X46" s="106">
        <v>127.114331908054</v>
      </c>
      <c r="Y46" s="106">
        <v>0</v>
      </c>
      <c r="Z46" s="106">
        <v>0</v>
      </c>
      <c r="AA46" s="106">
        <v>368.421374255312</v>
      </c>
      <c r="AB46" s="106">
        <v>0</v>
      </c>
      <c r="AC46" s="106">
        <v>0</v>
      </c>
      <c r="AD46" s="106">
        <v>33.332397569245302</v>
      </c>
      <c r="AE46" s="106">
        <v>0</v>
      </c>
      <c r="AF46" s="106">
        <v>0</v>
      </c>
      <c r="AG46" s="106">
        <v>0</v>
      </c>
      <c r="AH46" s="106">
        <v>0</v>
      </c>
      <c r="AI46" s="106">
        <v>0</v>
      </c>
      <c r="AJ46" s="106">
        <v>16.043462855204801</v>
      </c>
      <c r="AK46" s="106">
        <v>0</v>
      </c>
      <c r="AL46" s="106">
        <v>183.11905513201901</v>
      </c>
      <c r="AM46" s="106">
        <v>0</v>
      </c>
      <c r="AN46" s="106">
        <v>0</v>
      </c>
      <c r="AO46" s="106">
        <v>0</v>
      </c>
      <c r="AP46" s="106">
        <v>0</v>
      </c>
      <c r="AQ46" s="107">
        <v>0</v>
      </c>
    </row>
    <row r="47" spans="2:43" ht="12" customHeight="1" x14ac:dyDescent="0.25">
      <c r="B47" s="105" t="s">
        <v>37</v>
      </c>
      <c r="C47" s="106" t="s">
        <v>89</v>
      </c>
      <c r="D47" s="106" t="s">
        <v>25</v>
      </c>
      <c r="E47" s="106" t="s">
        <v>25</v>
      </c>
      <c r="F47" s="106" t="s">
        <v>25</v>
      </c>
      <c r="G47" s="106" t="s">
        <v>25</v>
      </c>
      <c r="H47" s="106" t="s">
        <v>73</v>
      </c>
      <c r="I47" s="106" t="s">
        <v>25</v>
      </c>
      <c r="J47" s="106">
        <v>630.57000000000005</v>
      </c>
      <c r="K47" s="106">
        <v>199.16</v>
      </c>
      <c r="L47" s="106">
        <v>0</v>
      </c>
      <c r="M47" s="106">
        <v>1.8731892523125899</v>
      </c>
      <c r="N47" s="106">
        <v>0</v>
      </c>
      <c r="O47" s="106">
        <v>0</v>
      </c>
      <c r="P47" s="106">
        <v>0</v>
      </c>
      <c r="Q47" s="106">
        <v>85.619496446908499</v>
      </c>
      <c r="R47" s="106">
        <v>14.2047898459791</v>
      </c>
      <c r="S47" s="106">
        <v>0</v>
      </c>
      <c r="T47" s="106">
        <v>0</v>
      </c>
      <c r="U47" s="106">
        <v>0</v>
      </c>
      <c r="V47" s="106">
        <v>0</v>
      </c>
      <c r="W47" s="106">
        <v>0</v>
      </c>
      <c r="X47" s="106">
        <v>127.114331908054</v>
      </c>
      <c r="Y47" s="106">
        <v>0</v>
      </c>
      <c r="Z47" s="106">
        <v>0</v>
      </c>
      <c r="AA47" s="106">
        <v>368.421374255312</v>
      </c>
      <c r="AB47" s="106">
        <v>0</v>
      </c>
      <c r="AC47" s="106">
        <v>0</v>
      </c>
      <c r="AD47" s="106">
        <v>33.332397569245302</v>
      </c>
      <c r="AE47" s="106">
        <v>0</v>
      </c>
      <c r="AF47" s="106">
        <v>0</v>
      </c>
      <c r="AG47" s="106">
        <v>0</v>
      </c>
      <c r="AH47" s="106">
        <v>0</v>
      </c>
      <c r="AI47" s="106">
        <v>0</v>
      </c>
      <c r="AJ47" s="106">
        <v>16.043462855204801</v>
      </c>
      <c r="AK47" s="106">
        <v>0</v>
      </c>
      <c r="AL47" s="106">
        <v>183.11905513201901</v>
      </c>
      <c r="AM47" s="106">
        <v>0</v>
      </c>
      <c r="AN47" s="106">
        <v>0</v>
      </c>
      <c r="AO47" s="106">
        <v>0</v>
      </c>
      <c r="AP47" s="106">
        <v>0</v>
      </c>
      <c r="AQ47" s="107">
        <v>0</v>
      </c>
    </row>
    <row r="48" spans="2:43" ht="12" customHeight="1" x14ac:dyDescent="0.25">
      <c r="B48" s="105" t="s">
        <v>44</v>
      </c>
      <c r="C48" s="106" t="s">
        <v>23</v>
      </c>
      <c r="D48" s="106" t="s">
        <v>45</v>
      </c>
      <c r="E48" s="106" t="s">
        <v>46</v>
      </c>
      <c r="F48" s="106" t="s">
        <v>25</v>
      </c>
      <c r="G48" s="106" t="s">
        <v>25</v>
      </c>
      <c r="H48" s="106" t="s">
        <v>73</v>
      </c>
      <c r="I48" s="106" t="s">
        <v>25</v>
      </c>
      <c r="J48" s="106">
        <v>346.81</v>
      </c>
      <c r="K48" s="106">
        <v>109.54</v>
      </c>
      <c r="L48" s="106">
        <v>0</v>
      </c>
      <c r="M48" s="106">
        <v>1.03025408877193</v>
      </c>
      <c r="N48" s="106">
        <v>0</v>
      </c>
      <c r="O48" s="106">
        <v>0</v>
      </c>
      <c r="P48" s="106">
        <v>0</v>
      </c>
      <c r="Q48" s="106">
        <v>47.090723045799699</v>
      </c>
      <c r="R48" s="106">
        <v>7.8126344152884997</v>
      </c>
      <c r="S48" s="106">
        <v>0</v>
      </c>
      <c r="T48" s="106">
        <v>0</v>
      </c>
      <c r="U48" s="106">
        <v>0</v>
      </c>
      <c r="V48" s="106">
        <v>0</v>
      </c>
      <c r="W48" s="106">
        <v>0</v>
      </c>
      <c r="X48" s="106">
        <v>69.912882549429398</v>
      </c>
      <c r="Y48" s="106">
        <v>0</v>
      </c>
      <c r="Z48" s="106">
        <v>0</v>
      </c>
      <c r="AA48" s="106">
        <v>202.63175584042199</v>
      </c>
      <c r="AB48" s="106">
        <v>0</v>
      </c>
      <c r="AC48" s="106">
        <v>0</v>
      </c>
      <c r="AD48" s="106">
        <v>18.3328186630849</v>
      </c>
      <c r="AE48" s="106">
        <v>0</v>
      </c>
      <c r="AF48" s="106">
        <v>0</v>
      </c>
      <c r="AG48" s="106">
        <v>0</v>
      </c>
      <c r="AH48" s="106">
        <v>0</v>
      </c>
      <c r="AI48" s="106">
        <v>0</v>
      </c>
      <c r="AJ48" s="106">
        <v>8.8239045703626395</v>
      </c>
      <c r="AK48" s="106">
        <v>0</v>
      </c>
      <c r="AL48" s="106">
        <v>100.715480322611</v>
      </c>
      <c r="AM48" s="106">
        <v>0</v>
      </c>
      <c r="AN48" s="106">
        <v>0</v>
      </c>
      <c r="AO48" s="106">
        <v>0</v>
      </c>
      <c r="AP48" s="106">
        <v>0</v>
      </c>
      <c r="AQ48" s="107">
        <v>0</v>
      </c>
    </row>
    <row r="49" spans="2:43" ht="12" customHeight="1" x14ac:dyDescent="0.25">
      <c r="B49" s="108" t="s">
        <v>44</v>
      </c>
      <c r="C49" s="109" t="s">
        <v>23</v>
      </c>
      <c r="D49" s="109" t="s">
        <v>45</v>
      </c>
      <c r="E49" s="109" t="s">
        <v>47</v>
      </c>
      <c r="F49" s="109" t="s">
        <v>25</v>
      </c>
      <c r="G49" s="109" t="s">
        <v>25</v>
      </c>
      <c r="H49" s="109" t="s">
        <v>73</v>
      </c>
      <c r="I49" s="109" t="s">
        <v>25</v>
      </c>
      <c r="J49" s="109">
        <v>378.34</v>
      </c>
      <c r="K49" s="109">
        <v>119.5</v>
      </c>
      <c r="L49" s="109">
        <v>0</v>
      </c>
      <c r="M49" s="109">
        <v>1.12391355138756</v>
      </c>
      <c r="N49" s="109">
        <v>0</v>
      </c>
      <c r="O49" s="109">
        <v>0</v>
      </c>
      <c r="P49" s="109">
        <v>0</v>
      </c>
      <c r="Q49" s="109">
        <v>51.371697868145098</v>
      </c>
      <c r="R49" s="109">
        <v>8.5228739075874493</v>
      </c>
      <c r="S49" s="109">
        <v>0</v>
      </c>
      <c r="T49" s="109">
        <v>0</v>
      </c>
      <c r="U49" s="109">
        <v>0</v>
      </c>
      <c r="V49" s="109">
        <v>0</v>
      </c>
      <c r="W49" s="109">
        <v>0</v>
      </c>
      <c r="X49" s="109">
        <v>76.268599144832095</v>
      </c>
      <c r="Y49" s="109">
        <v>0</v>
      </c>
      <c r="Z49" s="109">
        <v>0</v>
      </c>
      <c r="AA49" s="109">
        <v>221.05282455318701</v>
      </c>
      <c r="AB49" s="109">
        <v>0</v>
      </c>
      <c r="AC49" s="109">
        <v>0</v>
      </c>
      <c r="AD49" s="109">
        <v>19.9994385415471</v>
      </c>
      <c r="AE49" s="109">
        <v>0</v>
      </c>
      <c r="AF49" s="109">
        <v>0</v>
      </c>
      <c r="AG49" s="109">
        <v>0</v>
      </c>
      <c r="AH49" s="109">
        <v>0</v>
      </c>
      <c r="AI49" s="109">
        <v>0</v>
      </c>
      <c r="AJ49" s="109">
        <v>9.6260777131228803</v>
      </c>
      <c r="AK49" s="109">
        <v>0</v>
      </c>
      <c r="AL49" s="109">
        <v>109.871433079211</v>
      </c>
      <c r="AM49" s="109">
        <v>0</v>
      </c>
      <c r="AN49" s="109">
        <v>0</v>
      </c>
      <c r="AO49" s="109">
        <v>0</v>
      </c>
      <c r="AP49" s="109">
        <v>0</v>
      </c>
      <c r="AQ49" s="110">
        <v>0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BD16E-D4D2-46C7-8CBE-F708FAACD762}">
  <dimension ref="B1:AQ49"/>
  <sheetViews>
    <sheetView showGridLines="0" tabSelected="1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1.140625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9.85546875" bestFit="1" customWidth="1"/>
    <col min="36" max="36" width="12.5703125" bestFit="1" customWidth="1"/>
    <col min="37" max="37" width="12.28515625" bestFit="1" customWidth="1"/>
    <col min="38" max="38" width="14.140625" bestFit="1" customWidth="1"/>
    <col min="39" max="39" width="25.28515625" bestFit="1" customWidth="1"/>
    <col min="40" max="40" width="17.85546875" bestFit="1" customWidth="1"/>
    <col min="41" max="41" width="13.42578125" bestFit="1" customWidth="1"/>
    <col min="42" max="42" width="13.28515625" bestFit="1" customWidth="1"/>
    <col min="43" max="43" width="12.5703125" bestFit="1" customWidth="1"/>
  </cols>
  <sheetData>
    <row r="1" spans="2:43" ht="12" customHeight="1" x14ac:dyDescent="0.25">
      <c r="L1" s="149" t="s">
        <v>1071</v>
      </c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50"/>
      <c r="AH1" s="149" t="s">
        <v>1072</v>
      </c>
      <c r="AI1" s="149"/>
      <c r="AJ1" s="149"/>
      <c r="AK1" s="149"/>
      <c r="AL1" s="149"/>
      <c r="AM1" s="149"/>
      <c r="AN1" s="149"/>
      <c r="AO1" s="149"/>
      <c r="AP1" s="149"/>
      <c r="AQ1" s="149"/>
    </row>
    <row r="2" spans="2:43" ht="12" customHeight="1" x14ac:dyDescent="0.25">
      <c r="L2" s="151" t="s">
        <v>400</v>
      </c>
      <c r="M2" s="151"/>
      <c r="N2" s="151"/>
      <c r="O2" s="151"/>
      <c r="P2" s="151"/>
      <c r="Q2" s="151"/>
      <c r="R2" s="151"/>
      <c r="S2" s="152"/>
      <c r="T2" s="151" t="s">
        <v>409</v>
      </c>
      <c r="U2" s="151"/>
      <c r="V2" s="151"/>
      <c r="W2" s="151"/>
      <c r="X2" s="151"/>
      <c r="Y2" s="151"/>
      <c r="Z2" s="152"/>
      <c r="AA2" s="114" t="s">
        <v>417</v>
      </c>
      <c r="AB2" s="151" t="s">
        <v>25</v>
      </c>
      <c r="AC2" s="152"/>
      <c r="AD2" s="151" t="s">
        <v>1070</v>
      </c>
      <c r="AE2" s="151"/>
      <c r="AF2" s="151"/>
      <c r="AG2" s="152"/>
      <c r="AH2" s="151" t="s">
        <v>400</v>
      </c>
      <c r="AI2" s="151"/>
      <c r="AJ2" s="151"/>
      <c r="AK2" s="152"/>
      <c r="AL2" s="114" t="s">
        <v>430</v>
      </c>
      <c r="AM2" s="151" t="s">
        <v>409</v>
      </c>
      <c r="AN2" s="151"/>
      <c r="AO2" s="151"/>
      <c r="AP2" s="152"/>
      <c r="AQ2" s="113" t="s">
        <v>1070</v>
      </c>
    </row>
    <row r="3" spans="2:43" ht="12" customHeight="1" x14ac:dyDescent="0.25">
      <c r="B3" s="102" t="s">
        <v>63</v>
      </c>
      <c r="C3" s="103" t="s">
        <v>64</v>
      </c>
      <c r="D3" s="103" t="s">
        <v>65</v>
      </c>
      <c r="E3" s="103" t="s">
        <v>66</v>
      </c>
      <c r="F3" s="103" t="s">
        <v>67</v>
      </c>
      <c r="G3" s="103" t="s">
        <v>69</v>
      </c>
      <c r="H3" s="103" t="s">
        <v>70</v>
      </c>
      <c r="I3" s="103" t="s">
        <v>626</v>
      </c>
      <c r="J3" s="103" t="s">
        <v>1035</v>
      </c>
      <c r="K3" s="103" t="s">
        <v>1036</v>
      </c>
      <c r="L3" s="103" t="s">
        <v>1037</v>
      </c>
      <c r="M3" s="103" t="s">
        <v>1038</v>
      </c>
      <c r="N3" s="103" t="s">
        <v>1039</v>
      </c>
      <c r="O3" s="103" t="s">
        <v>1040</v>
      </c>
      <c r="P3" s="103" t="s">
        <v>1041</v>
      </c>
      <c r="Q3" s="103" t="s">
        <v>1042</v>
      </c>
      <c r="R3" s="103" t="s">
        <v>1043</v>
      </c>
      <c r="S3" s="103" t="s">
        <v>1044</v>
      </c>
      <c r="T3" s="103" t="s">
        <v>1045</v>
      </c>
      <c r="U3" s="103" t="s">
        <v>1046</v>
      </c>
      <c r="V3" s="103" t="s">
        <v>1047</v>
      </c>
      <c r="W3" s="103" t="s">
        <v>1048</v>
      </c>
      <c r="X3" s="103" t="s">
        <v>1049</v>
      </c>
      <c r="Y3" s="103" t="s">
        <v>1050</v>
      </c>
      <c r="Z3" s="103" t="s">
        <v>1051</v>
      </c>
      <c r="AA3" s="103" t="s">
        <v>1052</v>
      </c>
      <c r="AB3" s="103" t="s">
        <v>1053</v>
      </c>
      <c r="AC3" s="103" t="s">
        <v>1054</v>
      </c>
      <c r="AD3" s="103" t="s">
        <v>1055</v>
      </c>
      <c r="AE3" s="103" t="s">
        <v>1056</v>
      </c>
      <c r="AF3" s="103" t="s">
        <v>1057</v>
      </c>
      <c r="AG3" s="103" t="s">
        <v>1058</v>
      </c>
      <c r="AH3" s="103" t="s">
        <v>1059</v>
      </c>
      <c r="AI3" s="103" t="s">
        <v>1060</v>
      </c>
      <c r="AJ3" s="103" t="s">
        <v>1061</v>
      </c>
      <c r="AK3" s="103" t="s">
        <v>1062</v>
      </c>
      <c r="AL3" s="103" t="s">
        <v>1063</v>
      </c>
      <c r="AM3" s="103" t="s">
        <v>1064</v>
      </c>
      <c r="AN3" s="103" t="s">
        <v>1065</v>
      </c>
      <c r="AO3" s="103" t="s">
        <v>1066</v>
      </c>
      <c r="AP3" s="103" t="s">
        <v>1067</v>
      </c>
      <c r="AQ3" s="104" t="s">
        <v>1068</v>
      </c>
    </row>
    <row r="4" spans="2:43" ht="12" customHeight="1" x14ac:dyDescent="0.25">
      <c r="B4" s="105" t="s">
        <v>33</v>
      </c>
      <c r="C4" s="106" t="s">
        <v>43</v>
      </c>
      <c r="D4" s="106" t="s">
        <v>25</v>
      </c>
      <c r="E4" s="106" t="s">
        <v>25</v>
      </c>
      <c r="F4" s="106" t="s">
        <v>80</v>
      </c>
      <c r="G4" s="106" t="s">
        <v>35</v>
      </c>
      <c r="H4" s="106" t="s">
        <v>73</v>
      </c>
      <c r="I4" s="106" t="s">
        <v>25</v>
      </c>
      <c r="J4" s="106">
        <v>0</v>
      </c>
      <c r="K4" s="106">
        <v>0</v>
      </c>
      <c r="L4" s="106">
        <v>0</v>
      </c>
      <c r="M4" s="106">
        <v>0</v>
      </c>
      <c r="N4" s="106">
        <v>0</v>
      </c>
      <c r="O4" s="106">
        <v>0</v>
      </c>
      <c r="P4" s="106">
        <v>0</v>
      </c>
      <c r="Q4" s="106">
        <v>0</v>
      </c>
      <c r="R4" s="106">
        <v>0</v>
      </c>
      <c r="S4" s="106">
        <v>0</v>
      </c>
      <c r="T4" s="106">
        <v>0</v>
      </c>
      <c r="U4" s="106">
        <v>0</v>
      </c>
      <c r="V4" s="106">
        <v>0</v>
      </c>
      <c r="W4" s="106">
        <v>0</v>
      </c>
      <c r="X4" s="106">
        <v>0</v>
      </c>
      <c r="Y4" s="106">
        <v>0</v>
      </c>
      <c r="Z4" s="106">
        <v>0</v>
      </c>
      <c r="AA4" s="106">
        <v>0</v>
      </c>
      <c r="AB4" s="106">
        <v>0</v>
      </c>
      <c r="AC4" s="106">
        <v>0</v>
      </c>
      <c r="AD4" s="106">
        <v>0</v>
      </c>
      <c r="AE4" s="106">
        <v>0</v>
      </c>
      <c r="AF4" s="106">
        <v>0</v>
      </c>
      <c r="AG4" s="106">
        <v>0</v>
      </c>
      <c r="AH4" s="106">
        <v>0</v>
      </c>
      <c r="AI4" s="106">
        <v>0</v>
      </c>
      <c r="AJ4" s="106">
        <v>0</v>
      </c>
      <c r="AK4" s="106">
        <v>0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  <c r="AQ4" s="107">
        <v>0</v>
      </c>
    </row>
    <row r="5" spans="2:43" ht="12" customHeight="1" x14ac:dyDescent="0.25">
      <c r="B5" s="105" t="s">
        <v>33</v>
      </c>
      <c r="C5" s="106" t="s">
        <v>43</v>
      </c>
      <c r="D5" s="106" t="s">
        <v>25</v>
      </c>
      <c r="E5" s="106" t="s">
        <v>25</v>
      </c>
      <c r="F5" s="106" t="s">
        <v>80</v>
      </c>
      <c r="G5" s="106" t="s">
        <v>35</v>
      </c>
      <c r="H5" s="106" t="s">
        <v>76</v>
      </c>
      <c r="I5" s="106" t="s">
        <v>25</v>
      </c>
      <c r="J5" s="106">
        <v>0</v>
      </c>
      <c r="K5" s="106">
        <v>0</v>
      </c>
      <c r="L5" s="106">
        <v>0</v>
      </c>
      <c r="M5" s="106">
        <v>0</v>
      </c>
      <c r="N5" s="106">
        <v>0</v>
      </c>
      <c r="O5" s="106">
        <v>0</v>
      </c>
      <c r="P5" s="106">
        <v>0</v>
      </c>
      <c r="Q5" s="106">
        <v>0</v>
      </c>
      <c r="R5" s="106">
        <v>0</v>
      </c>
      <c r="S5" s="106">
        <v>0</v>
      </c>
      <c r="T5" s="106">
        <v>0</v>
      </c>
      <c r="U5" s="106">
        <v>0</v>
      </c>
      <c r="V5" s="106">
        <v>0</v>
      </c>
      <c r="W5" s="106">
        <v>0</v>
      </c>
      <c r="X5" s="106">
        <v>0</v>
      </c>
      <c r="Y5" s="106">
        <v>0</v>
      </c>
      <c r="Z5" s="106">
        <v>0</v>
      </c>
      <c r="AA5" s="106">
        <v>0</v>
      </c>
      <c r="AB5" s="106">
        <v>0</v>
      </c>
      <c r="AC5" s="106">
        <v>0</v>
      </c>
      <c r="AD5" s="106">
        <v>0</v>
      </c>
      <c r="AE5" s="106">
        <v>0</v>
      </c>
      <c r="AF5" s="106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7">
        <v>0</v>
      </c>
    </row>
    <row r="6" spans="2:43" ht="12" customHeight="1" x14ac:dyDescent="0.25">
      <c r="B6" s="105" t="s">
        <v>33</v>
      </c>
      <c r="C6" s="106" t="s">
        <v>43</v>
      </c>
      <c r="D6" s="106" t="s">
        <v>25</v>
      </c>
      <c r="E6" s="106" t="s">
        <v>25</v>
      </c>
      <c r="F6" s="106" t="s">
        <v>80</v>
      </c>
      <c r="G6" s="106" t="s">
        <v>36</v>
      </c>
      <c r="H6" s="106" t="s">
        <v>73</v>
      </c>
      <c r="I6" s="106" t="s">
        <v>25</v>
      </c>
      <c r="J6" s="106">
        <v>0</v>
      </c>
      <c r="K6" s="106">
        <v>0</v>
      </c>
      <c r="L6" s="106">
        <v>0</v>
      </c>
      <c r="M6" s="106">
        <v>0</v>
      </c>
      <c r="N6" s="106">
        <v>0</v>
      </c>
      <c r="O6" s="106">
        <v>0</v>
      </c>
      <c r="P6" s="106">
        <v>0</v>
      </c>
      <c r="Q6" s="106">
        <v>0</v>
      </c>
      <c r="R6" s="106">
        <v>0</v>
      </c>
      <c r="S6" s="106">
        <v>0</v>
      </c>
      <c r="T6" s="106">
        <v>0</v>
      </c>
      <c r="U6" s="106">
        <v>0</v>
      </c>
      <c r="V6" s="106">
        <v>0</v>
      </c>
      <c r="W6" s="106">
        <v>0</v>
      </c>
      <c r="X6" s="106">
        <v>0</v>
      </c>
      <c r="Y6" s="106">
        <v>0</v>
      </c>
      <c r="Z6" s="106">
        <v>0</v>
      </c>
      <c r="AA6" s="106">
        <v>0</v>
      </c>
      <c r="AB6" s="106">
        <v>0</v>
      </c>
      <c r="AC6" s="106">
        <v>0</v>
      </c>
      <c r="AD6" s="106">
        <v>0</v>
      </c>
      <c r="AE6" s="106">
        <v>0</v>
      </c>
      <c r="AF6" s="106">
        <v>0</v>
      </c>
      <c r="AG6" s="106">
        <v>0</v>
      </c>
      <c r="AH6" s="106">
        <v>0</v>
      </c>
      <c r="AI6" s="106">
        <v>0</v>
      </c>
      <c r="AJ6" s="106">
        <v>0</v>
      </c>
      <c r="AK6" s="106">
        <v>0</v>
      </c>
      <c r="AL6" s="106">
        <v>0</v>
      </c>
      <c r="AM6" s="106">
        <v>0</v>
      </c>
      <c r="AN6" s="106">
        <v>0</v>
      </c>
      <c r="AO6" s="106">
        <v>0</v>
      </c>
      <c r="AP6" s="106">
        <v>0</v>
      </c>
      <c r="AQ6" s="107">
        <v>0</v>
      </c>
    </row>
    <row r="7" spans="2:43" ht="12" customHeight="1" x14ac:dyDescent="0.25">
      <c r="B7" s="105" t="s">
        <v>33</v>
      </c>
      <c r="C7" s="106" t="s">
        <v>43</v>
      </c>
      <c r="D7" s="106" t="s">
        <v>25</v>
      </c>
      <c r="E7" s="106" t="s">
        <v>25</v>
      </c>
      <c r="F7" s="106" t="s">
        <v>80</v>
      </c>
      <c r="G7" s="106" t="s">
        <v>36</v>
      </c>
      <c r="H7" s="106" t="s">
        <v>76</v>
      </c>
      <c r="I7" s="106" t="s">
        <v>25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0</v>
      </c>
      <c r="AK7" s="106">
        <v>0</v>
      </c>
      <c r="AL7" s="106">
        <v>0</v>
      </c>
      <c r="AM7" s="106">
        <v>0</v>
      </c>
      <c r="AN7" s="106">
        <v>0</v>
      </c>
      <c r="AO7" s="106">
        <v>0</v>
      </c>
      <c r="AP7" s="106">
        <v>0</v>
      </c>
      <c r="AQ7" s="107">
        <v>0</v>
      </c>
    </row>
    <row r="8" spans="2:43" ht="12" customHeight="1" x14ac:dyDescent="0.25">
      <c r="B8" s="105" t="s">
        <v>33</v>
      </c>
      <c r="C8" s="106" t="s">
        <v>43</v>
      </c>
      <c r="D8" s="106" t="s">
        <v>25</v>
      </c>
      <c r="E8" s="106" t="s">
        <v>25</v>
      </c>
      <c r="F8" s="106" t="s">
        <v>25</v>
      </c>
      <c r="G8" s="106" t="s">
        <v>35</v>
      </c>
      <c r="H8" s="106" t="s">
        <v>73</v>
      </c>
      <c r="I8" s="106" t="s">
        <v>25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0</v>
      </c>
      <c r="AK8" s="106">
        <v>0</v>
      </c>
      <c r="AL8" s="106">
        <v>0</v>
      </c>
      <c r="AM8" s="106">
        <v>0</v>
      </c>
      <c r="AN8" s="106">
        <v>0</v>
      </c>
      <c r="AO8" s="106">
        <v>0</v>
      </c>
      <c r="AP8" s="106">
        <v>0</v>
      </c>
      <c r="AQ8" s="107">
        <v>0</v>
      </c>
    </row>
    <row r="9" spans="2:43" ht="12" customHeight="1" x14ac:dyDescent="0.25">
      <c r="B9" s="105" t="s">
        <v>33</v>
      </c>
      <c r="C9" s="106" t="s">
        <v>43</v>
      </c>
      <c r="D9" s="106" t="s">
        <v>25</v>
      </c>
      <c r="E9" s="106" t="s">
        <v>25</v>
      </c>
      <c r="F9" s="106" t="s">
        <v>25</v>
      </c>
      <c r="G9" s="106" t="s">
        <v>35</v>
      </c>
      <c r="H9" s="106" t="s">
        <v>76</v>
      </c>
      <c r="I9" s="106" t="s">
        <v>25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7">
        <v>0</v>
      </c>
    </row>
    <row r="10" spans="2:43" ht="12" customHeight="1" x14ac:dyDescent="0.25">
      <c r="B10" s="105" t="s">
        <v>33</v>
      </c>
      <c r="C10" s="106" t="s">
        <v>43</v>
      </c>
      <c r="D10" s="106" t="s">
        <v>25</v>
      </c>
      <c r="E10" s="106" t="s">
        <v>25</v>
      </c>
      <c r="F10" s="106" t="s">
        <v>25</v>
      </c>
      <c r="G10" s="106" t="s">
        <v>36</v>
      </c>
      <c r="H10" s="106" t="s">
        <v>73</v>
      </c>
      <c r="I10" s="106" t="s">
        <v>25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0</v>
      </c>
      <c r="AK10" s="106">
        <v>0</v>
      </c>
      <c r="AL10" s="106">
        <v>0</v>
      </c>
      <c r="AM10" s="106">
        <v>0</v>
      </c>
      <c r="AN10" s="106">
        <v>0</v>
      </c>
      <c r="AO10" s="106">
        <v>0</v>
      </c>
      <c r="AP10" s="106">
        <v>0</v>
      </c>
      <c r="AQ10" s="107">
        <v>0</v>
      </c>
    </row>
    <row r="11" spans="2:43" ht="12" customHeight="1" x14ac:dyDescent="0.25">
      <c r="B11" s="105" t="s">
        <v>33</v>
      </c>
      <c r="C11" s="106" t="s">
        <v>43</v>
      </c>
      <c r="D11" s="106" t="s">
        <v>25</v>
      </c>
      <c r="E11" s="106" t="s">
        <v>25</v>
      </c>
      <c r="F11" s="106" t="s">
        <v>25</v>
      </c>
      <c r="G11" s="106" t="s">
        <v>36</v>
      </c>
      <c r="H11" s="106" t="s">
        <v>76</v>
      </c>
      <c r="I11" s="106" t="s">
        <v>25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  <c r="AO11" s="106">
        <v>0</v>
      </c>
      <c r="AP11" s="106">
        <v>0</v>
      </c>
      <c r="AQ11" s="107">
        <v>0</v>
      </c>
    </row>
    <row r="12" spans="2:43" ht="12" customHeight="1" x14ac:dyDescent="0.25">
      <c r="B12" s="105" t="s">
        <v>33</v>
      </c>
      <c r="C12" s="106" t="s">
        <v>81</v>
      </c>
      <c r="D12" s="106" t="s">
        <v>25</v>
      </c>
      <c r="E12" s="106" t="s">
        <v>25</v>
      </c>
      <c r="F12" s="106" t="s">
        <v>25</v>
      </c>
      <c r="G12" s="106" t="s">
        <v>25</v>
      </c>
      <c r="H12" s="106" t="s">
        <v>76</v>
      </c>
      <c r="I12" s="106" t="s">
        <v>25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7">
        <v>0</v>
      </c>
    </row>
    <row r="13" spans="2:43" ht="12" customHeight="1" x14ac:dyDescent="0.25">
      <c r="B13" s="105" t="s">
        <v>33</v>
      </c>
      <c r="C13" s="106" t="s">
        <v>34</v>
      </c>
      <c r="D13" s="106" t="s">
        <v>25</v>
      </c>
      <c r="E13" s="106" t="s">
        <v>25</v>
      </c>
      <c r="F13" s="106" t="s">
        <v>80</v>
      </c>
      <c r="G13" s="106" t="s">
        <v>35</v>
      </c>
      <c r="H13" s="106" t="s">
        <v>73</v>
      </c>
      <c r="I13" s="106" t="s">
        <v>25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106">
        <v>0</v>
      </c>
      <c r="AL13" s="106">
        <v>0</v>
      </c>
      <c r="AM13" s="106">
        <v>0</v>
      </c>
      <c r="AN13" s="106">
        <v>0</v>
      </c>
      <c r="AO13" s="106">
        <v>0</v>
      </c>
      <c r="AP13" s="106">
        <v>0</v>
      </c>
      <c r="AQ13" s="107">
        <v>0</v>
      </c>
    </row>
    <row r="14" spans="2:43" ht="12" customHeight="1" x14ac:dyDescent="0.25">
      <c r="B14" s="105" t="s">
        <v>33</v>
      </c>
      <c r="C14" s="106" t="s">
        <v>34</v>
      </c>
      <c r="D14" s="106" t="s">
        <v>25</v>
      </c>
      <c r="E14" s="106" t="s">
        <v>25</v>
      </c>
      <c r="F14" s="106" t="s">
        <v>80</v>
      </c>
      <c r="G14" s="106" t="s">
        <v>25</v>
      </c>
      <c r="H14" s="106" t="s">
        <v>76</v>
      </c>
      <c r="I14" s="106" t="s">
        <v>25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</v>
      </c>
      <c r="AK14" s="106">
        <v>0</v>
      </c>
      <c r="AL14" s="106">
        <v>0</v>
      </c>
      <c r="AM14" s="106">
        <v>0</v>
      </c>
      <c r="AN14" s="106">
        <v>0</v>
      </c>
      <c r="AO14" s="106">
        <v>0</v>
      </c>
      <c r="AP14" s="106">
        <v>0</v>
      </c>
      <c r="AQ14" s="107">
        <v>0</v>
      </c>
    </row>
    <row r="15" spans="2:43" ht="12" customHeight="1" x14ac:dyDescent="0.25">
      <c r="B15" s="105" t="s">
        <v>33</v>
      </c>
      <c r="C15" s="106" t="s">
        <v>34</v>
      </c>
      <c r="D15" s="106" t="s">
        <v>25</v>
      </c>
      <c r="E15" s="106" t="s">
        <v>25</v>
      </c>
      <c r="F15" s="106" t="s">
        <v>80</v>
      </c>
      <c r="G15" s="106" t="s">
        <v>36</v>
      </c>
      <c r="H15" s="106" t="s">
        <v>73</v>
      </c>
      <c r="I15" s="106" t="s">
        <v>25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</v>
      </c>
      <c r="AK15" s="106">
        <v>0</v>
      </c>
      <c r="AL15" s="106">
        <v>0</v>
      </c>
      <c r="AM15" s="106">
        <v>0</v>
      </c>
      <c r="AN15" s="106">
        <v>0</v>
      </c>
      <c r="AO15" s="106">
        <v>0</v>
      </c>
      <c r="AP15" s="106">
        <v>0</v>
      </c>
      <c r="AQ15" s="107">
        <v>0</v>
      </c>
    </row>
    <row r="16" spans="2:43" ht="12" customHeight="1" x14ac:dyDescent="0.25">
      <c r="B16" s="105" t="s">
        <v>33</v>
      </c>
      <c r="C16" s="106" t="s">
        <v>34</v>
      </c>
      <c r="D16" s="106" t="s">
        <v>25</v>
      </c>
      <c r="E16" s="106" t="s">
        <v>25</v>
      </c>
      <c r="F16" s="106" t="s">
        <v>25</v>
      </c>
      <c r="G16" s="106" t="s">
        <v>35</v>
      </c>
      <c r="H16" s="106" t="s">
        <v>73</v>
      </c>
      <c r="I16" s="106" t="s">
        <v>25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</v>
      </c>
      <c r="AK16" s="106">
        <v>0</v>
      </c>
      <c r="AL16" s="106">
        <v>0</v>
      </c>
      <c r="AM16" s="106">
        <v>0</v>
      </c>
      <c r="AN16" s="106">
        <v>0</v>
      </c>
      <c r="AO16" s="106">
        <v>0</v>
      </c>
      <c r="AP16" s="106">
        <v>0</v>
      </c>
      <c r="AQ16" s="107">
        <v>0</v>
      </c>
    </row>
    <row r="17" spans="2:43" ht="12" customHeight="1" x14ac:dyDescent="0.25">
      <c r="B17" s="105" t="s">
        <v>33</v>
      </c>
      <c r="C17" s="106" t="s">
        <v>34</v>
      </c>
      <c r="D17" s="106" t="s">
        <v>25</v>
      </c>
      <c r="E17" s="106" t="s">
        <v>25</v>
      </c>
      <c r="F17" s="106" t="s">
        <v>25</v>
      </c>
      <c r="G17" s="106" t="s">
        <v>25</v>
      </c>
      <c r="H17" s="106" t="s">
        <v>76</v>
      </c>
      <c r="I17" s="106" t="s">
        <v>25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  <c r="AO17" s="106">
        <v>0</v>
      </c>
      <c r="AP17" s="106">
        <v>0</v>
      </c>
      <c r="AQ17" s="107">
        <v>0</v>
      </c>
    </row>
    <row r="18" spans="2:43" ht="12" customHeight="1" x14ac:dyDescent="0.25">
      <c r="B18" s="105" t="s">
        <v>33</v>
      </c>
      <c r="C18" s="106" t="s">
        <v>34</v>
      </c>
      <c r="D18" s="106" t="s">
        <v>25</v>
      </c>
      <c r="E18" s="106" t="s">
        <v>25</v>
      </c>
      <c r="F18" s="106" t="s">
        <v>25</v>
      </c>
      <c r="G18" s="106" t="s">
        <v>36</v>
      </c>
      <c r="H18" s="106" t="s">
        <v>73</v>
      </c>
      <c r="I18" s="106" t="s">
        <v>25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  <c r="AO18" s="106">
        <v>0</v>
      </c>
      <c r="AP18" s="106">
        <v>0</v>
      </c>
      <c r="AQ18" s="107">
        <v>0</v>
      </c>
    </row>
    <row r="19" spans="2:43" ht="12" customHeight="1" x14ac:dyDescent="0.25">
      <c r="B19" s="105" t="s">
        <v>82</v>
      </c>
      <c r="C19" s="106" t="s">
        <v>81</v>
      </c>
      <c r="D19" s="106" t="s">
        <v>25</v>
      </c>
      <c r="E19" s="106" t="s">
        <v>25</v>
      </c>
      <c r="F19" s="106" t="s">
        <v>83</v>
      </c>
      <c r="G19" s="106" t="s">
        <v>25</v>
      </c>
      <c r="H19" s="106" t="s">
        <v>76</v>
      </c>
      <c r="I19" s="106" t="s">
        <v>25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  <c r="AO19" s="106">
        <v>0</v>
      </c>
      <c r="AP19" s="106">
        <v>0</v>
      </c>
      <c r="AQ19" s="107">
        <v>0</v>
      </c>
    </row>
    <row r="20" spans="2:43" ht="12" customHeight="1" x14ac:dyDescent="0.25">
      <c r="B20" s="105" t="s">
        <v>82</v>
      </c>
      <c r="C20" s="106" t="s">
        <v>81</v>
      </c>
      <c r="D20" s="106" t="s">
        <v>25</v>
      </c>
      <c r="E20" s="106" t="s">
        <v>25</v>
      </c>
      <c r="F20" s="106" t="s">
        <v>84</v>
      </c>
      <c r="G20" s="106" t="s">
        <v>25</v>
      </c>
      <c r="H20" s="106" t="s">
        <v>76</v>
      </c>
      <c r="I20" s="106" t="s">
        <v>25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  <c r="AO20" s="106">
        <v>0</v>
      </c>
      <c r="AP20" s="106">
        <v>0</v>
      </c>
      <c r="AQ20" s="107">
        <v>0</v>
      </c>
    </row>
    <row r="21" spans="2:43" ht="12" customHeight="1" x14ac:dyDescent="0.25">
      <c r="B21" s="105" t="s">
        <v>22</v>
      </c>
      <c r="C21" s="106" t="s">
        <v>87</v>
      </c>
      <c r="D21" s="106" t="s">
        <v>24</v>
      </c>
      <c r="E21" s="106" t="s">
        <v>24</v>
      </c>
      <c r="F21" s="106" t="s">
        <v>25</v>
      </c>
      <c r="G21" s="106" t="s">
        <v>35</v>
      </c>
      <c r="H21" s="106" t="s">
        <v>73</v>
      </c>
      <c r="I21" s="106" t="s">
        <v>25</v>
      </c>
      <c r="J21" s="106">
        <v>0</v>
      </c>
      <c r="K21" s="106">
        <v>0</v>
      </c>
      <c r="L21" s="106">
        <v>0</v>
      </c>
      <c r="M21" s="106">
        <v>0</v>
      </c>
      <c r="N21" s="106">
        <v>0</v>
      </c>
      <c r="O21" s="106">
        <v>0</v>
      </c>
      <c r="P21" s="106">
        <v>0</v>
      </c>
      <c r="Q21" s="106">
        <v>0</v>
      </c>
      <c r="R21" s="106">
        <v>0</v>
      </c>
      <c r="S21" s="106">
        <v>0</v>
      </c>
      <c r="T21" s="106">
        <v>0</v>
      </c>
      <c r="U21" s="106">
        <v>0</v>
      </c>
      <c r="V21" s="106">
        <v>0</v>
      </c>
      <c r="W21" s="106">
        <v>0</v>
      </c>
      <c r="X21" s="106">
        <v>0</v>
      </c>
      <c r="Y21" s="106">
        <v>0</v>
      </c>
      <c r="Z21" s="106">
        <v>0</v>
      </c>
      <c r="AA21" s="106">
        <v>0</v>
      </c>
      <c r="AB21" s="106">
        <v>0</v>
      </c>
      <c r="AC21" s="106">
        <v>0</v>
      </c>
      <c r="AD21" s="106">
        <v>0</v>
      </c>
      <c r="AE21" s="106">
        <v>0</v>
      </c>
      <c r="AF21" s="106">
        <v>0</v>
      </c>
      <c r="AG21" s="106">
        <v>0</v>
      </c>
      <c r="AH21" s="106">
        <v>0</v>
      </c>
      <c r="AI21" s="106">
        <v>0</v>
      </c>
      <c r="AJ21" s="106">
        <v>0</v>
      </c>
      <c r="AK21" s="106">
        <v>0</v>
      </c>
      <c r="AL21" s="106">
        <v>0</v>
      </c>
      <c r="AM21" s="106">
        <v>0</v>
      </c>
      <c r="AN21" s="106">
        <v>0</v>
      </c>
      <c r="AO21" s="106">
        <v>0</v>
      </c>
      <c r="AP21" s="106">
        <v>0</v>
      </c>
      <c r="AQ21" s="107">
        <v>0</v>
      </c>
    </row>
    <row r="22" spans="2:43" ht="12" customHeight="1" x14ac:dyDescent="0.25">
      <c r="B22" s="105" t="s">
        <v>22</v>
      </c>
      <c r="C22" s="106" t="s">
        <v>87</v>
      </c>
      <c r="D22" s="106" t="s">
        <v>24</v>
      </c>
      <c r="E22" s="106" t="s">
        <v>24</v>
      </c>
      <c r="F22" s="106" t="s">
        <v>25</v>
      </c>
      <c r="G22" s="106" t="s">
        <v>523</v>
      </c>
      <c r="H22" s="106" t="s">
        <v>73</v>
      </c>
      <c r="I22" s="106" t="s">
        <v>25</v>
      </c>
      <c r="J22" s="106">
        <v>0</v>
      </c>
      <c r="K22" s="106">
        <v>0</v>
      </c>
      <c r="L22" s="106">
        <v>0</v>
      </c>
      <c r="M22" s="106">
        <v>0</v>
      </c>
      <c r="N22" s="106">
        <v>0</v>
      </c>
      <c r="O22" s="106">
        <v>0</v>
      </c>
      <c r="P22" s="106">
        <v>0</v>
      </c>
      <c r="Q22" s="106">
        <v>0</v>
      </c>
      <c r="R22" s="106">
        <v>0</v>
      </c>
      <c r="S22" s="106">
        <v>0</v>
      </c>
      <c r="T22" s="106">
        <v>0</v>
      </c>
      <c r="U22" s="106">
        <v>0</v>
      </c>
      <c r="V22" s="106">
        <v>0</v>
      </c>
      <c r="W22" s="106">
        <v>0</v>
      </c>
      <c r="X22" s="106">
        <v>0</v>
      </c>
      <c r="Y22" s="106">
        <v>0</v>
      </c>
      <c r="Z22" s="106">
        <v>0</v>
      </c>
      <c r="AA22" s="106">
        <v>0</v>
      </c>
      <c r="AB22" s="106">
        <v>0</v>
      </c>
      <c r="AC22" s="106">
        <v>0</v>
      </c>
      <c r="AD22" s="106">
        <v>0</v>
      </c>
      <c r="AE22" s="106">
        <v>0</v>
      </c>
      <c r="AF22" s="106">
        <v>0</v>
      </c>
      <c r="AG22" s="106">
        <v>0</v>
      </c>
      <c r="AH22" s="106">
        <v>0</v>
      </c>
      <c r="AI22" s="106">
        <v>0</v>
      </c>
      <c r="AJ22" s="106">
        <v>0</v>
      </c>
      <c r="AK22" s="106">
        <v>0</v>
      </c>
      <c r="AL22" s="106">
        <v>0</v>
      </c>
      <c r="AM22" s="106">
        <v>0</v>
      </c>
      <c r="AN22" s="106">
        <v>0</v>
      </c>
      <c r="AO22" s="106">
        <v>0</v>
      </c>
      <c r="AP22" s="106">
        <v>0</v>
      </c>
      <c r="AQ22" s="107">
        <v>0</v>
      </c>
    </row>
    <row r="23" spans="2:43" ht="12" customHeight="1" x14ac:dyDescent="0.25">
      <c r="B23" s="105" t="s">
        <v>22</v>
      </c>
      <c r="C23" s="106" t="s">
        <v>87</v>
      </c>
      <c r="D23" s="106" t="s">
        <v>24</v>
      </c>
      <c r="E23" s="106" t="s">
        <v>24</v>
      </c>
      <c r="F23" s="106" t="s">
        <v>25</v>
      </c>
      <c r="G23" s="106" t="s">
        <v>36</v>
      </c>
      <c r="H23" s="106" t="s">
        <v>73</v>
      </c>
      <c r="I23" s="106" t="s">
        <v>25</v>
      </c>
      <c r="J23" s="106">
        <v>0</v>
      </c>
      <c r="K23" s="106">
        <v>0</v>
      </c>
      <c r="L23" s="106">
        <v>0</v>
      </c>
      <c r="M23" s="106">
        <v>0</v>
      </c>
      <c r="N23" s="106">
        <v>0</v>
      </c>
      <c r="O23" s="106">
        <v>0</v>
      </c>
      <c r="P23" s="106">
        <v>0</v>
      </c>
      <c r="Q23" s="106">
        <v>0</v>
      </c>
      <c r="R23" s="106">
        <v>0</v>
      </c>
      <c r="S23" s="106">
        <v>0</v>
      </c>
      <c r="T23" s="106">
        <v>0</v>
      </c>
      <c r="U23" s="106">
        <v>0</v>
      </c>
      <c r="V23" s="106">
        <v>0</v>
      </c>
      <c r="W23" s="106">
        <v>0</v>
      </c>
      <c r="X23" s="106">
        <v>0</v>
      </c>
      <c r="Y23" s="106">
        <v>0</v>
      </c>
      <c r="Z23" s="106">
        <v>0</v>
      </c>
      <c r="AA23" s="106">
        <v>0</v>
      </c>
      <c r="AB23" s="106">
        <v>0</v>
      </c>
      <c r="AC23" s="106">
        <v>0</v>
      </c>
      <c r="AD23" s="106">
        <v>0</v>
      </c>
      <c r="AE23" s="106">
        <v>0</v>
      </c>
      <c r="AF23" s="106">
        <v>0</v>
      </c>
      <c r="AG23" s="106">
        <v>0</v>
      </c>
      <c r="AH23" s="106">
        <v>0</v>
      </c>
      <c r="AI23" s="106">
        <v>0</v>
      </c>
      <c r="AJ23" s="106">
        <v>0</v>
      </c>
      <c r="AK23" s="106">
        <v>0</v>
      </c>
      <c r="AL23" s="106">
        <v>0</v>
      </c>
      <c r="AM23" s="106">
        <v>0</v>
      </c>
      <c r="AN23" s="106">
        <v>0</v>
      </c>
      <c r="AO23" s="106">
        <v>0</v>
      </c>
      <c r="AP23" s="106">
        <v>0</v>
      </c>
      <c r="AQ23" s="107">
        <v>0</v>
      </c>
    </row>
    <row r="24" spans="2:43" ht="12" customHeight="1" x14ac:dyDescent="0.25">
      <c r="B24" s="105" t="s">
        <v>22</v>
      </c>
      <c r="C24" s="106" t="s">
        <v>23</v>
      </c>
      <c r="D24" s="106" t="s">
        <v>24</v>
      </c>
      <c r="E24" s="106" t="s">
        <v>1069</v>
      </c>
      <c r="F24" s="106" t="s">
        <v>25</v>
      </c>
      <c r="G24" s="106" t="s">
        <v>25</v>
      </c>
      <c r="H24" s="106" t="s">
        <v>73</v>
      </c>
      <c r="I24" s="106" t="s">
        <v>25</v>
      </c>
      <c r="J24" s="106">
        <v>0</v>
      </c>
      <c r="K24" s="106">
        <v>0</v>
      </c>
      <c r="L24" s="106">
        <v>0</v>
      </c>
      <c r="M24" s="106">
        <v>0</v>
      </c>
      <c r="N24" s="106">
        <v>0</v>
      </c>
      <c r="O24" s="106">
        <v>0</v>
      </c>
      <c r="P24" s="106">
        <v>0</v>
      </c>
      <c r="Q24" s="106">
        <v>0</v>
      </c>
      <c r="R24" s="106">
        <v>0</v>
      </c>
      <c r="S24" s="106">
        <v>0</v>
      </c>
      <c r="T24" s="106">
        <v>0</v>
      </c>
      <c r="U24" s="106">
        <v>0</v>
      </c>
      <c r="V24" s="106">
        <v>0</v>
      </c>
      <c r="W24" s="106">
        <v>0</v>
      </c>
      <c r="X24" s="106">
        <v>0</v>
      </c>
      <c r="Y24" s="106">
        <v>0</v>
      </c>
      <c r="Z24" s="106">
        <v>0</v>
      </c>
      <c r="AA24" s="106">
        <v>0</v>
      </c>
      <c r="AB24" s="106">
        <v>0</v>
      </c>
      <c r="AC24" s="106">
        <v>0</v>
      </c>
      <c r="AD24" s="106">
        <v>0</v>
      </c>
      <c r="AE24" s="106">
        <v>0</v>
      </c>
      <c r="AF24" s="106">
        <v>0</v>
      </c>
      <c r="AG24" s="106">
        <v>0</v>
      </c>
      <c r="AH24" s="106">
        <v>0</v>
      </c>
      <c r="AI24" s="106">
        <v>0</v>
      </c>
      <c r="AJ24" s="106">
        <v>0</v>
      </c>
      <c r="AK24" s="106">
        <v>0</v>
      </c>
      <c r="AL24" s="106">
        <v>0</v>
      </c>
      <c r="AM24" s="106">
        <v>0</v>
      </c>
      <c r="AN24" s="106">
        <v>0</v>
      </c>
      <c r="AO24" s="106">
        <v>0</v>
      </c>
      <c r="AP24" s="106">
        <v>0</v>
      </c>
      <c r="AQ24" s="107">
        <v>0</v>
      </c>
    </row>
    <row r="25" spans="2:43" ht="12" customHeight="1" x14ac:dyDescent="0.25">
      <c r="B25" s="105" t="s">
        <v>22</v>
      </c>
      <c r="C25" s="106" t="s">
        <v>23</v>
      </c>
      <c r="D25" s="106" t="s">
        <v>24</v>
      </c>
      <c r="E25" s="106" t="s">
        <v>24</v>
      </c>
      <c r="F25" s="106" t="s">
        <v>25</v>
      </c>
      <c r="G25" s="106" t="s">
        <v>25</v>
      </c>
      <c r="H25" s="106" t="s">
        <v>73</v>
      </c>
      <c r="I25" s="106" t="s">
        <v>25</v>
      </c>
      <c r="J25" s="106">
        <v>0</v>
      </c>
      <c r="K25" s="106">
        <v>0</v>
      </c>
      <c r="L25" s="106">
        <v>0</v>
      </c>
      <c r="M25" s="106">
        <v>0</v>
      </c>
      <c r="N25" s="106">
        <v>0</v>
      </c>
      <c r="O25" s="106">
        <v>0</v>
      </c>
      <c r="P25" s="106">
        <v>0</v>
      </c>
      <c r="Q25" s="106">
        <v>0</v>
      </c>
      <c r="R25" s="106">
        <v>0</v>
      </c>
      <c r="S25" s="106">
        <v>0</v>
      </c>
      <c r="T25" s="106">
        <v>0</v>
      </c>
      <c r="U25" s="106">
        <v>0</v>
      </c>
      <c r="V25" s="106">
        <v>0</v>
      </c>
      <c r="W25" s="106">
        <v>0</v>
      </c>
      <c r="X25" s="106">
        <v>0</v>
      </c>
      <c r="Y25" s="106">
        <v>0</v>
      </c>
      <c r="Z25" s="106">
        <v>0</v>
      </c>
      <c r="AA25" s="106">
        <v>0</v>
      </c>
      <c r="AB25" s="106">
        <v>0</v>
      </c>
      <c r="AC25" s="106">
        <v>0</v>
      </c>
      <c r="AD25" s="106">
        <v>0</v>
      </c>
      <c r="AE25" s="106">
        <v>0</v>
      </c>
      <c r="AF25" s="106">
        <v>0</v>
      </c>
      <c r="AG25" s="106">
        <v>0</v>
      </c>
      <c r="AH25" s="106">
        <v>0</v>
      </c>
      <c r="AI25" s="106">
        <v>0</v>
      </c>
      <c r="AJ25" s="106">
        <v>0</v>
      </c>
      <c r="AK25" s="106">
        <v>0</v>
      </c>
      <c r="AL25" s="106">
        <v>0</v>
      </c>
      <c r="AM25" s="106">
        <v>0</v>
      </c>
      <c r="AN25" s="106">
        <v>0</v>
      </c>
      <c r="AO25" s="106">
        <v>0</v>
      </c>
      <c r="AP25" s="106">
        <v>0</v>
      </c>
      <c r="AQ25" s="107">
        <v>0</v>
      </c>
    </row>
    <row r="26" spans="2:43" ht="12" customHeight="1" x14ac:dyDescent="0.25">
      <c r="B26" s="105" t="s">
        <v>22</v>
      </c>
      <c r="C26" s="106" t="s">
        <v>89</v>
      </c>
      <c r="D26" s="106" t="s">
        <v>24</v>
      </c>
      <c r="E26" s="106" t="s">
        <v>1069</v>
      </c>
      <c r="F26" s="106" t="s">
        <v>25</v>
      </c>
      <c r="G26" s="106" t="s">
        <v>25</v>
      </c>
      <c r="H26" s="106" t="s">
        <v>73</v>
      </c>
      <c r="I26" s="106" t="s">
        <v>25</v>
      </c>
      <c r="J26" s="106">
        <v>0</v>
      </c>
      <c r="K26" s="106">
        <v>0</v>
      </c>
      <c r="L26" s="106">
        <v>0</v>
      </c>
      <c r="M26" s="106">
        <v>0</v>
      </c>
      <c r="N26" s="106">
        <v>0</v>
      </c>
      <c r="O26" s="106">
        <v>0</v>
      </c>
      <c r="P26" s="106">
        <v>0</v>
      </c>
      <c r="Q26" s="106">
        <v>0</v>
      </c>
      <c r="R26" s="106">
        <v>0</v>
      </c>
      <c r="S26" s="106">
        <v>0</v>
      </c>
      <c r="T26" s="106">
        <v>0</v>
      </c>
      <c r="U26" s="106">
        <v>0</v>
      </c>
      <c r="V26" s="106">
        <v>0</v>
      </c>
      <c r="W26" s="106">
        <v>0</v>
      </c>
      <c r="X26" s="106">
        <v>0</v>
      </c>
      <c r="Y26" s="106">
        <v>0</v>
      </c>
      <c r="Z26" s="106">
        <v>0</v>
      </c>
      <c r="AA26" s="106">
        <v>0</v>
      </c>
      <c r="AB26" s="106">
        <v>0</v>
      </c>
      <c r="AC26" s="106">
        <v>0</v>
      </c>
      <c r="AD26" s="106">
        <v>0</v>
      </c>
      <c r="AE26" s="106">
        <v>0</v>
      </c>
      <c r="AF26" s="106">
        <v>0</v>
      </c>
      <c r="AG26" s="106">
        <v>0</v>
      </c>
      <c r="AH26" s="106">
        <v>0</v>
      </c>
      <c r="AI26" s="106">
        <v>0</v>
      </c>
      <c r="AJ26" s="106">
        <v>0</v>
      </c>
      <c r="AK26" s="106">
        <v>0</v>
      </c>
      <c r="AL26" s="106">
        <v>0</v>
      </c>
      <c r="AM26" s="106">
        <v>0</v>
      </c>
      <c r="AN26" s="106">
        <v>0</v>
      </c>
      <c r="AO26" s="106">
        <v>0</v>
      </c>
      <c r="AP26" s="106">
        <v>0</v>
      </c>
      <c r="AQ26" s="107">
        <v>0</v>
      </c>
    </row>
    <row r="27" spans="2:43" ht="12" customHeight="1" x14ac:dyDescent="0.25">
      <c r="B27" s="105" t="s">
        <v>22</v>
      </c>
      <c r="C27" s="106" t="s">
        <v>89</v>
      </c>
      <c r="D27" s="106" t="s">
        <v>24</v>
      </c>
      <c r="E27" s="106" t="s">
        <v>24</v>
      </c>
      <c r="F27" s="106" t="s">
        <v>25</v>
      </c>
      <c r="G27" s="106" t="s">
        <v>25</v>
      </c>
      <c r="H27" s="106" t="s">
        <v>73</v>
      </c>
      <c r="I27" s="106" t="s">
        <v>25</v>
      </c>
      <c r="J27" s="106">
        <v>0</v>
      </c>
      <c r="K27" s="106">
        <v>0</v>
      </c>
      <c r="L27" s="106">
        <v>0</v>
      </c>
      <c r="M27" s="106">
        <v>0</v>
      </c>
      <c r="N27" s="106">
        <v>0</v>
      </c>
      <c r="O27" s="106">
        <v>0</v>
      </c>
      <c r="P27" s="106">
        <v>0</v>
      </c>
      <c r="Q27" s="106">
        <v>0</v>
      </c>
      <c r="R27" s="106">
        <v>0</v>
      </c>
      <c r="S27" s="106">
        <v>0</v>
      </c>
      <c r="T27" s="106">
        <v>0</v>
      </c>
      <c r="U27" s="106">
        <v>0</v>
      </c>
      <c r="V27" s="106">
        <v>0</v>
      </c>
      <c r="W27" s="106">
        <v>0</v>
      </c>
      <c r="X27" s="106">
        <v>0</v>
      </c>
      <c r="Y27" s="106">
        <v>0</v>
      </c>
      <c r="Z27" s="106">
        <v>0</v>
      </c>
      <c r="AA27" s="106">
        <v>0</v>
      </c>
      <c r="AB27" s="106">
        <v>0</v>
      </c>
      <c r="AC27" s="106">
        <v>0</v>
      </c>
      <c r="AD27" s="106">
        <v>0</v>
      </c>
      <c r="AE27" s="106">
        <v>0</v>
      </c>
      <c r="AF27" s="106">
        <v>0</v>
      </c>
      <c r="AG27" s="106">
        <v>0</v>
      </c>
      <c r="AH27" s="106">
        <v>0</v>
      </c>
      <c r="AI27" s="106">
        <v>0</v>
      </c>
      <c r="AJ27" s="106">
        <v>0</v>
      </c>
      <c r="AK27" s="106">
        <v>0</v>
      </c>
      <c r="AL27" s="106">
        <v>0</v>
      </c>
      <c r="AM27" s="106">
        <v>0</v>
      </c>
      <c r="AN27" s="106">
        <v>0</v>
      </c>
      <c r="AO27" s="106">
        <v>0</v>
      </c>
      <c r="AP27" s="106">
        <v>0</v>
      </c>
      <c r="AQ27" s="107">
        <v>0</v>
      </c>
    </row>
    <row r="28" spans="2:43" ht="12" customHeight="1" x14ac:dyDescent="0.25">
      <c r="B28" s="105" t="s">
        <v>40</v>
      </c>
      <c r="C28" s="106" t="s">
        <v>87</v>
      </c>
      <c r="D28" s="106" t="s">
        <v>41</v>
      </c>
      <c r="E28" s="106" t="s">
        <v>90</v>
      </c>
      <c r="F28" s="106" t="s">
        <v>25</v>
      </c>
      <c r="G28" s="106" t="s">
        <v>35</v>
      </c>
      <c r="H28" s="106" t="s">
        <v>73</v>
      </c>
      <c r="I28" s="106" t="s">
        <v>25</v>
      </c>
      <c r="J28" s="106">
        <v>0</v>
      </c>
      <c r="K28" s="106">
        <v>0</v>
      </c>
      <c r="L28" s="106">
        <v>0</v>
      </c>
      <c r="M28" s="106">
        <v>0</v>
      </c>
      <c r="N28" s="106">
        <v>0</v>
      </c>
      <c r="O28" s="106">
        <v>0</v>
      </c>
      <c r="P28" s="106">
        <v>0</v>
      </c>
      <c r="Q28" s="106">
        <v>0</v>
      </c>
      <c r="R28" s="106">
        <v>0</v>
      </c>
      <c r="S28" s="106">
        <v>0</v>
      </c>
      <c r="T28" s="106">
        <v>0</v>
      </c>
      <c r="U28" s="106">
        <v>0</v>
      </c>
      <c r="V28" s="106">
        <v>0</v>
      </c>
      <c r="W28" s="106">
        <v>0</v>
      </c>
      <c r="X28" s="106">
        <v>0</v>
      </c>
      <c r="Y28" s="106">
        <v>0</v>
      </c>
      <c r="Z28" s="106">
        <v>0</v>
      </c>
      <c r="AA28" s="106">
        <v>0</v>
      </c>
      <c r="AB28" s="106">
        <v>0</v>
      </c>
      <c r="AC28" s="106">
        <v>0</v>
      </c>
      <c r="AD28" s="106">
        <v>0</v>
      </c>
      <c r="AE28" s="106">
        <v>0</v>
      </c>
      <c r="AF28" s="106">
        <v>0</v>
      </c>
      <c r="AG28" s="106">
        <v>0</v>
      </c>
      <c r="AH28" s="106">
        <v>0</v>
      </c>
      <c r="AI28" s="106">
        <v>0</v>
      </c>
      <c r="AJ28" s="106">
        <v>0</v>
      </c>
      <c r="AK28" s="106">
        <v>0</v>
      </c>
      <c r="AL28" s="106">
        <v>0</v>
      </c>
      <c r="AM28" s="106">
        <v>0</v>
      </c>
      <c r="AN28" s="106">
        <v>0</v>
      </c>
      <c r="AO28" s="106">
        <v>0</v>
      </c>
      <c r="AP28" s="106">
        <v>0</v>
      </c>
      <c r="AQ28" s="107">
        <v>0</v>
      </c>
    </row>
    <row r="29" spans="2:43" ht="12" customHeight="1" x14ac:dyDescent="0.25">
      <c r="B29" s="105" t="s">
        <v>40</v>
      </c>
      <c r="C29" s="106" t="s">
        <v>87</v>
      </c>
      <c r="D29" s="106" t="s">
        <v>41</v>
      </c>
      <c r="E29" s="106" t="s">
        <v>90</v>
      </c>
      <c r="F29" s="106" t="s">
        <v>25</v>
      </c>
      <c r="G29" s="106" t="s">
        <v>523</v>
      </c>
      <c r="H29" s="106" t="s">
        <v>73</v>
      </c>
      <c r="I29" s="106" t="s">
        <v>25</v>
      </c>
      <c r="J29" s="106">
        <v>0</v>
      </c>
      <c r="K29" s="106">
        <v>0</v>
      </c>
      <c r="L29" s="106">
        <v>0</v>
      </c>
      <c r="M29" s="106">
        <v>0</v>
      </c>
      <c r="N29" s="106">
        <v>0</v>
      </c>
      <c r="O29" s="106">
        <v>0</v>
      </c>
      <c r="P29" s="106">
        <v>0</v>
      </c>
      <c r="Q29" s="106">
        <v>0</v>
      </c>
      <c r="R29" s="106">
        <v>0</v>
      </c>
      <c r="S29" s="106">
        <v>0</v>
      </c>
      <c r="T29" s="106">
        <v>0</v>
      </c>
      <c r="U29" s="106">
        <v>0</v>
      </c>
      <c r="V29" s="106">
        <v>0</v>
      </c>
      <c r="W29" s="106">
        <v>0</v>
      </c>
      <c r="X29" s="106">
        <v>0</v>
      </c>
      <c r="Y29" s="106">
        <v>0</v>
      </c>
      <c r="Z29" s="106">
        <v>0</v>
      </c>
      <c r="AA29" s="106">
        <v>0</v>
      </c>
      <c r="AB29" s="106">
        <v>0</v>
      </c>
      <c r="AC29" s="106">
        <v>0</v>
      </c>
      <c r="AD29" s="106">
        <v>0</v>
      </c>
      <c r="AE29" s="106">
        <v>0</v>
      </c>
      <c r="AF29" s="106">
        <v>0</v>
      </c>
      <c r="AG29" s="106">
        <v>0</v>
      </c>
      <c r="AH29" s="106">
        <v>0</v>
      </c>
      <c r="AI29" s="106">
        <v>0</v>
      </c>
      <c r="AJ29" s="106">
        <v>0</v>
      </c>
      <c r="AK29" s="106">
        <v>0</v>
      </c>
      <c r="AL29" s="106">
        <v>0</v>
      </c>
      <c r="AM29" s="106">
        <v>0</v>
      </c>
      <c r="AN29" s="106">
        <v>0</v>
      </c>
      <c r="AO29" s="106">
        <v>0</v>
      </c>
      <c r="AP29" s="106">
        <v>0</v>
      </c>
      <c r="AQ29" s="107">
        <v>0</v>
      </c>
    </row>
    <row r="30" spans="2:43" ht="12" customHeight="1" x14ac:dyDescent="0.25">
      <c r="B30" s="105" t="s">
        <v>40</v>
      </c>
      <c r="C30" s="106" t="s">
        <v>87</v>
      </c>
      <c r="D30" s="106" t="s">
        <v>41</v>
      </c>
      <c r="E30" s="106" t="s">
        <v>90</v>
      </c>
      <c r="F30" s="106" t="s">
        <v>25</v>
      </c>
      <c r="G30" s="106" t="s">
        <v>36</v>
      </c>
      <c r="H30" s="106" t="s">
        <v>73</v>
      </c>
      <c r="I30" s="106" t="s">
        <v>25</v>
      </c>
      <c r="J30" s="106">
        <v>0</v>
      </c>
      <c r="K30" s="106">
        <v>0</v>
      </c>
      <c r="L30" s="106">
        <v>0</v>
      </c>
      <c r="M30" s="106">
        <v>0</v>
      </c>
      <c r="N30" s="106">
        <v>0</v>
      </c>
      <c r="O30" s="106">
        <v>0</v>
      </c>
      <c r="P30" s="106">
        <v>0</v>
      </c>
      <c r="Q30" s="106">
        <v>0</v>
      </c>
      <c r="R30" s="106">
        <v>0</v>
      </c>
      <c r="S30" s="106">
        <v>0</v>
      </c>
      <c r="T30" s="106">
        <v>0</v>
      </c>
      <c r="U30" s="106">
        <v>0</v>
      </c>
      <c r="V30" s="106">
        <v>0</v>
      </c>
      <c r="W30" s="106">
        <v>0</v>
      </c>
      <c r="X30" s="106">
        <v>0</v>
      </c>
      <c r="Y30" s="106">
        <v>0</v>
      </c>
      <c r="Z30" s="106">
        <v>0</v>
      </c>
      <c r="AA30" s="106">
        <v>0</v>
      </c>
      <c r="AB30" s="106">
        <v>0</v>
      </c>
      <c r="AC30" s="106">
        <v>0</v>
      </c>
      <c r="AD30" s="106">
        <v>0</v>
      </c>
      <c r="AE30" s="106">
        <v>0</v>
      </c>
      <c r="AF30" s="106">
        <v>0</v>
      </c>
      <c r="AG30" s="106">
        <v>0</v>
      </c>
      <c r="AH30" s="106">
        <v>0</v>
      </c>
      <c r="AI30" s="106">
        <v>0</v>
      </c>
      <c r="AJ30" s="106">
        <v>0</v>
      </c>
      <c r="AK30" s="106">
        <v>0</v>
      </c>
      <c r="AL30" s="106">
        <v>0</v>
      </c>
      <c r="AM30" s="106">
        <v>0</v>
      </c>
      <c r="AN30" s="106">
        <v>0</v>
      </c>
      <c r="AO30" s="106">
        <v>0</v>
      </c>
      <c r="AP30" s="106">
        <v>0</v>
      </c>
      <c r="AQ30" s="107">
        <v>0</v>
      </c>
    </row>
    <row r="31" spans="2:43" ht="12" customHeight="1" x14ac:dyDescent="0.25">
      <c r="B31" s="105" t="s">
        <v>40</v>
      </c>
      <c r="C31" s="106" t="s">
        <v>87</v>
      </c>
      <c r="D31" s="106" t="s">
        <v>41</v>
      </c>
      <c r="E31" s="106" t="s">
        <v>25</v>
      </c>
      <c r="F31" s="106" t="s">
        <v>25</v>
      </c>
      <c r="G31" s="106" t="s">
        <v>35</v>
      </c>
      <c r="H31" s="106" t="s">
        <v>73</v>
      </c>
      <c r="I31" s="106" t="s">
        <v>25</v>
      </c>
      <c r="J31" s="106">
        <v>0</v>
      </c>
      <c r="K31" s="106">
        <v>0</v>
      </c>
      <c r="L31" s="106">
        <v>0</v>
      </c>
      <c r="M31" s="106">
        <v>0</v>
      </c>
      <c r="N31" s="106">
        <v>0</v>
      </c>
      <c r="O31" s="106">
        <v>0</v>
      </c>
      <c r="P31" s="106">
        <v>0</v>
      </c>
      <c r="Q31" s="106">
        <v>0</v>
      </c>
      <c r="R31" s="106">
        <v>0</v>
      </c>
      <c r="S31" s="106">
        <v>0</v>
      </c>
      <c r="T31" s="106">
        <v>0</v>
      </c>
      <c r="U31" s="106">
        <v>0</v>
      </c>
      <c r="V31" s="106">
        <v>0</v>
      </c>
      <c r="W31" s="106">
        <v>0</v>
      </c>
      <c r="X31" s="106">
        <v>0</v>
      </c>
      <c r="Y31" s="106">
        <v>0</v>
      </c>
      <c r="Z31" s="106">
        <v>0</v>
      </c>
      <c r="AA31" s="106">
        <v>0</v>
      </c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>
        <v>0</v>
      </c>
      <c r="AJ31" s="106">
        <v>0</v>
      </c>
      <c r="AK31" s="106">
        <v>0</v>
      </c>
      <c r="AL31" s="106">
        <v>0</v>
      </c>
      <c r="AM31" s="106">
        <v>0</v>
      </c>
      <c r="AN31" s="106">
        <v>0</v>
      </c>
      <c r="AO31" s="106">
        <v>0</v>
      </c>
      <c r="AP31" s="106">
        <v>0</v>
      </c>
      <c r="AQ31" s="107">
        <v>0</v>
      </c>
    </row>
    <row r="32" spans="2:43" ht="12" customHeight="1" x14ac:dyDescent="0.25">
      <c r="B32" s="105" t="s">
        <v>40</v>
      </c>
      <c r="C32" s="106" t="s">
        <v>87</v>
      </c>
      <c r="D32" s="106" t="s">
        <v>41</v>
      </c>
      <c r="E32" s="106" t="s">
        <v>25</v>
      </c>
      <c r="F32" s="106" t="s">
        <v>25</v>
      </c>
      <c r="G32" s="106" t="s">
        <v>523</v>
      </c>
      <c r="H32" s="106" t="s">
        <v>73</v>
      </c>
      <c r="I32" s="106" t="s">
        <v>25</v>
      </c>
      <c r="J32" s="106">
        <v>0</v>
      </c>
      <c r="K32" s="106">
        <v>0</v>
      </c>
      <c r="L32" s="106">
        <v>0</v>
      </c>
      <c r="M32" s="106">
        <v>0</v>
      </c>
      <c r="N32" s="106">
        <v>0</v>
      </c>
      <c r="O32" s="106">
        <v>0</v>
      </c>
      <c r="P32" s="106">
        <v>0</v>
      </c>
      <c r="Q32" s="106">
        <v>0</v>
      </c>
      <c r="R32" s="106">
        <v>0</v>
      </c>
      <c r="S32" s="106">
        <v>0</v>
      </c>
      <c r="T32" s="106">
        <v>0</v>
      </c>
      <c r="U32" s="106">
        <v>0</v>
      </c>
      <c r="V32" s="106">
        <v>0</v>
      </c>
      <c r="W32" s="106">
        <v>0</v>
      </c>
      <c r="X32" s="106">
        <v>0</v>
      </c>
      <c r="Y32" s="106">
        <v>0</v>
      </c>
      <c r="Z32" s="106">
        <v>0</v>
      </c>
      <c r="AA32" s="106">
        <v>0</v>
      </c>
      <c r="AB32" s="106">
        <v>0</v>
      </c>
      <c r="AC32" s="106">
        <v>0</v>
      </c>
      <c r="AD32" s="106">
        <v>0</v>
      </c>
      <c r="AE32" s="106">
        <v>0</v>
      </c>
      <c r="AF32" s="106">
        <v>0</v>
      </c>
      <c r="AG32" s="106">
        <v>0</v>
      </c>
      <c r="AH32" s="106">
        <v>0</v>
      </c>
      <c r="AI32" s="106">
        <v>0</v>
      </c>
      <c r="AJ32" s="106">
        <v>0</v>
      </c>
      <c r="AK32" s="106">
        <v>0</v>
      </c>
      <c r="AL32" s="106">
        <v>0</v>
      </c>
      <c r="AM32" s="106">
        <v>0</v>
      </c>
      <c r="AN32" s="106">
        <v>0</v>
      </c>
      <c r="AO32" s="106">
        <v>0</v>
      </c>
      <c r="AP32" s="106">
        <v>0</v>
      </c>
      <c r="AQ32" s="107">
        <v>0</v>
      </c>
    </row>
    <row r="33" spans="2:43" ht="12" customHeight="1" x14ac:dyDescent="0.25">
      <c r="B33" s="105" t="s">
        <v>40</v>
      </c>
      <c r="C33" s="106" t="s">
        <v>87</v>
      </c>
      <c r="D33" s="106" t="s">
        <v>41</v>
      </c>
      <c r="E33" s="106" t="s">
        <v>25</v>
      </c>
      <c r="F33" s="106" t="s">
        <v>25</v>
      </c>
      <c r="G33" s="106" t="s">
        <v>36</v>
      </c>
      <c r="H33" s="106" t="s">
        <v>73</v>
      </c>
      <c r="I33" s="106" t="s">
        <v>25</v>
      </c>
      <c r="J33" s="106">
        <v>0</v>
      </c>
      <c r="K33" s="106">
        <v>0</v>
      </c>
      <c r="L33" s="106">
        <v>0</v>
      </c>
      <c r="M33" s="106">
        <v>0</v>
      </c>
      <c r="N33" s="106">
        <v>0</v>
      </c>
      <c r="O33" s="106">
        <v>0</v>
      </c>
      <c r="P33" s="106">
        <v>0</v>
      </c>
      <c r="Q33" s="106">
        <v>0</v>
      </c>
      <c r="R33" s="106">
        <v>0</v>
      </c>
      <c r="S33" s="106">
        <v>0</v>
      </c>
      <c r="T33" s="106">
        <v>0</v>
      </c>
      <c r="U33" s="106">
        <v>0</v>
      </c>
      <c r="V33" s="106">
        <v>0</v>
      </c>
      <c r="W33" s="106">
        <v>0</v>
      </c>
      <c r="X33" s="106">
        <v>0</v>
      </c>
      <c r="Y33" s="106">
        <v>0</v>
      </c>
      <c r="Z33" s="106">
        <v>0</v>
      </c>
      <c r="AA33" s="106">
        <v>0</v>
      </c>
      <c r="AB33" s="106">
        <v>0</v>
      </c>
      <c r="AC33" s="106">
        <v>0</v>
      </c>
      <c r="AD33" s="106">
        <v>0</v>
      </c>
      <c r="AE33" s="106">
        <v>0</v>
      </c>
      <c r="AF33" s="106">
        <v>0</v>
      </c>
      <c r="AG33" s="106">
        <v>0</v>
      </c>
      <c r="AH33" s="106">
        <v>0</v>
      </c>
      <c r="AI33" s="106">
        <v>0</v>
      </c>
      <c r="AJ33" s="106">
        <v>0</v>
      </c>
      <c r="AK33" s="106">
        <v>0</v>
      </c>
      <c r="AL33" s="106">
        <v>0</v>
      </c>
      <c r="AM33" s="106">
        <v>0</v>
      </c>
      <c r="AN33" s="106">
        <v>0</v>
      </c>
      <c r="AO33" s="106">
        <v>0</v>
      </c>
      <c r="AP33" s="106">
        <v>0</v>
      </c>
      <c r="AQ33" s="107">
        <v>0</v>
      </c>
    </row>
    <row r="34" spans="2:43" ht="12" customHeight="1" x14ac:dyDescent="0.25">
      <c r="B34" s="105" t="s">
        <v>40</v>
      </c>
      <c r="C34" s="106" t="s">
        <v>87</v>
      </c>
      <c r="D34" s="106" t="s">
        <v>41</v>
      </c>
      <c r="E34" s="106" t="s">
        <v>91</v>
      </c>
      <c r="F34" s="106" t="s">
        <v>25</v>
      </c>
      <c r="G34" s="106" t="s">
        <v>35</v>
      </c>
      <c r="H34" s="106" t="s">
        <v>73</v>
      </c>
      <c r="I34" s="106" t="s">
        <v>25</v>
      </c>
      <c r="J34" s="106">
        <v>0</v>
      </c>
      <c r="K34" s="106">
        <v>0</v>
      </c>
      <c r="L34" s="106">
        <v>0</v>
      </c>
      <c r="M34" s="106">
        <v>0</v>
      </c>
      <c r="N34" s="106">
        <v>0</v>
      </c>
      <c r="O34" s="106">
        <v>0</v>
      </c>
      <c r="P34" s="106">
        <v>0</v>
      </c>
      <c r="Q34" s="106">
        <v>0</v>
      </c>
      <c r="R34" s="106">
        <v>0</v>
      </c>
      <c r="S34" s="106">
        <v>0</v>
      </c>
      <c r="T34" s="106">
        <v>0</v>
      </c>
      <c r="U34" s="106">
        <v>0</v>
      </c>
      <c r="V34" s="106">
        <v>0</v>
      </c>
      <c r="W34" s="106">
        <v>0</v>
      </c>
      <c r="X34" s="106">
        <v>0</v>
      </c>
      <c r="Y34" s="106">
        <v>0</v>
      </c>
      <c r="Z34" s="106">
        <v>0</v>
      </c>
      <c r="AA34" s="106">
        <v>0</v>
      </c>
      <c r="AB34" s="106">
        <v>0</v>
      </c>
      <c r="AC34" s="106">
        <v>0</v>
      </c>
      <c r="AD34" s="106">
        <v>0</v>
      </c>
      <c r="AE34" s="106">
        <v>0</v>
      </c>
      <c r="AF34" s="106">
        <v>0</v>
      </c>
      <c r="AG34" s="106">
        <v>0</v>
      </c>
      <c r="AH34" s="106">
        <v>0</v>
      </c>
      <c r="AI34" s="106">
        <v>0</v>
      </c>
      <c r="AJ34" s="106">
        <v>0</v>
      </c>
      <c r="AK34" s="106">
        <v>0</v>
      </c>
      <c r="AL34" s="106">
        <v>0</v>
      </c>
      <c r="AM34" s="106">
        <v>0</v>
      </c>
      <c r="AN34" s="106">
        <v>0</v>
      </c>
      <c r="AO34" s="106">
        <v>0</v>
      </c>
      <c r="AP34" s="106">
        <v>0</v>
      </c>
      <c r="AQ34" s="107">
        <v>0</v>
      </c>
    </row>
    <row r="35" spans="2:43" ht="12" customHeight="1" x14ac:dyDescent="0.25">
      <c r="B35" s="105" t="s">
        <v>40</v>
      </c>
      <c r="C35" s="106" t="s">
        <v>87</v>
      </c>
      <c r="D35" s="106" t="s">
        <v>41</v>
      </c>
      <c r="E35" s="106" t="s">
        <v>91</v>
      </c>
      <c r="F35" s="106" t="s">
        <v>25</v>
      </c>
      <c r="G35" s="106" t="s">
        <v>523</v>
      </c>
      <c r="H35" s="106" t="s">
        <v>73</v>
      </c>
      <c r="I35" s="106" t="s">
        <v>25</v>
      </c>
      <c r="J35" s="106">
        <v>0</v>
      </c>
      <c r="K35" s="106">
        <v>0</v>
      </c>
      <c r="L35" s="106">
        <v>0</v>
      </c>
      <c r="M35" s="106">
        <v>0</v>
      </c>
      <c r="N35" s="106">
        <v>0</v>
      </c>
      <c r="O35" s="106">
        <v>0</v>
      </c>
      <c r="P35" s="106">
        <v>0</v>
      </c>
      <c r="Q35" s="106">
        <v>0</v>
      </c>
      <c r="R35" s="106">
        <v>0</v>
      </c>
      <c r="S35" s="106">
        <v>0</v>
      </c>
      <c r="T35" s="106">
        <v>0</v>
      </c>
      <c r="U35" s="106">
        <v>0</v>
      </c>
      <c r="V35" s="106">
        <v>0</v>
      </c>
      <c r="W35" s="106">
        <v>0</v>
      </c>
      <c r="X35" s="106">
        <v>0</v>
      </c>
      <c r="Y35" s="106">
        <v>0</v>
      </c>
      <c r="Z35" s="106">
        <v>0</v>
      </c>
      <c r="AA35" s="106">
        <v>0</v>
      </c>
      <c r="AB35" s="106">
        <v>0</v>
      </c>
      <c r="AC35" s="106">
        <v>0</v>
      </c>
      <c r="AD35" s="106">
        <v>0</v>
      </c>
      <c r="AE35" s="106">
        <v>0</v>
      </c>
      <c r="AF35" s="106">
        <v>0</v>
      </c>
      <c r="AG35" s="106">
        <v>0</v>
      </c>
      <c r="AH35" s="106">
        <v>0</v>
      </c>
      <c r="AI35" s="106">
        <v>0</v>
      </c>
      <c r="AJ35" s="106">
        <v>0</v>
      </c>
      <c r="AK35" s="106">
        <v>0</v>
      </c>
      <c r="AL35" s="106">
        <v>0</v>
      </c>
      <c r="AM35" s="106">
        <v>0</v>
      </c>
      <c r="AN35" s="106">
        <v>0</v>
      </c>
      <c r="AO35" s="106">
        <v>0</v>
      </c>
      <c r="AP35" s="106">
        <v>0</v>
      </c>
      <c r="AQ35" s="107">
        <v>0</v>
      </c>
    </row>
    <row r="36" spans="2:43" ht="12" customHeight="1" x14ac:dyDescent="0.25">
      <c r="B36" s="105" t="s">
        <v>40</v>
      </c>
      <c r="C36" s="106" t="s">
        <v>87</v>
      </c>
      <c r="D36" s="106" t="s">
        <v>41</v>
      </c>
      <c r="E36" s="106" t="s">
        <v>91</v>
      </c>
      <c r="F36" s="106" t="s">
        <v>25</v>
      </c>
      <c r="G36" s="106" t="s">
        <v>36</v>
      </c>
      <c r="H36" s="106" t="s">
        <v>73</v>
      </c>
      <c r="I36" s="106" t="s">
        <v>25</v>
      </c>
      <c r="J36" s="106">
        <v>0</v>
      </c>
      <c r="K36" s="106">
        <v>0</v>
      </c>
      <c r="L36" s="106">
        <v>0</v>
      </c>
      <c r="M36" s="106">
        <v>0</v>
      </c>
      <c r="N36" s="106">
        <v>0</v>
      </c>
      <c r="O36" s="106">
        <v>0</v>
      </c>
      <c r="P36" s="106">
        <v>0</v>
      </c>
      <c r="Q36" s="106">
        <v>0</v>
      </c>
      <c r="R36" s="106">
        <v>0</v>
      </c>
      <c r="S36" s="106">
        <v>0</v>
      </c>
      <c r="T36" s="106">
        <v>0</v>
      </c>
      <c r="U36" s="106">
        <v>0</v>
      </c>
      <c r="V36" s="106">
        <v>0</v>
      </c>
      <c r="W36" s="106">
        <v>0</v>
      </c>
      <c r="X36" s="106">
        <v>0</v>
      </c>
      <c r="Y36" s="106">
        <v>0</v>
      </c>
      <c r="Z36" s="106">
        <v>0</v>
      </c>
      <c r="AA36" s="106">
        <v>0</v>
      </c>
      <c r="AB36" s="106">
        <v>0</v>
      </c>
      <c r="AC36" s="106">
        <v>0</v>
      </c>
      <c r="AD36" s="106">
        <v>0</v>
      </c>
      <c r="AE36" s="106">
        <v>0</v>
      </c>
      <c r="AF36" s="106">
        <v>0</v>
      </c>
      <c r="AG36" s="106">
        <v>0</v>
      </c>
      <c r="AH36" s="106">
        <v>0</v>
      </c>
      <c r="AI36" s="106">
        <v>0</v>
      </c>
      <c r="AJ36" s="106">
        <v>0</v>
      </c>
      <c r="AK36" s="106">
        <v>0</v>
      </c>
      <c r="AL36" s="106">
        <v>0</v>
      </c>
      <c r="AM36" s="106">
        <v>0</v>
      </c>
      <c r="AN36" s="106">
        <v>0</v>
      </c>
      <c r="AO36" s="106">
        <v>0</v>
      </c>
      <c r="AP36" s="106">
        <v>0</v>
      </c>
      <c r="AQ36" s="107">
        <v>0</v>
      </c>
    </row>
    <row r="37" spans="2:43" ht="12" customHeight="1" x14ac:dyDescent="0.25">
      <c r="B37" s="105" t="s">
        <v>40</v>
      </c>
      <c r="C37" s="106" t="s">
        <v>23</v>
      </c>
      <c r="D37" s="106" t="s">
        <v>41</v>
      </c>
      <c r="E37" s="106" t="s">
        <v>90</v>
      </c>
      <c r="F37" s="106" t="s">
        <v>25</v>
      </c>
      <c r="G37" s="106" t="s">
        <v>25</v>
      </c>
      <c r="H37" s="106" t="s">
        <v>73</v>
      </c>
      <c r="I37" s="106" t="s">
        <v>25</v>
      </c>
      <c r="J37" s="106">
        <v>0</v>
      </c>
      <c r="K37" s="106">
        <v>0</v>
      </c>
      <c r="L37" s="106">
        <v>0</v>
      </c>
      <c r="M37" s="106">
        <v>0</v>
      </c>
      <c r="N37" s="106">
        <v>0</v>
      </c>
      <c r="O37" s="106">
        <v>0</v>
      </c>
      <c r="P37" s="106">
        <v>0</v>
      </c>
      <c r="Q37" s="106">
        <v>0</v>
      </c>
      <c r="R37" s="106">
        <v>0</v>
      </c>
      <c r="S37" s="106">
        <v>0</v>
      </c>
      <c r="T37" s="106">
        <v>0</v>
      </c>
      <c r="U37" s="106">
        <v>0</v>
      </c>
      <c r="V37" s="106">
        <v>0</v>
      </c>
      <c r="W37" s="106">
        <v>0</v>
      </c>
      <c r="X37" s="106">
        <v>0</v>
      </c>
      <c r="Y37" s="106">
        <v>0</v>
      </c>
      <c r="Z37" s="106">
        <v>0</v>
      </c>
      <c r="AA37" s="106">
        <v>0</v>
      </c>
      <c r="AB37" s="106">
        <v>0</v>
      </c>
      <c r="AC37" s="106">
        <v>0</v>
      </c>
      <c r="AD37" s="106">
        <v>0</v>
      </c>
      <c r="AE37" s="106">
        <v>0</v>
      </c>
      <c r="AF37" s="106">
        <v>0</v>
      </c>
      <c r="AG37" s="106">
        <v>0</v>
      </c>
      <c r="AH37" s="106">
        <v>0</v>
      </c>
      <c r="AI37" s="106">
        <v>0</v>
      </c>
      <c r="AJ37" s="106">
        <v>0</v>
      </c>
      <c r="AK37" s="106">
        <v>0</v>
      </c>
      <c r="AL37" s="106">
        <v>0</v>
      </c>
      <c r="AM37" s="106">
        <v>0</v>
      </c>
      <c r="AN37" s="106">
        <v>0</v>
      </c>
      <c r="AO37" s="106">
        <v>0</v>
      </c>
      <c r="AP37" s="106">
        <v>0</v>
      </c>
      <c r="AQ37" s="107">
        <v>0</v>
      </c>
    </row>
    <row r="38" spans="2:43" ht="12" customHeight="1" x14ac:dyDescent="0.25">
      <c r="B38" s="105" t="s">
        <v>40</v>
      </c>
      <c r="C38" s="106" t="s">
        <v>23</v>
      </c>
      <c r="D38" s="106" t="s">
        <v>41</v>
      </c>
      <c r="E38" s="106" t="s">
        <v>25</v>
      </c>
      <c r="F38" s="106" t="s">
        <v>25</v>
      </c>
      <c r="G38" s="106" t="s">
        <v>25</v>
      </c>
      <c r="H38" s="106" t="s">
        <v>73</v>
      </c>
      <c r="I38" s="106" t="s">
        <v>25</v>
      </c>
      <c r="J38" s="106">
        <v>0</v>
      </c>
      <c r="K38" s="106">
        <v>0</v>
      </c>
      <c r="L38" s="106">
        <v>0</v>
      </c>
      <c r="M38" s="106">
        <v>0</v>
      </c>
      <c r="N38" s="106">
        <v>0</v>
      </c>
      <c r="O38" s="106">
        <v>0</v>
      </c>
      <c r="P38" s="106">
        <v>0</v>
      </c>
      <c r="Q38" s="106">
        <v>0</v>
      </c>
      <c r="R38" s="106">
        <v>0</v>
      </c>
      <c r="S38" s="106">
        <v>0</v>
      </c>
      <c r="T38" s="106">
        <v>0</v>
      </c>
      <c r="U38" s="106">
        <v>0</v>
      </c>
      <c r="V38" s="106">
        <v>0</v>
      </c>
      <c r="W38" s="106">
        <v>0</v>
      </c>
      <c r="X38" s="106">
        <v>0</v>
      </c>
      <c r="Y38" s="106">
        <v>0</v>
      </c>
      <c r="Z38" s="106">
        <v>0</v>
      </c>
      <c r="AA38" s="106">
        <v>0</v>
      </c>
      <c r="AB38" s="106">
        <v>0</v>
      </c>
      <c r="AC38" s="106">
        <v>0</v>
      </c>
      <c r="AD38" s="106">
        <v>0</v>
      </c>
      <c r="AE38" s="106">
        <v>0</v>
      </c>
      <c r="AF38" s="106">
        <v>0</v>
      </c>
      <c r="AG38" s="106">
        <v>0</v>
      </c>
      <c r="AH38" s="106">
        <v>0</v>
      </c>
      <c r="AI38" s="106">
        <v>0</v>
      </c>
      <c r="AJ38" s="106">
        <v>0</v>
      </c>
      <c r="AK38" s="106">
        <v>0</v>
      </c>
      <c r="AL38" s="106">
        <v>0</v>
      </c>
      <c r="AM38" s="106">
        <v>0</v>
      </c>
      <c r="AN38" s="106">
        <v>0</v>
      </c>
      <c r="AO38" s="106">
        <v>0</v>
      </c>
      <c r="AP38" s="106">
        <v>0</v>
      </c>
      <c r="AQ38" s="107">
        <v>0</v>
      </c>
    </row>
    <row r="39" spans="2:43" ht="12" customHeight="1" x14ac:dyDescent="0.25">
      <c r="B39" s="105" t="s">
        <v>40</v>
      </c>
      <c r="C39" s="106" t="s">
        <v>23</v>
      </c>
      <c r="D39" s="106" t="s">
        <v>41</v>
      </c>
      <c r="E39" s="106" t="s">
        <v>91</v>
      </c>
      <c r="F39" s="106" t="s">
        <v>25</v>
      </c>
      <c r="G39" s="106" t="s">
        <v>25</v>
      </c>
      <c r="H39" s="106" t="s">
        <v>73</v>
      </c>
      <c r="I39" s="106" t="s">
        <v>25</v>
      </c>
      <c r="J39" s="106">
        <v>0</v>
      </c>
      <c r="K39" s="106">
        <v>0</v>
      </c>
      <c r="L39" s="106">
        <v>0</v>
      </c>
      <c r="M39" s="106">
        <v>0</v>
      </c>
      <c r="N39" s="106">
        <v>0</v>
      </c>
      <c r="O39" s="106">
        <v>0</v>
      </c>
      <c r="P39" s="106">
        <v>0</v>
      </c>
      <c r="Q39" s="106">
        <v>0</v>
      </c>
      <c r="R39" s="106">
        <v>0</v>
      </c>
      <c r="S39" s="106">
        <v>0</v>
      </c>
      <c r="T39" s="106">
        <v>0</v>
      </c>
      <c r="U39" s="106">
        <v>0</v>
      </c>
      <c r="V39" s="106">
        <v>0</v>
      </c>
      <c r="W39" s="106">
        <v>0</v>
      </c>
      <c r="X39" s="106">
        <v>0</v>
      </c>
      <c r="Y39" s="106">
        <v>0</v>
      </c>
      <c r="Z39" s="106">
        <v>0</v>
      </c>
      <c r="AA39" s="106">
        <v>0</v>
      </c>
      <c r="AB39" s="106">
        <v>0</v>
      </c>
      <c r="AC39" s="106">
        <v>0</v>
      </c>
      <c r="AD39" s="106">
        <v>0</v>
      </c>
      <c r="AE39" s="106">
        <v>0</v>
      </c>
      <c r="AF39" s="106">
        <v>0</v>
      </c>
      <c r="AG39" s="106">
        <v>0</v>
      </c>
      <c r="AH39" s="106">
        <v>0</v>
      </c>
      <c r="AI39" s="106">
        <v>0</v>
      </c>
      <c r="AJ39" s="106">
        <v>0</v>
      </c>
      <c r="AK39" s="106">
        <v>0</v>
      </c>
      <c r="AL39" s="106">
        <v>0</v>
      </c>
      <c r="AM39" s="106">
        <v>0</v>
      </c>
      <c r="AN39" s="106">
        <v>0</v>
      </c>
      <c r="AO39" s="106">
        <v>0</v>
      </c>
      <c r="AP39" s="106">
        <v>0</v>
      </c>
      <c r="AQ39" s="107">
        <v>0</v>
      </c>
    </row>
    <row r="40" spans="2:43" ht="12" customHeight="1" x14ac:dyDescent="0.25">
      <c r="B40" s="105" t="s">
        <v>40</v>
      </c>
      <c r="C40" s="106" t="s">
        <v>89</v>
      </c>
      <c r="D40" s="106" t="s">
        <v>41</v>
      </c>
      <c r="E40" s="106" t="s">
        <v>90</v>
      </c>
      <c r="F40" s="106" t="s">
        <v>25</v>
      </c>
      <c r="G40" s="106" t="s">
        <v>25</v>
      </c>
      <c r="H40" s="106" t="s">
        <v>73</v>
      </c>
      <c r="I40" s="106" t="s">
        <v>25</v>
      </c>
      <c r="J40" s="106">
        <v>0</v>
      </c>
      <c r="K40" s="106">
        <v>0</v>
      </c>
      <c r="L40" s="106">
        <v>0</v>
      </c>
      <c r="M40" s="106">
        <v>0</v>
      </c>
      <c r="N40" s="106">
        <v>0</v>
      </c>
      <c r="O40" s="106">
        <v>0</v>
      </c>
      <c r="P40" s="106">
        <v>0</v>
      </c>
      <c r="Q40" s="106">
        <v>0</v>
      </c>
      <c r="R40" s="106">
        <v>0</v>
      </c>
      <c r="S40" s="106">
        <v>0</v>
      </c>
      <c r="T40" s="106">
        <v>0</v>
      </c>
      <c r="U40" s="106">
        <v>0</v>
      </c>
      <c r="V40" s="106">
        <v>0</v>
      </c>
      <c r="W40" s="106">
        <v>0</v>
      </c>
      <c r="X40" s="106">
        <v>0</v>
      </c>
      <c r="Y40" s="106">
        <v>0</v>
      </c>
      <c r="Z40" s="106">
        <v>0</v>
      </c>
      <c r="AA40" s="106">
        <v>0</v>
      </c>
      <c r="AB40" s="106">
        <v>0</v>
      </c>
      <c r="AC40" s="106">
        <v>0</v>
      </c>
      <c r="AD40" s="106">
        <v>0</v>
      </c>
      <c r="AE40" s="106">
        <v>0</v>
      </c>
      <c r="AF40" s="106">
        <v>0</v>
      </c>
      <c r="AG40" s="106">
        <v>0</v>
      </c>
      <c r="AH40" s="106">
        <v>0</v>
      </c>
      <c r="AI40" s="106">
        <v>0</v>
      </c>
      <c r="AJ40" s="106">
        <v>0</v>
      </c>
      <c r="AK40" s="106">
        <v>0</v>
      </c>
      <c r="AL40" s="106">
        <v>0</v>
      </c>
      <c r="AM40" s="106">
        <v>0</v>
      </c>
      <c r="AN40" s="106">
        <v>0</v>
      </c>
      <c r="AO40" s="106">
        <v>0</v>
      </c>
      <c r="AP40" s="106">
        <v>0</v>
      </c>
      <c r="AQ40" s="107">
        <v>0</v>
      </c>
    </row>
    <row r="41" spans="2:43" ht="12" customHeight="1" x14ac:dyDescent="0.25">
      <c r="B41" s="105" t="s">
        <v>40</v>
      </c>
      <c r="C41" s="106" t="s">
        <v>89</v>
      </c>
      <c r="D41" s="106" t="s">
        <v>41</v>
      </c>
      <c r="E41" s="106" t="s">
        <v>25</v>
      </c>
      <c r="F41" s="106" t="s">
        <v>25</v>
      </c>
      <c r="G41" s="106" t="s">
        <v>25</v>
      </c>
      <c r="H41" s="106" t="s">
        <v>73</v>
      </c>
      <c r="I41" s="106" t="s">
        <v>25</v>
      </c>
      <c r="J41" s="106">
        <v>0</v>
      </c>
      <c r="K41" s="106">
        <v>0</v>
      </c>
      <c r="L41" s="106">
        <v>0</v>
      </c>
      <c r="M41" s="106">
        <v>0</v>
      </c>
      <c r="N41" s="106">
        <v>0</v>
      </c>
      <c r="O41" s="106">
        <v>0</v>
      </c>
      <c r="P41" s="106">
        <v>0</v>
      </c>
      <c r="Q41" s="106">
        <v>0</v>
      </c>
      <c r="R41" s="106">
        <v>0</v>
      </c>
      <c r="S41" s="106">
        <v>0</v>
      </c>
      <c r="T41" s="106">
        <v>0</v>
      </c>
      <c r="U41" s="106">
        <v>0</v>
      </c>
      <c r="V41" s="106">
        <v>0</v>
      </c>
      <c r="W41" s="106">
        <v>0</v>
      </c>
      <c r="X41" s="106">
        <v>0</v>
      </c>
      <c r="Y41" s="106">
        <v>0</v>
      </c>
      <c r="Z41" s="106">
        <v>0</v>
      </c>
      <c r="AA41" s="106">
        <v>0</v>
      </c>
      <c r="AB41" s="106">
        <v>0</v>
      </c>
      <c r="AC41" s="106">
        <v>0</v>
      </c>
      <c r="AD41" s="106">
        <v>0</v>
      </c>
      <c r="AE41" s="106">
        <v>0</v>
      </c>
      <c r="AF41" s="106">
        <v>0</v>
      </c>
      <c r="AG41" s="106">
        <v>0</v>
      </c>
      <c r="AH41" s="106">
        <v>0</v>
      </c>
      <c r="AI41" s="106">
        <v>0</v>
      </c>
      <c r="AJ41" s="106">
        <v>0</v>
      </c>
      <c r="AK41" s="106">
        <v>0</v>
      </c>
      <c r="AL41" s="106">
        <v>0</v>
      </c>
      <c r="AM41" s="106">
        <v>0</v>
      </c>
      <c r="AN41" s="106">
        <v>0</v>
      </c>
      <c r="AO41" s="106">
        <v>0</v>
      </c>
      <c r="AP41" s="106">
        <v>0</v>
      </c>
      <c r="AQ41" s="107">
        <v>0</v>
      </c>
    </row>
    <row r="42" spans="2:43" ht="12" customHeight="1" x14ac:dyDescent="0.25">
      <c r="B42" s="105" t="s">
        <v>40</v>
      </c>
      <c r="C42" s="106" t="s">
        <v>89</v>
      </c>
      <c r="D42" s="106" t="s">
        <v>41</v>
      </c>
      <c r="E42" s="106" t="s">
        <v>91</v>
      </c>
      <c r="F42" s="106" t="s">
        <v>25</v>
      </c>
      <c r="G42" s="106" t="s">
        <v>25</v>
      </c>
      <c r="H42" s="106" t="s">
        <v>73</v>
      </c>
      <c r="I42" s="106" t="s">
        <v>25</v>
      </c>
      <c r="J42" s="106">
        <v>0</v>
      </c>
      <c r="K42" s="106">
        <v>0</v>
      </c>
      <c r="L42" s="106">
        <v>0</v>
      </c>
      <c r="M42" s="106">
        <v>0</v>
      </c>
      <c r="N42" s="106">
        <v>0</v>
      </c>
      <c r="O42" s="106">
        <v>0</v>
      </c>
      <c r="P42" s="106">
        <v>0</v>
      </c>
      <c r="Q42" s="106">
        <v>0</v>
      </c>
      <c r="R42" s="106">
        <v>0</v>
      </c>
      <c r="S42" s="106">
        <v>0</v>
      </c>
      <c r="T42" s="106">
        <v>0</v>
      </c>
      <c r="U42" s="106">
        <v>0</v>
      </c>
      <c r="V42" s="106">
        <v>0</v>
      </c>
      <c r="W42" s="106">
        <v>0</v>
      </c>
      <c r="X42" s="106">
        <v>0</v>
      </c>
      <c r="Y42" s="106">
        <v>0</v>
      </c>
      <c r="Z42" s="106">
        <v>0</v>
      </c>
      <c r="AA42" s="106">
        <v>0</v>
      </c>
      <c r="AB42" s="106">
        <v>0</v>
      </c>
      <c r="AC42" s="106">
        <v>0</v>
      </c>
      <c r="AD42" s="106">
        <v>0</v>
      </c>
      <c r="AE42" s="106">
        <v>0</v>
      </c>
      <c r="AF42" s="106">
        <v>0</v>
      </c>
      <c r="AG42" s="106">
        <v>0</v>
      </c>
      <c r="AH42" s="106">
        <v>0</v>
      </c>
      <c r="AI42" s="106">
        <v>0</v>
      </c>
      <c r="AJ42" s="106">
        <v>0</v>
      </c>
      <c r="AK42" s="106">
        <v>0</v>
      </c>
      <c r="AL42" s="106">
        <v>0</v>
      </c>
      <c r="AM42" s="106">
        <v>0</v>
      </c>
      <c r="AN42" s="106">
        <v>0</v>
      </c>
      <c r="AO42" s="106">
        <v>0</v>
      </c>
      <c r="AP42" s="106">
        <v>0</v>
      </c>
      <c r="AQ42" s="107">
        <v>0</v>
      </c>
    </row>
    <row r="43" spans="2:43" ht="12" customHeight="1" x14ac:dyDescent="0.25">
      <c r="B43" s="105" t="s">
        <v>37</v>
      </c>
      <c r="C43" s="106" t="s">
        <v>87</v>
      </c>
      <c r="D43" s="106" t="s">
        <v>25</v>
      </c>
      <c r="E43" s="106" t="s">
        <v>25</v>
      </c>
      <c r="F43" s="106" t="s">
        <v>25</v>
      </c>
      <c r="G43" s="106" t="s">
        <v>35</v>
      </c>
      <c r="H43" s="106" t="s">
        <v>73</v>
      </c>
      <c r="I43" s="106" t="s">
        <v>25</v>
      </c>
      <c r="J43" s="106">
        <v>0</v>
      </c>
      <c r="K43" s="106">
        <v>0</v>
      </c>
      <c r="L43" s="106">
        <v>0</v>
      </c>
      <c r="M43" s="106">
        <v>0</v>
      </c>
      <c r="N43" s="106">
        <v>0</v>
      </c>
      <c r="O43" s="106">
        <v>0</v>
      </c>
      <c r="P43" s="106">
        <v>0</v>
      </c>
      <c r="Q43" s="106">
        <v>0</v>
      </c>
      <c r="R43" s="106">
        <v>0</v>
      </c>
      <c r="S43" s="106">
        <v>0</v>
      </c>
      <c r="T43" s="106">
        <v>0</v>
      </c>
      <c r="U43" s="106">
        <v>0</v>
      </c>
      <c r="V43" s="106">
        <v>0</v>
      </c>
      <c r="W43" s="106">
        <v>0</v>
      </c>
      <c r="X43" s="106">
        <v>0</v>
      </c>
      <c r="Y43" s="106">
        <v>0</v>
      </c>
      <c r="Z43" s="106">
        <v>0</v>
      </c>
      <c r="AA43" s="106">
        <v>0</v>
      </c>
      <c r="AB43" s="106">
        <v>0</v>
      </c>
      <c r="AC43" s="106">
        <v>0</v>
      </c>
      <c r="AD43" s="106">
        <v>0</v>
      </c>
      <c r="AE43" s="106">
        <v>0</v>
      </c>
      <c r="AF43" s="106">
        <v>0</v>
      </c>
      <c r="AG43" s="106">
        <v>0</v>
      </c>
      <c r="AH43" s="106">
        <v>0</v>
      </c>
      <c r="AI43" s="106">
        <v>0</v>
      </c>
      <c r="AJ43" s="106">
        <v>0</v>
      </c>
      <c r="AK43" s="106">
        <v>0</v>
      </c>
      <c r="AL43" s="106">
        <v>0</v>
      </c>
      <c r="AM43" s="106">
        <v>0</v>
      </c>
      <c r="AN43" s="106">
        <v>0</v>
      </c>
      <c r="AO43" s="106">
        <v>0</v>
      </c>
      <c r="AP43" s="106">
        <v>0</v>
      </c>
      <c r="AQ43" s="107">
        <v>0</v>
      </c>
    </row>
    <row r="44" spans="2:43" ht="12" customHeight="1" x14ac:dyDescent="0.25">
      <c r="B44" s="105" t="s">
        <v>37</v>
      </c>
      <c r="C44" s="106" t="s">
        <v>87</v>
      </c>
      <c r="D44" s="106" t="s">
        <v>25</v>
      </c>
      <c r="E44" s="106" t="s">
        <v>25</v>
      </c>
      <c r="F44" s="106" t="s">
        <v>25</v>
      </c>
      <c r="G44" s="106" t="s">
        <v>523</v>
      </c>
      <c r="H44" s="106" t="s">
        <v>73</v>
      </c>
      <c r="I44" s="106" t="s">
        <v>25</v>
      </c>
      <c r="J44" s="106">
        <v>0</v>
      </c>
      <c r="K44" s="106">
        <v>0</v>
      </c>
      <c r="L44" s="106">
        <v>0</v>
      </c>
      <c r="M44" s="106">
        <v>0</v>
      </c>
      <c r="N44" s="106">
        <v>0</v>
      </c>
      <c r="O44" s="106">
        <v>0</v>
      </c>
      <c r="P44" s="106">
        <v>0</v>
      </c>
      <c r="Q44" s="106">
        <v>0</v>
      </c>
      <c r="R44" s="106">
        <v>0</v>
      </c>
      <c r="S44" s="106">
        <v>0</v>
      </c>
      <c r="T44" s="106">
        <v>0</v>
      </c>
      <c r="U44" s="106">
        <v>0</v>
      </c>
      <c r="V44" s="106">
        <v>0</v>
      </c>
      <c r="W44" s="106">
        <v>0</v>
      </c>
      <c r="X44" s="106">
        <v>0</v>
      </c>
      <c r="Y44" s="106">
        <v>0</v>
      </c>
      <c r="Z44" s="106">
        <v>0</v>
      </c>
      <c r="AA44" s="106">
        <v>0</v>
      </c>
      <c r="AB44" s="106">
        <v>0</v>
      </c>
      <c r="AC44" s="106">
        <v>0</v>
      </c>
      <c r="AD44" s="106">
        <v>0</v>
      </c>
      <c r="AE44" s="106">
        <v>0</v>
      </c>
      <c r="AF44" s="106">
        <v>0</v>
      </c>
      <c r="AG44" s="106">
        <v>0</v>
      </c>
      <c r="AH44" s="106">
        <v>0</v>
      </c>
      <c r="AI44" s="106">
        <v>0</v>
      </c>
      <c r="AJ44" s="106">
        <v>0</v>
      </c>
      <c r="AK44" s="106">
        <v>0</v>
      </c>
      <c r="AL44" s="106">
        <v>0</v>
      </c>
      <c r="AM44" s="106">
        <v>0</v>
      </c>
      <c r="AN44" s="106">
        <v>0</v>
      </c>
      <c r="AO44" s="106">
        <v>0</v>
      </c>
      <c r="AP44" s="106">
        <v>0</v>
      </c>
      <c r="AQ44" s="107">
        <v>0</v>
      </c>
    </row>
    <row r="45" spans="2:43" ht="12" customHeight="1" x14ac:dyDescent="0.25">
      <c r="B45" s="105" t="s">
        <v>37</v>
      </c>
      <c r="C45" s="106" t="s">
        <v>87</v>
      </c>
      <c r="D45" s="106" t="s">
        <v>25</v>
      </c>
      <c r="E45" s="106" t="s">
        <v>25</v>
      </c>
      <c r="F45" s="106" t="s">
        <v>25</v>
      </c>
      <c r="G45" s="106" t="s">
        <v>36</v>
      </c>
      <c r="H45" s="106" t="s">
        <v>73</v>
      </c>
      <c r="I45" s="106" t="s">
        <v>25</v>
      </c>
      <c r="J45" s="106">
        <v>0</v>
      </c>
      <c r="K45" s="106">
        <v>0</v>
      </c>
      <c r="L45" s="106">
        <v>0</v>
      </c>
      <c r="M45" s="106">
        <v>0</v>
      </c>
      <c r="N45" s="106">
        <v>0</v>
      </c>
      <c r="O45" s="106">
        <v>0</v>
      </c>
      <c r="P45" s="106">
        <v>0</v>
      </c>
      <c r="Q45" s="106">
        <v>0</v>
      </c>
      <c r="R45" s="106">
        <v>0</v>
      </c>
      <c r="S45" s="106">
        <v>0</v>
      </c>
      <c r="T45" s="106">
        <v>0</v>
      </c>
      <c r="U45" s="106">
        <v>0</v>
      </c>
      <c r="V45" s="106">
        <v>0</v>
      </c>
      <c r="W45" s="106">
        <v>0</v>
      </c>
      <c r="X45" s="106">
        <v>0</v>
      </c>
      <c r="Y45" s="106">
        <v>0</v>
      </c>
      <c r="Z45" s="106">
        <v>0</v>
      </c>
      <c r="AA45" s="106">
        <v>0</v>
      </c>
      <c r="AB45" s="106">
        <v>0</v>
      </c>
      <c r="AC45" s="106">
        <v>0</v>
      </c>
      <c r="AD45" s="106">
        <v>0</v>
      </c>
      <c r="AE45" s="106">
        <v>0</v>
      </c>
      <c r="AF45" s="106">
        <v>0</v>
      </c>
      <c r="AG45" s="106">
        <v>0</v>
      </c>
      <c r="AH45" s="106">
        <v>0</v>
      </c>
      <c r="AI45" s="106">
        <v>0</v>
      </c>
      <c r="AJ45" s="106">
        <v>0</v>
      </c>
      <c r="AK45" s="106">
        <v>0</v>
      </c>
      <c r="AL45" s="106">
        <v>0</v>
      </c>
      <c r="AM45" s="106">
        <v>0</v>
      </c>
      <c r="AN45" s="106">
        <v>0</v>
      </c>
      <c r="AO45" s="106">
        <v>0</v>
      </c>
      <c r="AP45" s="106">
        <v>0</v>
      </c>
      <c r="AQ45" s="107">
        <v>0</v>
      </c>
    </row>
    <row r="46" spans="2:43" ht="12" customHeight="1" x14ac:dyDescent="0.25">
      <c r="B46" s="105" t="s">
        <v>37</v>
      </c>
      <c r="C46" s="106" t="s">
        <v>23</v>
      </c>
      <c r="D46" s="106" t="s">
        <v>25</v>
      </c>
      <c r="E46" s="106" t="s">
        <v>25</v>
      </c>
      <c r="F46" s="106" t="s">
        <v>25</v>
      </c>
      <c r="G46" s="106" t="s">
        <v>25</v>
      </c>
      <c r="H46" s="106" t="s">
        <v>73</v>
      </c>
      <c r="I46" s="106" t="s">
        <v>25</v>
      </c>
      <c r="J46" s="106">
        <v>0</v>
      </c>
      <c r="K46" s="106">
        <v>0</v>
      </c>
      <c r="L46" s="106">
        <v>0</v>
      </c>
      <c r="M46" s="106">
        <v>0</v>
      </c>
      <c r="N46" s="106">
        <v>0</v>
      </c>
      <c r="O46" s="106">
        <v>0</v>
      </c>
      <c r="P46" s="106">
        <v>0</v>
      </c>
      <c r="Q46" s="106">
        <v>0</v>
      </c>
      <c r="R46" s="106">
        <v>0</v>
      </c>
      <c r="S46" s="106">
        <v>0</v>
      </c>
      <c r="T46" s="106">
        <v>0</v>
      </c>
      <c r="U46" s="106">
        <v>0</v>
      </c>
      <c r="V46" s="106">
        <v>0</v>
      </c>
      <c r="W46" s="106">
        <v>0</v>
      </c>
      <c r="X46" s="106">
        <v>0</v>
      </c>
      <c r="Y46" s="106">
        <v>0</v>
      </c>
      <c r="Z46" s="106">
        <v>0</v>
      </c>
      <c r="AA46" s="106">
        <v>0</v>
      </c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>
        <v>0</v>
      </c>
      <c r="AJ46" s="106">
        <v>0</v>
      </c>
      <c r="AK46" s="106">
        <v>0</v>
      </c>
      <c r="AL46" s="106">
        <v>0</v>
      </c>
      <c r="AM46" s="106">
        <v>0</v>
      </c>
      <c r="AN46" s="106">
        <v>0</v>
      </c>
      <c r="AO46" s="106">
        <v>0</v>
      </c>
      <c r="AP46" s="106">
        <v>0</v>
      </c>
      <c r="AQ46" s="107">
        <v>0</v>
      </c>
    </row>
    <row r="47" spans="2:43" ht="12" customHeight="1" x14ac:dyDescent="0.25">
      <c r="B47" s="105" t="s">
        <v>37</v>
      </c>
      <c r="C47" s="106" t="s">
        <v>89</v>
      </c>
      <c r="D47" s="106" t="s">
        <v>25</v>
      </c>
      <c r="E47" s="106" t="s">
        <v>25</v>
      </c>
      <c r="F47" s="106" t="s">
        <v>25</v>
      </c>
      <c r="G47" s="106" t="s">
        <v>25</v>
      </c>
      <c r="H47" s="106" t="s">
        <v>73</v>
      </c>
      <c r="I47" s="106" t="s">
        <v>25</v>
      </c>
      <c r="J47" s="106">
        <v>0</v>
      </c>
      <c r="K47" s="106">
        <v>0</v>
      </c>
      <c r="L47" s="106">
        <v>0</v>
      </c>
      <c r="M47" s="106">
        <v>0</v>
      </c>
      <c r="N47" s="106">
        <v>0</v>
      </c>
      <c r="O47" s="106">
        <v>0</v>
      </c>
      <c r="P47" s="106">
        <v>0</v>
      </c>
      <c r="Q47" s="106">
        <v>0</v>
      </c>
      <c r="R47" s="106">
        <v>0</v>
      </c>
      <c r="S47" s="106">
        <v>0</v>
      </c>
      <c r="T47" s="106">
        <v>0</v>
      </c>
      <c r="U47" s="106">
        <v>0</v>
      </c>
      <c r="V47" s="106">
        <v>0</v>
      </c>
      <c r="W47" s="106">
        <v>0</v>
      </c>
      <c r="X47" s="106">
        <v>0</v>
      </c>
      <c r="Y47" s="106">
        <v>0</v>
      </c>
      <c r="Z47" s="106">
        <v>0</v>
      </c>
      <c r="AA47" s="106">
        <v>0</v>
      </c>
      <c r="AB47" s="106">
        <v>0</v>
      </c>
      <c r="AC47" s="106">
        <v>0</v>
      </c>
      <c r="AD47" s="106">
        <v>0</v>
      </c>
      <c r="AE47" s="106">
        <v>0</v>
      </c>
      <c r="AF47" s="106">
        <v>0</v>
      </c>
      <c r="AG47" s="106">
        <v>0</v>
      </c>
      <c r="AH47" s="106">
        <v>0</v>
      </c>
      <c r="AI47" s="106">
        <v>0</v>
      </c>
      <c r="AJ47" s="106">
        <v>0</v>
      </c>
      <c r="AK47" s="106">
        <v>0</v>
      </c>
      <c r="AL47" s="106">
        <v>0</v>
      </c>
      <c r="AM47" s="106">
        <v>0</v>
      </c>
      <c r="AN47" s="106">
        <v>0</v>
      </c>
      <c r="AO47" s="106">
        <v>0</v>
      </c>
      <c r="AP47" s="106">
        <v>0</v>
      </c>
      <c r="AQ47" s="107">
        <v>0</v>
      </c>
    </row>
    <row r="48" spans="2:43" ht="12" customHeight="1" x14ac:dyDescent="0.25">
      <c r="B48" s="105" t="s">
        <v>44</v>
      </c>
      <c r="C48" s="106" t="s">
        <v>23</v>
      </c>
      <c r="D48" s="106" t="s">
        <v>45</v>
      </c>
      <c r="E48" s="106" t="s">
        <v>46</v>
      </c>
      <c r="F48" s="106" t="s">
        <v>25</v>
      </c>
      <c r="G48" s="106" t="s">
        <v>25</v>
      </c>
      <c r="H48" s="106" t="s">
        <v>73</v>
      </c>
      <c r="I48" s="106" t="s">
        <v>25</v>
      </c>
      <c r="J48" s="106">
        <v>0</v>
      </c>
      <c r="K48" s="106">
        <v>0</v>
      </c>
      <c r="L48" s="106">
        <v>0</v>
      </c>
      <c r="M48" s="106">
        <v>0</v>
      </c>
      <c r="N48" s="106">
        <v>0</v>
      </c>
      <c r="O48" s="106">
        <v>0</v>
      </c>
      <c r="P48" s="106">
        <v>0</v>
      </c>
      <c r="Q48" s="106">
        <v>0</v>
      </c>
      <c r="R48" s="106">
        <v>0</v>
      </c>
      <c r="S48" s="106">
        <v>0</v>
      </c>
      <c r="T48" s="106">
        <v>0</v>
      </c>
      <c r="U48" s="106">
        <v>0</v>
      </c>
      <c r="V48" s="106">
        <v>0</v>
      </c>
      <c r="W48" s="106">
        <v>0</v>
      </c>
      <c r="X48" s="106">
        <v>0</v>
      </c>
      <c r="Y48" s="106">
        <v>0</v>
      </c>
      <c r="Z48" s="106">
        <v>0</v>
      </c>
      <c r="AA48" s="106">
        <v>0</v>
      </c>
      <c r="AB48" s="106">
        <v>0</v>
      </c>
      <c r="AC48" s="106">
        <v>0</v>
      </c>
      <c r="AD48" s="106">
        <v>0</v>
      </c>
      <c r="AE48" s="106">
        <v>0</v>
      </c>
      <c r="AF48" s="106">
        <v>0</v>
      </c>
      <c r="AG48" s="106">
        <v>0</v>
      </c>
      <c r="AH48" s="106">
        <v>0</v>
      </c>
      <c r="AI48" s="106">
        <v>0</v>
      </c>
      <c r="AJ48" s="106">
        <v>0</v>
      </c>
      <c r="AK48" s="106">
        <v>0</v>
      </c>
      <c r="AL48" s="106">
        <v>0</v>
      </c>
      <c r="AM48" s="106">
        <v>0</v>
      </c>
      <c r="AN48" s="106">
        <v>0</v>
      </c>
      <c r="AO48" s="106">
        <v>0</v>
      </c>
      <c r="AP48" s="106">
        <v>0</v>
      </c>
      <c r="AQ48" s="107">
        <v>0</v>
      </c>
    </row>
    <row r="49" spans="2:43" ht="12" customHeight="1" x14ac:dyDescent="0.25">
      <c r="B49" s="108" t="s">
        <v>44</v>
      </c>
      <c r="C49" s="109" t="s">
        <v>23</v>
      </c>
      <c r="D49" s="109" t="s">
        <v>45</v>
      </c>
      <c r="E49" s="109" t="s">
        <v>47</v>
      </c>
      <c r="F49" s="109" t="s">
        <v>25</v>
      </c>
      <c r="G49" s="109" t="s">
        <v>25</v>
      </c>
      <c r="H49" s="109" t="s">
        <v>73</v>
      </c>
      <c r="I49" s="109" t="s">
        <v>25</v>
      </c>
      <c r="J49" s="109">
        <v>0</v>
      </c>
      <c r="K49" s="109">
        <v>0</v>
      </c>
      <c r="L49" s="109">
        <v>0</v>
      </c>
      <c r="M49" s="109">
        <v>0</v>
      </c>
      <c r="N49" s="109">
        <v>0</v>
      </c>
      <c r="O49" s="109">
        <v>0</v>
      </c>
      <c r="P49" s="109">
        <v>0</v>
      </c>
      <c r="Q49" s="109">
        <v>0</v>
      </c>
      <c r="R49" s="109">
        <v>0</v>
      </c>
      <c r="S49" s="109">
        <v>0</v>
      </c>
      <c r="T49" s="109">
        <v>0</v>
      </c>
      <c r="U49" s="109">
        <v>0</v>
      </c>
      <c r="V49" s="109">
        <v>0</v>
      </c>
      <c r="W49" s="109">
        <v>0</v>
      </c>
      <c r="X49" s="109">
        <v>0</v>
      </c>
      <c r="Y49" s="109">
        <v>0</v>
      </c>
      <c r="Z49" s="109">
        <v>0</v>
      </c>
      <c r="AA49" s="109">
        <v>0</v>
      </c>
      <c r="AB49" s="109">
        <v>0</v>
      </c>
      <c r="AC49" s="109">
        <v>0</v>
      </c>
      <c r="AD49" s="109">
        <v>0</v>
      </c>
      <c r="AE49" s="109">
        <v>0</v>
      </c>
      <c r="AF49" s="109">
        <v>0</v>
      </c>
      <c r="AG49" s="109">
        <v>0</v>
      </c>
      <c r="AH49" s="109">
        <v>0</v>
      </c>
      <c r="AI49" s="109">
        <v>0</v>
      </c>
      <c r="AJ49" s="109">
        <v>0</v>
      </c>
      <c r="AK49" s="109">
        <v>0</v>
      </c>
      <c r="AL49" s="109">
        <v>0</v>
      </c>
      <c r="AM49" s="109">
        <v>0</v>
      </c>
      <c r="AN49" s="109">
        <v>0</v>
      </c>
      <c r="AO49" s="109">
        <v>0</v>
      </c>
      <c r="AP49" s="109">
        <v>0</v>
      </c>
      <c r="AQ49" s="110">
        <v>0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2022-04-13T20:32:34Z</dcterms:created>
  <dcterms:modified xsi:type="dcterms:W3CDTF">2022-04-20T00:30:35Z</dcterms:modified>
</cp:coreProperties>
</file>